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-40" yWindow="0" windowWidth="37760" windowHeight="23040" tabRatio="990" activeTab="5"/>
  </bookViews>
  <sheets>
    <sheet name="scores" sheetId="1" r:id="rId1"/>
    <sheet name="stimulated vs non-stim" sheetId="2" r:id="rId2"/>
    <sheet name="ghost boutons" sheetId="3" r:id="rId3"/>
    <sheet name="tally" sheetId="4" r:id="rId4"/>
    <sheet name="Table" sheetId="6" r:id="rId5"/>
    <sheet name="Josh" sheetId="7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7" l="1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7" i="7"/>
  <c r="B8" i="7"/>
  <c r="B9" i="7"/>
  <c r="B10" i="7"/>
  <c r="B11" i="7"/>
  <c r="B12" i="7"/>
  <c r="B13" i="7"/>
  <c r="B14" i="7"/>
  <c r="B15" i="7"/>
  <c r="B16" i="7"/>
  <c r="B17" i="7"/>
  <c r="B18" i="7"/>
  <c r="B6" i="7"/>
  <c r="P107" i="7"/>
  <c r="O107" i="7"/>
  <c r="N107" i="7"/>
  <c r="M107" i="7"/>
  <c r="L107" i="7"/>
  <c r="K107" i="7"/>
  <c r="J107" i="7"/>
  <c r="I107" i="7"/>
  <c r="H107" i="7"/>
  <c r="G107" i="7"/>
  <c r="F107" i="7"/>
  <c r="E107" i="7"/>
  <c r="F4" i="7"/>
  <c r="G4" i="7"/>
  <c r="H4" i="7"/>
  <c r="I4" i="7"/>
  <c r="J4" i="7"/>
  <c r="K4" i="7"/>
  <c r="L4" i="7"/>
  <c r="M4" i="7"/>
  <c r="N4" i="7"/>
  <c r="O4" i="7"/>
  <c r="P4" i="7"/>
  <c r="E4" i="7"/>
  <c r="D105" i="6"/>
  <c r="E105" i="6"/>
  <c r="F105" i="6"/>
  <c r="G105" i="6"/>
  <c r="H105" i="6"/>
  <c r="I105" i="6"/>
  <c r="J105" i="6"/>
  <c r="K105" i="6"/>
  <c r="L105" i="6"/>
  <c r="M105" i="6"/>
  <c r="N105" i="6"/>
  <c r="C105" i="6"/>
  <c r="N104" i="4"/>
  <c r="L104" i="4"/>
  <c r="M122" i="4"/>
  <c r="M123" i="4"/>
  <c r="K122" i="4"/>
  <c r="K123" i="4"/>
  <c r="J122" i="4"/>
  <c r="J123" i="4"/>
  <c r="I122" i="4"/>
  <c r="I123" i="4"/>
  <c r="H122" i="4"/>
  <c r="H123" i="4"/>
  <c r="G122" i="4"/>
  <c r="G123" i="4"/>
  <c r="D122" i="4"/>
  <c r="D123" i="4"/>
  <c r="C122" i="4"/>
  <c r="C123" i="4"/>
  <c r="M104" i="4"/>
  <c r="K104" i="4"/>
  <c r="J104" i="4"/>
  <c r="I104" i="4"/>
  <c r="H104" i="4"/>
  <c r="G104" i="4"/>
  <c r="D104" i="4"/>
  <c r="C104" i="4"/>
  <c r="C183" i="2"/>
  <c r="F183" i="2"/>
  <c r="G183" i="2"/>
  <c r="H183" i="2"/>
  <c r="I183" i="2"/>
  <c r="F184" i="2"/>
  <c r="G184" i="2"/>
  <c r="H184" i="2"/>
  <c r="I184" i="2"/>
  <c r="C184" i="2"/>
  <c r="F182" i="2"/>
  <c r="G182" i="2"/>
  <c r="H182" i="2"/>
  <c r="I182" i="2"/>
  <c r="C182" i="2"/>
  <c r="F181" i="2"/>
  <c r="G181" i="2"/>
  <c r="H181" i="2"/>
  <c r="I181" i="2"/>
  <c r="C181" i="2"/>
  <c r="C180" i="2"/>
  <c r="F180" i="2"/>
  <c r="G180" i="2"/>
  <c r="H180" i="2"/>
  <c r="I180" i="2"/>
  <c r="F179" i="2"/>
  <c r="G179" i="2"/>
  <c r="H179" i="2"/>
  <c r="I179" i="2"/>
  <c r="C179" i="2"/>
  <c r="F177" i="2"/>
  <c r="G177" i="2"/>
  <c r="H177" i="2"/>
  <c r="I177" i="2"/>
  <c r="C177" i="2"/>
  <c r="F175" i="2"/>
  <c r="G175" i="2"/>
  <c r="H175" i="2"/>
  <c r="I175" i="2"/>
  <c r="F176" i="2"/>
  <c r="G176" i="2"/>
  <c r="H176" i="2"/>
  <c r="I176" i="2"/>
  <c r="C176" i="2"/>
  <c r="C175" i="2"/>
  <c r="F174" i="2"/>
  <c r="G174" i="2"/>
  <c r="H174" i="2"/>
  <c r="I174" i="2"/>
  <c r="C174" i="2"/>
  <c r="F173" i="2"/>
  <c r="G173" i="2"/>
  <c r="H173" i="2"/>
  <c r="I173" i="2"/>
  <c r="C173" i="2"/>
  <c r="F172" i="2"/>
  <c r="G172" i="2"/>
  <c r="H172" i="2"/>
  <c r="I172" i="2"/>
  <c r="C172" i="2"/>
  <c r="F169" i="2"/>
  <c r="G169" i="2"/>
  <c r="H169" i="2"/>
  <c r="I169" i="2"/>
  <c r="F170" i="2"/>
  <c r="G170" i="2"/>
  <c r="H170" i="2"/>
  <c r="I170" i="2"/>
  <c r="C170" i="2"/>
  <c r="C169" i="2"/>
  <c r="F168" i="2"/>
  <c r="G168" i="2"/>
  <c r="H168" i="2"/>
  <c r="I168" i="2"/>
  <c r="C168" i="2"/>
  <c r="F167" i="2"/>
  <c r="G167" i="2"/>
  <c r="H167" i="2"/>
  <c r="I167" i="2"/>
  <c r="C167" i="2"/>
  <c r="C166" i="2"/>
  <c r="F166" i="2"/>
  <c r="G166" i="2"/>
  <c r="H166" i="2"/>
  <c r="I166" i="2"/>
  <c r="C165" i="2"/>
  <c r="F165" i="2"/>
  <c r="G165" i="2"/>
  <c r="H165" i="2"/>
  <c r="I165" i="2"/>
  <c r="F163" i="2"/>
  <c r="G163" i="2"/>
  <c r="H163" i="2"/>
  <c r="I163" i="2"/>
  <c r="C163" i="2"/>
  <c r="F162" i="2"/>
  <c r="G162" i="2"/>
  <c r="H162" i="2"/>
  <c r="I162" i="2"/>
  <c r="C162" i="2"/>
  <c r="F161" i="2"/>
  <c r="G161" i="2"/>
  <c r="H161" i="2"/>
  <c r="I161" i="2"/>
  <c r="C161" i="2"/>
  <c r="D142" i="3"/>
  <c r="E142" i="3"/>
  <c r="G142" i="3"/>
  <c r="G131" i="3"/>
  <c r="E131" i="3"/>
  <c r="D131" i="3"/>
  <c r="D130" i="3"/>
  <c r="E130" i="3"/>
  <c r="G130" i="3"/>
  <c r="D43" i="3"/>
  <c r="E43" i="3"/>
  <c r="G43" i="3"/>
  <c r="D42" i="3"/>
  <c r="E42" i="3"/>
  <c r="G42" i="3"/>
  <c r="D37" i="3"/>
  <c r="E37" i="3"/>
  <c r="G37" i="3"/>
  <c r="D38" i="3"/>
  <c r="E38" i="3"/>
  <c r="G38" i="3"/>
  <c r="D39" i="3"/>
  <c r="E39" i="3"/>
  <c r="G39" i="3"/>
  <c r="D30" i="3"/>
  <c r="E30" i="3"/>
  <c r="G30" i="3"/>
  <c r="D31" i="3"/>
  <c r="E31" i="3"/>
  <c r="G31" i="3"/>
  <c r="D32" i="3"/>
  <c r="E32" i="3"/>
  <c r="G32" i="3"/>
  <c r="D33" i="3"/>
  <c r="E33" i="3"/>
  <c r="G33" i="3"/>
  <c r="D95" i="3"/>
  <c r="E95" i="3"/>
  <c r="G95" i="3"/>
  <c r="D94" i="3"/>
  <c r="E94" i="3"/>
  <c r="G94" i="3"/>
  <c r="D93" i="3"/>
  <c r="E93" i="3"/>
  <c r="G93" i="3"/>
  <c r="D92" i="3"/>
  <c r="E92" i="3"/>
  <c r="G92" i="3"/>
  <c r="D91" i="3"/>
  <c r="E91" i="3"/>
  <c r="G91" i="3"/>
  <c r="D90" i="3"/>
  <c r="E90" i="3"/>
  <c r="G90" i="3"/>
  <c r="D89" i="3"/>
  <c r="E89" i="3"/>
  <c r="G89" i="3"/>
  <c r="D87" i="3"/>
  <c r="E87" i="3"/>
  <c r="G87" i="3"/>
  <c r="D86" i="3"/>
  <c r="E86" i="3"/>
  <c r="G86" i="3"/>
  <c r="D85" i="3"/>
  <c r="E85" i="3"/>
  <c r="G85" i="3"/>
  <c r="E84" i="3"/>
  <c r="G84" i="3"/>
  <c r="E83" i="3"/>
  <c r="G83" i="3"/>
  <c r="D81" i="3"/>
  <c r="E81" i="3"/>
  <c r="G81" i="3"/>
  <c r="D80" i="3"/>
  <c r="E80" i="3"/>
  <c r="G80" i="3"/>
  <c r="D79" i="3"/>
  <c r="E79" i="3"/>
  <c r="G79" i="3"/>
  <c r="D75" i="3"/>
  <c r="E75" i="3"/>
  <c r="G75" i="3"/>
  <c r="D74" i="3"/>
  <c r="E74" i="3"/>
  <c r="G74" i="3"/>
  <c r="D73" i="3"/>
  <c r="E73" i="3"/>
  <c r="G73" i="3"/>
  <c r="D72" i="3"/>
  <c r="E72" i="3"/>
  <c r="G72" i="3"/>
  <c r="D71" i="3"/>
  <c r="E71" i="3"/>
  <c r="G71" i="3"/>
  <c r="D70" i="3"/>
  <c r="E70" i="3"/>
  <c r="G70" i="3"/>
  <c r="D69" i="3"/>
  <c r="E69" i="3"/>
  <c r="G69" i="3"/>
  <c r="D68" i="3"/>
  <c r="E68" i="3"/>
  <c r="G68" i="3"/>
  <c r="D67" i="3"/>
  <c r="E67" i="3"/>
  <c r="G67" i="3"/>
  <c r="D66" i="3"/>
  <c r="E66" i="3"/>
  <c r="G66" i="3"/>
  <c r="D65" i="3"/>
  <c r="E65" i="3"/>
  <c r="G65" i="3"/>
  <c r="D56" i="3"/>
  <c r="E56" i="3"/>
  <c r="G56" i="3"/>
  <c r="D55" i="3"/>
  <c r="E55" i="3"/>
  <c r="G55" i="3"/>
  <c r="D53" i="3"/>
  <c r="E53" i="3"/>
  <c r="G53" i="3"/>
  <c r="D52" i="3"/>
  <c r="E52" i="3"/>
  <c r="G52" i="3"/>
  <c r="D51" i="3"/>
  <c r="E51" i="3"/>
  <c r="G51" i="3"/>
  <c r="D48" i="3"/>
  <c r="E48" i="3"/>
  <c r="G48" i="3"/>
  <c r="D47" i="3"/>
  <c r="E47" i="3"/>
  <c r="G47" i="3"/>
  <c r="D22" i="3"/>
  <c r="E22" i="3"/>
  <c r="G22" i="3"/>
  <c r="D21" i="3"/>
  <c r="E21" i="3"/>
  <c r="G21" i="3"/>
  <c r="D20" i="3"/>
  <c r="E20" i="3"/>
  <c r="G20" i="3"/>
  <c r="E19" i="3"/>
  <c r="G19" i="3"/>
  <c r="D18" i="3"/>
  <c r="E18" i="3"/>
  <c r="G18" i="3"/>
  <c r="D17" i="3"/>
  <c r="E17" i="3"/>
  <c r="G17" i="3"/>
  <c r="D16" i="3"/>
  <c r="E16" i="3"/>
  <c r="G16" i="3"/>
  <c r="D15" i="3"/>
  <c r="E15" i="3"/>
  <c r="G15" i="3"/>
  <c r="D14" i="3"/>
  <c r="E14" i="3"/>
  <c r="G14" i="3"/>
  <c r="D12" i="3"/>
  <c r="E12" i="3"/>
  <c r="G12" i="3"/>
  <c r="D10" i="3"/>
  <c r="E10" i="3"/>
  <c r="G10" i="3"/>
  <c r="D9" i="3"/>
  <c r="E9" i="3"/>
  <c r="G9" i="3"/>
  <c r="D8" i="3"/>
  <c r="E8" i="3"/>
  <c r="G8" i="3"/>
  <c r="D6" i="3"/>
  <c r="E6" i="3"/>
  <c r="G6" i="3"/>
  <c r="D5" i="3"/>
  <c r="E5" i="3"/>
  <c r="G5" i="3"/>
  <c r="C158" i="2"/>
  <c r="F158" i="2"/>
  <c r="I158" i="2"/>
  <c r="G158" i="2"/>
  <c r="H158" i="2"/>
  <c r="C157" i="2"/>
  <c r="F157" i="2"/>
  <c r="I157" i="2"/>
  <c r="G157" i="2"/>
  <c r="H157" i="2"/>
  <c r="C156" i="2"/>
  <c r="F156" i="2"/>
  <c r="I156" i="2"/>
  <c r="G156" i="2"/>
  <c r="H156" i="2"/>
  <c r="C155" i="2"/>
  <c r="F155" i="2"/>
  <c r="I155" i="2"/>
  <c r="G155" i="2"/>
  <c r="H155" i="2"/>
  <c r="C154" i="2"/>
  <c r="F154" i="2"/>
  <c r="I154" i="2"/>
  <c r="G154" i="2"/>
  <c r="H154" i="2"/>
  <c r="C152" i="2"/>
  <c r="F152" i="2"/>
  <c r="I152" i="2"/>
  <c r="G152" i="2"/>
  <c r="H152" i="2"/>
  <c r="C151" i="2"/>
  <c r="F151" i="2"/>
  <c r="I151" i="2"/>
  <c r="G151" i="2"/>
  <c r="H151" i="2"/>
  <c r="C150" i="2"/>
  <c r="F150" i="2"/>
  <c r="I150" i="2"/>
  <c r="G150" i="2"/>
  <c r="H150" i="2"/>
  <c r="C149" i="2"/>
  <c r="F149" i="2"/>
  <c r="I149" i="2"/>
  <c r="G149" i="2"/>
  <c r="H149" i="2"/>
  <c r="C148" i="2"/>
  <c r="F148" i="2"/>
  <c r="I148" i="2"/>
  <c r="G148" i="2"/>
  <c r="H148" i="2"/>
  <c r="C147" i="2"/>
  <c r="F147" i="2"/>
  <c r="I147" i="2"/>
  <c r="G147" i="2"/>
  <c r="H147" i="2"/>
  <c r="C144" i="2"/>
  <c r="F144" i="2"/>
  <c r="I144" i="2"/>
  <c r="G144" i="2"/>
  <c r="H144" i="2"/>
  <c r="C143" i="2"/>
  <c r="F143" i="2"/>
  <c r="I143" i="2"/>
  <c r="G143" i="2"/>
  <c r="H143" i="2"/>
  <c r="C142" i="2"/>
  <c r="F142" i="2"/>
  <c r="I142" i="2"/>
  <c r="G142" i="2"/>
  <c r="H142" i="2"/>
  <c r="C141" i="2"/>
  <c r="F141" i="2"/>
  <c r="I141" i="2"/>
  <c r="G141" i="2"/>
  <c r="H141" i="2"/>
  <c r="C139" i="2"/>
  <c r="F139" i="2"/>
  <c r="I139" i="2"/>
  <c r="G139" i="2"/>
  <c r="H139" i="2"/>
  <c r="C138" i="2"/>
  <c r="F138" i="2"/>
  <c r="I138" i="2"/>
  <c r="G138" i="2"/>
  <c r="H138" i="2"/>
  <c r="C137" i="2"/>
  <c r="F137" i="2"/>
  <c r="I137" i="2"/>
  <c r="G137" i="2"/>
  <c r="H137" i="2"/>
  <c r="C136" i="2"/>
  <c r="F136" i="2"/>
  <c r="I136" i="2"/>
  <c r="G136" i="2"/>
  <c r="H136" i="2"/>
  <c r="C135" i="2"/>
  <c r="F135" i="2"/>
  <c r="I135" i="2"/>
  <c r="G135" i="2"/>
  <c r="H135" i="2"/>
  <c r="C132" i="2"/>
  <c r="F132" i="2"/>
  <c r="I132" i="2"/>
  <c r="G132" i="2"/>
  <c r="H132" i="2"/>
  <c r="C131" i="2"/>
  <c r="F131" i="2"/>
  <c r="I131" i="2"/>
  <c r="G131" i="2"/>
  <c r="H131" i="2"/>
  <c r="C130" i="2"/>
  <c r="F130" i="2"/>
  <c r="I130" i="2"/>
  <c r="G130" i="2"/>
  <c r="H130" i="2"/>
  <c r="C129" i="2"/>
  <c r="F129" i="2"/>
  <c r="I129" i="2"/>
  <c r="G129" i="2"/>
  <c r="H129" i="2"/>
  <c r="C128" i="2"/>
  <c r="F128" i="2"/>
  <c r="I128" i="2"/>
  <c r="G128" i="2"/>
  <c r="H128" i="2"/>
  <c r="C127" i="2"/>
  <c r="F127" i="2"/>
  <c r="I127" i="2"/>
  <c r="G127" i="2"/>
  <c r="H127" i="2"/>
  <c r="C126" i="2"/>
  <c r="F126" i="2"/>
  <c r="I126" i="2"/>
  <c r="G126" i="2"/>
  <c r="H126" i="2"/>
  <c r="C124" i="2"/>
  <c r="F124" i="2"/>
  <c r="I124" i="2"/>
  <c r="G124" i="2"/>
  <c r="H124" i="2"/>
  <c r="C123" i="2"/>
  <c r="F123" i="2"/>
  <c r="I123" i="2"/>
  <c r="G123" i="2"/>
  <c r="H123" i="2"/>
  <c r="C122" i="2"/>
  <c r="F122" i="2"/>
  <c r="I122" i="2"/>
  <c r="G122" i="2"/>
  <c r="H122" i="2"/>
  <c r="C121" i="2"/>
  <c r="F121" i="2"/>
  <c r="I121" i="2"/>
  <c r="G121" i="2"/>
  <c r="H121" i="2"/>
  <c r="C120" i="2"/>
  <c r="F120" i="2"/>
  <c r="I120" i="2"/>
  <c r="G120" i="2"/>
  <c r="H120" i="2"/>
  <c r="C119" i="2"/>
  <c r="F119" i="2"/>
  <c r="I119" i="2"/>
  <c r="G119" i="2"/>
  <c r="H119" i="2"/>
  <c r="C118" i="2"/>
  <c r="F118" i="2"/>
  <c r="I118" i="2"/>
  <c r="G118" i="2"/>
  <c r="H118" i="2"/>
  <c r="C117" i="2"/>
  <c r="F117" i="2"/>
  <c r="I117" i="2"/>
  <c r="G117" i="2"/>
  <c r="H117" i="2"/>
  <c r="C116" i="2"/>
  <c r="F116" i="2"/>
  <c r="I116" i="2"/>
  <c r="G116" i="2"/>
  <c r="H116" i="2"/>
  <c r="C113" i="2"/>
  <c r="F113" i="2"/>
  <c r="I113" i="2"/>
  <c r="G113" i="2"/>
  <c r="H113" i="2"/>
  <c r="C112" i="2"/>
  <c r="F112" i="2"/>
  <c r="I112" i="2"/>
  <c r="G112" i="2"/>
  <c r="H112" i="2"/>
  <c r="C111" i="2"/>
  <c r="F111" i="2"/>
  <c r="I111" i="2"/>
  <c r="G111" i="2"/>
  <c r="H111" i="2"/>
  <c r="C110" i="2"/>
  <c r="F110" i="2"/>
  <c r="I110" i="2"/>
  <c r="G110" i="2"/>
  <c r="H110" i="2"/>
  <c r="C109" i="2"/>
  <c r="F109" i="2"/>
  <c r="I109" i="2"/>
  <c r="G109" i="2"/>
  <c r="H109" i="2"/>
  <c r="C108" i="2"/>
  <c r="F108" i="2"/>
  <c r="I108" i="2"/>
  <c r="G108" i="2"/>
  <c r="H108" i="2"/>
  <c r="C107" i="2"/>
  <c r="F107" i="2"/>
  <c r="I107" i="2"/>
  <c r="G107" i="2"/>
  <c r="H107" i="2"/>
  <c r="C106" i="2"/>
  <c r="F106" i="2"/>
  <c r="I106" i="2"/>
  <c r="G106" i="2"/>
  <c r="H106" i="2"/>
  <c r="C105" i="2"/>
  <c r="F105" i="2"/>
  <c r="I105" i="2"/>
  <c r="G105" i="2"/>
  <c r="H105" i="2"/>
  <c r="C104" i="2"/>
  <c r="F104" i="2"/>
  <c r="I104" i="2"/>
  <c r="G104" i="2"/>
  <c r="H104" i="2"/>
  <c r="C103" i="2"/>
  <c r="F103" i="2"/>
  <c r="I103" i="2"/>
  <c r="G103" i="2"/>
  <c r="H103" i="2"/>
  <c r="C102" i="2"/>
  <c r="F102" i="2"/>
  <c r="I102" i="2"/>
  <c r="G102" i="2"/>
  <c r="H102" i="2"/>
  <c r="C101" i="2"/>
  <c r="F101" i="2"/>
  <c r="I101" i="2"/>
  <c r="G101" i="2"/>
  <c r="H101" i="2"/>
  <c r="C99" i="2"/>
  <c r="F99" i="2"/>
  <c r="I99" i="2"/>
  <c r="G99" i="2"/>
  <c r="H99" i="2"/>
  <c r="C98" i="2"/>
  <c r="F98" i="2"/>
  <c r="I98" i="2"/>
  <c r="G98" i="2"/>
  <c r="H98" i="2"/>
  <c r="C97" i="2"/>
  <c r="F97" i="2"/>
  <c r="I97" i="2"/>
  <c r="G97" i="2"/>
  <c r="H97" i="2"/>
  <c r="C96" i="2"/>
  <c r="F96" i="2"/>
  <c r="I96" i="2"/>
  <c r="G96" i="2"/>
  <c r="H96" i="2"/>
  <c r="C95" i="2"/>
  <c r="F95" i="2"/>
  <c r="I95" i="2"/>
  <c r="G95" i="2"/>
  <c r="H95" i="2"/>
  <c r="C92" i="2"/>
  <c r="F92" i="2"/>
  <c r="I92" i="2"/>
  <c r="G92" i="2"/>
  <c r="H92" i="2"/>
  <c r="C91" i="2"/>
  <c r="F91" i="2"/>
  <c r="I91" i="2"/>
  <c r="G91" i="2"/>
  <c r="H91" i="2"/>
  <c r="C90" i="2"/>
  <c r="F90" i="2"/>
  <c r="I90" i="2"/>
  <c r="G90" i="2"/>
  <c r="H90" i="2"/>
  <c r="C89" i="2"/>
  <c r="F89" i="2"/>
  <c r="I89" i="2"/>
  <c r="G89" i="2"/>
  <c r="H89" i="2"/>
  <c r="C88" i="2"/>
  <c r="F88" i="2"/>
  <c r="I88" i="2"/>
  <c r="G88" i="2"/>
  <c r="H88" i="2"/>
  <c r="C87" i="2"/>
  <c r="F87" i="2"/>
  <c r="I87" i="2"/>
  <c r="G87" i="2"/>
  <c r="H87" i="2"/>
  <c r="C86" i="2"/>
  <c r="F86" i="2"/>
  <c r="I86" i="2"/>
  <c r="G86" i="2"/>
  <c r="H86" i="2"/>
  <c r="C85" i="2"/>
  <c r="F85" i="2"/>
  <c r="I85" i="2"/>
  <c r="G85" i="2"/>
  <c r="H85" i="2"/>
  <c r="C84" i="2"/>
  <c r="F84" i="2"/>
  <c r="I84" i="2"/>
  <c r="G84" i="2"/>
  <c r="H84" i="2"/>
  <c r="C83" i="2"/>
  <c r="F83" i="2"/>
  <c r="I83" i="2"/>
  <c r="G83" i="2"/>
  <c r="H83" i="2"/>
  <c r="C82" i="2"/>
  <c r="F82" i="2"/>
  <c r="I82" i="2"/>
  <c r="G82" i="2"/>
  <c r="H82" i="2"/>
  <c r="C81" i="2"/>
  <c r="F81" i="2"/>
  <c r="I81" i="2"/>
  <c r="G81" i="2"/>
  <c r="H81" i="2"/>
  <c r="C79" i="2"/>
  <c r="F79" i="2"/>
  <c r="I79" i="2"/>
  <c r="G79" i="2"/>
  <c r="H79" i="2"/>
  <c r="C78" i="2"/>
  <c r="F78" i="2"/>
  <c r="I78" i="2"/>
  <c r="G78" i="2"/>
  <c r="H78" i="2"/>
  <c r="C77" i="2"/>
  <c r="F77" i="2"/>
  <c r="I77" i="2"/>
  <c r="G77" i="2"/>
  <c r="H77" i="2"/>
  <c r="C76" i="2"/>
  <c r="F76" i="2"/>
  <c r="I76" i="2"/>
  <c r="G76" i="2"/>
  <c r="H76" i="2"/>
  <c r="C75" i="2"/>
  <c r="F75" i="2"/>
  <c r="I75" i="2"/>
  <c r="G75" i="2"/>
  <c r="H75" i="2"/>
  <c r="C74" i="2"/>
  <c r="F74" i="2"/>
  <c r="I74" i="2"/>
  <c r="G74" i="2"/>
  <c r="H74" i="2"/>
  <c r="C73" i="2"/>
  <c r="F73" i="2"/>
  <c r="I73" i="2"/>
  <c r="G73" i="2"/>
  <c r="H73" i="2"/>
  <c r="C70" i="2"/>
  <c r="F70" i="2"/>
  <c r="I70" i="2"/>
  <c r="G70" i="2"/>
  <c r="H70" i="2"/>
  <c r="C69" i="2"/>
  <c r="F69" i="2"/>
  <c r="I69" i="2"/>
  <c r="G69" i="2"/>
  <c r="H69" i="2"/>
  <c r="C68" i="2"/>
  <c r="F68" i="2"/>
  <c r="I68" i="2"/>
  <c r="G68" i="2"/>
  <c r="H68" i="2"/>
  <c r="C67" i="2"/>
  <c r="F67" i="2"/>
  <c r="I67" i="2"/>
  <c r="G67" i="2"/>
  <c r="H67" i="2"/>
  <c r="C66" i="2"/>
  <c r="F66" i="2"/>
  <c r="I66" i="2"/>
  <c r="G66" i="2"/>
  <c r="H66" i="2"/>
  <c r="C65" i="2"/>
  <c r="F65" i="2"/>
  <c r="I65" i="2"/>
  <c r="G65" i="2"/>
  <c r="H65" i="2"/>
  <c r="C64" i="2"/>
  <c r="F64" i="2"/>
  <c r="I64" i="2"/>
  <c r="G64" i="2"/>
  <c r="H64" i="2"/>
  <c r="C63" i="2"/>
  <c r="F63" i="2"/>
  <c r="C62" i="2"/>
  <c r="F62" i="2"/>
  <c r="I62" i="2"/>
  <c r="G62" i="2"/>
  <c r="H62" i="2"/>
  <c r="C60" i="2"/>
  <c r="F60" i="2"/>
  <c r="I60" i="2"/>
  <c r="G60" i="2"/>
  <c r="H60" i="2"/>
  <c r="C59" i="2"/>
  <c r="F59" i="2"/>
  <c r="I59" i="2"/>
  <c r="G59" i="2"/>
  <c r="H59" i="2"/>
  <c r="C58" i="2"/>
  <c r="F58" i="2"/>
  <c r="I58" i="2"/>
  <c r="G58" i="2"/>
  <c r="H58" i="2"/>
  <c r="C57" i="2"/>
  <c r="F57" i="2"/>
  <c r="I57" i="2"/>
  <c r="G57" i="2"/>
  <c r="H57" i="2"/>
  <c r="C56" i="2"/>
  <c r="F56" i="2"/>
  <c r="I56" i="2"/>
  <c r="G56" i="2"/>
  <c r="H56" i="2"/>
  <c r="C55" i="2"/>
  <c r="F55" i="2"/>
  <c r="I55" i="2"/>
  <c r="G55" i="2"/>
  <c r="H55" i="2"/>
  <c r="C54" i="2"/>
  <c r="F54" i="2"/>
  <c r="I54" i="2"/>
  <c r="G54" i="2"/>
  <c r="H54" i="2"/>
  <c r="C53" i="2"/>
  <c r="F53" i="2"/>
  <c r="I53" i="2"/>
  <c r="G53" i="2"/>
  <c r="H53" i="2"/>
  <c r="C50" i="2"/>
  <c r="F50" i="2"/>
  <c r="I50" i="2"/>
  <c r="G50" i="2"/>
  <c r="H50" i="2"/>
  <c r="C49" i="2"/>
  <c r="F49" i="2"/>
  <c r="I49" i="2"/>
  <c r="G49" i="2"/>
  <c r="H49" i="2"/>
  <c r="C48" i="2"/>
  <c r="F48" i="2"/>
  <c r="I48" i="2"/>
  <c r="G48" i="2"/>
  <c r="H48" i="2"/>
  <c r="C47" i="2"/>
  <c r="F47" i="2"/>
  <c r="I47" i="2"/>
  <c r="G47" i="2"/>
  <c r="H47" i="2"/>
  <c r="C46" i="2"/>
  <c r="F46" i="2"/>
  <c r="I46" i="2"/>
  <c r="G46" i="2"/>
  <c r="H46" i="2"/>
  <c r="C45" i="2"/>
  <c r="F45" i="2"/>
  <c r="I45" i="2"/>
  <c r="G45" i="2"/>
  <c r="H45" i="2"/>
  <c r="C44" i="2"/>
  <c r="F44" i="2"/>
  <c r="I44" i="2"/>
  <c r="G44" i="2"/>
  <c r="H44" i="2"/>
  <c r="C43" i="2"/>
  <c r="F43" i="2"/>
  <c r="I43" i="2"/>
  <c r="G43" i="2"/>
  <c r="H43" i="2"/>
  <c r="C42" i="2"/>
  <c r="F42" i="2"/>
  <c r="I42" i="2"/>
  <c r="G42" i="2"/>
  <c r="H42" i="2"/>
  <c r="C41" i="2"/>
  <c r="F41" i="2"/>
  <c r="I41" i="2"/>
  <c r="G41" i="2"/>
  <c r="H41" i="2"/>
  <c r="C40" i="2"/>
  <c r="F40" i="2"/>
  <c r="I40" i="2"/>
  <c r="G40" i="2"/>
  <c r="H40" i="2"/>
  <c r="C39" i="2"/>
  <c r="F39" i="2"/>
  <c r="I39" i="2"/>
  <c r="G39" i="2"/>
  <c r="H39" i="2"/>
  <c r="C38" i="2"/>
  <c r="F38" i="2"/>
  <c r="I38" i="2"/>
  <c r="G38" i="2"/>
  <c r="H38" i="2"/>
  <c r="C36" i="2"/>
  <c r="F36" i="2"/>
  <c r="I36" i="2"/>
  <c r="G36" i="2"/>
  <c r="H36" i="2"/>
  <c r="C35" i="2"/>
  <c r="F35" i="2"/>
  <c r="I35" i="2"/>
  <c r="G35" i="2"/>
  <c r="H35" i="2"/>
  <c r="C34" i="2"/>
  <c r="F34" i="2"/>
  <c r="I34" i="2"/>
  <c r="G34" i="2"/>
  <c r="H34" i="2"/>
  <c r="C33" i="2"/>
  <c r="F33" i="2"/>
  <c r="I33" i="2"/>
  <c r="G33" i="2"/>
  <c r="H33" i="2"/>
  <c r="C32" i="2"/>
  <c r="F32" i="2"/>
  <c r="I32" i="2"/>
  <c r="G32" i="2"/>
  <c r="H32" i="2"/>
  <c r="C31" i="2"/>
  <c r="F31" i="2"/>
  <c r="I31" i="2"/>
  <c r="G31" i="2"/>
  <c r="H31" i="2"/>
  <c r="C30" i="2"/>
  <c r="F30" i="2"/>
  <c r="I30" i="2"/>
  <c r="G30" i="2"/>
  <c r="H30" i="2"/>
  <c r="C29" i="2"/>
  <c r="F29" i="2"/>
  <c r="I29" i="2"/>
  <c r="G29" i="2"/>
  <c r="H29" i="2"/>
  <c r="B28" i="2"/>
  <c r="C28" i="2"/>
  <c r="F28" i="2"/>
  <c r="I28" i="2"/>
  <c r="G28" i="2"/>
  <c r="H28" i="2"/>
  <c r="C27" i="2"/>
  <c r="F27" i="2"/>
  <c r="I27" i="2"/>
  <c r="G27" i="2"/>
  <c r="H27" i="2"/>
  <c r="C24" i="2"/>
  <c r="F24" i="2"/>
  <c r="I24" i="2"/>
  <c r="G24" i="2"/>
  <c r="H24" i="2"/>
  <c r="C23" i="2"/>
  <c r="F23" i="2"/>
  <c r="I23" i="2"/>
  <c r="G23" i="2"/>
  <c r="H23" i="2"/>
  <c r="C22" i="2"/>
  <c r="F22" i="2"/>
  <c r="I22" i="2"/>
  <c r="G22" i="2"/>
  <c r="H22" i="2"/>
  <c r="C21" i="2"/>
  <c r="F21" i="2"/>
  <c r="I21" i="2"/>
  <c r="G21" i="2"/>
  <c r="H21" i="2"/>
  <c r="C20" i="2"/>
  <c r="F20" i="2"/>
  <c r="I20" i="2"/>
  <c r="G20" i="2"/>
  <c r="H20" i="2"/>
  <c r="C19" i="2"/>
  <c r="F19" i="2"/>
  <c r="I19" i="2"/>
  <c r="G19" i="2"/>
  <c r="H19" i="2"/>
  <c r="C18" i="2"/>
  <c r="F18" i="2"/>
  <c r="I18" i="2"/>
  <c r="G18" i="2"/>
  <c r="H18" i="2"/>
  <c r="C17" i="2"/>
  <c r="F17" i="2"/>
  <c r="I17" i="2"/>
  <c r="G17" i="2"/>
  <c r="H17" i="2"/>
  <c r="C16" i="2"/>
  <c r="F16" i="2"/>
  <c r="I16" i="2"/>
  <c r="G16" i="2"/>
  <c r="H16" i="2"/>
  <c r="C14" i="2"/>
  <c r="F14" i="2"/>
  <c r="I14" i="2"/>
  <c r="G14" i="2"/>
  <c r="H14" i="2"/>
  <c r="C13" i="2"/>
  <c r="F13" i="2"/>
  <c r="I13" i="2"/>
  <c r="G13" i="2"/>
  <c r="H13" i="2"/>
  <c r="C12" i="2"/>
  <c r="F12" i="2"/>
  <c r="I12" i="2"/>
  <c r="G12" i="2"/>
  <c r="H12" i="2"/>
  <c r="C11" i="2"/>
  <c r="F11" i="2"/>
  <c r="I11" i="2"/>
  <c r="G11" i="2"/>
  <c r="H11" i="2"/>
  <c r="C10" i="2"/>
  <c r="F10" i="2"/>
  <c r="I10" i="2"/>
  <c r="G10" i="2"/>
  <c r="H10" i="2"/>
  <c r="C9" i="2"/>
  <c r="F9" i="2"/>
  <c r="I9" i="2"/>
  <c r="G9" i="2"/>
  <c r="H9" i="2"/>
  <c r="C8" i="2"/>
  <c r="F8" i="2"/>
  <c r="I8" i="2"/>
  <c r="G8" i="2"/>
  <c r="H8" i="2"/>
  <c r="C7" i="2"/>
  <c r="F7" i="2"/>
  <c r="I7" i="2"/>
  <c r="G7" i="2"/>
  <c r="H7" i="2"/>
  <c r="C6" i="2"/>
  <c r="F6" i="2"/>
  <c r="I6" i="2"/>
  <c r="G6" i="2"/>
  <c r="H6" i="2"/>
  <c r="C5" i="2"/>
  <c r="F5" i="2"/>
  <c r="I5" i="2"/>
  <c r="G5" i="2"/>
  <c r="H5" i="2"/>
</calcChain>
</file>

<file path=xl/sharedStrings.xml><?xml version="1.0" encoding="utf-8"?>
<sst xmlns="http://schemas.openxmlformats.org/spreadsheetml/2006/main" count="2145" uniqueCount="1426">
  <si>
    <t>Brain - soma</t>
  </si>
  <si>
    <t>Brain - neuropil</t>
  </si>
  <si>
    <t>Nerve</t>
  </si>
  <si>
    <t>Glia cells</t>
  </si>
  <si>
    <t>axon terminal</t>
  </si>
  <si>
    <t>postsynaptic density</t>
  </si>
  <si>
    <t>Muscle</t>
  </si>
  <si>
    <t>Omero link</t>
  </si>
  <si>
    <t>RNA</t>
  </si>
  <si>
    <t>Protein</t>
  </si>
  <si>
    <t>protein</t>
  </si>
  <si>
    <t>cytosol</t>
  </si>
  <si>
    <t>nucleus</t>
  </si>
  <si>
    <t>Score =</t>
  </si>
  <si>
    <t>1. eIF1A</t>
  </si>
  <si>
    <t>https://omero1.bioch.ox.ac.uk/figure/file/1914407</t>
  </si>
  <si>
    <t>No signal</t>
  </si>
  <si>
    <t>20151006_eIF1a_p1s2R</t>
  </si>
  <si>
    <t>weak signal</t>
  </si>
  <si>
    <t>20151006_eIF1a_p1s3R</t>
  </si>
  <si>
    <t>strong signal</t>
  </si>
  <si>
    <t>20151006_eIF1a_p3s2R</t>
  </si>
  <si>
    <t>20151006_eIF1a_p3s3R</t>
  </si>
  <si>
    <t>20151006_eIF1a_p2n1</t>
  </si>
  <si>
    <t>d</t>
  </si>
  <si>
    <t>diffuse</t>
  </si>
  <si>
    <t>20151006_eIF1a_p3n1</t>
  </si>
  <si>
    <t>b</t>
  </si>
  <si>
    <t>both</t>
  </si>
  <si>
    <t>20151006_eIF1a_p1vnc1</t>
  </si>
  <si>
    <t>p</t>
  </si>
  <si>
    <t>punctate</t>
  </si>
  <si>
    <t>2. heph</t>
  </si>
  <si>
    <t>negative regulation of oskar mRNA translation; oocyte microtubule cytoskeleton polarization</t>
  </si>
  <si>
    <t>https://omero1.bioch.ox.ac.uk/figure/file/1916515</t>
  </si>
  <si>
    <t>20151006_heph_p1s3R</t>
  </si>
  <si>
    <t>20151006_heph_p1s4R</t>
  </si>
  <si>
    <t>20151006_heph_p2s4L</t>
  </si>
  <si>
    <t>20151006_heph_p3s4R</t>
  </si>
  <si>
    <t>20151006_heph_p2n1</t>
  </si>
  <si>
    <t>20151006_heph_p1vnc1</t>
  </si>
  <si>
    <t>20151006_heph_p3vnc1</t>
  </si>
  <si>
    <t>3. lola</t>
  </si>
  <si>
    <t>transcription factor required for axon growth and guidance</t>
  </si>
  <si>
    <t>https://omero1.bioch.ox.ac.uk/figure/file/1916519</t>
  </si>
  <si>
    <t>20151006_lola_p1s4R</t>
  </si>
  <si>
    <t>20151006_lola_p2s3L</t>
  </si>
  <si>
    <t>20151006_lola_p2s4L</t>
  </si>
  <si>
    <t>20151006_lola_p3s3L</t>
  </si>
  <si>
    <t>20151006_lola_p3n1</t>
  </si>
  <si>
    <t>20151006_lola_p2vnc1</t>
  </si>
  <si>
    <t>20151006_lola_p1vnc1</t>
  </si>
  <si>
    <t>20151006_lola_p1b1</t>
  </si>
  <si>
    <t>4. Sema-2a</t>
  </si>
  <si>
    <t>flight behavior; dendrite guidance; visual behavior; sensory neuron axon guidance; drinking behavior; axon guidance</t>
  </si>
  <si>
    <t>https://omero1.bioch.ox.ac.uk/figure/file/1916523</t>
  </si>
  <si>
    <t>20151006_Sema-2a_p2s2L 2</t>
  </si>
  <si>
    <t>20151006_Sema-2a_p3s2R</t>
  </si>
  <si>
    <t>20151006_Sema-2a_p2s2R</t>
  </si>
  <si>
    <t>20151006_Sema-2a_p3n1</t>
  </si>
  <si>
    <t>20151006_Sema-2a_p2n1</t>
  </si>
  <si>
    <t>20151006_Sema-2a_p2vnc1</t>
  </si>
  <si>
    <t>20151006_Sema-2a_p3b1</t>
  </si>
  <si>
    <t>5. shot</t>
  </si>
  <si>
    <t>axonogenesis</t>
  </si>
  <si>
    <t>actin-binding protein</t>
  </si>
  <si>
    <t>https://omero1.bioch.ox.ac.uk/figure/file/1916525</t>
  </si>
  <si>
    <t>20151006_shot_p1s4R</t>
  </si>
  <si>
    <t>20151006_shot_p2s3L</t>
  </si>
  <si>
    <t>20151006_shot_p3s3L</t>
  </si>
  <si>
    <t>20151006_shot_p3s3R</t>
  </si>
  <si>
    <t>20151006_shot_p3s4L</t>
  </si>
  <si>
    <t>20151006_shot_p2n1</t>
  </si>
  <si>
    <t>20151006_shot_p3n1</t>
  </si>
  <si>
    <t>20151006_shot_p2vnc1</t>
  </si>
  <si>
    <t>6. hth</t>
  </si>
  <si>
    <t>patterning of the embryonic cuticle</t>
  </si>
  <si>
    <t>https://omero1.bioch.ox.ac.uk/figure/file/1916526</t>
  </si>
  <si>
    <t>20151007_hth_p1s4L</t>
  </si>
  <si>
    <t>20151007_hth_p1s4R</t>
  </si>
  <si>
    <t>20151007_hth_p1s5L</t>
  </si>
  <si>
    <t>20151007_hth_p2n1</t>
  </si>
  <si>
    <t>20151007_hth_p2b1</t>
  </si>
  <si>
    <t>7.aop</t>
  </si>
  <si>
    <t>anterior open</t>
  </si>
  <si>
    <t>cell fate commitment; JNK cascade; negative regulation of Wnt signaling pathway; regulation of cell adhesion</t>
  </si>
  <si>
    <t>https://omero1.bioch.ox.ac.uk/figure/file/1916535</t>
  </si>
  <si>
    <t>20151008_aop_p1s3L</t>
  </si>
  <si>
    <t>20151008_aop_p1s3R</t>
  </si>
  <si>
    <t>20151008_aop_p2s2R</t>
  </si>
  <si>
    <t>20151008_aop_p2s3R</t>
  </si>
  <si>
    <t>20151008_aop_p2n1</t>
  </si>
  <si>
    <t>20151008_aop_p2vnc1</t>
  </si>
  <si>
    <t>20151008_aop_p3b1</t>
  </si>
  <si>
    <t>8. dally</t>
  </si>
  <si>
    <t>heparan sulfate proteoglycan binding</t>
  </si>
  <si>
    <t>cell division patterning during post-embryonic development of the nervous system</t>
  </si>
  <si>
    <t>https://omero1.bioch.ox.ac.uk/figure/file/1917113</t>
  </si>
  <si>
    <t>20151008_dally_p1s3L</t>
  </si>
  <si>
    <t>20151008_dally_p2s3L</t>
  </si>
  <si>
    <t>20151008_dally_p1s4R</t>
  </si>
  <si>
    <t>20151008_dally_p2n1</t>
  </si>
  <si>
    <t>20151008_dally_p1n1</t>
  </si>
  <si>
    <t>9.Myo10A</t>
  </si>
  <si>
    <t>https://omero1.bioch.ox.ac.uk/figure/file/1917116</t>
  </si>
  <si>
    <t>20151008_Myo10A_p1s4L</t>
  </si>
  <si>
    <t>20151008_Myo10A_p2s4L</t>
  </si>
  <si>
    <t>20151008_Myo10A_p3s3L</t>
  </si>
  <si>
    <t>20151008_Myo10A_p3vnc</t>
  </si>
  <si>
    <t>20151008_Myo10A_p1b1</t>
  </si>
  <si>
    <t>10. nej</t>
  </si>
  <si>
    <t>p300/CBP</t>
  </si>
  <si>
    <t>cAMP response element binding protein binding; histone acetyltransferase activity (H3-K27 specific)</t>
  </si>
  <si>
    <t>https://omero1.bioch.ox.ac.uk/figure/file/1917119</t>
  </si>
  <si>
    <t>20151008_nej_p1s2L</t>
  </si>
  <si>
    <t>20151008_nej_p1s2R</t>
  </si>
  <si>
    <t>20151008_nej_p2s3L</t>
  </si>
  <si>
    <t>20151008_nej_p2s3R</t>
  </si>
  <si>
    <t>20151008_nej_p3s2R</t>
  </si>
  <si>
    <t>20151008_nej_p3s4L</t>
  </si>
  <si>
    <t>20151008_nej_p3vnc1</t>
  </si>
  <si>
    <t>20151008_nej_p3n1</t>
  </si>
  <si>
    <t>20151008_nej_p1vnc1</t>
  </si>
  <si>
    <t>20151008_nej_p2vnc1</t>
  </si>
  <si>
    <t>20151008_nej_p3b1</t>
  </si>
  <si>
    <t>20151008_nej_p1b1</t>
  </si>
  <si>
    <t>11. sgg</t>
  </si>
  <si>
    <t>GSK3</t>
  </si>
  <si>
    <t>shaggy</t>
  </si>
  <si>
    <t>protein serine/threonine kinase activity</t>
  </si>
  <si>
    <t>https://omero1.bioch.ox.ac.uk/figure/file/1917123</t>
  </si>
  <si>
    <t>20151008_sgg_p1s3L</t>
  </si>
  <si>
    <t>20151008_sgg_p1s3R</t>
  </si>
  <si>
    <t>20151008_sgg_p2s3R</t>
  </si>
  <si>
    <t>20151008_sgg_p1vnc1</t>
  </si>
  <si>
    <t>20151008_sgg_p3n1</t>
  </si>
  <si>
    <t>20151008_sgg_p2n1</t>
  </si>
  <si>
    <t>20151008_sgg_p3b1</t>
  </si>
  <si>
    <t>12. N</t>
  </si>
  <si>
    <t>https://omero1.bioch.ox.ac.uk/figure/file/1916529</t>
  </si>
  <si>
    <t>20151007_N_p1s3R</t>
  </si>
  <si>
    <t>20151007_N_p3s3R</t>
  </si>
  <si>
    <t>20151007_N_p1s3L</t>
  </si>
  <si>
    <t>20151007_N_p2s3R</t>
  </si>
  <si>
    <t>20151007_N_p2s4R</t>
  </si>
  <si>
    <t>20151007_N_p1n1</t>
  </si>
  <si>
    <t>20151007_N_p3n1</t>
  </si>
  <si>
    <t>20151007_N_p1vnc1</t>
  </si>
  <si>
    <t>20151007_N_p2b1</t>
  </si>
  <si>
    <t>13. Rab11</t>
  </si>
  <si>
    <t>https://omero1.bioch.ox.ac.uk/figure/file/1916531</t>
  </si>
  <si>
    <t>20151007_Rab11_p1s2L</t>
  </si>
  <si>
    <t>20151007_Rab11_p1s2R</t>
  </si>
  <si>
    <t>20151007_Rab11_p2s2R</t>
  </si>
  <si>
    <t>20151007_Rab11_p2s3R</t>
  </si>
  <si>
    <t>20151007_Rab11_p1vnc1</t>
  </si>
  <si>
    <t>20151007_Rab11_p2n1</t>
  </si>
  <si>
    <t>20151007_Rab11_p1b1</t>
  </si>
  <si>
    <t>14. Tm1</t>
  </si>
  <si>
    <t>Tropomyosin</t>
  </si>
  <si>
    <t>regulation of lamellipodium assembly; dendrite morphogenesis; oogenesis; pole plasm oskar mRNA localization; muscle contraction</t>
  </si>
  <si>
    <t>https://omero1.bioch.ox.ac.uk/figure/file/1916532</t>
  </si>
  <si>
    <t>20151007_Tm1_p2s3L</t>
  </si>
  <si>
    <t>20151007_Tm1_p2s3R</t>
  </si>
  <si>
    <t>20151007_Tm1_p2s4R</t>
  </si>
  <si>
    <t>20151007_Tm1_p3s3L</t>
  </si>
  <si>
    <t>20151007_Tm1_p3s3R</t>
  </si>
  <si>
    <t>20151007_Tm1_p2b1</t>
  </si>
  <si>
    <t>15.pum</t>
  </si>
  <si>
    <t>Sequence-specific RNA-binding protein that acts as a post-transcriptional repressor by binding the 3'-UTR of mRNA targets</t>
  </si>
  <si>
    <t>https://omero1.bioch.ox.ac.uk/figure/file/1919226</t>
  </si>
  <si>
    <t>20151014_pum_p1s4L</t>
  </si>
  <si>
    <t>20151014_pum_p1s4R</t>
  </si>
  <si>
    <t>20151014_pum_p3s4R</t>
  </si>
  <si>
    <t>20151014_pum_p3s5R</t>
  </si>
  <si>
    <t>20151002_pum_p3n1</t>
  </si>
  <si>
    <t>20151014_pum_p3vnc1</t>
  </si>
  <si>
    <t>20151014_pum_p2b1</t>
  </si>
  <si>
    <t>20151014_pum_p3b3</t>
  </si>
  <si>
    <t>20151021_pum_p1s3R</t>
  </si>
  <si>
    <t>https://omero1.bioch.ox.ac.uk/figure/file/1936085</t>
  </si>
  <si>
    <t>20151021_pum_p1s4R</t>
  </si>
  <si>
    <t>20151021_pum_p2s3L</t>
  </si>
  <si>
    <t>20151021_pum_p3s3L</t>
  </si>
  <si>
    <t>20151021_pum_p1vnc1</t>
  </si>
  <si>
    <t>20151021_pum_p1b1</t>
  </si>
  <si>
    <t>16. arm</t>
  </si>
  <si>
    <t>β-catenin</t>
  </si>
  <si>
    <t>regulation of heart induction by canonical Wnt signaling pathway</t>
  </si>
  <si>
    <t>https://omero1.bioch.ox.ac.uk/figure/file/1917111</t>
  </si>
  <si>
    <t>20151008_arm_p2s3R</t>
  </si>
  <si>
    <t>20151008_arm_p2s4R</t>
  </si>
  <si>
    <t>20151008_arm_p2n1</t>
  </si>
  <si>
    <t>20151002_arm_p3b1</t>
  </si>
  <si>
    <t>20151008_arm_p2b1</t>
  </si>
  <si>
    <t>17.Imp</t>
  </si>
  <si>
    <t>IGF-II mRNA-binding protein</t>
  </si>
  <si>
    <t>synaptic growth at neuromuscular junction; positive regulation of axon regeneration</t>
  </si>
  <si>
    <t>20151002_Imp_p2s2L</t>
  </si>
  <si>
    <t>18. mbc</t>
  </si>
  <si>
    <t>myobliast city</t>
  </si>
  <si>
    <t>cytoskeleton organization</t>
  </si>
  <si>
    <t>https://omero1.bioch.ox.ac.uk/figure/file/1917115</t>
  </si>
  <si>
    <t>20151008_mbc_p2s3L</t>
  </si>
  <si>
    <t>20151008_mbc_p2s4R</t>
  </si>
  <si>
    <t>20151008_mbc_p3n1</t>
  </si>
  <si>
    <t>20151008_mbc_p3vnc1</t>
  </si>
  <si>
    <t>19. nmo</t>
  </si>
  <si>
    <t>negative regulation of Wnt signaling pathway</t>
  </si>
  <si>
    <t>proline-directed serine/threonine kinases</t>
  </si>
  <si>
    <t>https://omero1.bioch.ox.ac.uk/figure/file/1917121</t>
  </si>
  <si>
    <t>20151008_nmo_p1s4R</t>
  </si>
  <si>
    <t>20151008_nmo_p2s5R</t>
  </si>
  <si>
    <t>20151008_nmo_p1vnc1</t>
  </si>
  <si>
    <t>20151008_nmo_p3n1</t>
  </si>
  <si>
    <t>20151008_nmo_p1b1</t>
  </si>
  <si>
    <t>20. sm</t>
  </si>
  <si>
    <t>RNA binding</t>
  </si>
  <si>
    <t>hnRNP/hephaestus splicing factor</t>
  </si>
  <si>
    <t>axon guidance</t>
  </si>
  <si>
    <t>https://omero1.bioch.ox.ac.uk/figure/file/1919207</t>
  </si>
  <si>
    <t>20151008_sm_p1s4R</t>
  </si>
  <si>
    <t>20151008_sm_p1s5L</t>
  </si>
  <si>
    <t>20151008_sm_p2s3R</t>
  </si>
  <si>
    <t>20151008_sm_p2s4L</t>
  </si>
  <si>
    <t>20151008_sm_p2s5L</t>
  </si>
  <si>
    <t>20151008_sm_p3s3R</t>
  </si>
  <si>
    <t>20151008_sm_p1n1</t>
  </si>
  <si>
    <t>20151008_sm_p1b1.</t>
  </si>
  <si>
    <t>21. bun</t>
  </si>
  <si>
    <t>bunched</t>
  </si>
  <si>
    <t>Probable transcription factor required for peripheral nervous system morphogenesis, eye development and oogenesis. May be required for the transmission of the dpp signal</t>
  </si>
  <si>
    <t>https://omero1.bioch.ox.ac.uk/figure/file/1918470</t>
  </si>
  <si>
    <t>20151014_bun_p1s4R</t>
  </si>
  <si>
    <t>20151014_bun_p2s3R</t>
  </si>
  <si>
    <t>20151014_bun_p2s4R</t>
  </si>
  <si>
    <t>20151014_bun_p3s4L</t>
  </si>
  <si>
    <t>20151014_bun_p3s4R</t>
  </si>
  <si>
    <t>20151014_bun_p1vnc1</t>
  </si>
  <si>
    <t>20151014_bun_p1b1</t>
  </si>
  <si>
    <t>22. cup</t>
  </si>
  <si>
    <t>Adapter protein, role in localization of transcripts in the oocyte and in young embryos</t>
  </si>
  <si>
    <t>eIF4E-BP</t>
  </si>
  <si>
    <t>https://omero1.bioch.ox.ac.uk/figure/file/1918471</t>
  </si>
  <si>
    <t>20151014_cup_p1s4L</t>
  </si>
  <si>
    <t>20151014_cup_p1s4R</t>
  </si>
  <si>
    <t>20151014_cup_p1s5L</t>
  </si>
  <si>
    <t>20151014_cup_p3s4L</t>
  </si>
  <si>
    <t>20151014_cup_p1s5R</t>
  </si>
  <si>
    <t>20151014_cup_p2s4L</t>
  </si>
  <si>
    <t>20151014_cup_p2vnc1</t>
  </si>
  <si>
    <t>20151014_cup_p2n1</t>
  </si>
  <si>
    <t>20151014_cup_p3b1</t>
  </si>
  <si>
    <t>20151014_cup_p1b1</t>
  </si>
  <si>
    <t>23. Fas3</t>
  </si>
  <si>
    <t>Mediates cell adhesion in a Ca(2+)-independent manner, role in axon outgrowth, guidance and fasciculation of the developing nervous system.</t>
  </si>
  <si>
    <t>https://omero1.bioch.ox.ac.uk/figure/file/1918472</t>
  </si>
  <si>
    <t>20151014_Fas3_p2s3L</t>
  </si>
  <si>
    <t>20151014_Fas3_p2s3R</t>
  </si>
  <si>
    <t>20151014_Fas3_p2s4L</t>
  </si>
  <si>
    <t>20151014_Fas3_p3s3L</t>
  </si>
  <si>
    <t>20151014_Fas3_p3s4R</t>
  </si>
  <si>
    <t>20151014_Fas3_p3n1</t>
  </si>
  <si>
    <t>20151014_Fas3_p2vnc1</t>
  </si>
  <si>
    <t>20151014_Fas3_p3b1</t>
  </si>
  <si>
    <t>24. fax</t>
  </si>
  <si>
    <t>Mediates cell adhesion in a Ca(2+)-independent manner. It plays a role in axon outgrowth, guidance and fasciculation of the developing nervous system.</t>
  </si>
  <si>
    <t>https://omero1.bioch.ox.ac.uk/figure/file/1919165</t>
  </si>
  <si>
    <t>20151014_fax_p2s4R</t>
  </si>
  <si>
    <t>20151014_fax_p2s5R</t>
  </si>
  <si>
    <t>20151014_fax_p3n1</t>
  </si>
  <si>
    <t>20151014_fax_p3vnc1</t>
  </si>
  <si>
    <t>20151014_fax_p2b1</t>
  </si>
  <si>
    <t>25. NetA</t>
  </si>
  <si>
    <t>Netrins control guidance of CNS commissural axons at the midline and peripheral motor axons to their target muscles</t>
  </si>
  <si>
    <t>https://omero1.bioch.ox.ac.uk/figure/file/1919176</t>
  </si>
  <si>
    <t>20151014_NetA_p1s4L</t>
  </si>
  <si>
    <t>20151014_NetA_p3s5R</t>
  </si>
  <si>
    <t>20151014_NetA_p1s4R</t>
  </si>
  <si>
    <t>20151014_NetA_p2s4L</t>
  </si>
  <si>
    <t>20151014_NetA_p2s5R</t>
  </si>
  <si>
    <t>20151014_NetA_p1vnc1</t>
  </si>
  <si>
    <t>20151014_NetA_p2vnc1</t>
  </si>
  <si>
    <t>20151014_NetA_p1b1</t>
  </si>
  <si>
    <t>26. Nrx-IV</t>
  </si>
  <si>
    <t>Neurexin</t>
  </si>
  <si>
    <t>establishment of blood-brain barrier; macromolecule localization; cell-cell junction organization</t>
  </si>
  <si>
    <t>https://omero1.bioch.ox.ac.uk/figure/file/1919222</t>
  </si>
  <si>
    <t>20151014_NrxIV_p1s4R</t>
  </si>
  <si>
    <t>20151014_NrxIV_p3s4L</t>
  </si>
  <si>
    <t>20151014_NrxIV_p3s4</t>
  </si>
  <si>
    <t>20151014_NrxIV_p1vnc1</t>
  </si>
  <si>
    <t>20151014_NrxIV_p3n1</t>
  </si>
  <si>
    <t>20151014_NrxIV_p1n1</t>
  </si>
  <si>
    <t>20151014_NrxIV_p1b1</t>
  </si>
  <si>
    <t>27. OrR</t>
  </si>
  <si>
    <t>https://omero1.bioch.ox.ac.uk/figure/file/1919224</t>
  </si>
  <si>
    <t>20151014_OrR_p1s3L</t>
  </si>
  <si>
    <t>20151014_OrR_p1s4L</t>
  </si>
  <si>
    <t>20151014_OrR_p1s4R</t>
  </si>
  <si>
    <t>20151014_OrR_p2s4L</t>
  </si>
  <si>
    <t>20151014_OrR_p2s4R</t>
  </si>
  <si>
    <t>20151014_OrR_p1n1</t>
  </si>
  <si>
    <t>20151014_OrR_p1vnc1</t>
  </si>
  <si>
    <t>20151014_OrR_p2b1</t>
  </si>
  <si>
    <t>28. cam</t>
  </si>
  <si>
    <t>Calmodulin</t>
  </si>
  <si>
    <t>mediates the control of a large number of enzymes, ion channels and other proteins by Ca(2+)</t>
  </si>
  <si>
    <t>https://omero1.bioch.ox.ac.uk/figure/file/1919228</t>
  </si>
  <si>
    <t>20151015_cam_p1s3R</t>
  </si>
  <si>
    <t>20151015_cam_p1s4R</t>
  </si>
  <si>
    <t>20151015_cam_p2s4L</t>
  </si>
  <si>
    <t>20151015_cam_p2s5L</t>
  </si>
  <si>
    <t>20151015_cam_p2vnc1</t>
  </si>
  <si>
    <t>20151015_cam_p1vnc1</t>
  </si>
  <si>
    <t>20151015_cam_p1b1</t>
  </si>
  <si>
    <t>29. cip4</t>
  </si>
  <si>
    <t>Cdc42-interacting protein 4</t>
  </si>
  <si>
    <t>egulation of synapse organization</t>
  </si>
  <si>
    <t>https://omero1.bioch.ox.ac.uk/figure/file/1919969</t>
  </si>
  <si>
    <t>20151015_cip4_p1s3L</t>
  </si>
  <si>
    <t>20151015_cip4_p2s3R</t>
  </si>
  <si>
    <t>20151015_cip4_p2s4R</t>
  </si>
  <si>
    <t>20151015_cip4_p2s5R</t>
  </si>
  <si>
    <t>20151015_cip4_p1n1</t>
  </si>
  <si>
    <t>20151015_cip4_p3vnc1</t>
  </si>
  <si>
    <t>20151015_cip4_p3b1</t>
  </si>
  <si>
    <t>20151015_cip4_p1b1</t>
  </si>
  <si>
    <t>30. Rpl10Ab</t>
  </si>
  <si>
    <t>Ribosomal protein L10Ab</t>
  </si>
  <si>
    <t>https://omero1.bioch.ox.ac.uk/figure/file/1920127</t>
  </si>
  <si>
    <t>20151015_Rpl10Ab_p1s4L</t>
  </si>
  <si>
    <t>20151015_Rpl10Ab_p2s4R</t>
  </si>
  <si>
    <t>20151015_Rpl10Ab_p2s5R</t>
  </si>
  <si>
    <t>20151015_Rpl10Ab_p2n1</t>
  </si>
  <si>
    <t>20151015_Rpl10Ab_p1b1</t>
  </si>
  <si>
    <t>31. tmod</t>
  </si>
  <si>
    <t>tropomodulin</t>
  </si>
  <si>
    <t>https://omero1.bioch.ox.ac.uk/figure/file/1920129</t>
  </si>
  <si>
    <t>20151015_tmod_p1s4L</t>
  </si>
  <si>
    <t>20151015_tmod_p1s4R</t>
  </si>
  <si>
    <t>20151015_tmod_p3s4L</t>
  </si>
  <si>
    <t>20151015_tmod_p3s4R</t>
  </si>
  <si>
    <t>20151015_tmod_p3vnc1</t>
  </si>
  <si>
    <t>20151015_tmod_p3b1</t>
  </si>
  <si>
    <t>20151015_tmod_p1b1</t>
  </si>
  <si>
    <t>32. arp3</t>
  </si>
  <si>
    <t>Actin-related protein</t>
  </si>
  <si>
    <t>positive regulation of synaptic growth at neuromuscular junction; regulation of Notch signaling pathway</t>
  </si>
  <si>
    <t>https://omero1.bioch.ox.ac.uk/figure/file/1936082</t>
  </si>
  <si>
    <t>20151021_arp3_p1s4L</t>
  </si>
  <si>
    <t>20151021_arp3_p1s4R</t>
  </si>
  <si>
    <t>20151021_arp3_p1s5R</t>
  </si>
  <si>
    <t>20151021_arp3_p2s4L</t>
  </si>
  <si>
    <t>20151021_arp3_p2s4R</t>
  </si>
  <si>
    <t>20151021_arp3_p3s4R</t>
  </si>
  <si>
    <t>20151021_arp3_p2vnc1</t>
  </si>
  <si>
    <t>20151021_arp3_p1vnc1</t>
  </si>
  <si>
    <t>20151021_arp3_p2b1</t>
  </si>
  <si>
    <t>20151021_arp3_p3b1</t>
  </si>
  <si>
    <t>33. brp</t>
  </si>
  <si>
    <t>bruchpilot</t>
  </si>
  <si>
    <t>calcium channel activity.</t>
  </si>
  <si>
    <t>regulation of synaptic plasticity; neuromuscular synaptic transmission; cytoskeletal matrix organization at active zone</t>
  </si>
  <si>
    <t>https://omero1.bioch.ox.ac.uk/figure/file/1936083</t>
  </si>
  <si>
    <t>20151021_brp_p1s3L</t>
  </si>
  <si>
    <t>20151021_brp_p1s4R</t>
  </si>
  <si>
    <t>20151021_brp_p2s4L</t>
  </si>
  <si>
    <t>20151021_brp_p2s4R</t>
  </si>
  <si>
    <t>20151021_brp_p2s5L</t>
  </si>
  <si>
    <t>20151021_brp_p3s3R</t>
  </si>
  <si>
    <t>20151021_brp_p3vnc1</t>
  </si>
  <si>
    <t>20151021_brp_p1vnc1</t>
  </si>
  <si>
    <t>20151021_brp_p2b1</t>
  </si>
  <si>
    <t>20151021_brp_p1b1</t>
  </si>
  <si>
    <t>34. syb</t>
  </si>
  <si>
    <t>Synaptobrevin</t>
  </si>
  <si>
    <t>SNAP receptor activity</t>
  </si>
  <si>
    <t>synaptic vesicle docking; synaptic vesicle transport; neurotransmitter secretion</t>
  </si>
  <si>
    <t>https://omero1.bioch.ox.ac.uk/figure/file/1936086</t>
  </si>
  <si>
    <t>20151021_syb_p1s4R</t>
  </si>
  <si>
    <t>20151021_syb_p2s3L</t>
  </si>
  <si>
    <t>20151021_syb_p3s3R</t>
  </si>
  <si>
    <t>20151021_syb_p3s4L</t>
  </si>
  <si>
    <t>20151021_syb_p3s4R</t>
  </si>
  <si>
    <t>20151021_syb_p2vnc1</t>
  </si>
  <si>
    <t>20151021_syb_p1b1</t>
  </si>
  <si>
    <t>35. syt1</t>
  </si>
  <si>
    <t>Synaptotagmin 1</t>
  </si>
  <si>
    <t>membrane-trafficking proteins</t>
  </si>
  <si>
    <t>role in the membrane interactions during trafficking of synaptic vesicles at the active zone of the synapse</t>
  </si>
  <si>
    <t>https://omero1.bioch.ox.ac.uk/figure/file/1936090</t>
  </si>
  <si>
    <t>20151022_syt1_p1s4R</t>
  </si>
  <si>
    <t>20151022_syt1_p1s5R</t>
  </si>
  <si>
    <t>20151022_syt1_p2s3R</t>
  </si>
  <si>
    <t>20151022_syt1_p2s4R</t>
  </si>
  <si>
    <t>20151022_syt1_p3s4L</t>
  </si>
  <si>
    <t>20151022_syt1_p2vnc1</t>
  </si>
  <si>
    <t>20151022_syt1_p1b1</t>
  </si>
  <si>
    <t>36. Orb</t>
  </si>
  <si>
    <t>oo18 RNA-binding protein</t>
  </si>
  <si>
    <t>intracellular mRNA localization involved in pattern specification process; cellular aromatic compound metabolic process; columnar/cuboidal epithelial cell development; gene expression; germarium-derived oocyte fate determination</t>
  </si>
  <si>
    <t>https://omero1.bioch.ox.ac.uk/figure/file/1936096</t>
  </si>
  <si>
    <t>20151023_orb_p1b1</t>
  </si>
  <si>
    <t>20151023_orb_p1s4L</t>
  </si>
  <si>
    <t>20151023_orb_p1s4R</t>
  </si>
  <si>
    <t>20151023_orb_p1s5R</t>
  </si>
  <si>
    <t>20151023_orb_p1s6R</t>
  </si>
  <si>
    <t>20151023_orb_p2s4L</t>
  </si>
  <si>
    <t>20151023_orb_p2vnc1</t>
  </si>
  <si>
    <t>20151023_orb_p3n1</t>
  </si>
  <si>
    <t>37. pbl</t>
  </si>
  <si>
    <t>pebble</t>
  </si>
  <si>
    <t>negative regulation of canonical Wnt signaling pathway</t>
  </si>
  <si>
    <t>https://omero1.bioch.ox.ac.uk/figure/file/1937413</t>
  </si>
  <si>
    <t>20151023_pbl_p1s3L</t>
  </si>
  <si>
    <t>20151023_pbl_p1s4R</t>
  </si>
  <si>
    <t>20151023_pbl_p1s5R</t>
  </si>
  <si>
    <t>20151023_pbl_p2s3L</t>
  </si>
  <si>
    <t>20151023_pbl_p2s4L</t>
  </si>
  <si>
    <t>20151023_pbl_p2s5L</t>
  </si>
  <si>
    <t>20151023_pbl_p2vnc1</t>
  </si>
  <si>
    <t>20151023_pbl_p1vnc1</t>
  </si>
  <si>
    <t>20151023_pbl_p2b1</t>
  </si>
  <si>
    <t>38. Pk61C</t>
  </si>
  <si>
    <t>Phosphoinositide-dependent kinase 1</t>
  </si>
  <si>
    <t>Inhibits apoptosis. Acts in the insulin receptor transduction pathway which regulates cell growth and organ size,</t>
  </si>
  <si>
    <t>https://omero1.bioch.ox.ac.uk/figure/file/1937415</t>
  </si>
  <si>
    <t>20151023_pk61c_p1s3R</t>
  </si>
  <si>
    <t>20151023_pk61c_p2s5L</t>
  </si>
  <si>
    <t>20151023_pk61c_p3s4R</t>
  </si>
  <si>
    <t>20151023_pk61c_p3s5R</t>
  </si>
  <si>
    <t>20151023_pk61c_p1vnc1</t>
  </si>
  <si>
    <t>20151023_pk61c_p2b1</t>
  </si>
  <si>
    <t>39. Mip130</t>
  </si>
  <si>
    <t>Myb-interacting protein 130</t>
  </si>
  <si>
    <t>mitotic spindle assembly;</t>
  </si>
  <si>
    <t>20151023_mip130_p1s4R</t>
  </si>
  <si>
    <t>20151023_mip130_p2s4R</t>
  </si>
  <si>
    <t>20151023_mip130_p3s4L</t>
  </si>
  <si>
    <t>20151023_mip130_p3s4R</t>
  </si>
  <si>
    <t>20151023_mip130_p2s3L</t>
  </si>
  <si>
    <t>20151023_mip130_p2vnc1</t>
  </si>
  <si>
    <t>20151023_mip130_p1vnc1</t>
  </si>
  <si>
    <t>20151023_mip130_p1b1</t>
  </si>
  <si>
    <t>40. CamKII-LacZ</t>
  </si>
  <si>
    <t>20151113_CamKIILacZ_p1s4L</t>
  </si>
  <si>
    <t>20151113_CamKIILacZ_p1s4R</t>
  </si>
  <si>
    <t>20151113_CamKIILacZ_p1s5R</t>
  </si>
  <si>
    <t>41. dlp-lacZ</t>
  </si>
  <si>
    <t>42. MS2-LacZ</t>
  </si>
  <si>
    <t>43. OK371 (lacZ probes control)</t>
  </si>
  <si>
    <t>44. sdc-lacZ</t>
  </si>
  <si>
    <t>raw integrated density</t>
  </si>
  <si>
    <t>cube volume</t>
  </si>
  <si>
    <t>Total signal fluorescence</t>
  </si>
  <si>
    <t>NMJ volume</t>
  </si>
  <si>
    <t>Background fluorescence</t>
  </si>
  <si>
    <t>NMJ background</t>
  </si>
  <si>
    <t>NMJ signal fluorescence</t>
  </si>
  <si>
    <t>signal fluorescence</t>
  </si>
  <si>
    <t>(gray values)</t>
  </si>
  <si>
    <t>(um^3)</t>
  </si>
  <si>
    <t>(gray values/ um^3)</t>
  </si>
  <si>
    <t>1. Rab11</t>
  </si>
  <si>
    <t>20151029_Rab11_control_p1s4R</t>
  </si>
  <si>
    <t>Group</t>
  </si>
  <si>
    <t>control</t>
  </si>
  <si>
    <t>stimulated</t>
  </si>
  <si>
    <t>20151029_Rab11_control_p3s5R</t>
  </si>
  <si>
    <t>Mean</t>
  </si>
  <si>
    <t>20151029_Rab11_control_p3s4L</t>
  </si>
  <si>
    <t>SD</t>
  </si>
  <si>
    <t>20151029_Rab11_control_p2s4L</t>
  </si>
  <si>
    <t>SEM</t>
  </si>
  <si>
    <t>20151030_Rab11_control_p1s4L</t>
  </si>
  <si>
    <t>N</t>
  </si>
  <si>
    <t>20151030_Rab11_control_p2s3L</t>
  </si>
  <si>
    <t>20151030_Rab11_control_p2s5R</t>
  </si>
  <si>
    <t>p=0.1065</t>
  </si>
  <si>
    <t>20151030_Rab11_control_p3s3R</t>
  </si>
  <si>
    <t>t = 1.7046</t>
  </si>
  <si>
    <t>20151030_Rab11_control_p3s4R</t>
  </si>
  <si>
    <t>20151030_Rab11_control_p3s5R</t>
  </si>
  <si>
    <t>20151029_Rab11_stim_p1s4L</t>
  </si>
  <si>
    <t>20151029_Rab11_stim_p1s3L</t>
  </si>
  <si>
    <t>20151029_Rab11_stim_p2s3R</t>
  </si>
  <si>
    <t>20151030_Rab11_stim_p1s4L</t>
  </si>
  <si>
    <t>20151030_Rab11_stim_p1s4R</t>
  </si>
  <si>
    <t>20151030_Rab11_stim_p2s3L</t>
  </si>
  <si>
    <t>20151030_Rab11_stim_p2s5L</t>
  </si>
  <si>
    <t>20151030_Rab11_stim_p3s3R</t>
  </si>
  <si>
    <t>20151030_Rab11_stim_p3s4R</t>
  </si>
  <si>
    <t>2. sm</t>
  </si>
  <si>
    <t>20151030_sm_control_p1s3R</t>
  </si>
  <si>
    <t>20151030_sm_control_p1s4R</t>
  </si>
  <si>
    <t>20151030_sm_control_p1s5L</t>
  </si>
  <si>
    <t>20151030_sm_control_p2s4R</t>
  </si>
  <si>
    <t>20151111_sm_control_p1s4L</t>
  </si>
  <si>
    <t>20151111_sm_control_p1s5L</t>
  </si>
  <si>
    <t>20151111_sm_control_p1s5R</t>
  </si>
  <si>
    <t>20151111_sm_control_p2s4L</t>
  </si>
  <si>
    <t>20151111_sm_control_p2s4R</t>
  </si>
  <si>
    <t>20151111_sm_control_p2s5L</t>
  </si>
  <si>
    <t>20151022_sm_stim_p2s3R</t>
  </si>
  <si>
    <t>20151030_sm_stim_p1s5L</t>
  </si>
  <si>
    <t>20151030_sm_stim_p1s5R</t>
  </si>
  <si>
    <t>20151030_sm_stim_p2s4R</t>
  </si>
  <si>
    <t>20151111_sm_stim_p1s4R</t>
  </si>
  <si>
    <t>20151111_sm_stim_p1s5L</t>
  </si>
  <si>
    <t>20151111_sm_stim_p1s5R</t>
  </si>
  <si>
    <t>20151111_sm_stim_p2s4L</t>
  </si>
  <si>
    <t>20151111_sm_stim_p2s5L</t>
  </si>
  <si>
    <t>20151111_sm_stim_p2s6L</t>
  </si>
  <si>
    <t>20151111_sm_stim_p3s4L</t>
  </si>
  <si>
    <t>20151111_sm_stim_p3s4R</t>
  </si>
  <si>
    <t>20151111_sm_stim_p3s5R</t>
  </si>
  <si>
    <t>3. Rpl10Ab</t>
  </si>
  <si>
    <t>20151104_Rpl10Ab_control_p2s5R</t>
  </si>
  <si>
    <t>20151104_Rpl10Ab_control_p2s4R</t>
  </si>
  <si>
    <t>20151104_Rpl10Ab_control_p1s6R</t>
  </si>
  <si>
    <t>20151104_Rpl10Ab_control_p1s6L</t>
  </si>
  <si>
    <t>20151104_Rpl10Ab_control_p1s5R</t>
  </si>
  <si>
    <t>20151104_Rpl10Ab_control_p1s5L</t>
  </si>
  <si>
    <t>20151104_Rpl10Ab_control_p1s4L</t>
  </si>
  <si>
    <t>p=0.2115</t>
  </si>
  <si>
    <t>20151104_Rpl10Ab_control_p1s3L</t>
  </si>
  <si>
    <t>t = 1.3092</t>
  </si>
  <si>
    <t>20151104_Rpl10Ab_stim_p1s3L</t>
  </si>
  <si>
    <t>20151104_Rpl10Ab_stim_p1s3R</t>
  </si>
  <si>
    <t>20151104_Rpl10Ab_stim_p1s4L</t>
  </si>
  <si>
    <t>20151104_Rpl10Ab_stim_p1s5L</t>
  </si>
  <si>
    <t>20151104_Rpl10Ab_stim_p2s4L</t>
  </si>
  <si>
    <t>20151104_Rpl10Ab_stim_p2s5L</t>
  </si>
  <si>
    <t>20151104_Rpl10Ab_stim_p3s3R</t>
  </si>
  <si>
    <t>20151104_Rpl10Ab_stim_p3s4R</t>
  </si>
  <si>
    <t>20151104_Rpl10Ab_stim_p3s5R</t>
  </si>
  <si>
    <t>4. Pax</t>
  </si>
  <si>
    <t>20151105_Pax_control_p1s4L</t>
  </si>
  <si>
    <t>20151105_Pax_control_p1s4R</t>
  </si>
  <si>
    <t>20151105_Pax_control_p1s5R</t>
  </si>
  <si>
    <t>20151105_Pax_control_p2s4R</t>
  </si>
  <si>
    <t>20151105_Pax_control_p2s5R</t>
  </si>
  <si>
    <t>20151105_Pax_control_p3s4L</t>
  </si>
  <si>
    <t>20151105_Pax_control_p3s4R</t>
  </si>
  <si>
    <t>20151104_Pax_stim_p1s3R</t>
  </si>
  <si>
    <t>20151104_Pax_stim_p2s4L</t>
  </si>
  <si>
    <t>20151104_Pax_stim_p3s3L</t>
  </si>
  <si>
    <t>20151104_Pax_stim_p3s3R</t>
  </si>
  <si>
    <t>20151104_Pax_stim_p3s5R</t>
  </si>
  <si>
    <t>20151112_Pax_stim_p1s3R</t>
  </si>
  <si>
    <t>20151112_Pax_stim_p1s4R</t>
  </si>
  <si>
    <t>20151112_Pax_stim_p1s5L</t>
  </si>
  <si>
    <t>20151112_Pax_stim_p1s5R</t>
  </si>
  <si>
    <t>20151112_Pax_stim_p2s4L</t>
  </si>
  <si>
    <t>20151112_Pax_stim_p4s5L</t>
  </si>
  <si>
    <t>20151112_Pax_stim_p4s6L</t>
  </si>
  <si>
    <t>5. cam</t>
  </si>
  <si>
    <t>20151112_cam_control_p1s3L</t>
  </si>
  <si>
    <t>20151112_cam_control_p1s3R</t>
  </si>
  <si>
    <t>20151112_cam_control_p1s4L</t>
  </si>
  <si>
    <t>20151112_cam_control_p2s5L</t>
  </si>
  <si>
    <t>20151112_cam_control_p2s5R</t>
  </si>
  <si>
    <t>20151106_cam_stim_p1s4L</t>
  </si>
  <si>
    <t>20151106_cam_stim_p1s4R</t>
  </si>
  <si>
    <t>20151106_cam_stim_p3s5L</t>
  </si>
  <si>
    <t>20151106_cam_stim_p3s6L</t>
  </si>
  <si>
    <t>20151106_cam_stim_p4s3L</t>
  </si>
  <si>
    <t>20151106_cam_stim_p4s3R</t>
  </si>
  <si>
    <t>20151106_cam_stim_p4s4R</t>
  </si>
  <si>
    <t>20151106_cam_stim_p1s4L 2</t>
  </si>
  <si>
    <t>20151106_cam_stim_p1s5L</t>
  </si>
  <si>
    <t>20151106_cam_stim_p2s3R</t>
  </si>
  <si>
    <t>20151106_cam_stim_p3s4L</t>
  </si>
  <si>
    <t>20151106_cam_stim_p3s4R 2</t>
  </si>
  <si>
    <t>20151106_cam_stim_p4s4L</t>
  </si>
  <si>
    <t>6. Arpc1</t>
  </si>
  <si>
    <t>20151103_Arpc1_control_p1s3L</t>
  </si>
  <si>
    <t>20151103_Arpc1_control_p1s3R 2</t>
  </si>
  <si>
    <t>20151103_Arpc1_control_p1s4R</t>
  </si>
  <si>
    <t>20151103_Arpc1_control_p1s5R</t>
  </si>
  <si>
    <t>20151103_Arpc1_control_p2s3R</t>
  </si>
  <si>
    <t>20151103_Arpc1_control_p2s4R.</t>
  </si>
  <si>
    <t>20151103_Arpc1_control_p3s3R</t>
  </si>
  <si>
    <t>p=0.6191</t>
  </si>
  <si>
    <t>20151103_Arpc1_control_p3s4R.</t>
  </si>
  <si>
    <t>t = 0.5084</t>
  </si>
  <si>
    <t>20151103_Arpc1_control_p4s3R</t>
  </si>
  <si>
    <t>df = 14</t>
  </si>
  <si>
    <t>standard error of difference = 5149.949</t>
  </si>
  <si>
    <t>20151103_Arpc1_stim_p1s4R</t>
  </si>
  <si>
    <t>20151103_Arpc1_stim_p2s4L</t>
  </si>
  <si>
    <t>20151103_Arpc1_stim_p2s4R</t>
  </si>
  <si>
    <t>20151103_Arpc1_stim_p2s5L</t>
  </si>
  <si>
    <t>20151103_Arpc1_stim_p3s4R</t>
  </si>
  <si>
    <t>20151103_Arpc1_stim_p4s3R</t>
  </si>
  <si>
    <t>20151103_Arpc1_stim_p4s4R</t>
  </si>
  <si>
    <t>7. cip4</t>
  </si>
  <si>
    <t>20151103_cip4_control_p1s4L</t>
  </si>
  <si>
    <t>20151103_cip4_control_p2s3L</t>
  </si>
  <si>
    <t>20151103_cip4_control_p2s3R</t>
  </si>
  <si>
    <t>20151103_cip4_control_p2s4R</t>
  </si>
  <si>
    <t>20151103_cip4_control_p3s5L</t>
  </si>
  <si>
    <t>20151103_cip4_stim_p2s4R</t>
  </si>
  <si>
    <t>20151103_cip4_stim_p3s4R</t>
  </si>
  <si>
    <t>20151103_cip4_stim_p3s5L</t>
  </si>
  <si>
    <t>20151103_cip4_stim_p3s5R</t>
  </si>
  <si>
    <t>8. eIF1A</t>
  </si>
  <si>
    <t>20151112_eIF1A_control_p2s5R</t>
  </si>
  <si>
    <t>20151112_eIF1A_control_p2s6R</t>
  </si>
  <si>
    <t>20151112_eIF1A_control_p3s5L</t>
  </si>
  <si>
    <t>20151112_eIF1A_control_p3s5R</t>
  </si>
  <si>
    <t>20151112_eIF1A_control_p3s6L</t>
  </si>
  <si>
    <t>20151112_eIF1A_control_p3s6R</t>
  </si>
  <si>
    <t>20151112_eIF1A_stim_p1s4L</t>
  </si>
  <si>
    <t>20151112_eIF1A_stim_p1s5L</t>
  </si>
  <si>
    <t>20151112_eIF1A_stim_p1s6L</t>
  </si>
  <si>
    <t>20151112_eIF1A_stim_p2s4L</t>
  </si>
  <si>
    <t>20151112_eIF1A_stim_p3s4L</t>
  </si>
  <si>
    <t>number</t>
  </si>
  <si>
    <t>ghost volume</t>
  </si>
  <si>
    <t>total signal fluorescence</t>
  </si>
  <si>
    <t>Signal fluorescence</t>
  </si>
  <si>
    <t>1. Rpl10ab</t>
  </si>
  <si>
    <t>p=0.0808</t>
  </si>
  <si>
    <t>t = 1.8934</t>
  </si>
  <si>
    <t>df = 13</t>
  </si>
  <si>
    <t>standard error of difference = 12543.433</t>
  </si>
  <si>
    <t>:(</t>
  </si>
  <si>
    <t>20151106_cam_stim_p5s5L</t>
  </si>
  <si>
    <t>20151106_cam_stim_p6s3R</t>
  </si>
  <si>
    <t>20151106_cam_stim_p7s4L</t>
  </si>
  <si>
    <t>20151106_cam_stim_p7s4R 2</t>
  </si>
  <si>
    <t>20151106_cam_stim_p8s4L</t>
  </si>
  <si>
    <t>p=0.9298</t>
  </si>
  <si>
    <t>t = 0.0900</t>
  </si>
  <si>
    <t>df = 12</t>
  </si>
  <si>
    <t>standard error of difference = 1419.315</t>
  </si>
  <si>
    <t xml:space="preserve"> Group</t>
  </si>
  <si>
    <t xml:space="preserve">  stimulated  </t>
  </si>
  <si>
    <t xml:space="preserve">  control  </t>
  </si>
  <si>
    <t>p=0.6041</t>
  </si>
  <si>
    <t xml:space="preserve"> t = 0.5265</t>
  </si>
  <si>
    <t xml:space="preserve">  df = 21</t>
  </si>
  <si>
    <t>20151113_CamKIILacZ_p1s6L</t>
  </si>
  <si>
    <t>20151113_CamKIILacZ_p1s6R</t>
  </si>
  <si>
    <t>20151113_CamKIILacZ_p2s5L</t>
  </si>
  <si>
    <t>20151113_CamKIILacZ_p1vnc1</t>
  </si>
  <si>
    <t>20151113_CamKIILacZ_p2n1</t>
  </si>
  <si>
    <t>20151113_CamKIILacZ_p3b1</t>
  </si>
  <si>
    <t>20151113_CamKIILacZ_p1b1</t>
  </si>
  <si>
    <t>20151113_dlpLacZ_p1s4L</t>
  </si>
  <si>
    <t>20151113_dlpLacZ_p1s5L</t>
  </si>
  <si>
    <t>20151113_dlpLacZ_p2s5L</t>
  </si>
  <si>
    <t>20151113_dlpLacZ_p2s6L</t>
  </si>
  <si>
    <t>20151113_dlpLacZ_p3s5L</t>
  </si>
  <si>
    <t>20151113_dlpLacZ_p2n1</t>
  </si>
  <si>
    <t>20151113_dlpLacZ_p2n2</t>
  </si>
  <si>
    <t>20151113_dlpLacZ_p1b1</t>
  </si>
  <si>
    <t>20151113_dlpLacZ_p2b1</t>
  </si>
  <si>
    <t>20151113_MS2LacZ_p1s4L</t>
  </si>
  <si>
    <t>20151113_MS2LacZ_p1s4R</t>
  </si>
  <si>
    <t>20151113_MS2LacZ_p1s5R</t>
  </si>
  <si>
    <t>20151113_MS2LacZ_p1s6R</t>
  </si>
  <si>
    <t>20151113_MS2LacZ_p2n1</t>
  </si>
  <si>
    <t>20151113_MS2LacZ_p2vnc1</t>
  </si>
  <si>
    <t>20151113_MS2LacZ_p1b1</t>
  </si>
  <si>
    <t>20151113_MS2LacZ_p2b1</t>
  </si>
  <si>
    <t>20151113_OK371(lacZ probes)_p1s4R</t>
  </si>
  <si>
    <t>20151113_OK371(lacZ probes)_p1s5R</t>
  </si>
  <si>
    <t>20151113_OK371(lacZ probes)_p1s6R</t>
  </si>
  <si>
    <t>20151113_OK371(lacZ probes)_p1s7L</t>
  </si>
  <si>
    <t>20151113_OK371(lacZ probes)_p1s7R</t>
  </si>
  <si>
    <t>20151113_OK371(lacZ probes)_p2s4R</t>
  </si>
  <si>
    <t>20151113_OK371(lacZ probes)_p2s5R</t>
  </si>
  <si>
    <t>20151113_OK371(lacZ probes)_p3s4L</t>
  </si>
  <si>
    <t>20151113_OK371(lacZ probes)_p1n1</t>
  </si>
  <si>
    <t>20151113_OK371(lacZ probes)_p2n1</t>
  </si>
  <si>
    <t>20151113_OK371(lacZ probes)_p1b1</t>
  </si>
  <si>
    <t>20151113_OK371(lacZ probes)_p2b1</t>
  </si>
  <si>
    <t>20151113_sdcLacZ_p1s4L</t>
  </si>
  <si>
    <t>20151113_sdcLacZ_p1s5L</t>
  </si>
  <si>
    <t>20151113_sdcLacZ_p2s4L</t>
  </si>
  <si>
    <t>20151113_sdcLacZ_p2s5L</t>
  </si>
  <si>
    <t>20151113_sdcLacZ_p2s6L</t>
  </si>
  <si>
    <t>20151113_sdcLacZ_p2n1</t>
  </si>
  <si>
    <t>20151113_sdcLacZ_p2b1</t>
  </si>
  <si>
    <t>45. Abl</t>
  </si>
  <si>
    <t>46. mask</t>
  </si>
  <si>
    <t>47. if</t>
  </si>
  <si>
    <t>48. orb2-venus</t>
  </si>
  <si>
    <t>49. pop2</t>
  </si>
  <si>
    <t>50. sema1b</t>
  </si>
  <si>
    <t>3. Pax</t>
  </si>
  <si>
    <t>4. cam</t>
  </si>
  <si>
    <t>5. Arpc1</t>
  </si>
  <si>
    <t>6. cip4</t>
  </si>
  <si>
    <t>7. eIF1A</t>
  </si>
  <si>
    <t>8. Rab11</t>
  </si>
  <si>
    <t>20151118_Abl_p1s4L</t>
  </si>
  <si>
    <t>20151118_Abl_p1s4R</t>
  </si>
  <si>
    <t>20151118_Abl_p3s4L</t>
  </si>
  <si>
    <t>20151118_Abl_p1vnc1</t>
  </si>
  <si>
    <t>20151118_Abl_p1b1</t>
  </si>
  <si>
    <t>20151118_Abl_p2b1</t>
  </si>
  <si>
    <t>20151118_mask_p1s3R</t>
  </si>
  <si>
    <t>20151118_mask_p1s4L</t>
  </si>
  <si>
    <t>20151118_mask_p1s4R</t>
  </si>
  <si>
    <t>20151118_mask_p1s5L</t>
  </si>
  <si>
    <t>20151118_mask_p1s5R</t>
  </si>
  <si>
    <t>51. msk (moleskin)</t>
  </si>
  <si>
    <t>MAPK transport factor to nucleus</t>
  </si>
  <si>
    <t>20151126_msk_p1s4L</t>
  </si>
  <si>
    <t>20151126_msk_p2s3L</t>
  </si>
  <si>
    <t>20151126_msk_p2s4L</t>
  </si>
  <si>
    <t>20151126_msk_p2s4R</t>
  </si>
  <si>
    <t>20151126_msk_p2s5L</t>
  </si>
  <si>
    <t>52. mts</t>
  </si>
  <si>
    <t>20151126_mts_p1s3R 2</t>
  </si>
  <si>
    <t>20151126_mts_p1s4R</t>
  </si>
  <si>
    <t>20151126_mts_p1s5R</t>
  </si>
  <si>
    <t>20151126_mts_p2s3R</t>
  </si>
  <si>
    <t>20151126_mts_p2s4R</t>
  </si>
  <si>
    <t>20151125_Amph_p1s4R</t>
  </si>
  <si>
    <t>20151125_Amph_p1s5R</t>
  </si>
  <si>
    <t>20151125_Amph_p2b1</t>
  </si>
  <si>
    <t>20151125_Amph_p2n1</t>
  </si>
  <si>
    <t>20151125_Amph_p2s3R</t>
  </si>
  <si>
    <t>20151125_Amph_p3s4R</t>
  </si>
  <si>
    <t>20151125_Amph_p3s5R</t>
  </si>
  <si>
    <t>20151125_tsr_p1s3L</t>
  </si>
  <si>
    <t>20151125_tsr_p1s4L</t>
  </si>
  <si>
    <t>20151125_tsr_p2s4L</t>
  </si>
  <si>
    <t>20151125_tsr_p2s4R</t>
  </si>
  <si>
    <t>20151125_tsr_p3s4L</t>
  </si>
  <si>
    <t>PP2A catalytic subunit</t>
  </si>
  <si>
    <t>cofilin, actin-binding protein</t>
  </si>
  <si>
    <t>actin depolymerisation factor</t>
  </si>
  <si>
    <t>54. tsr (twinstar)</t>
  </si>
  <si>
    <t>53. Amph (amphiphysin)</t>
  </si>
  <si>
    <t>phospholipid bidning</t>
  </si>
  <si>
    <t>synaptic vesicle endocytosis and actin localisation</t>
  </si>
  <si>
    <t>http://www.sdbonline.org/sites/fly/cytoskel/amphysn1.htm</t>
  </si>
  <si>
    <t>55. flw</t>
  </si>
  <si>
    <t>56. Lk6</t>
  </si>
  <si>
    <t>57. Mnt</t>
  </si>
  <si>
    <t>58. Ubx</t>
  </si>
  <si>
    <t>59. ed</t>
  </si>
  <si>
    <t>20151203_ed_p1s3R</t>
  </si>
  <si>
    <t>20151203_ed_p1s3L</t>
  </si>
  <si>
    <t>20151203_ed_p1s4R</t>
  </si>
  <si>
    <t>20151203_ed_p2s3L</t>
  </si>
  <si>
    <t>20151203_ed_p3s3R</t>
  </si>
  <si>
    <t>20151203_ed_p3s5R</t>
  </si>
  <si>
    <t>60. kst</t>
  </si>
  <si>
    <t>61. twin</t>
  </si>
  <si>
    <t>20151203_kst_p1s3L</t>
  </si>
  <si>
    <t>20151203_kst_p1s4L</t>
  </si>
  <si>
    <t>20151203_kst_p1s5R</t>
  </si>
  <si>
    <t>20151203_kst_p3s3R 2</t>
  </si>
  <si>
    <t>20151203_kst_p3s4R</t>
  </si>
  <si>
    <t>20151203_twin_p1s4L</t>
  </si>
  <si>
    <t>20151203_twin_p1s5L</t>
  </si>
  <si>
    <t>20151203_twin_p1s5R</t>
  </si>
  <si>
    <t>20151203_twin_p2s3R.</t>
  </si>
  <si>
    <t>20151203_twin_p2s4R</t>
  </si>
  <si>
    <t>20151203_twin_p2s5R</t>
  </si>
  <si>
    <t>20151203_twin_p4s3R</t>
  </si>
  <si>
    <t>20151201_Lk6_p1s4L</t>
  </si>
  <si>
    <t>20151201_Lk6_p1s5L</t>
  </si>
  <si>
    <t>20151201_Lk6_p2s3L</t>
  </si>
  <si>
    <t>20151201_Lk6_p2s3R</t>
  </si>
  <si>
    <t>20151201_Lk6_p2s4L</t>
  </si>
  <si>
    <t>20151201_Lk6_p2s5L</t>
  </si>
  <si>
    <t>20151201_Lk6_p3s4R</t>
  </si>
  <si>
    <t>20151201_flw_p1s3L</t>
  </si>
  <si>
    <t>20151201_flw_p1s3R</t>
  </si>
  <si>
    <t>20151201_flw_p1s4R</t>
  </si>
  <si>
    <t>20151201_flw_p3s5L</t>
  </si>
  <si>
    <t>20151201_flw_p3s5R</t>
  </si>
  <si>
    <t>20151201_flw_p2n1</t>
  </si>
  <si>
    <t>20151201_flw_p3b1</t>
  </si>
  <si>
    <t>20151201_Lk6_p1vnc1</t>
  </si>
  <si>
    <t>20151201_Mnt_p1s3L</t>
  </si>
  <si>
    <t>(v strong protein expression in muscle nucleus)</t>
  </si>
  <si>
    <t>20151201_Mnt_p2s3L</t>
  </si>
  <si>
    <t>20151201_Mnt_p2s3R</t>
  </si>
  <si>
    <t>20151201_Mnt_p2s4L</t>
  </si>
  <si>
    <t>20151201_Mnt_p1n1</t>
  </si>
  <si>
    <t>20151201_Mnt_p2n1</t>
  </si>
  <si>
    <t>20151201_Mnt_p2b1</t>
  </si>
  <si>
    <t>20151201_Ubx_p1s4L</t>
  </si>
  <si>
    <t>20151201_Ubx_p1s4R</t>
  </si>
  <si>
    <t>62. stwl</t>
  </si>
  <si>
    <t>63. Gdh</t>
  </si>
  <si>
    <t>64. nonA</t>
  </si>
  <si>
    <t>20151204_Gdh_p1s3L</t>
  </si>
  <si>
    <t>20151204_Gdh_p1s3R</t>
  </si>
  <si>
    <t>20151204_Gdh_p1n1</t>
  </si>
  <si>
    <t>20151204_Gdh_p1s4L</t>
  </si>
  <si>
    <t>20151204_Gdh_p1s4R</t>
  </si>
  <si>
    <t>20151204_Gdh_p1s5L</t>
  </si>
  <si>
    <t>20151204_Gdh_p2s4R</t>
  </si>
  <si>
    <t>20151204_Gdh_p3s5L</t>
  </si>
  <si>
    <t>20151204_Gdh_p1b1</t>
  </si>
  <si>
    <t>20151204_nonA_p1s3R</t>
  </si>
  <si>
    <t>20151204_nonA_p1s4R</t>
  </si>
  <si>
    <t>protein in nucleus</t>
  </si>
  <si>
    <t>20151204_nonA_p1vnc1</t>
  </si>
  <si>
    <t>20151204_nonA_p2s4L</t>
  </si>
  <si>
    <t>20151204_nonA_p2s5L</t>
  </si>
  <si>
    <t>20151204_nonA_p3s3L</t>
  </si>
  <si>
    <t>20151204_nonA_p3s4L</t>
  </si>
  <si>
    <t>20151204_stwl_p1n1</t>
  </si>
  <si>
    <t>2 (protein)</t>
  </si>
  <si>
    <t>20151204_stwl_p1s3L</t>
  </si>
  <si>
    <t>20151204_stwl_p1s5L</t>
  </si>
  <si>
    <t>20151204_stwl_p1s5R</t>
  </si>
  <si>
    <t>20151204_stwl_p1s6R</t>
  </si>
  <si>
    <t>20151204_stwl_p1vnc1</t>
  </si>
  <si>
    <t>20151204_stwl_p2b1</t>
  </si>
  <si>
    <t>20151204_stwl_p2s3R.</t>
  </si>
  <si>
    <t>20151204_stwl_p2s4R</t>
  </si>
  <si>
    <t>20151203_kst_p1n1</t>
  </si>
  <si>
    <t>20151203_kst_p2b1</t>
  </si>
  <si>
    <t>20151203_twin_p1n1</t>
  </si>
  <si>
    <t>20151203_twin_p3b1</t>
  </si>
  <si>
    <t>20151201_Ubx_p1s5R</t>
  </si>
  <si>
    <t>20151201_Ubx_p2s3R</t>
  </si>
  <si>
    <t>20151201_Ubx_p3s4R</t>
  </si>
  <si>
    <t>20151201_Ubx_p3s5R</t>
  </si>
  <si>
    <t>20151201_Ubx_p1b1</t>
  </si>
  <si>
    <t>20151125_tsr_p1n1</t>
  </si>
  <si>
    <t>2 (glia?)</t>
  </si>
  <si>
    <t>20151125_tsr_p1vnc1</t>
  </si>
  <si>
    <t>20151125_tsr_p3b1</t>
  </si>
  <si>
    <t>9. sgg</t>
  </si>
  <si>
    <t>20151126_sgg_control_p1s3R</t>
  </si>
  <si>
    <t>20151126_sgg_control_p1s4L</t>
  </si>
  <si>
    <t>20151126_sgg_control_p1s4R</t>
  </si>
  <si>
    <t>20151126_sgg_stim_p1s3L</t>
  </si>
  <si>
    <t>20151126_sgg_stim_p2s4R</t>
  </si>
  <si>
    <t>20151126_sgg_stim_p2s5L</t>
  </si>
  <si>
    <t>20151126_sgg_stim_p2s5R</t>
  </si>
  <si>
    <t>20151126_sgg_stim_p3s4L</t>
  </si>
  <si>
    <t>20151126_sgg_stim_p3s5R</t>
  </si>
  <si>
    <t xml:space="preserve">  stimualted  </t>
  </si>
  <si>
    <t>t = 1.7835</t>
  </si>
  <si>
    <t xml:space="preserve">  df = 7</t>
  </si>
  <si>
    <t xml:space="preserve">  standard error of difference = 9444.820 </t>
  </si>
  <si>
    <t>p=0.1177</t>
  </si>
  <si>
    <t>20151209_CG8552_p1s3R</t>
  </si>
  <si>
    <t>65. CG8552</t>
  </si>
  <si>
    <t>20151209_CG8552_p1s4R</t>
  </si>
  <si>
    <t>20151209_CG8552_p1s5L</t>
  </si>
  <si>
    <t>20151209_CG8552_p2n1</t>
  </si>
  <si>
    <t>20151209_CG8552_p2s4L</t>
  </si>
  <si>
    <t>20151209_CG8552_p2s4R</t>
  </si>
  <si>
    <t>20151209_CG8552_p3s4R</t>
  </si>
  <si>
    <t>20151209_CG8552_p2vnc1</t>
  </si>
  <si>
    <t>66. cher</t>
  </si>
  <si>
    <t>20151209_cher_p1s3R</t>
  </si>
  <si>
    <t>20151209_cher_p1s4R</t>
  </si>
  <si>
    <t>20151209_cher_p1s5L</t>
  </si>
  <si>
    <t>20151209_cher_p1s5R</t>
  </si>
  <si>
    <t>20151209_cher_p3s4R</t>
  </si>
  <si>
    <t>20151209_cher_p1n1</t>
  </si>
  <si>
    <t>20151209_cher_p3vnc1</t>
  </si>
  <si>
    <t>67. gish</t>
  </si>
  <si>
    <t>68. Rack1</t>
  </si>
  <si>
    <t>69. SmD3</t>
  </si>
  <si>
    <t>70. tkv</t>
  </si>
  <si>
    <t>71. Top1</t>
  </si>
  <si>
    <t>72. Gli</t>
  </si>
  <si>
    <t>73. Dys</t>
  </si>
  <si>
    <t>74. unk</t>
  </si>
  <si>
    <t>75. Alh</t>
  </si>
  <si>
    <t>76. CG10992</t>
  </si>
  <si>
    <t>20151209_gish_p1s3R</t>
  </si>
  <si>
    <t>20151209_gish_p1s4L</t>
  </si>
  <si>
    <t>20151209_gish_p1s4R</t>
  </si>
  <si>
    <t>20151209_gish_p1s5L</t>
  </si>
  <si>
    <t>20151209_gish_p1s5R</t>
  </si>
  <si>
    <t>20151209_gish_p2s3R</t>
  </si>
  <si>
    <t>20151209_gish_p2s4R</t>
  </si>
  <si>
    <t>20151209_gish_p3s4L</t>
  </si>
  <si>
    <t>20151209_gish_p2n1</t>
  </si>
  <si>
    <t>20151209_gish_p2n2</t>
  </si>
  <si>
    <t>20151209_gish_p2b1</t>
  </si>
  <si>
    <t>20151209_Rack1_p1s3R</t>
  </si>
  <si>
    <t>20151209_Rack1_p1s4L</t>
  </si>
  <si>
    <t>20151209_Rack1_p1s4R</t>
  </si>
  <si>
    <t>20151209_Rack1_p1s5L</t>
  </si>
  <si>
    <t>20151209_Rack1_p2s4L</t>
  </si>
  <si>
    <t>20151209_Rack1_p1b1</t>
  </si>
  <si>
    <t>20151209_Rack1_p1n1</t>
  </si>
  <si>
    <t>20151209_Rack1_p2n1</t>
  </si>
  <si>
    <t>20151210_Alh_p1s3R 2</t>
  </si>
  <si>
    <t>20151210_Alh_p1s4R</t>
  </si>
  <si>
    <t>20151210_Alh_p1s5R</t>
  </si>
  <si>
    <t>20151210_Alh_p2s3R</t>
  </si>
  <si>
    <t>20151210_Alh_p2s4L</t>
  </si>
  <si>
    <t>20151210_Alh_p2s4R</t>
  </si>
  <si>
    <t>20151210_Alh_p1n1</t>
  </si>
  <si>
    <t>20151210_Alh_p2n1</t>
  </si>
  <si>
    <t>20151209_SmD3_p1s3L</t>
  </si>
  <si>
    <t>1 (?)</t>
  </si>
  <si>
    <t>20151209_SmD3_p1s4L</t>
  </si>
  <si>
    <t>20151209_SmD3_p1s5L</t>
  </si>
  <si>
    <t>20151209_SmD3_p2s4L</t>
  </si>
  <si>
    <t>20151209_SmD3_p3s4L</t>
  </si>
  <si>
    <t>20151209_SmD3_p2n1</t>
  </si>
  <si>
    <t>20151209_SmD3_p1n1</t>
  </si>
  <si>
    <t>20151209_SmD3_p1b1</t>
  </si>
  <si>
    <t>20151209_tkv_p1s4L</t>
  </si>
  <si>
    <t>20151209_tkv_p1s4R</t>
  </si>
  <si>
    <t>20151209_tkv_p1s5R</t>
  </si>
  <si>
    <t>20151209_tkv_p2s4R</t>
  </si>
  <si>
    <t>20151209_tkv_p2s5R</t>
  </si>
  <si>
    <t>20151209_tkv_p1n1</t>
  </si>
  <si>
    <t>1 (glia?)</t>
  </si>
  <si>
    <t>20151209_tkv_p2n1</t>
  </si>
  <si>
    <t>20151211_sgg_control_p1s4L</t>
  </si>
  <si>
    <t>20151211_sgg_control_p1s4R</t>
  </si>
  <si>
    <t>20151211_sgg_control_p1s5L</t>
  </si>
  <si>
    <t>20151211_sgg_control_p2s4L</t>
  </si>
  <si>
    <t>20151211_sgg_control_p3s5L</t>
  </si>
  <si>
    <t>20151211_sgg_control_p3s5R</t>
  </si>
  <si>
    <t>20151211_sgg_stim_p1s3L</t>
  </si>
  <si>
    <t>20151211_sgg_stim_p1s4L</t>
  </si>
  <si>
    <t>20151211_sgg_stim_p1s5L</t>
  </si>
  <si>
    <t>20151211_sgg_stim_p2s3L</t>
  </si>
  <si>
    <t>20151211_sgg_stim_p4s4R</t>
  </si>
  <si>
    <t>20151211_sgg_stim_p4s5R</t>
  </si>
  <si>
    <t xml:space="preserve">  Control  </t>
  </si>
  <si>
    <t xml:space="preserve">  Stimulated  </t>
  </si>
  <si>
    <t>20151209_Top1_p1s4L</t>
  </si>
  <si>
    <t>20151209_Top1_p1s5L</t>
  </si>
  <si>
    <t>20151209_Top1_p2s3R</t>
  </si>
  <si>
    <t>20151209_Top1_p2s4R</t>
  </si>
  <si>
    <t>20151209_Top1_p1n1</t>
  </si>
  <si>
    <t>20151210_Gli_p1s4L</t>
  </si>
  <si>
    <t>20151210_Gli_p1s5L</t>
  </si>
  <si>
    <t>20151210_Gli_p2s4L 2</t>
  </si>
  <si>
    <t>20151210_Gli_p2s4L</t>
  </si>
  <si>
    <t>20151210_Gli_p2s4R</t>
  </si>
  <si>
    <t>20151210_Gli_p1n1</t>
  </si>
  <si>
    <t>20151210_Gli_p2b1</t>
  </si>
  <si>
    <t>20151210_Dys_p1s3R</t>
  </si>
  <si>
    <t>20151210_Dys_p1s4L</t>
  </si>
  <si>
    <t>20151210_Dys_p2s4L</t>
  </si>
  <si>
    <t>20151210_Dys_p3s5L</t>
  </si>
  <si>
    <t>20151210_Dys_p1n1</t>
  </si>
  <si>
    <t>20151210_Dys_p1b1</t>
  </si>
  <si>
    <t>20151210_unk_p1s3L</t>
  </si>
  <si>
    <t>20151210_unk_p1s4R</t>
  </si>
  <si>
    <t>20151210_unk_p1s5R</t>
  </si>
  <si>
    <t>20151210_unk_p2s3R</t>
  </si>
  <si>
    <t>20151210_unk_p2s4R</t>
  </si>
  <si>
    <t>20151210_unk_p2s5R</t>
  </si>
  <si>
    <t>20151210_unk_p1n1</t>
  </si>
  <si>
    <t>20151210_CG10992_p1s3R</t>
  </si>
  <si>
    <t>20151210_CG10992_p1s4R</t>
  </si>
  <si>
    <t>20151210_CG10992_p2s3L</t>
  </si>
  <si>
    <t>20151210_CG10992_p2s4L</t>
  </si>
  <si>
    <t>20151210_CG10992_p1b1</t>
  </si>
  <si>
    <t>20151210_CG10992_p2n1</t>
  </si>
  <si>
    <t>77. B4</t>
  </si>
  <si>
    <t>78. Mi-2</t>
  </si>
  <si>
    <t>79. skd</t>
  </si>
  <si>
    <t>80. dp</t>
  </si>
  <si>
    <t>20160115_B4_p1n1_R3D_D3D</t>
  </si>
  <si>
    <t>20160115_B4_p1s3R01_R3D_D3D</t>
  </si>
  <si>
    <t>20160115_B4_p1s4L01_R3D_D3D</t>
  </si>
  <si>
    <t>20160115_B4_p2n1_R3D_D3D</t>
  </si>
  <si>
    <t>20160115_B4_p2s4R01_R3D_D3D</t>
  </si>
  <si>
    <t>20160115_B4_p2s5L01_R3D_D3D</t>
  </si>
  <si>
    <t>20160115_B4_p2vnc1_R3D_D3D</t>
  </si>
  <si>
    <t>20160115_B4_p3s3R01_R3D_D3D</t>
  </si>
  <si>
    <t>20160115_dp_p1b1_R3D_D3D</t>
  </si>
  <si>
    <t>20160115_dp_p1n1_R3D_D3D</t>
  </si>
  <si>
    <t>20160115_dp_p1s3L01_R3D_D3D</t>
  </si>
  <si>
    <t>20160115_dp_p1s3R01_R3D_D3D</t>
  </si>
  <si>
    <t>20160115_dp_p1s4L01_R3D_D3D</t>
  </si>
  <si>
    <t>20160115_dp_p1s5R01_R3D_D3D</t>
  </si>
  <si>
    <t>20160115_dp_p2n1_R3D_D3D</t>
  </si>
  <si>
    <t>20160115_dp_p2s4L01_R3D_D3D</t>
  </si>
  <si>
    <t>20160115_dp_p3s4L01_R3D_D3D</t>
  </si>
  <si>
    <t>20160115_dp_p3vnc1_R3D_D3D</t>
  </si>
  <si>
    <t>20160115_Mi2_p1n1_R3D_D3D</t>
  </si>
  <si>
    <t>20160115_Mi2_p1s3L01_R3D_D3D</t>
  </si>
  <si>
    <t>20160115_Mi2_p1s4R01_R3D_D3D</t>
  </si>
  <si>
    <t>20160115_Mi2_p2b1_R3D_D3D</t>
  </si>
  <si>
    <t>20160115_Mi2_p2n1_R3D_D3D</t>
  </si>
  <si>
    <t>20160115_Mi2_p2s4R01_R3D_D3D</t>
  </si>
  <si>
    <t>20160115_Mi2_p2s5R01_R3D_D3D</t>
  </si>
  <si>
    <t>20160115_Mi2_p2s6R01_R3D_D3D</t>
  </si>
  <si>
    <t>20160115_Mi2_p3s4L01_R3D_D3D</t>
  </si>
  <si>
    <t>20160115_skd_p1s3L01_R3D_D3D</t>
  </si>
  <si>
    <t>20160115_skd_p1s4R01_R3D_D3D</t>
  </si>
  <si>
    <t>20160115_skd_p1s5L01_R3D_D3D</t>
  </si>
  <si>
    <t>20160115_skd_p1s5R01_R3D_D3D</t>
  </si>
  <si>
    <t>20160115_skd_p1s6R01_R3D_D3D</t>
  </si>
  <si>
    <t>20160115_skd_p2b2_R3D_D3D</t>
  </si>
  <si>
    <t>20160115_skd_p2n1_R3D_D3D</t>
  </si>
  <si>
    <t>20160115_skd_p2s4L01_R3D_D3D</t>
  </si>
  <si>
    <t>81. vsg</t>
  </si>
  <si>
    <t>82. Pat1</t>
  </si>
  <si>
    <t>83. Gdi</t>
  </si>
  <si>
    <t>84. GS2</t>
  </si>
  <si>
    <t>85. Vap-33-1</t>
  </si>
  <si>
    <t>86. for</t>
  </si>
  <si>
    <t>20160120_vsg_p1s3L</t>
  </si>
  <si>
    <t>20160120_vsg_p2s3L</t>
  </si>
  <si>
    <t>20160120_vsg_p2s3R</t>
  </si>
  <si>
    <t>20160120_vsg_p2s4L</t>
  </si>
  <si>
    <t>20160120_vsg_p2n1</t>
  </si>
  <si>
    <t>??</t>
  </si>
  <si>
    <t>20160120_vsg_p2n2</t>
  </si>
  <si>
    <t>20160120_vsg_p2b1</t>
  </si>
  <si>
    <t>20160120_Gdi_p1s3L</t>
  </si>
  <si>
    <t>20160120_Gdi_p1s4RL</t>
  </si>
  <si>
    <t>20160120_Gdi_p1s5L</t>
  </si>
  <si>
    <t>20160120_Gdi_p2s4L</t>
  </si>
  <si>
    <t>20160120_Gdi_p2s5L</t>
  </si>
  <si>
    <t>20160120_Gdi_p3s4L</t>
  </si>
  <si>
    <t>20160120_Gdi_p3s5L</t>
  </si>
  <si>
    <t>20160120_Gdi_p1n1</t>
  </si>
  <si>
    <t>20160120_Gdi_p1b1</t>
  </si>
  <si>
    <t>20160120_Pat1_p1s5L</t>
  </si>
  <si>
    <t>20160120_Pat1_p1s6L</t>
  </si>
  <si>
    <t>20160120_Pat1_p2s3R</t>
  </si>
  <si>
    <t>20160120_Pat1_p2s5L</t>
  </si>
  <si>
    <t>20160120_Pat1_p3n1</t>
  </si>
  <si>
    <t>20160120_Pat1_p3s5L</t>
  </si>
  <si>
    <t>20160120_Pat1_p3s5R</t>
  </si>
  <si>
    <t>20160120_Pat1_p2vnc1</t>
  </si>
  <si>
    <t>87. CG7675</t>
  </si>
  <si>
    <t>88. Eip63E</t>
  </si>
  <si>
    <t>89. Gad1</t>
  </si>
  <si>
    <t>90. Map205</t>
  </si>
  <si>
    <t>91. mapmodulin</t>
  </si>
  <si>
    <t>92. sdk</t>
  </si>
  <si>
    <t>93. CG11138</t>
  </si>
  <si>
    <t>94. CG11166</t>
  </si>
  <si>
    <t>strong muscle nuclei protein expression</t>
  </si>
  <si>
    <t>20160120_GS2_p1s4R</t>
  </si>
  <si>
    <t>20160120_GS2_p1s5R</t>
  </si>
  <si>
    <t>20160120_GS2_p1s6L</t>
  </si>
  <si>
    <t>20160120_GS2_p1s6R</t>
  </si>
  <si>
    <t>20160120_GS2_p2n1</t>
  </si>
  <si>
    <t>20160120_GS2_p3b1</t>
  </si>
  <si>
    <t>20160120_GS2_p3s5L</t>
  </si>
  <si>
    <t>20160120_GS2_p3s6L</t>
  </si>
  <si>
    <t>20160120_Vap-33-1_p1n1</t>
  </si>
  <si>
    <t>20160120_Vap-33-1_p1s4L</t>
  </si>
  <si>
    <t>20160120_Vap-33-1_p1s5L</t>
  </si>
  <si>
    <t>20160120_Vap-33-1_p2b1</t>
  </si>
  <si>
    <t>20160120_Vap-33-1_p2n1</t>
  </si>
  <si>
    <t>20160120_Vap-33-1_p2s3L</t>
  </si>
  <si>
    <t>20160120_Vap-33-1_p2s4L</t>
  </si>
  <si>
    <t>20160120_Vap-33-1_p3n1</t>
  </si>
  <si>
    <t>20160120_for_p1n1</t>
  </si>
  <si>
    <t>20160120_for_p1s4L</t>
  </si>
  <si>
    <t>20160120_for_p1s4R</t>
  </si>
  <si>
    <t>20160120_for_p1s5R</t>
  </si>
  <si>
    <t>20160120_for_p2b1</t>
  </si>
  <si>
    <t>20160120_for_p2n1</t>
  </si>
  <si>
    <t>20160120_for_p2s3L</t>
  </si>
  <si>
    <t>20160120_for_p2s4L</t>
  </si>
  <si>
    <t>20160120_for_p3s4L</t>
  </si>
  <si>
    <t>20160120_for_p3vnc1</t>
  </si>
  <si>
    <t>20160203_CG7675_p1n1</t>
  </si>
  <si>
    <t>20160203_CG7675_p1s5L01</t>
  </si>
  <si>
    <t>20160203_CG7675_p2s3L01</t>
  </si>
  <si>
    <t>20160203_CG7675_p3n1</t>
  </si>
  <si>
    <t>20160203_CG7675_p3s5L01</t>
  </si>
  <si>
    <t>20160203_CG7675_p3vnc1</t>
  </si>
  <si>
    <t>20160203_Eip63E_p1n1</t>
  </si>
  <si>
    <t>20160203_Eip63E_p1s3L01</t>
  </si>
  <si>
    <t>20160203_Eip63E_p1s4L01</t>
  </si>
  <si>
    <t>20160203_Eip63E_p2n1</t>
  </si>
  <si>
    <t>20160203_Eip63E_p2s3L01</t>
  </si>
  <si>
    <t>20160203_Eip63E_p2s4L01</t>
  </si>
  <si>
    <t>20160203_Eip63E_p3s4R01</t>
  </si>
  <si>
    <t>20160203_Gad1_p1n1</t>
  </si>
  <si>
    <t>20160203_Gad1_p1s4R01</t>
  </si>
  <si>
    <t>20160203_Gad1_p1s5R01</t>
  </si>
  <si>
    <t>20160203_Gad1_p2s3R01</t>
  </si>
  <si>
    <t>20160203_Gad1_p2s4R01</t>
  </si>
  <si>
    <t>20160203_Gad1_p3n1</t>
  </si>
  <si>
    <t>20160203_Gad1_p3s3R01</t>
  </si>
  <si>
    <t>20160203_Map205_p1n1</t>
  </si>
  <si>
    <t>20160203_Map205_p1s3R01</t>
  </si>
  <si>
    <t>20160203_Map205_p1s4R01</t>
  </si>
  <si>
    <t>20160203_Map205_p1s5L01</t>
  </si>
  <si>
    <t>20160203_Map205_p2n1</t>
  </si>
  <si>
    <t>20160203_Map205_p2s3R01</t>
  </si>
  <si>
    <t>20160203_Map205_p2s4L01</t>
  </si>
  <si>
    <t>20160203_Map205_p2s4R01</t>
  </si>
  <si>
    <t>heph</t>
  </si>
  <si>
    <t>lola</t>
  </si>
  <si>
    <t>Sema-2a</t>
  </si>
  <si>
    <t>shot</t>
  </si>
  <si>
    <t>hth</t>
  </si>
  <si>
    <t>aop</t>
  </si>
  <si>
    <t>dally</t>
  </si>
  <si>
    <t>Myo10A</t>
  </si>
  <si>
    <t>nej</t>
  </si>
  <si>
    <t>sgg</t>
  </si>
  <si>
    <t>Rab11</t>
  </si>
  <si>
    <t>Tm1</t>
  </si>
  <si>
    <t>pum</t>
  </si>
  <si>
    <t>arm</t>
  </si>
  <si>
    <t>Imp</t>
  </si>
  <si>
    <t>mbc</t>
  </si>
  <si>
    <t>nmo</t>
  </si>
  <si>
    <t>sm</t>
  </si>
  <si>
    <t>bun</t>
  </si>
  <si>
    <t>cup</t>
  </si>
  <si>
    <t>Fas3</t>
  </si>
  <si>
    <t>fax</t>
  </si>
  <si>
    <t>NetA</t>
  </si>
  <si>
    <t>Nrx-IV</t>
  </si>
  <si>
    <t>tmod</t>
  </si>
  <si>
    <t>syt1</t>
  </si>
  <si>
    <t>Orb</t>
  </si>
  <si>
    <t>pbl</t>
  </si>
  <si>
    <t>Pk61C</t>
  </si>
  <si>
    <t>Mip130</t>
  </si>
  <si>
    <t>Abl</t>
  </si>
  <si>
    <t>mask</t>
  </si>
  <si>
    <t>if</t>
  </si>
  <si>
    <t>mts</t>
  </si>
  <si>
    <t>Lk6</t>
  </si>
  <si>
    <t>Mnt</t>
  </si>
  <si>
    <t>ed</t>
  </si>
  <si>
    <t>kst</t>
  </si>
  <si>
    <t>twin</t>
  </si>
  <si>
    <t>stwl</t>
  </si>
  <si>
    <t>Gdh</t>
  </si>
  <si>
    <t>nonA</t>
  </si>
  <si>
    <t>CG8552</t>
  </si>
  <si>
    <t>cher</t>
  </si>
  <si>
    <t>gish</t>
  </si>
  <si>
    <t>Rack1</t>
  </si>
  <si>
    <t>SmD3</t>
  </si>
  <si>
    <t>tkv</t>
  </si>
  <si>
    <t>unk</t>
  </si>
  <si>
    <t>Alh</t>
  </si>
  <si>
    <t>CG10992</t>
  </si>
  <si>
    <t>B4</t>
  </si>
  <si>
    <t>Mi-2</t>
  </si>
  <si>
    <t>skd</t>
  </si>
  <si>
    <t>vsg</t>
  </si>
  <si>
    <t>Pat1</t>
  </si>
  <si>
    <t>GS2</t>
  </si>
  <si>
    <t>Vap-33-1</t>
  </si>
  <si>
    <t>for</t>
  </si>
  <si>
    <t>CG7675</t>
  </si>
  <si>
    <t>Eip63E</t>
  </si>
  <si>
    <t>Gad1</t>
  </si>
  <si>
    <t>Map205</t>
  </si>
  <si>
    <t>sdk</t>
  </si>
  <si>
    <t>CG11138</t>
  </si>
  <si>
    <t>CG11166</t>
  </si>
  <si>
    <t>brp</t>
  </si>
  <si>
    <t>Top1</t>
  </si>
  <si>
    <t>Gli</t>
  </si>
  <si>
    <t>Dys</t>
  </si>
  <si>
    <t>20160203_mapmodulin_p1n1</t>
  </si>
  <si>
    <t>20160203_mapmodulin_p1s4L01</t>
  </si>
  <si>
    <t>20160203_mapmodulin_p2n1</t>
  </si>
  <si>
    <t>20160203_mapmodulin_p2s4L01</t>
  </si>
  <si>
    <t>20160203_mapmodulin_p3s3R01</t>
  </si>
  <si>
    <t>20160203_mapmodulin_p3s4R01</t>
  </si>
  <si>
    <t>20160203_sdk_p1n1</t>
  </si>
  <si>
    <t>20160203_sdk_p2s4L01</t>
  </si>
  <si>
    <t>20160204_CG11138_p1s3R</t>
  </si>
  <si>
    <t>20160204_CG11138_p1s4R</t>
  </si>
  <si>
    <t>20160204_CG11138_p2s3L</t>
  </si>
  <si>
    <t>20160204_CG11138_p2s4L</t>
  </si>
  <si>
    <t>20160204_CG11138_p2s4R</t>
  </si>
  <si>
    <t>20160204_CG11138_p1n1</t>
  </si>
  <si>
    <t>20160204_CG11138_p2n1</t>
  </si>
  <si>
    <t>20160204_CG11138_p3s3R</t>
  </si>
  <si>
    <t>20160204_CG11138_p3s4L</t>
  </si>
  <si>
    <t>Ubx</t>
  </si>
  <si>
    <t>95. CG10948</t>
  </si>
  <si>
    <t>96. CG10992</t>
  </si>
  <si>
    <t>97. CG11255</t>
  </si>
  <si>
    <t>98. CG11486</t>
  </si>
  <si>
    <t>20160204_CG11166_p1n1</t>
  </si>
  <si>
    <t>20160204_CG11166_p1s3R</t>
  </si>
  <si>
    <t>20160204_CG11166_p2n1</t>
  </si>
  <si>
    <t>20160204_CG11166_p2s3</t>
  </si>
  <si>
    <t>20160204_CG11166_p3s4L</t>
  </si>
  <si>
    <t>20160204_CG11166_p3s4R</t>
  </si>
  <si>
    <t>20160204_CG11166_p3s5L</t>
  </si>
  <si>
    <t>20160211_CG10984_p1n1</t>
  </si>
  <si>
    <t>20160211_CG10984_p1s4R</t>
  </si>
  <si>
    <t>20160211_CG10984_p1s5R</t>
  </si>
  <si>
    <t>20160211_CG10984_p2n1</t>
  </si>
  <si>
    <t>20160211_CG10984_p2s4L</t>
  </si>
  <si>
    <t>20160211_CG10984_p2s5L</t>
  </si>
  <si>
    <t>20160211_CG10984_p3s3L</t>
  </si>
  <si>
    <t>20160211_CG10984_p3s5R</t>
  </si>
  <si>
    <t>20160211_CG10992_p1n1</t>
  </si>
  <si>
    <t>CG11255</t>
  </si>
  <si>
    <t>CG11486</t>
  </si>
  <si>
    <t>20160211_CG10992_p1s3L</t>
  </si>
  <si>
    <t>20160211_CG10992_p1s3R</t>
  </si>
  <si>
    <t>20160211_CG10992_p1s4L</t>
  </si>
  <si>
    <t>20160211_CG10992_p1s4R</t>
  </si>
  <si>
    <t>20160211_CG10992_p1vnc1</t>
  </si>
  <si>
    <t>20160211_CG10992_p2n1</t>
  </si>
  <si>
    <t>20160211_CG10992_p2s4L</t>
  </si>
  <si>
    <t>20160211_CG10992_p2s5L</t>
  </si>
  <si>
    <t>20160211_CG10992_p3s5L</t>
  </si>
  <si>
    <t>20160211_CG10992_p3s5R</t>
  </si>
  <si>
    <t>20160211_CG11255_p1s3L</t>
  </si>
  <si>
    <t>20160211_CG11255_p1s4L</t>
  </si>
  <si>
    <t>20160211_CG11255_p2n1</t>
  </si>
  <si>
    <t>20160211_CG11255_p2s4L</t>
  </si>
  <si>
    <t>20160211_CG11255_p2s4R</t>
  </si>
  <si>
    <t>20160211_CG11255_p2s5R</t>
  </si>
  <si>
    <t>20160211_CG11255_p3n1</t>
  </si>
  <si>
    <t>20160211_CG11255_p3s4L</t>
  </si>
  <si>
    <t>20160211_CG11255_p3s5L</t>
  </si>
  <si>
    <t>99. CG10641</t>
  </si>
  <si>
    <t>100. CG11266</t>
  </si>
  <si>
    <t>101. CG11576</t>
  </si>
  <si>
    <t>20160217_CG10641_p1n1</t>
  </si>
  <si>
    <t>20160217_CG10641_p1s4L</t>
  </si>
  <si>
    <t>20160217_CG10641_p1s4R</t>
  </si>
  <si>
    <t>20160217_CG10641_p1s5L</t>
  </si>
  <si>
    <t>20160217_CG10641_p1s6L</t>
  </si>
  <si>
    <t>20160217_CG10641_p2n1</t>
  </si>
  <si>
    <t>20160217_CG10641_p2s3L</t>
  </si>
  <si>
    <t>20160217_CG10641_p2s4L</t>
  </si>
  <si>
    <t>20160217_CG10641_p2s5L</t>
  </si>
  <si>
    <t>20160217_CG10641_p3b1</t>
  </si>
  <si>
    <t>20160217_CG10641_p3s4L</t>
  </si>
  <si>
    <t>20160217_CG10641_p3s5L</t>
  </si>
  <si>
    <t>20160217_CG11266_p1s4L</t>
  </si>
  <si>
    <t>20160217_CG11266_p1s5L</t>
  </si>
  <si>
    <t>20160217_CG11266_p2b1</t>
  </si>
  <si>
    <t>20160217_CG11266_p2n1</t>
  </si>
  <si>
    <t>20160217_CG11266_p2s3R</t>
  </si>
  <si>
    <t>20160217_CG11266_p2s4L</t>
  </si>
  <si>
    <t>20160217_CG11266_p2s5R</t>
  </si>
  <si>
    <t>20160217_CG11266_p3n1</t>
  </si>
  <si>
    <t>20160217_CG11266_p3s4L</t>
  </si>
  <si>
    <t>20160217_CG11266_p3s5L</t>
  </si>
  <si>
    <t>20160217_CG11266_p3s5R</t>
  </si>
  <si>
    <t>20160217_CG11576_p1n1</t>
  </si>
  <si>
    <t>20160217_CG11576_p2s3L</t>
  </si>
  <si>
    <t>20160217_CG11576_p2s3R.</t>
  </si>
  <si>
    <t>20160217_CG11576_p2s4L</t>
  </si>
  <si>
    <t>20160217_CG11576_p2s4R</t>
  </si>
  <si>
    <t>20160217_CG11576_p2s5R</t>
  </si>
  <si>
    <t>20160217_CG1576_p1s5L</t>
  </si>
  <si>
    <t>20160211_CG11486_p1n1</t>
  </si>
  <si>
    <t>20160211_CG11486_p1s4R 2</t>
  </si>
  <si>
    <t>20160211_CG11486_p1s4R</t>
  </si>
  <si>
    <t>20160211_CG11486_p1s5R</t>
  </si>
  <si>
    <t>20160211_CG11486_p2b1</t>
  </si>
  <si>
    <t>20160211_CG11486_p3n1</t>
  </si>
  <si>
    <t>20160211_CG11486_p3s3L</t>
  </si>
  <si>
    <t>20160211_CG11486_p3s4L</t>
  </si>
  <si>
    <t>20160211_CG11486_p3s5L</t>
  </si>
  <si>
    <t>strong nucleus protein expression</t>
  </si>
  <si>
    <t>CG10641</t>
  </si>
  <si>
    <t>CG11266</t>
  </si>
  <si>
    <t>CG11576</t>
  </si>
  <si>
    <t>Total = 100</t>
  </si>
  <si>
    <t>random CGs</t>
  </si>
  <si>
    <t>Percentage</t>
  </si>
  <si>
    <t>Total</t>
  </si>
  <si>
    <t>FBgn0011224</t>
  </si>
  <si>
    <t>FBgn0283521</t>
  </si>
  <si>
    <t>FBgn0011260</t>
  </si>
  <si>
    <t>FBgn0013733</t>
  </si>
  <si>
    <t>FBgn0001235</t>
  </si>
  <si>
    <t>FBgn0000097</t>
  </si>
  <si>
    <t>FBgn0263930</t>
  </si>
  <si>
    <t>FBgn0263705</t>
  </si>
  <si>
    <t>FBgn0261617</t>
  </si>
  <si>
    <t>FBgn0003371</t>
  </si>
  <si>
    <t>FBgn0004647</t>
  </si>
  <si>
    <t>FBgn0015790</t>
  </si>
  <si>
    <t>FBgn0003721</t>
  </si>
  <si>
    <t>FBgn0003165</t>
  </si>
  <si>
    <t>FBgn0000117</t>
  </si>
  <si>
    <t>FBgn0262735</t>
  </si>
  <si>
    <t>FBgn0015513</t>
  </si>
  <si>
    <t>FBgn0011817</t>
  </si>
  <si>
    <t>FBgn0003435</t>
  </si>
  <si>
    <t>FBgn0259176</t>
  </si>
  <si>
    <t>FBgn0000392</t>
  </si>
  <si>
    <t>FBgn0000636</t>
  </si>
  <si>
    <t>FBgn0014163</t>
  </si>
  <si>
    <t>FBgn0015773</t>
  </si>
  <si>
    <t>FBgn0013997</t>
  </si>
  <si>
    <t>FBgn0082582</t>
  </si>
  <si>
    <t>FBgn0259246</t>
  </si>
  <si>
    <t>FBgn0003041</t>
  </si>
  <si>
    <t>FBgn0041604</t>
  </si>
  <si>
    <t>FBgn0000017</t>
  </si>
  <si>
    <t>FBgn0043884</t>
  </si>
  <si>
    <t>FBgn0001250</t>
  </si>
  <si>
    <t>FBgn0026252</t>
  </si>
  <si>
    <t>FBgn0004177</t>
  </si>
  <si>
    <t>FBgn0027356</t>
  </si>
  <si>
    <t>FBgn0011726</t>
  </si>
  <si>
    <t>FBgn0000711</t>
  </si>
  <si>
    <t>FBgn0017581</t>
  </si>
  <si>
    <t>FBgn0023215</t>
  </si>
  <si>
    <t>FBgn0003944</t>
  </si>
  <si>
    <t>FBgn0000547</t>
  </si>
  <si>
    <t>FBgn0004167</t>
  </si>
  <si>
    <t>FBgn0011725</t>
  </si>
  <si>
    <t>FBgn0003459</t>
  </si>
  <si>
    <t>FBgn0001098</t>
  </si>
  <si>
    <t>FBgn0004227</t>
  </si>
  <si>
    <t>FBgn0031990</t>
  </si>
  <si>
    <t>FBgn0014141</t>
  </si>
  <si>
    <t>FBgn0250823</t>
  </si>
  <si>
    <t>FBgn0020618</t>
  </si>
  <si>
    <t>FBgn0023167</t>
  </si>
  <si>
    <t>FBgn0003716</t>
  </si>
  <si>
    <t>FBgn0004924</t>
  </si>
  <si>
    <t>FBgn0001987</t>
  </si>
  <si>
    <t>FBgn0260003</t>
  </si>
  <si>
    <t>FBgn0004395</t>
  </si>
  <si>
    <t>FBgn0261238</t>
  </si>
  <si>
    <t>FBgn0030521</t>
  </si>
  <si>
    <t>FBgn0023407</t>
  </si>
  <si>
    <t>FBgn0262519</t>
  </si>
  <si>
    <t>FBgn0003415</t>
  </si>
  <si>
    <t>FBgn0045823</t>
  </si>
  <si>
    <t>FBgn0029878</t>
  </si>
  <si>
    <t>FBgn0004868</t>
  </si>
  <si>
    <t>FBgn0001145</t>
  </si>
  <si>
    <t>FBgn0000721</t>
  </si>
  <si>
    <t>FBgn0038610</t>
  </si>
  <si>
    <t>FBgn0005640</t>
  </si>
  <si>
    <t>FBgn0004516</t>
  </si>
  <si>
    <t>FBgn0002645</t>
  </si>
  <si>
    <t>FBgn0021764</t>
  </si>
  <si>
    <t>FBgn0030400</t>
  </si>
  <si>
    <t>FBgn0033166</t>
  </si>
  <si>
    <t>FBgn0036337</t>
  </si>
  <si>
    <t>FBgn0035397</t>
  </si>
  <si>
    <t>FBgn0032731</t>
  </si>
  <si>
    <t>FBgn0031883</t>
  </si>
  <si>
    <t>FBgn0039882</t>
  </si>
  <si>
    <t>FBgn0034282</t>
  </si>
  <si>
    <t>FBgn0029687</t>
  </si>
  <si>
    <t>Dp</t>
  </si>
  <si>
    <t>FBgn0011763</t>
  </si>
  <si>
    <t>FBgn0016059</t>
  </si>
  <si>
    <t>sema-1b</t>
  </si>
  <si>
    <t>FBgn0036239</t>
  </si>
  <si>
    <t>Pop2</t>
  </si>
  <si>
    <t>orb2</t>
  </si>
  <si>
    <t>FBgn0264307</t>
  </si>
  <si>
    <t>FBgn0010415</t>
  </si>
  <si>
    <t>Sdc</t>
  </si>
  <si>
    <t>CaMKII</t>
  </si>
  <si>
    <t>FBgn0264607</t>
  </si>
  <si>
    <t>dlp</t>
  </si>
  <si>
    <t>FBgn0023509</t>
  </si>
  <si>
    <t>FBgn0020386</t>
  </si>
  <si>
    <t>FBgn0004882</t>
  </si>
  <si>
    <t>FBgn0004242</t>
  </si>
  <si>
    <t>FBgn0003660</t>
  </si>
  <si>
    <t>Syb</t>
  </si>
  <si>
    <t>Arp3</t>
  </si>
  <si>
    <t>FBgn0262716</t>
  </si>
  <si>
    <t>FBgn0036213</t>
  </si>
  <si>
    <t>RpL10Ab</t>
  </si>
  <si>
    <t>FBgn0035533</t>
  </si>
  <si>
    <t>Cip4</t>
  </si>
  <si>
    <t>FBgn0000253</t>
  </si>
  <si>
    <t>Cam</t>
  </si>
  <si>
    <t>FBgn0026250</t>
  </si>
  <si>
    <t>eIF-1A</t>
  </si>
  <si>
    <t>flw</t>
  </si>
  <si>
    <t>Gdi</t>
  </si>
  <si>
    <t>Mapmodulin</t>
  </si>
  <si>
    <t>Gene name</t>
  </si>
  <si>
    <t>Gene ID</t>
  </si>
  <si>
    <t>Postsynaptic density</t>
  </si>
  <si>
    <t>Muscle cytosol</t>
  </si>
  <si>
    <t>Muscle nucleus</t>
  </si>
  <si>
    <t>Arpc1</t>
  </si>
  <si>
    <t>FBgn0001961</t>
  </si>
  <si>
    <t>CG10984</t>
  </si>
  <si>
    <t>FBgn0036305</t>
  </si>
  <si>
    <t>Amph</t>
  </si>
  <si>
    <t>CG11920</t>
  </si>
  <si>
    <t>FBgn0039274</t>
  </si>
  <si>
    <t xml:space="preserve">msk </t>
  </si>
  <si>
    <t>Pax</t>
  </si>
  <si>
    <t>FBgn0041789</t>
  </si>
  <si>
    <t xml:space="preserve">tsr </t>
  </si>
  <si>
    <t>Axon terminal</t>
  </si>
  <si>
    <t>Glia cell</t>
  </si>
  <si>
    <t>Glia</t>
  </si>
  <si>
    <t>TOTAL</t>
  </si>
  <si>
    <t>Not enriched</t>
  </si>
  <si>
    <t>Possibly axon terminal (would be useful to do SIM)</t>
  </si>
  <si>
    <t>Enrichment looks presynaptic (need better image because axon terminals are destroyed)</t>
  </si>
  <si>
    <t>OK</t>
  </si>
  <si>
    <t>Don't see it</t>
  </si>
  <si>
    <t>General notes</t>
  </si>
  <si>
    <t>*Hyperlink from Omero to Flybase for specific gene info</t>
  </si>
  <si>
    <t>*Hyperlink from Omero to CPTI database for specific gene info</t>
  </si>
  <si>
    <t>Yep</t>
  </si>
  <si>
    <t>Yep, already characterised</t>
  </si>
  <si>
    <t>Yep (mysosin phosphotase, genetic modifier of SMN)</t>
  </si>
  <si>
    <t>Notes on PSD protein enrichment</t>
  </si>
  <si>
    <t>*Priorities are RBP/Ribosomal proteins and pilot screen for the brain</t>
  </si>
  <si>
    <t>FBGN0004872, FBGN0022986, FBGN0052423, FBGN0037707, FBGN0005411, FBGN0003165, FBGN0011206, FBGN0011224, FBGN0003435, FBGN0024183, FBGN0004227, FBGN0001215, FBGN0003261, FBGN0000183, FBGN0031883, FBGN0037248, FBGN0052062, FBGN0020660</t>
  </si>
  <si>
    <t>FBGN0027356, FBGN0022986, FBGN0052423, FBGN0037707, FBGN0005411, FBGN0003165, FBGN0011206, FBGN0011224, FBGN0003435, FBGN0024183, FBGN0004227, FBGN0001215, FBGN0003261, FBGN0000183, FBGN0031883, FBGN0037248, FBGN0052062, FBGN0020660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</si>
</sst>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i/>
      <sz val="12"/>
      <color rgb="FF7F7F7F"/>
      <name val="Calibri"/>
      <family val="2"/>
      <charset val="1"/>
    </font>
    <font>
      <b/>
      <sz val="12"/>
      <color rgb="FFFA7D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2"/>
      <color rgb="FF0000FF"/>
      <name val="Calibri"/>
      <family val="2"/>
      <charset val="1"/>
    </font>
    <font>
      <b/>
      <sz val="12"/>
      <color rgb="FFFF3333"/>
      <name val="Calibri"/>
      <family val="2"/>
      <charset val="1"/>
    </font>
    <font>
      <sz val="12"/>
      <name val="Calibri"/>
      <family val="2"/>
      <charset val="1"/>
    </font>
    <font>
      <b/>
      <sz val="12"/>
      <name val="Calibri"/>
      <family val="2"/>
      <charset val="1"/>
    </font>
    <font>
      <u/>
      <sz val="12"/>
      <color theme="11"/>
      <name val="Calibri"/>
      <family val="2"/>
      <charset val="1"/>
    </font>
    <font>
      <sz val="12"/>
      <color rgb="FFFF0000"/>
      <name val="Calibri"/>
    </font>
    <font>
      <sz val="12"/>
      <color rgb="FF000000"/>
      <name val="Calibri"/>
      <scheme val="minor"/>
    </font>
    <font>
      <sz val="12"/>
      <name val="Calibri"/>
      <scheme val="minor"/>
    </font>
    <font>
      <b/>
      <sz val="12"/>
      <name val="Calibri"/>
      <scheme val="minor"/>
    </font>
    <font>
      <sz val="8"/>
      <name val="Calibri"/>
      <family val="2"/>
      <charset val="1"/>
    </font>
    <font>
      <b/>
      <sz val="12"/>
      <color theme="1"/>
      <name val="Calibri"/>
      <family val="2"/>
      <charset val="1"/>
    </font>
    <font>
      <sz val="12"/>
      <color theme="1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FF0000"/>
        <bgColor rgb="FFFF3333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auto="1"/>
      </bottom>
      <diagonal/>
    </border>
    <border>
      <left/>
      <right style="thin">
        <color auto="1"/>
      </right>
      <top style="thin">
        <color theme="1"/>
      </top>
      <bottom style="thin">
        <color auto="1"/>
      </bottom>
      <diagonal/>
    </border>
    <border>
      <left style="thin">
        <color auto="1"/>
      </left>
      <right/>
      <top style="thin">
        <color theme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76">
    <xf numFmtId="0" fontId="0" fillId="0" borderId="0"/>
    <xf numFmtId="0" fontId="5" fillId="0" borderId="0" applyBorder="0" applyProtection="0"/>
    <xf numFmtId="0" fontId="3" fillId="2" borderId="1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 applyProtection="1"/>
    <xf numFmtId="0" fontId="0" fillId="0" borderId="0" xfId="0" applyBorder="1" applyAlignment="1" applyProtection="1"/>
    <xf numFmtId="0" fontId="3" fillId="2" borderId="1" xfId="2" applyFont="1" applyAlignment="1" applyProtection="1"/>
    <xf numFmtId="0" fontId="4" fillId="0" borderId="0" xfId="0" applyFont="1"/>
    <xf numFmtId="0" fontId="5" fillId="0" borderId="0" xfId="1" applyFont="1" applyBorder="1" applyAlignment="1" applyProtection="1"/>
    <xf numFmtId="0" fontId="3" fillId="2" borderId="1" xfId="2" applyAlignment="1" applyProtection="1">
      <alignment horizontal="center"/>
    </xf>
    <xf numFmtId="0" fontId="1" fillId="0" borderId="0" xfId="0" applyFont="1"/>
    <xf numFmtId="0" fontId="0" fillId="0" borderId="0" xfId="0" applyFont="1"/>
    <xf numFmtId="0" fontId="6" fillId="0" borderId="0" xfId="0" applyFont="1"/>
    <xf numFmtId="0" fontId="5" fillId="0" borderId="0" xfId="1" applyFont="1" applyBorder="1" applyAlignment="1" applyProtection="1">
      <alignment horizontal="left"/>
    </xf>
    <xf numFmtId="0" fontId="0" fillId="0" borderId="0" xfId="0" applyFont="1" applyAlignment="1">
      <alignment horizontal="center"/>
    </xf>
    <xf numFmtId="0" fontId="0" fillId="0" borderId="0" xfId="0" applyAlignment="1"/>
    <xf numFmtId="0" fontId="7" fillId="0" borderId="0" xfId="0" applyFont="1"/>
    <xf numFmtId="0" fontId="7" fillId="0" borderId="0" xfId="1" applyFont="1" applyBorder="1" applyAlignment="1" applyProtection="1"/>
    <xf numFmtId="0" fontId="8" fillId="2" borderId="1" xfId="2" applyFont="1" applyAlignment="1" applyProtection="1">
      <alignment horizontal="center"/>
    </xf>
    <xf numFmtId="0" fontId="8" fillId="2" borderId="1" xfId="2" applyFont="1" applyAlignment="1" applyProtection="1"/>
    <xf numFmtId="0" fontId="0" fillId="0" borderId="0" xfId="0" applyAlignment="1">
      <alignment horizontal="center"/>
    </xf>
    <xf numFmtId="0" fontId="0" fillId="3" borderId="0" xfId="0" applyFont="1" applyFill="1"/>
    <xf numFmtId="0" fontId="7" fillId="3" borderId="0" xfId="0" applyFont="1" applyFill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Alignment="1"/>
    <xf numFmtId="0" fontId="0" fillId="0" borderId="0" xfId="0" applyFont="1" applyBorder="1" applyAlignment="1" applyProtection="1"/>
    <xf numFmtId="0" fontId="8" fillId="0" borderId="0" xfId="0" applyFont="1" applyAlignment="1"/>
    <xf numFmtId="0" fontId="8" fillId="0" borderId="0" xfId="0" applyFont="1"/>
    <xf numFmtId="2" fontId="0" fillId="0" borderId="0" xfId="0" applyNumberFormat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 applyProtection="1"/>
    <xf numFmtId="0" fontId="0" fillId="0" borderId="2" xfId="0" applyBorder="1"/>
    <xf numFmtId="0" fontId="1" fillId="7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5" fillId="0" borderId="0" xfId="1" applyBorder="1" applyProtection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5" fillId="8" borderId="3" xfId="0" applyFont="1" applyFill="1" applyBorder="1" applyAlignment="1">
      <alignment horizontal="center"/>
    </xf>
    <xf numFmtId="0" fontId="15" fillId="4" borderId="4" xfId="0" applyFont="1" applyFill="1" applyBorder="1" applyAlignment="1">
      <alignment horizontal="center"/>
    </xf>
    <xf numFmtId="0" fontId="15" fillId="4" borderId="3" xfId="0" applyFont="1" applyFill="1" applyBorder="1" applyAlignment="1">
      <alignment horizontal="center"/>
    </xf>
    <xf numFmtId="0" fontId="15" fillId="5" borderId="3" xfId="0" applyFont="1" applyFill="1" applyBorder="1" applyAlignment="1">
      <alignment horizontal="center"/>
    </xf>
    <xf numFmtId="0" fontId="15" fillId="7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5" fillId="9" borderId="5" xfId="0" applyFont="1" applyFill="1" applyBorder="1" applyAlignment="1">
      <alignment horizontal="center"/>
    </xf>
    <xf numFmtId="0" fontId="15" fillId="9" borderId="4" xfId="0" applyFont="1" applyFill="1" applyBorder="1" applyAlignment="1">
      <alignment horizontal="center"/>
    </xf>
    <xf numFmtId="0" fontId="16" fillId="10" borderId="6" xfId="0" applyFont="1" applyFill="1" applyBorder="1"/>
    <xf numFmtId="0" fontId="16" fillId="10" borderId="6" xfId="0" applyFont="1" applyFill="1" applyBorder="1" applyAlignment="1"/>
    <xf numFmtId="0" fontId="16" fillId="0" borderId="6" xfId="0" applyFont="1" applyBorder="1"/>
  </cellXfs>
  <cellStyles count="176">
    <cellStyle name="Explanatory Text" xfId="2" builtinId="53" customBuilti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Hyperlink" xfId="1" builtinId="8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</dxf>
  </dxfs>
  <tableStyles count="0" defaultTableStyle="TableStyleMedium9" defaultPivotStyle="PivotStyleMedium4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FF3333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Rab11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'stimulated vs non-stim'!$L$8:$M$8</c:f>
                <c:numCache>
                  <c:formatCode>General</c:formatCode>
                  <c:ptCount val="2"/>
                  <c:pt idx="0">
                    <c:v>93548.19508375</c:v>
                  </c:pt>
                  <c:pt idx="1">
                    <c:v>133526.8809616</c:v>
                  </c:pt>
                </c:numCache>
              </c:numRef>
            </c:plus>
            <c:minus>
              <c:numRef>
                <c:f>'stimulated vs non-stim'!$L$8:$M$8</c:f>
                <c:numCache>
                  <c:formatCode>General</c:formatCode>
                  <c:ptCount val="2"/>
                  <c:pt idx="0">
                    <c:v>93548.19508375</c:v>
                  </c:pt>
                  <c:pt idx="1">
                    <c:v>133526.8809616</c:v>
                  </c:pt>
                </c:numCache>
              </c:numRef>
            </c:minus>
          </c:errBars>
          <c:cat>
            <c:strRef>
              <c:f>'stimulated vs non-stim'!$L$5:$M$5</c:f>
              <c:strCache>
                <c:ptCount val="2"/>
                <c:pt idx="0">
                  <c:v>control</c:v>
                </c:pt>
                <c:pt idx="1">
                  <c:v>stimulated</c:v>
                </c:pt>
              </c:strCache>
            </c:strRef>
          </c:cat>
          <c:val>
            <c:numRef>
              <c:f>'stimulated vs non-stim'!$L$6:$M$6</c:f>
              <c:numCache>
                <c:formatCode>General</c:formatCode>
                <c:ptCount val="2"/>
                <c:pt idx="0">
                  <c:v>211135.9254285</c:v>
                </c:pt>
                <c:pt idx="1">
                  <c:v>484520.53903333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2910760"/>
        <c:axId val="-2142908056"/>
      </c:barChart>
      <c:catAx>
        <c:axId val="-2142910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2908056"/>
        <c:crosses val="autoZero"/>
        <c:auto val="1"/>
        <c:lblAlgn val="ctr"/>
        <c:lblOffset val="100"/>
        <c:noMultiLvlLbl val="0"/>
      </c:catAx>
      <c:valAx>
        <c:axId val="-2142908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signal fluorescence (gray values/ um^3)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42910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'stimulated vs non-stim'!$L$30:$M$30</c:f>
                <c:numCache>
                  <c:formatCode>General</c:formatCode>
                  <c:ptCount val="2"/>
                  <c:pt idx="0">
                    <c:v>69429.51403979999</c:v>
                  </c:pt>
                  <c:pt idx="1">
                    <c:v>68739.54589600999</c:v>
                  </c:pt>
                </c:numCache>
              </c:numRef>
            </c:plus>
            <c:minus>
              <c:numRef>
                <c:f>'stimulated vs non-stim'!$L$30:$M$30</c:f>
                <c:numCache>
                  <c:formatCode>General</c:formatCode>
                  <c:ptCount val="2"/>
                  <c:pt idx="0">
                    <c:v>69429.51403979999</c:v>
                  </c:pt>
                  <c:pt idx="1">
                    <c:v>68739.54589600999</c:v>
                  </c:pt>
                </c:numCache>
              </c:numRef>
            </c:minus>
          </c:errBars>
          <c:cat>
            <c:strRef>
              <c:f>'stimulated vs non-stim'!$L$27:$M$27</c:f>
              <c:strCache>
                <c:ptCount val="2"/>
                <c:pt idx="0">
                  <c:v>  control  </c:v>
                </c:pt>
                <c:pt idx="1">
                  <c:v>  stimulated  </c:v>
                </c:pt>
              </c:strCache>
            </c:strRef>
          </c:cat>
          <c:val>
            <c:numRef>
              <c:f>'stimulated vs non-stim'!$L$28:$M$28</c:f>
              <c:numCache>
                <c:formatCode>General</c:formatCode>
                <c:ptCount val="2"/>
                <c:pt idx="0">
                  <c:v>177519.5656511</c:v>
                </c:pt>
                <c:pt idx="1">
                  <c:v>125088.13524731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-2139640088"/>
        <c:axId val="-2139637112"/>
      </c:barChart>
      <c:catAx>
        <c:axId val="-213964008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39637112"/>
        <c:crosses val="autoZero"/>
        <c:auto val="1"/>
        <c:lblAlgn val="ctr"/>
        <c:lblOffset val="100"/>
        <c:noMultiLvlLbl val="0"/>
      </c:catAx>
      <c:valAx>
        <c:axId val="-21396371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-2139640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sgg activation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'stimulated vs non-stim'!$L$164:$M$164</c:f>
                <c:numCache>
                  <c:formatCode>General</c:formatCode>
                  <c:ptCount val="2"/>
                  <c:pt idx="0">
                    <c:v>7256.5337651</c:v>
                  </c:pt>
                  <c:pt idx="1">
                    <c:v>5576.5016122</c:v>
                  </c:pt>
                </c:numCache>
              </c:numRef>
            </c:plus>
            <c:minus>
              <c:numRef>
                <c:f>'stimulated vs non-stim'!$L$164:$M$164</c:f>
                <c:numCache>
                  <c:formatCode>General</c:formatCode>
                  <c:ptCount val="2"/>
                  <c:pt idx="0">
                    <c:v>7256.5337651</c:v>
                  </c:pt>
                  <c:pt idx="1">
                    <c:v>5576.5016122</c:v>
                  </c:pt>
                </c:numCache>
              </c:numRef>
            </c:minus>
          </c:errBars>
          <c:cat>
            <c:strRef>
              <c:f>'stimulated vs non-stim'!$L$161:$M$161</c:f>
              <c:strCache>
                <c:ptCount val="2"/>
                <c:pt idx="0">
                  <c:v>  control  </c:v>
                </c:pt>
                <c:pt idx="1">
                  <c:v>  stimualted  </c:v>
                </c:pt>
              </c:strCache>
            </c:strRef>
          </c:cat>
          <c:val>
            <c:numRef>
              <c:f>'stimulated vs non-stim'!$L$162:$M$162</c:f>
              <c:numCache>
                <c:formatCode>General</c:formatCode>
                <c:ptCount val="2"/>
                <c:pt idx="0">
                  <c:v>56189.9530833</c:v>
                </c:pt>
                <c:pt idx="1">
                  <c:v>39344.9391533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4667512"/>
        <c:axId val="-2145297368"/>
      </c:barChart>
      <c:catAx>
        <c:axId val="-2144667512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45297368"/>
        <c:crosses val="autoZero"/>
        <c:auto val="1"/>
        <c:lblAlgn val="ctr"/>
        <c:lblOffset val="100"/>
        <c:noMultiLvlLbl val="0"/>
      </c:catAx>
      <c:valAx>
        <c:axId val="-2145297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signal fluorescence (gray values/ um^3)</a:t>
                </a:r>
              </a:p>
            </c:rich>
          </c:tx>
          <c:layout>
            <c:manualLayout>
              <c:xMode val="edge"/>
              <c:yMode val="edge"/>
              <c:x val="0.0305555555555555"/>
              <c:y val="0.11388888888888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4466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sgg stimulation (2nd)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'stimulated vs non-stim'!$L$182:$M$182</c:f>
                <c:numCache>
                  <c:formatCode>General</c:formatCode>
                  <c:ptCount val="2"/>
                  <c:pt idx="0">
                    <c:v>6184.1621425</c:v>
                  </c:pt>
                  <c:pt idx="1">
                    <c:v>18330.6169964</c:v>
                  </c:pt>
                </c:numCache>
              </c:numRef>
            </c:plus>
            <c:minus>
              <c:numRef>
                <c:f>'stimulated vs non-stim'!$L$182:$M$182</c:f>
                <c:numCache>
                  <c:formatCode>General</c:formatCode>
                  <c:ptCount val="2"/>
                  <c:pt idx="0">
                    <c:v>6184.1621425</c:v>
                  </c:pt>
                  <c:pt idx="1">
                    <c:v>18330.6169964</c:v>
                  </c:pt>
                </c:numCache>
              </c:numRef>
            </c:minus>
          </c:errBars>
          <c:cat>
            <c:strRef>
              <c:f>'stimulated vs non-stim'!$L$179:$M$179</c:f>
              <c:strCache>
                <c:ptCount val="2"/>
                <c:pt idx="0">
                  <c:v>  Control  </c:v>
                </c:pt>
                <c:pt idx="1">
                  <c:v>  Stimulated  </c:v>
                </c:pt>
              </c:strCache>
            </c:strRef>
          </c:cat>
          <c:val>
            <c:numRef>
              <c:f>'stimulated vs non-stim'!$L$180:$M$180</c:f>
              <c:numCache>
                <c:formatCode>General</c:formatCode>
                <c:ptCount val="2"/>
                <c:pt idx="0">
                  <c:v>35314.42492</c:v>
                </c:pt>
                <c:pt idx="1">
                  <c:v>49978.4221583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4833384"/>
        <c:axId val="-2145325560"/>
      </c:barChart>
      <c:catAx>
        <c:axId val="-2144833384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45325560"/>
        <c:crosses val="autoZero"/>
        <c:auto val="1"/>
        <c:lblAlgn val="ctr"/>
        <c:lblOffset val="100"/>
        <c:noMultiLvlLbl val="0"/>
      </c:catAx>
      <c:valAx>
        <c:axId val="-214532556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-2144833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197555</xdr:colOff>
      <xdr:row>10</xdr:row>
      <xdr:rowOff>84666</xdr:rowOff>
    </xdr:from>
    <xdr:to>
      <xdr:col>18</xdr:col>
      <xdr:colOff>28222</xdr:colOff>
      <xdr:row>24</xdr:row>
      <xdr:rowOff>98779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564445</xdr:colOff>
      <xdr:row>31</xdr:row>
      <xdr:rowOff>197555</xdr:rowOff>
    </xdr:from>
    <xdr:to>
      <xdr:col>17</xdr:col>
      <xdr:colOff>451556</xdr:colOff>
      <xdr:row>46</xdr:row>
      <xdr:rowOff>94544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642056</xdr:colOff>
      <xdr:row>161</xdr:row>
      <xdr:rowOff>60677</xdr:rowOff>
    </xdr:from>
    <xdr:to>
      <xdr:col>16</xdr:col>
      <xdr:colOff>373945</xdr:colOff>
      <xdr:row>175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63497</xdr:colOff>
      <xdr:row>181</xdr:row>
      <xdr:rowOff>60678</xdr:rowOff>
    </xdr:from>
    <xdr:to>
      <xdr:col>17</xdr:col>
      <xdr:colOff>197553</xdr:colOff>
      <xdr:row>195</xdr:row>
      <xdr:rowOff>169334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6" name="Table6" displayName="Table6" ref="A4:N103" headerRowCount="0" totalsRowShown="0">
  <tableColumns count="14">
    <tableColumn id="1" name="Column1"/>
    <tableColumn id="2" name="Column2" headerRowDxfId="9" dataDxfId="8"/>
    <tableColumn id="3" name="Column3"/>
    <tableColumn id="4" name="Column4"/>
    <tableColumn id="13" name="Column13"/>
    <tableColumn id="14" name="Column14"/>
    <tableColumn id="5" name="Column5"/>
    <tableColumn id="6" name="Column6"/>
    <tableColumn id="7" name="Column7"/>
    <tableColumn id="8" name="Column8"/>
    <tableColumn id="9" name="Column9"/>
    <tableColumn id="10" name="Column10" dataDxfId="7"/>
    <tableColumn id="11" name="Column11"/>
    <tableColumn id="12" name="Column12" headerRowDxfId="6" dataDxfId="5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1" name="Table62" displayName="Table62" ref="C6:Q105" headerRowCount="0" totalsRowShown="0">
  <sortState ref="C6:P105">
    <sortCondition descending="1" ref="L6"/>
  </sortState>
  <tableColumns count="15">
    <tableColumn id="1" name="Column1"/>
    <tableColumn id="2" name="Column2" headerRowDxfId="4" dataDxfId="3"/>
    <tableColumn id="3" name="Column3"/>
    <tableColumn id="4" name="Column4"/>
    <tableColumn id="13" name="Column13"/>
    <tableColumn id="14" name="Column14"/>
    <tableColumn id="5" name="Column5"/>
    <tableColumn id="6" name="Column6"/>
    <tableColumn id="7" name="Column7"/>
    <tableColumn id="8" name="Column8"/>
    <tableColumn id="9" name="Column9"/>
    <tableColumn id="10" name="Column10" dataDxfId="2"/>
    <tableColumn id="11" name="Column11"/>
    <tableColumn id="12" name="Column12" headerRowDxfId="1" dataDxfId="0"/>
    <tableColumn id="15" name="Column15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omero1.bioch.ox.ac.uk/figure/file/191651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47"/>
  <sheetViews>
    <sheetView zoomScale="90" zoomScaleNormal="90" zoomScalePageLayoutView="90" workbookViewId="0">
      <pane ySplit="2" topLeftCell="A3" activePane="bottomLeft" state="frozen"/>
      <selection pane="bottomLeft" activeCell="A933" sqref="A933"/>
    </sheetView>
  </sheetViews>
  <sheetFormatPr baseColWidth="10" defaultColWidth="8.83203125" defaultRowHeight="15" x14ac:dyDescent="0"/>
  <cols>
    <col min="1" max="1" width="32.33203125" bestFit="1" customWidth="1"/>
    <col min="2" max="2" width="15.1640625" customWidth="1"/>
    <col min="10" max="10" width="10.5" customWidth="1"/>
    <col min="11" max="11" width="16.5" customWidth="1"/>
    <col min="18" max="18" width="11.83203125" bestFit="1" customWidth="1"/>
  </cols>
  <sheetData>
    <row r="1" spans="1:18">
      <c r="B1" s="1" t="s">
        <v>0</v>
      </c>
      <c r="C1" s="43" t="s">
        <v>1</v>
      </c>
      <c r="D1" s="43"/>
      <c r="E1" s="43" t="s">
        <v>2</v>
      </c>
      <c r="F1" s="43"/>
      <c r="G1" s="2" t="s">
        <v>3</v>
      </c>
      <c r="H1" s="43" t="s">
        <v>4</v>
      </c>
      <c r="I1" s="43"/>
      <c r="J1" s="43" t="s">
        <v>5</v>
      </c>
      <c r="K1" s="43"/>
      <c r="L1" s="3" t="s">
        <v>6</v>
      </c>
      <c r="M1" s="3"/>
      <c r="N1" s="4" t="s">
        <v>7</v>
      </c>
    </row>
    <row r="2" spans="1:18">
      <c r="A2" s="1"/>
      <c r="C2" s="2" t="s">
        <v>8</v>
      </c>
      <c r="D2" s="2" t="s">
        <v>9</v>
      </c>
      <c r="E2" s="1" t="s">
        <v>8</v>
      </c>
      <c r="F2" s="1" t="s">
        <v>10</v>
      </c>
      <c r="H2" s="1" t="s">
        <v>8</v>
      </c>
      <c r="I2" s="1" t="s">
        <v>10</v>
      </c>
      <c r="J2" s="1" t="s">
        <v>8</v>
      </c>
      <c r="K2" s="1" t="s">
        <v>10</v>
      </c>
      <c r="L2" s="1" t="s">
        <v>11</v>
      </c>
      <c r="M2" s="1" t="s">
        <v>12</v>
      </c>
      <c r="N2" s="5"/>
      <c r="Q2" s="6" t="s">
        <v>13</v>
      </c>
      <c r="R2" s="6"/>
    </row>
    <row r="3" spans="1:18">
      <c r="A3" s="7" t="s">
        <v>14</v>
      </c>
      <c r="N3" s="8" t="s">
        <v>15</v>
      </c>
      <c r="Q3" s="9">
        <v>0</v>
      </c>
      <c r="R3" s="6" t="s">
        <v>16</v>
      </c>
    </row>
    <row r="4" spans="1:18">
      <c r="A4" s="8" t="s">
        <v>17</v>
      </c>
      <c r="H4">
        <v>1</v>
      </c>
      <c r="I4">
        <v>0</v>
      </c>
      <c r="J4">
        <v>0</v>
      </c>
      <c r="K4">
        <v>0</v>
      </c>
      <c r="L4">
        <v>2</v>
      </c>
      <c r="M4">
        <v>2</v>
      </c>
      <c r="Q4" s="9">
        <v>1</v>
      </c>
      <c r="R4" s="6" t="s">
        <v>18</v>
      </c>
    </row>
    <row r="5" spans="1:18">
      <c r="A5" s="8" t="s">
        <v>19</v>
      </c>
      <c r="H5">
        <v>1</v>
      </c>
      <c r="I5">
        <v>1</v>
      </c>
      <c r="J5">
        <v>0</v>
      </c>
      <c r="K5">
        <v>0</v>
      </c>
      <c r="L5">
        <v>2</v>
      </c>
      <c r="M5">
        <v>2</v>
      </c>
      <c r="Q5" s="9">
        <v>2</v>
      </c>
      <c r="R5" s="6" t="s">
        <v>20</v>
      </c>
    </row>
    <row r="6" spans="1:18">
      <c r="A6" s="8" t="s">
        <v>21</v>
      </c>
      <c r="H6">
        <v>1</v>
      </c>
      <c r="I6">
        <v>2</v>
      </c>
      <c r="J6">
        <v>1</v>
      </c>
      <c r="K6">
        <v>2</v>
      </c>
      <c r="L6">
        <v>0</v>
      </c>
      <c r="M6">
        <v>1</v>
      </c>
      <c r="Q6" s="6"/>
      <c r="R6" s="6"/>
    </row>
    <row r="7" spans="1:18">
      <c r="A7" s="8" t="s">
        <v>22</v>
      </c>
      <c r="H7">
        <v>1</v>
      </c>
      <c r="I7">
        <v>1</v>
      </c>
      <c r="J7">
        <v>0</v>
      </c>
      <c r="K7">
        <v>0</v>
      </c>
      <c r="L7">
        <v>1</v>
      </c>
      <c r="M7">
        <v>2</v>
      </c>
      <c r="Q7" s="6"/>
      <c r="R7" s="6"/>
    </row>
    <row r="8" spans="1:18">
      <c r="A8" s="8" t="s">
        <v>23</v>
      </c>
      <c r="E8">
        <v>1</v>
      </c>
      <c r="F8">
        <v>1</v>
      </c>
      <c r="G8">
        <v>2</v>
      </c>
      <c r="Q8" s="9" t="s">
        <v>24</v>
      </c>
      <c r="R8" s="6" t="s">
        <v>25</v>
      </c>
    </row>
    <row r="9" spans="1:18">
      <c r="A9" s="8" t="s">
        <v>26</v>
      </c>
      <c r="E9">
        <v>2</v>
      </c>
      <c r="F9">
        <v>1</v>
      </c>
      <c r="G9">
        <v>2</v>
      </c>
      <c r="Q9" s="9" t="s">
        <v>27</v>
      </c>
      <c r="R9" s="6" t="s">
        <v>28</v>
      </c>
    </row>
    <row r="10" spans="1:18">
      <c r="A10" s="8" t="s">
        <v>29</v>
      </c>
      <c r="B10" t="s">
        <v>27</v>
      </c>
      <c r="D10">
        <v>1</v>
      </c>
      <c r="E10">
        <v>0</v>
      </c>
      <c r="F10">
        <v>0</v>
      </c>
      <c r="Q10" s="9" t="s">
        <v>30</v>
      </c>
      <c r="R10" s="6" t="s">
        <v>31</v>
      </c>
    </row>
    <row r="12" spans="1:18">
      <c r="A12" s="10" t="s">
        <v>32</v>
      </c>
      <c r="B12" t="s">
        <v>33</v>
      </c>
      <c r="N12" s="42" t="s">
        <v>34</v>
      </c>
    </row>
    <row r="13" spans="1:18">
      <c r="A13" s="8" t="s">
        <v>35</v>
      </c>
      <c r="H13">
        <v>1</v>
      </c>
      <c r="I13">
        <v>0</v>
      </c>
      <c r="J13">
        <v>1</v>
      </c>
      <c r="K13">
        <v>0</v>
      </c>
      <c r="L13">
        <v>2</v>
      </c>
      <c r="M13">
        <v>2</v>
      </c>
    </row>
    <row r="14" spans="1:18">
      <c r="A14" s="8" t="s">
        <v>36</v>
      </c>
      <c r="H14">
        <v>1</v>
      </c>
      <c r="I14">
        <v>0</v>
      </c>
      <c r="J14">
        <v>1</v>
      </c>
      <c r="K14">
        <v>0</v>
      </c>
      <c r="L14">
        <v>0</v>
      </c>
      <c r="M14">
        <v>0</v>
      </c>
    </row>
    <row r="15" spans="1:18">
      <c r="A15" s="8" t="s">
        <v>37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</row>
    <row r="16" spans="1:18">
      <c r="A16" s="8" t="s">
        <v>38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</row>
    <row r="17" spans="1:14">
      <c r="A17" s="8" t="s">
        <v>39</v>
      </c>
      <c r="E17">
        <v>2</v>
      </c>
      <c r="F17">
        <v>2</v>
      </c>
      <c r="G17">
        <v>2</v>
      </c>
      <c r="L17">
        <v>0</v>
      </c>
      <c r="M17">
        <v>0</v>
      </c>
    </row>
    <row r="18" spans="1:14">
      <c r="A18" s="8" t="s">
        <v>40</v>
      </c>
      <c r="B18" t="s">
        <v>24</v>
      </c>
      <c r="E18">
        <v>0</v>
      </c>
      <c r="F18">
        <v>0</v>
      </c>
    </row>
    <row r="19" spans="1:14">
      <c r="A19" s="8" t="s">
        <v>41</v>
      </c>
      <c r="B19" t="s">
        <v>30</v>
      </c>
      <c r="E19">
        <v>0</v>
      </c>
      <c r="F19">
        <v>0</v>
      </c>
    </row>
    <row r="21" spans="1:14">
      <c r="A21" s="10" t="s">
        <v>42</v>
      </c>
      <c r="B21" t="s">
        <v>43</v>
      </c>
      <c r="N21" s="8" t="s">
        <v>44</v>
      </c>
    </row>
    <row r="22" spans="1:14">
      <c r="A22" s="8" t="s">
        <v>45</v>
      </c>
      <c r="H22">
        <v>0</v>
      </c>
      <c r="I22">
        <v>1</v>
      </c>
      <c r="J22">
        <v>0</v>
      </c>
      <c r="K22">
        <v>0</v>
      </c>
      <c r="L22">
        <v>0</v>
      </c>
      <c r="M22">
        <v>1</v>
      </c>
    </row>
    <row r="23" spans="1:14">
      <c r="A23" s="8" t="s">
        <v>46</v>
      </c>
      <c r="H23">
        <v>0</v>
      </c>
      <c r="I23">
        <v>0</v>
      </c>
      <c r="J23">
        <v>0</v>
      </c>
      <c r="K23">
        <v>0</v>
      </c>
      <c r="L23">
        <v>0</v>
      </c>
      <c r="M23">
        <v>2</v>
      </c>
    </row>
    <row r="24" spans="1:14">
      <c r="A24" s="8" t="s">
        <v>47</v>
      </c>
      <c r="H24">
        <v>0</v>
      </c>
      <c r="I24">
        <v>0</v>
      </c>
      <c r="J24">
        <v>0</v>
      </c>
      <c r="K24">
        <v>0</v>
      </c>
      <c r="L24">
        <v>0</v>
      </c>
      <c r="M24">
        <v>2</v>
      </c>
    </row>
    <row r="25" spans="1:14">
      <c r="A25" s="8" t="s">
        <v>48</v>
      </c>
      <c r="H25">
        <v>1</v>
      </c>
      <c r="I25">
        <v>1</v>
      </c>
      <c r="J25">
        <v>0</v>
      </c>
      <c r="K25">
        <v>0</v>
      </c>
      <c r="L25">
        <v>0</v>
      </c>
      <c r="M25">
        <v>1</v>
      </c>
    </row>
    <row r="26" spans="1:14">
      <c r="A26" s="8" t="s">
        <v>49</v>
      </c>
      <c r="E26">
        <v>0</v>
      </c>
      <c r="F26">
        <v>0</v>
      </c>
      <c r="L26">
        <v>0</v>
      </c>
      <c r="M26">
        <v>2</v>
      </c>
    </row>
    <row r="27" spans="1:14">
      <c r="A27" s="8" t="s">
        <v>50</v>
      </c>
      <c r="B27" t="s">
        <v>27</v>
      </c>
      <c r="E27">
        <v>1</v>
      </c>
      <c r="F27">
        <v>0</v>
      </c>
      <c r="G27">
        <v>1</v>
      </c>
    </row>
    <row r="28" spans="1:14">
      <c r="A28" s="8" t="s">
        <v>51</v>
      </c>
      <c r="B28" t="s">
        <v>30</v>
      </c>
      <c r="E28">
        <v>0</v>
      </c>
      <c r="F28">
        <v>0</v>
      </c>
      <c r="G28">
        <v>1</v>
      </c>
    </row>
    <row r="29" spans="1:14">
      <c r="A29" s="8" t="s">
        <v>52</v>
      </c>
      <c r="B29" t="s">
        <v>27</v>
      </c>
    </row>
    <row r="31" spans="1:14">
      <c r="A31" s="10" t="s">
        <v>53</v>
      </c>
      <c r="B31" t="s">
        <v>54</v>
      </c>
      <c r="N31" t="s">
        <v>55</v>
      </c>
    </row>
    <row r="32" spans="1:14">
      <c r="A32" s="8" t="s">
        <v>56</v>
      </c>
      <c r="H32">
        <v>0</v>
      </c>
      <c r="I32">
        <v>0</v>
      </c>
      <c r="J32">
        <v>0</v>
      </c>
      <c r="K32">
        <v>0</v>
      </c>
      <c r="L32">
        <v>0</v>
      </c>
      <c r="M32">
        <v>2</v>
      </c>
    </row>
    <row r="33" spans="1:14">
      <c r="A33" s="8" t="s">
        <v>57</v>
      </c>
      <c r="H33">
        <v>1</v>
      </c>
      <c r="I33">
        <v>0</v>
      </c>
      <c r="J33">
        <v>1</v>
      </c>
      <c r="K33">
        <v>0</v>
      </c>
      <c r="L33">
        <v>2</v>
      </c>
      <c r="M33">
        <v>0</v>
      </c>
    </row>
    <row r="34" spans="1:14">
      <c r="A34" s="8" t="s">
        <v>58</v>
      </c>
      <c r="H34">
        <v>2</v>
      </c>
      <c r="I34">
        <v>0</v>
      </c>
      <c r="J34">
        <v>2</v>
      </c>
      <c r="K34">
        <v>0</v>
      </c>
      <c r="L34">
        <v>0</v>
      </c>
      <c r="M34">
        <v>2</v>
      </c>
    </row>
    <row r="35" spans="1:14">
      <c r="A35" s="8" t="s">
        <v>59</v>
      </c>
      <c r="E35">
        <v>1</v>
      </c>
      <c r="F35">
        <v>0</v>
      </c>
      <c r="L35">
        <v>1</v>
      </c>
      <c r="M35">
        <v>1</v>
      </c>
    </row>
    <row r="36" spans="1:14">
      <c r="A36" s="8" t="s">
        <v>60</v>
      </c>
      <c r="E36">
        <v>0</v>
      </c>
      <c r="F36">
        <v>0</v>
      </c>
    </row>
    <row r="37" spans="1:14">
      <c r="A37" s="8" t="s">
        <v>61</v>
      </c>
      <c r="E37">
        <v>1</v>
      </c>
      <c r="F37">
        <v>1</v>
      </c>
    </row>
    <row r="38" spans="1:14">
      <c r="A38" s="8" t="s">
        <v>62</v>
      </c>
      <c r="B38" t="s">
        <v>27</v>
      </c>
      <c r="C38">
        <v>1</v>
      </c>
      <c r="D38">
        <v>1</v>
      </c>
    </row>
    <row r="40" spans="1:14">
      <c r="A40" s="7" t="s">
        <v>63</v>
      </c>
      <c r="B40" t="s">
        <v>64</v>
      </c>
      <c r="C40" t="s">
        <v>65</v>
      </c>
      <c r="N40" t="s">
        <v>66</v>
      </c>
    </row>
    <row r="41" spans="1:14">
      <c r="A41" s="8" t="s">
        <v>67</v>
      </c>
      <c r="H41">
        <v>1</v>
      </c>
      <c r="I41">
        <v>1</v>
      </c>
      <c r="J41">
        <v>0</v>
      </c>
      <c r="K41">
        <v>0</v>
      </c>
      <c r="L41">
        <v>2</v>
      </c>
      <c r="M41">
        <v>2</v>
      </c>
    </row>
    <row r="42" spans="1:14">
      <c r="A42" s="8" t="s">
        <v>68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4">
      <c r="A43" s="8" t="s">
        <v>69</v>
      </c>
      <c r="H43">
        <v>2</v>
      </c>
      <c r="I43">
        <v>0</v>
      </c>
      <c r="J43">
        <v>2</v>
      </c>
      <c r="K43">
        <v>0</v>
      </c>
      <c r="L43">
        <v>0</v>
      </c>
      <c r="M43">
        <v>2</v>
      </c>
    </row>
    <row r="44" spans="1:14">
      <c r="A44" s="8" t="s">
        <v>70</v>
      </c>
      <c r="H44">
        <v>1</v>
      </c>
      <c r="I44">
        <v>1</v>
      </c>
      <c r="L44">
        <v>0</v>
      </c>
      <c r="M44">
        <v>2</v>
      </c>
    </row>
    <row r="45" spans="1:14">
      <c r="A45" s="8" t="s">
        <v>71</v>
      </c>
      <c r="H45">
        <v>1</v>
      </c>
      <c r="I45">
        <v>2</v>
      </c>
      <c r="J45">
        <v>0</v>
      </c>
      <c r="K45">
        <v>0</v>
      </c>
      <c r="L45">
        <v>1</v>
      </c>
      <c r="M45">
        <v>0</v>
      </c>
    </row>
    <row r="46" spans="1:14">
      <c r="A46" s="8" t="s">
        <v>72</v>
      </c>
      <c r="E46">
        <v>0</v>
      </c>
      <c r="F46">
        <v>0</v>
      </c>
      <c r="L46">
        <v>0</v>
      </c>
      <c r="M46">
        <v>0</v>
      </c>
    </row>
    <row r="47" spans="1:14">
      <c r="A47" s="8" t="s">
        <v>73</v>
      </c>
      <c r="E47">
        <v>1</v>
      </c>
      <c r="F47">
        <v>2</v>
      </c>
      <c r="G47">
        <v>2</v>
      </c>
      <c r="M47">
        <v>0</v>
      </c>
    </row>
    <row r="48" spans="1:14">
      <c r="A48" s="8" t="s">
        <v>74</v>
      </c>
      <c r="E48">
        <v>2</v>
      </c>
      <c r="F48">
        <v>2</v>
      </c>
      <c r="G48">
        <v>2</v>
      </c>
      <c r="M48">
        <v>0</v>
      </c>
    </row>
    <row r="50" spans="1:14">
      <c r="A50" s="10" t="s">
        <v>75</v>
      </c>
      <c r="B50" t="s">
        <v>76</v>
      </c>
      <c r="N50" t="s">
        <v>77</v>
      </c>
    </row>
    <row r="51" spans="1:14">
      <c r="A51" s="8" t="s">
        <v>78</v>
      </c>
      <c r="H51">
        <v>1</v>
      </c>
      <c r="I51">
        <v>0</v>
      </c>
      <c r="J51">
        <v>0</v>
      </c>
      <c r="K51">
        <v>0</v>
      </c>
      <c r="L51">
        <v>0</v>
      </c>
      <c r="M51">
        <v>2</v>
      </c>
    </row>
    <row r="52" spans="1:14">
      <c r="A52" s="8" t="s">
        <v>79</v>
      </c>
      <c r="H52">
        <v>1</v>
      </c>
      <c r="I52">
        <v>1</v>
      </c>
      <c r="J52">
        <v>1</v>
      </c>
      <c r="K52">
        <v>0</v>
      </c>
      <c r="L52">
        <v>2</v>
      </c>
      <c r="M52">
        <v>2</v>
      </c>
    </row>
    <row r="53" spans="1:14">
      <c r="A53" s="8" t="s">
        <v>80</v>
      </c>
      <c r="H53">
        <v>0</v>
      </c>
      <c r="I53">
        <v>0</v>
      </c>
      <c r="J53">
        <v>0</v>
      </c>
      <c r="K53">
        <v>0</v>
      </c>
      <c r="L53">
        <v>0</v>
      </c>
      <c r="M53">
        <v>2</v>
      </c>
    </row>
    <row r="54" spans="1:14">
      <c r="A54" s="8" t="s">
        <v>81</v>
      </c>
      <c r="E54">
        <v>1</v>
      </c>
      <c r="F54">
        <v>0</v>
      </c>
      <c r="L54">
        <v>2</v>
      </c>
      <c r="M54">
        <v>2</v>
      </c>
    </row>
    <row r="55" spans="1:14">
      <c r="A55" s="8" t="s">
        <v>82</v>
      </c>
      <c r="B55" t="s">
        <v>24</v>
      </c>
      <c r="C55">
        <v>0</v>
      </c>
      <c r="D55">
        <v>2</v>
      </c>
    </row>
    <row r="57" spans="1:14">
      <c r="A57" s="10" t="s">
        <v>83</v>
      </c>
      <c r="B57" s="11" t="s">
        <v>84</v>
      </c>
      <c r="C57" s="11" t="s">
        <v>85</v>
      </c>
      <c r="N57" s="10" t="s">
        <v>86</v>
      </c>
    </row>
    <row r="58" spans="1:14">
      <c r="A58" s="8" t="s">
        <v>87</v>
      </c>
      <c r="H58">
        <v>1</v>
      </c>
      <c r="I58">
        <v>1</v>
      </c>
      <c r="J58">
        <v>0</v>
      </c>
      <c r="K58">
        <v>0</v>
      </c>
      <c r="L58">
        <v>0</v>
      </c>
      <c r="M58">
        <v>1</v>
      </c>
    </row>
    <row r="59" spans="1:14">
      <c r="A59" s="8" t="s">
        <v>88</v>
      </c>
      <c r="H59">
        <v>0</v>
      </c>
      <c r="I59">
        <v>1</v>
      </c>
      <c r="J59">
        <v>2</v>
      </c>
      <c r="K59">
        <v>0</v>
      </c>
      <c r="L59">
        <v>0</v>
      </c>
      <c r="M59">
        <v>0</v>
      </c>
    </row>
    <row r="60" spans="1:14">
      <c r="A60" s="8" t="s">
        <v>89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4">
      <c r="A61" s="8" t="s">
        <v>90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4">
      <c r="A62" s="8" t="s">
        <v>91</v>
      </c>
      <c r="E62">
        <v>0</v>
      </c>
      <c r="F62">
        <v>1</v>
      </c>
      <c r="G62">
        <v>1</v>
      </c>
    </row>
    <row r="63" spans="1:14">
      <c r="A63" s="8" t="s">
        <v>92</v>
      </c>
      <c r="E63">
        <v>0</v>
      </c>
      <c r="F63">
        <v>1</v>
      </c>
    </row>
    <row r="64" spans="1:14">
      <c r="A64" s="8" t="s">
        <v>93</v>
      </c>
      <c r="B64" t="s">
        <v>24</v>
      </c>
      <c r="C64">
        <v>0</v>
      </c>
      <c r="D64">
        <v>1</v>
      </c>
    </row>
    <row r="66" spans="1:14">
      <c r="A66" s="7" t="s">
        <v>94</v>
      </c>
      <c r="B66" t="s">
        <v>95</v>
      </c>
      <c r="F66" t="s">
        <v>96</v>
      </c>
      <c r="N66" t="s">
        <v>97</v>
      </c>
    </row>
    <row r="67" spans="1:14">
      <c r="A67" s="8" t="s">
        <v>98</v>
      </c>
      <c r="H67">
        <v>2</v>
      </c>
      <c r="I67">
        <v>1</v>
      </c>
      <c r="J67">
        <v>0</v>
      </c>
      <c r="K67">
        <v>0</v>
      </c>
      <c r="L67">
        <v>0</v>
      </c>
      <c r="M67">
        <v>0</v>
      </c>
    </row>
    <row r="68" spans="1:14">
      <c r="A68" s="8" t="s">
        <v>99</v>
      </c>
      <c r="H68">
        <v>2</v>
      </c>
      <c r="I68">
        <v>2</v>
      </c>
      <c r="J68">
        <v>1</v>
      </c>
      <c r="K68">
        <v>0</v>
      </c>
      <c r="L68">
        <v>2</v>
      </c>
      <c r="M68">
        <v>0</v>
      </c>
    </row>
    <row r="69" spans="1:14">
      <c r="A69" s="8" t="s">
        <v>100</v>
      </c>
      <c r="H69">
        <v>2</v>
      </c>
      <c r="I69">
        <v>1</v>
      </c>
      <c r="J69">
        <v>0</v>
      </c>
      <c r="K69">
        <v>0</v>
      </c>
      <c r="L69">
        <v>1</v>
      </c>
      <c r="M69">
        <v>0</v>
      </c>
    </row>
    <row r="70" spans="1:14">
      <c r="A70" s="8" t="s">
        <v>101</v>
      </c>
      <c r="E70">
        <v>2</v>
      </c>
      <c r="F70">
        <v>0</v>
      </c>
      <c r="G70">
        <v>2</v>
      </c>
    </row>
    <row r="71" spans="1:14">
      <c r="A71" s="8" t="s">
        <v>102</v>
      </c>
      <c r="E71">
        <v>1</v>
      </c>
      <c r="F71">
        <v>1</v>
      </c>
      <c r="G71">
        <v>2</v>
      </c>
      <c r="I71">
        <v>0</v>
      </c>
    </row>
    <row r="73" spans="1:14">
      <c r="A73" s="10" t="s">
        <v>103</v>
      </c>
      <c r="N73" t="s">
        <v>104</v>
      </c>
    </row>
    <row r="74" spans="1:14">
      <c r="A74" s="8" t="s">
        <v>105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4">
      <c r="A75" s="8" t="s">
        <v>106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4">
      <c r="A76" s="8" t="s">
        <v>107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4">
      <c r="A77" s="8" t="s">
        <v>108</v>
      </c>
      <c r="E77">
        <v>2</v>
      </c>
      <c r="F77">
        <v>1</v>
      </c>
      <c r="G77">
        <v>2</v>
      </c>
    </row>
    <row r="78" spans="1:14">
      <c r="A78" s="8" t="s">
        <v>109</v>
      </c>
      <c r="B78" t="s">
        <v>24</v>
      </c>
    </row>
    <row r="80" spans="1:14">
      <c r="A80" s="10" t="s">
        <v>110</v>
      </c>
      <c r="B80" t="s">
        <v>111</v>
      </c>
      <c r="C80" t="s">
        <v>112</v>
      </c>
      <c r="N80" t="s">
        <v>113</v>
      </c>
    </row>
    <row r="81" spans="1:14">
      <c r="A81" s="8" t="s">
        <v>114</v>
      </c>
      <c r="H81">
        <v>0</v>
      </c>
      <c r="I81">
        <v>0</v>
      </c>
      <c r="J81">
        <v>0</v>
      </c>
      <c r="K81">
        <v>0</v>
      </c>
      <c r="L81">
        <v>0</v>
      </c>
      <c r="M81">
        <v>2</v>
      </c>
    </row>
    <row r="82" spans="1:14">
      <c r="A82" s="8" t="s">
        <v>115</v>
      </c>
      <c r="H82">
        <v>0</v>
      </c>
      <c r="I82">
        <v>1</v>
      </c>
      <c r="J82">
        <v>0</v>
      </c>
      <c r="K82">
        <v>0</v>
      </c>
      <c r="L82">
        <v>0</v>
      </c>
      <c r="M82">
        <v>2</v>
      </c>
    </row>
    <row r="83" spans="1:14">
      <c r="A83" s="8" t="s">
        <v>116</v>
      </c>
      <c r="H83">
        <v>0</v>
      </c>
      <c r="I83">
        <v>0</v>
      </c>
      <c r="J83">
        <v>0</v>
      </c>
      <c r="K83">
        <v>0</v>
      </c>
      <c r="L83">
        <v>0</v>
      </c>
      <c r="M83">
        <v>2</v>
      </c>
    </row>
    <row r="84" spans="1:14">
      <c r="A84" s="8" t="s">
        <v>117</v>
      </c>
      <c r="H84">
        <v>0</v>
      </c>
      <c r="I84">
        <v>0</v>
      </c>
      <c r="J84">
        <v>0</v>
      </c>
      <c r="K84">
        <v>0</v>
      </c>
      <c r="L84">
        <v>0</v>
      </c>
      <c r="M84">
        <v>2</v>
      </c>
    </row>
    <row r="85" spans="1:14">
      <c r="A85" s="8" t="s">
        <v>118</v>
      </c>
      <c r="H85">
        <v>1</v>
      </c>
      <c r="I85">
        <v>0</v>
      </c>
      <c r="J85">
        <v>0</v>
      </c>
      <c r="K85">
        <v>0</v>
      </c>
      <c r="L85">
        <v>0</v>
      </c>
      <c r="M85">
        <v>2</v>
      </c>
    </row>
    <row r="86" spans="1:14">
      <c r="A86" s="8" t="s">
        <v>119</v>
      </c>
      <c r="H86">
        <v>0</v>
      </c>
      <c r="I86">
        <v>0</v>
      </c>
      <c r="J86">
        <v>0</v>
      </c>
      <c r="K86">
        <v>0</v>
      </c>
      <c r="L86">
        <v>0</v>
      </c>
      <c r="M86">
        <v>2</v>
      </c>
    </row>
    <row r="87" spans="1:14">
      <c r="A87" s="8" t="s">
        <v>120</v>
      </c>
      <c r="E87">
        <v>1</v>
      </c>
      <c r="F87">
        <v>0</v>
      </c>
      <c r="G87">
        <v>2</v>
      </c>
    </row>
    <row r="88" spans="1:14">
      <c r="A88" s="8" t="s">
        <v>121</v>
      </c>
      <c r="E88">
        <v>1</v>
      </c>
      <c r="F88">
        <v>0</v>
      </c>
      <c r="G88">
        <v>2</v>
      </c>
      <c r="I88">
        <v>0</v>
      </c>
      <c r="M88">
        <v>2</v>
      </c>
    </row>
    <row r="89" spans="1:14">
      <c r="A89" s="8" t="s">
        <v>122</v>
      </c>
      <c r="E89">
        <v>0</v>
      </c>
      <c r="F89">
        <v>0</v>
      </c>
      <c r="G89">
        <v>2</v>
      </c>
    </row>
    <row r="90" spans="1:14">
      <c r="A90" s="8" t="s">
        <v>123</v>
      </c>
      <c r="B90" t="s">
        <v>30</v>
      </c>
      <c r="E90">
        <v>1</v>
      </c>
      <c r="F90">
        <v>0</v>
      </c>
    </row>
    <row r="91" spans="1:14">
      <c r="A91" s="8" t="s">
        <v>124</v>
      </c>
      <c r="B91" t="s">
        <v>30</v>
      </c>
    </row>
    <row r="92" spans="1:14">
      <c r="A92" s="8" t="s">
        <v>125</v>
      </c>
      <c r="B92" t="s">
        <v>24</v>
      </c>
    </row>
    <row r="94" spans="1:14">
      <c r="A94" s="12" t="s">
        <v>126</v>
      </c>
      <c r="B94" t="s">
        <v>127</v>
      </c>
      <c r="C94" t="s">
        <v>128</v>
      </c>
      <c r="D94" t="s">
        <v>129</v>
      </c>
      <c r="N94" t="s">
        <v>130</v>
      </c>
    </row>
    <row r="95" spans="1:14">
      <c r="A95" s="8" t="s">
        <v>131</v>
      </c>
      <c r="H95">
        <v>1</v>
      </c>
      <c r="I95">
        <v>2</v>
      </c>
      <c r="J95">
        <v>0</v>
      </c>
      <c r="K95">
        <v>2</v>
      </c>
      <c r="L95">
        <v>0</v>
      </c>
      <c r="M95">
        <v>0</v>
      </c>
    </row>
    <row r="96" spans="1:14">
      <c r="A96" s="8" t="s">
        <v>132</v>
      </c>
      <c r="H96">
        <v>2</v>
      </c>
      <c r="I96">
        <v>2</v>
      </c>
      <c r="J96">
        <v>0</v>
      </c>
      <c r="K96">
        <v>2</v>
      </c>
      <c r="L96">
        <v>0</v>
      </c>
      <c r="M96">
        <v>2</v>
      </c>
    </row>
    <row r="97" spans="1:14">
      <c r="A97" s="8" t="s">
        <v>133</v>
      </c>
      <c r="H97">
        <v>1</v>
      </c>
      <c r="I97">
        <v>2</v>
      </c>
      <c r="J97">
        <v>0</v>
      </c>
      <c r="K97">
        <v>2</v>
      </c>
      <c r="L97">
        <v>0</v>
      </c>
      <c r="M97">
        <v>2</v>
      </c>
    </row>
    <row r="98" spans="1:14">
      <c r="A98" s="8" t="s">
        <v>134</v>
      </c>
      <c r="E98">
        <v>1</v>
      </c>
      <c r="F98">
        <v>2</v>
      </c>
      <c r="G98">
        <v>2</v>
      </c>
    </row>
    <row r="99" spans="1:14">
      <c r="A99" s="8" t="s">
        <v>135</v>
      </c>
      <c r="E99">
        <v>1</v>
      </c>
      <c r="F99">
        <v>2</v>
      </c>
      <c r="G99">
        <v>2</v>
      </c>
      <c r="M99">
        <v>0</v>
      </c>
    </row>
    <row r="100" spans="1:14">
      <c r="A100" s="8" t="s">
        <v>136</v>
      </c>
      <c r="E100">
        <v>1</v>
      </c>
      <c r="F100">
        <v>2</v>
      </c>
      <c r="G100">
        <v>1</v>
      </c>
    </row>
    <row r="101" spans="1:14">
      <c r="A101" s="8" t="s">
        <v>137</v>
      </c>
      <c r="B101" t="s">
        <v>24</v>
      </c>
      <c r="C101">
        <v>0</v>
      </c>
      <c r="D101">
        <v>2</v>
      </c>
    </row>
    <row r="103" spans="1:14">
      <c r="A103" s="7" t="s">
        <v>138</v>
      </c>
      <c r="N103" t="s">
        <v>139</v>
      </c>
    </row>
    <row r="104" spans="1:14">
      <c r="A104" s="8" t="s">
        <v>140</v>
      </c>
      <c r="H104">
        <v>0</v>
      </c>
      <c r="I104">
        <v>0</v>
      </c>
      <c r="J104">
        <v>0</v>
      </c>
      <c r="K104">
        <v>0</v>
      </c>
      <c r="L104">
        <v>1</v>
      </c>
      <c r="M104">
        <v>0</v>
      </c>
    </row>
    <row r="105" spans="1:14">
      <c r="A105" s="8" t="s">
        <v>141</v>
      </c>
      <c r="H105">
        <v>2</v>
      </c>
      <c r="I105">
        <v>0</v>
      </c>
      <c r="L105">
        <v>1</v>
      </c>
      <c r="M105">
        <v>0</v>
      </c>
    </row>
    <row r="106" spans="1:14">
      <c r="A106" s="8" t="s">
        <v>142</v>
      </c>
      <c r="H106">
        <v>1</v>
      </c>
      <c r="I106">
        <v>0</v>
      </c>
      <c r="J106">
        <v>1</v>
      </c>
      <c r="K106">
        <v>0</v>
      </c>
      <c r="L106">
        <v>0</v>
      </c>
      <c r="M106">
        <v>0</v>
      </c>
    </row>
    <row r="107" spans="1:14">
      <c r="A107" s="8" t="s">
        <v>143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4">
      <c r="A108" s="8" t="s">
        <v>144</v>
      </c>
      <c r="H108">
        <v>2</v>
      </c>
      <c r="I108">
        <v>1</v>
      </c>
      <c r="J108">
        <v>1</v>
      </c>
      <c r="K108">
        <v>0</v>
      </c>
      <c r="L108">
        <v>0</v>
      </c>
      <c r="M108">
        <v>2</v>
      </c>
    </row>
    <row r="109" spans="1:14">
      <c r="A109" s="8" t="s">
        <v>145</v>
      </c>
      <c r="E109">
        <v>0</v>
      </c>
      <c r="F109">
        <v>0</v>
      </c>
      <c r="M109">
        <v>0</v>
      </c>
    </row>
    <row r="110" spans="1:14">
      <c r="A110" s="8" t="s">
        <v>146</v>
      </c>
      <c r="E110">
        <v>0</v>
      </c>
      <c r="F110">
        <v>1</v>
      </c>
    </row>
    <row r="111" spans="1:14">
      <c r="A111" s="8" t="s">
        <v>147</v>
      </c>
      <c r="B111" t="s">
        <v>30</v>
      </c>
      <c r="E111">
        <v>0</v>
      </c>
      <c r="F111">
        <v>1</v>
      </c>
    </row>
    <row r="112" spans="1:14">
      <c r="A112" s="8" t="s">
        <v>148</v>
      </c>
      <c r="B112" t="s">
        <v>30</v>
      </c>
    </row>
    <row r="114" spans="1:14">
      <c r="A114" s="7" t="s">
        <v>149</v>
      </c>
      <c r="N114" t="s">
        <v>150</v>
      </c>
    </row>
    <row r="115" spans="1:14">
      <c r="A115" s="8" t="s">
        <v>151</v>
      </c>
      <c r="H115">
        <v>2</v>
      </c>
      <c r="I115">
        <v>2</v>
      </c>
      <c r="J115">
        <v>1</v>
      </c>
      <c r="K115">
        <v>1</v>
      </c>
      <c r="L115">
        <v>0</v>
      </c>
      <c r="M115">
        <v>0</v>
      </c>
    </row>
    <row r="116" spans="1:14">
      <c r="A116" s="8" t="s">
        <v>152</v>
      </c>
      <c r="H116">
        <v>2</v>
      </c>
      <c r="I116">
        <v>2</v>
      </c>
      <c r="J116">
        <v>0</v>
      </c>
      <c r="K116">
        <v>2</v>
      </c>
      <c r="L116">
        <v>2</v>
      </c>
      <c r="M116">
        <v>0</v>
      </c>
    </row>
    <row r="117" spans="1:14">
      <c r="A117" s="8" t="s">
        <v>153</v>
      </c>
      <c r="H117">
        <v>1</v>
      </c>
      <c r="I117">
        <v>2</v>
      </c>
      <c r="J117">
        <v>0</v>
      </c>
      <c r="K117">
        <v>1</v>
      </c>
      <c r="L117">
        <v>0</v>
      </c>
      <c r="M117">
        <v>0</v>
      </c>
    </row>
    <row r="118" spans="1:14">
      <c r="A118" s="8" t="s">
        <v>154</v>
      </c>
      <c r="H118">
        <v>1</v>
      </c>
      <c r="I118">
        <v>1</v>
      </c>
      <c r="J118">
        <v>0</v>
      </c>
      <c r="K118">
        <v>1</v>
      </c>
      <c r="L118">
        <v>1</v>
      </c>
      <c r="M118">
        <v>0</v>
      </c>
    </row>
    <row r="119" spans="1:14">
      <c r="A119" s="8" t="s">
        <v>155</v>
      </c>
      <c r="E119">
        <v>2</v>
      </c>
      <c r="F119">
        <v>2</v>
      </c>
      <c r="G119">
        <v>2</v>
      </c>
    </row>
    <row r="120" spans="1:14">
      <c r="A120" s="8" t="s">
        <v>156</v>
      </c>
      <c r="E120">
        <v>1</v>
      </c>
      <c r="F120">
        <v>2</v>
      </c>
      <c r="L120">
        <v>0</v>
      </c>
      <c r="M120">
        <v>2</v>
      </c>
    </row>
    <row r="121" spans="1:14">
      <c r="A121" s="8" t="s">
        <v>157</v>
      </c>
      <c r="B121" t="s">
        <v>30</v>
      </c>
      <c r="C121">
        <v>0</v>
      </c>
      <c r="D121">
        <v>2</v>
      </c>
    </row>
    <row r="122" spans="1:14">
      <c r="A122" s="8"/>
    </row>
    <row r="123" spans="1:14">
      <c r="A123" s="8"/>
    </row>
    <row r="124" spans="1:14">
      <c r="A124" s="8"/>
    </row>
    <row r="125" spans="1:14">
      <c r="A125" s="8"/>
    </row>
    <row r="126" spans="1:14">
      <c r="A126" s="8"/>
    </row>
    <row r="128" spans="1:14">
      <c r="A128" s="12" t="s">
        <v>158</v>
      </c>
      <c r="B128" t="s">
        <v>159</v>
      </c>
      <c r="C128" t="s">
        <v>160</v>
      </c>
      <c r="N128" t="s">
        <v>161</v>
      </c>
    </row>
    <row r="129" spans="1:14">
      <c r="A129" s="8" t="s">
        <v>162</v>
      </c>
      <c r="H129">
        <v>2</v>
      </c>
      <c r="I129">
        <v>1</v>
      </c>
      <c r="J129">
        <v>0</v>
      </c>
      <c r="K129">
        <v>0</v>
      </c>
      <c r="L129">
        <v>2</v>
      </c>
      <c r="M129">
        <v>0</v>
      </c>
    </row>
    <row r="130" spans="1:14">
      <c r="A130" s="8" t="s">
        <v>163</v>
      </c>
      <c r="H130">
        <v>1</v>
      </c>
      <c r="I130">
        <v>1</v>
      </c>
      <c r="J130">
        <v>0</v>
      </c>
      <c r="K130">
        <v>0</v>
      </c>
      <c r="L130">
        <v>2</v>
      </c>
      <c r="M130">
        <v>0</v>
      </c>
    </row>
    <row r="131" spans="1:14">
      <c r="A131" s="8" t="s">
        <v>164</v>
      </c>
      <c r="H131">
        <v>2</v>
      </c>
      <c r="I131">
        <v>0</v>
      </c>
      <c r="J131">
        <v>0</v>
      </c>
      <c r="K131">
        <v>0</v>
      </c>
      <c r="L131">
        <v>0</v>
      </c>
      <c r="M131">
        <v>1</v>
      </c>
    </row>
    <row r="132" spans="1:14">
      <c r="A132" s="8" t="s">
        <v>165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4">
      <c r="A133" s="8" t="s">
        <v>166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2</v>
      </c>
    </row>
    <row r="134" spans="1:14">
      <c r="A134" s="8" t="s">
        <v>167</v>
      </c>
      <c r="B134" t="s">
        <v>24</v>
      </c>
    </row>
    <row r="136" spans="1:14">
      <c r="A136" s="10" t="s">
        <v>168</v>
      </c>
      <c r="B136" t="s">
        <v>169</v>
      </c>
      <c r="N136" t="s">
        <v>170</v>
      </c>
    </row>
    <row r="137" spans="1:14">
      <c r="A137" s="8" t="s">
        <v>171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2</v>
      </c>
    </row>
    <row r="138" spans="1:14">
      <c r="A138" s="8" t="s">
        <v>172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2</v>
      </c>
    </row>
    <row r="139" spans="1:14">
      <c r="A139" s="8" t="s">
        <v>173</v>
      </c>
      <c r="H139">
        <v>1</v>
      </c>
      <c r="I139">
        <v>0</v>
      </c>
      <c r="J139">
        <v>0</v>
      </c>
      <c r="K139">
        <v>0</v>
      </c>
      <c r="L139">
        <v>0</v>
      </c>
      <c r="M139">
        <v>2</v>
      </c>
    </row>
    <row r="140" spans="1:14">
      <c r="A140" s="8" t="s">
        <v>174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2</v>
      </c>
    </row>
    <row r="141" spans="1:14">
      <c r="A141" s="8" t="s">
        <v>175</v>
      </c>
      <c r="F141">
        <v>2</v>
      </c>
    </row>
    <row r="142" spans="1:14">
      <c r="A142" s="8" t="s">
        <v>176</v>
      </c>
      <c r="E142">
        <v>0</v>
      </c>
      <c r="F142">
        <v>2</v>
      </c>
      <c r="G142">
        <v>2</v>
      </c>
    </row>
    <row r="143" spans="1:14">
      <c r="A143" s="8" t="s">
        <v>177</v>
      </c>
      <c r="B143" t="s">
        <v>27</v>
      </c>
    </row>
    <row r="144" spans="1:14">
      <c r="A144" s="8" t="s">
        <v>178</v>
      </c>
      <c r="B144" t="s">
        <v>24</v>
      </c>
    </row>
    <row r="145" spans="1:14">
      <c r="A145" s="8" t="s">
        <v>179</v>
      </c>
      <c r="H145">
        <v>1</v>
      </c>
      <c r="I145">
        <v>2</v>
      </c>
      <c r="J145">
        <v>1</v>
      </c>
      <c r="K145">
        <v>2</v>
      </c>
      <c r="L145">
        <v>0</v>
      </c>
      <c r="M145">
        <v>2</v>
      </c>
      <c r="N145" t="s">
        <v>180</v>
      </c>
    </row>
    <row r="146" spans="1:14">
      <c r="A146" s="8" t="s">
        <v>181</v>
      </c>
      <c r="H146">
        <v>1</v>
      </c>
      <c r="I146">
        <v>2</v>
      </c>
      <c r="J146">
        <v>1</v>
      </c>
      <c r="K146">
        <v>1</v>
      </c>
      <c r="L146">
        <v>0</v>
      </c>
      <c r="M146">
        <v>2</v>
      </c>
    </row>
    <row r="147" spans="1:14">
      <c r="A147" s="8" t="s">
        <v>182</v>
      </c>
      <c r="H147">
        <v>2</v>
      </c>
      <c r="I147">
        <v>1</v>
      </c>
      <c r="J147">
        <v>2</v>
      </c>
      <c r="K147">
        <v>1</v>
      </c>
      <c r="L147">
        <v>0</v>
      </c>
      <c r="M147">
        <v>2</v>
      </c>
    </row>
    <row r="148" spans="1:14">
      <c r="A148" s="8" t="s">
        <v>183</v>
      </c>
      <c r="H148">
        <v>2</v>
      </c>
      <c r="I148">
        <v>1</v>
      </c>
      <c r="J148">
        <v>2</v>
      </c>
      <c r="K148">
        <v>1</v>
      </c>
      <c r="L148">
        <v>1</v>
      </c>
      <c r="M148">
        <v>1</v>
      </c>
    </row>
    <row r="149" spans="1:14">
      <c r="A149" s="8" t="s">
        <v>184</v>
      </c>
      <c r="E149">
        <v>2</v>
      </c>
      <c r="F149">
        <v>2</v>
      </c>
      <c r="G149">
        <v>2</v>
      </c>
    </row>
    <row r="150" spans="1:14">
      <c r="A150" s="8" t="s">
        <v>185</v>
      </c>
      <c r="B150" t="s">
        <v>24</v>
      </c>
    </row>
    <row r="152" spans="1:14">
      <c r="A152" s="10" t="s">
        <v>186</v>
      </c>
      <c r="B152" t="s">
        <v>187</v>
      </c>
      <c r="C152" t="s">
        <v>188</v>
      </c>
      <c r="N152" t="s">
        <v>189</v>
      </c>
    </row>
    <row r="153" spans="1:14">
      <c r="A153" s="8" t="s">
        <v>190</v>
      </c>
      <c r="H153">
        <v>0</v>
      </c>
      <c r="I153">
        <v>2</v>
      </c>
      <c r="J153">
        <v>0</v>
      </c>
      <c r="K153">
        <v>1</v>
      </c>
    </row>
    <row r="154" spans="1:14">
      <c r="A154" s="8" t="s">
        <v>191</v>
      </c>
      <c r="H154">
        <v>0</v>
      </c>
      <c r="I154">
        <v>2</v>
      </c>
      <c r="J154">
        <v>0</v>
      </c>
      <c r="K154">
        <v>0</v>
      </c>
      <c r="L154">
        <v>0</v>
      </c>
      <c r="M154">
        <v>2</v>
      </c>
    </row>
    <row r="155" spans="1:14">
      <c r="A155" s="8" t="s">
        <v>192</v>
      </c>
      <c r="E155">
        <v>2</v>
      </c>
      <c r="F155">
        <v>0</v>
      </c>
      <c r="G155">
        <v>1</v>
      </c>
    </row>
    <row r="156" spans="1:14">
      <c r="A156" s="8" t="s">
        <v>193</v>
      </c>
      <c r="B156" t="s">
        <v>24</v>
      </c>
      <c r="F156">
        <v>1</v>
      </c>
    </row>
    <row r="157" spans="1:14">
      <c r="A157" s="8" t="s">
        <v>194</v>
      </c>
      <c r="B157" t="s">
        <v>24</v>
      </c>
    </row>
    <row r="159" spans="1:14">
      <c r="A159" s="10" t="s">
        <v>195</v>
      </c>
      <c r="B159" t="s">
        <v>196</v>
      </c>
      <c r="E159" t="s">
        <v>197</v>
      </c>
    </row>
    <row r="160" spans="1:14">
      <c r="A160" s="8" t="s">
        <v>198</v>
      </c>
      <c r="I160">
        <v>1</v>
      </c>
      <c r="M160">
        <v>1</v>
      </c>
    </row>
    <row r="162" spans="1:14">
      <c r="A162" s="10" t="s">
        <v>199</v>
      </c>
      <c r="B162" t="s">
        <v>200</v>
      </c>
      <c r="D162" t="s">
        <v>201</v>
      </c>
      <c r="N162" t="s">
        <v>202</v>
      </c>
    </row>
    <row r="163" spans="1:14">
      <c r="A163" s="8" t="s">
        <v>203</v>
      </c>
      <c r="H163">
        <v>0</v>
      </c>
      <c r="I163">
        <v>0</v>
      </c>
      <c r="J163">
        <v>0</v>
      </c>
      <c r="K163">
        <v>0</v>
      </c>
      <c r="L163">
        <v>1</v>
      </c>
      <c r="M163">
        <v>2</v>
      </c>
    </row>
    <row r="164" spans="1:14">
      <c r="A164" s="8" t="s">
        <v>204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1</v>
      </c>
    </row>
    <row r="165" spans="1:14">
      <c r="A165" s="8" t="s">
        <v>205</v>
      </c>
      <c r="E165">
        <v>0</v>
      </c>
      <c r="F165">
        <v>0</v>
      </c>
      <c r="G165">
        <v>1</v>
      </c>
    </row>
    <row r="166" spans="1:14">
      <c r="A166" s="8" t="s">
        <v>206</v>
      </c>
      <c r="E166">
        <v>2</v>
      </c>
      <c r="F166">
        <v>2</v>
      </c>
      <c r="G166">
        <v>2</v>
      </c>
    </row>
    <row r="168" spans="1:14">
      <c r="A168" s="10" t="s">
        <v>207</v>
      </c>
      <c r="B168" t="s">
        <v>208</v>
      </c>
      <c r="E168" t="s">
        <v>209</v>
      </c>
      <c r="N168" t="s">
        <v>210</v>
      </c>
    </row>
    <row r="169" spans="1:14">
      <c r="A169" s="8" t="s">
        <v>211</v>
      </c>
      <c r="I169">
        <v>1</v>
      </c>
      <c r="K169">
        <v>0</v>
      </c>
      <c r="L169">
        <v>0</v>
      </c>
      <c r="M169">
        <v>0</v>
      </c>
    </row>
    <row r="170" spans="1:14">
      <c r="A170" s="8" t="s">
        <v>212</v>
      </c>
      <c r="H170">
        <v>0</v>
      </c>
      <c r="I170">
        <v>1</v>
      </c>
      <c r="J170">
        <v>0</v>
      </c>
      <c r="K170">
        <v>0</v>
      </c>
      <c r="L170">
        <v>0</v>
      </c>
      <c r="M170">
        <v>0</v>
      </c>
    </row>
    <row r="171" spans="1:14">
      <c r="A171" s="8" t="s">
        <v>213</v>
      </c>
      <c r="E171">
        <v>2</v>
      </c>
      <c r="F171">
        <v>0</v>
      </c>
      <c r="G171">
        <v>1</v>
      </c>
    </row>
    <row r="172" spans="1:14">
      <c r="A172" s="8" t="s">
        <v>214</v>
      </c>
      <c r="E172">
        <v>1</v>
      </c>
      <c r="F172">
        <v>1</v>
      </c>
      <c r="G172">
        <v>1</v>
      </c>
    </row>
    <row r="173" spans="1:14">
      <c r="A173" s="8" t="s">
        <v>215</v>
      </c>
      <c r="B173" t="s">
        <v>27</v>
      </c>
      <c r="C173">
        <v>0</v>
      </c>
      <c r="D173">
        <v>2</v>
      </c>
    </row>
    <row r="175" spans="1:14">
      <c r="A175" s="7" t="s">
        <v>216</v>
      </c>
      <c r="B175" t="s">
        <v>217</v>
      </c>
      <c r="C175" t="s">
        <v>218</v>
      </c>
      <c r="G175" t="s">
        <v>219</v>
      </c>
      <c r="N175" t="s">
        <v>220</v>
      </c>
    </row>
    <row r="176" spans="1:14">
      <c r="A176" s="8" t="s">
        <v>221</v>
      </c>
      <c r="H176">
        <v>2</v>
      </c>
      <c r="I176">
        <v>0</v>
      </c>
      <c r="J176">
        <v>2</v>
      </c>
      <c r="K176">
        <v>0</v>
      </c>
      <c r="L176">
        <v>0</v>
      </c>
      <c r="M176">
        <v>2</v>
      </c>
    </row>
    <row r="177" spans="1:14">
      <c r="A177" s="8" t="s">
        <v>222</v>
      </c>
      <c r="H177">
        <v>2</v>
      </c>
      <c r="I177">
        <v>0</v>
      </c>
      <c r="J177">
        <v>2</v>
      </c>
      <c r="K177">
        <v>0</v>
      </c>
      <c r="L177">
        <v>0</v>
      </c>
      <c r="M177">
        <v>1</v>
      </c>
    </row>
    <row r="178" spans="1:14">
      <c r="A178" s="8" t="s">
        <v>223</v>
      </c>
      <c r="H178">
        <v>2</v>
      </c>
      <c r="I178">
        <v>1</v>
      </c>
      <c r="J178">
        <v>2</v>
      </c>
      <c r="K178">
        <v>0</v>
      </c>
      <c r="L178">
        <v>0</v>
      </c>
      <c r="M178">
        <v>0</v>
      </c>
    </row>
    <row r="179" spans="1:14">
      <c r="A179" s="8" t="s">
        <v>224</v>
      </c>
      <c r="H179">
        <v>2</v>
      </c>
      <c r="I179">
        <v>0</v>
      </c>
      <c r="J179">
        <v>2</v>
      </c>
      <c r="K179">
        <v>0</v>
      </c>
      <c r="L179">
        <v>0</v>
      </c>
      <c r="M179">
        <v>0</v>
      </c>
    </row>
    <row r="180" spans="1:14">
      <c r="A180" s="8" t="s">
        <v>225</v>
      </c>
      <c r="H180">
        <v>2</v>
      </c>
      <c r="I180">
        <v>0</v>
      </c>
      <c r="J180">
        <v>2</v>
      </c>
      <c r="K180">
        <v>0</v>
      </c>
      <c r="L180">
        <v>0</v>
      </c>
      <c r="M180">
        <v>1</v>
      </c>
    </row>
    <row r="181" spans="1:14">
      <c r="A181" s="8" t="s">
        <v>226</v>
      </c>
      <c r="H181">
        <v>2</v>
      </c>
      <c r="I181">
        <v>0</v>
      </c>
      <c r="J181">
        <v>2</v>
      </c>
      <c r="K181">
        <v>0</v>
      </c>
      <c r="L181">
        <v>0</v>
      </c>
      <c r="M181">
        <v>0</v>
      </c>
    </row>
    <row r="182" spans="1:14">
      <c r="A182" s="8" t="s">
        <v>227</v>
      </c>
      <c r="E182">
        <v>1</v>
      </c>
      <c r="F182">
        <v>0</v>
      </c>
    </row>
    <row r="183" spans="1:14">
      <c r="A183" s="8" t="s">
        <v>228</v>
      </c>
      <c r="B183" t="s">
        <v>24</v>
      </c>
      <c r="C183">
        <v>0</v>
      </c>
      <c r="D183">
        <v>2</v>
      </c>
    </row>
    <row r="185" spans="1:14">
      <c r="A185" s="12" t="s">
        <v>229</v>
      </c>
      <c r="B185" t="s">
        <v>230</v>
      </c>
      <c r="C185" t="s">
        <v>231</v>
      </c>
      <c r="N185" t="s">
        <v>232</v>
      </c>
    </row>
    <row r="186" spans="1:14">
      <c r="A186" s="8" t="s">
        <v>233</v>
      </c>
      <c r="H186">
        <v>0</v>
      </c>
      <c r="I186">
        <v>2</v>
      </c>
      <c r="J186">
        <v>0</v>
      </c>
      <c r="K186">
        <v>2</v>
      </c>
      <c r="L186">
        <v>2</v>
      </c>
      <c r="M186">
        <v>2</v>
      </c>
    </row>
    <row r="187" spans="1:14">
      <c r="A187" s="8" t="s">
        <v>234</v>
      </c>
      <c r="H187">
        <v>1</v>
      </c>
      <c r="I187">
        <v>2</v>
      </c>
      <c r="J187">
        <v>0</v>
      </c>
      <c r="K187">
        <v>2</v>
      </c>
      <c r="L187">
        <v>2</v>
      </c>
      <c r="M187">
        <v>2</v>
      </c>
    </row>
    <row r="188" spans="1:14">
      <c r="A188" s="8" t="s">
        <v>235</v>
      </c>
      <c r="H188">
        <v>2</v>
      </c>
      <c r="I188">
        <v>2</v>
      </c>
      <c r="J188">
        <v>0</v>
      </c>
      <c r="K188">
        <v>2</v>
      </c>
      <c r="L188">
        <v>2</v>
      </c>
      <c r="M188">
        <v>2</v>
      </c>
    </row>
    <row r="189" spans="1:14">
      <c r="A189" s="8" t="s">
        <v>236</v>
      </c>
      <c r="H189">
        <v>1</v>
      </c>
      <c r="I189">
        <v>2</v>
      </c>
      <c r="J189">
        <v>0</v>
      </c>
      <c r="K189">
        <v>2</v>
      </c>
      <c r="L189">
        <v>2</v>
      </c>
      <c r="M189">
        <v>2</v>
      </c>
    </row>
    <row r="190" spans="1:14">
      <c r="A190" s="8" t="s">
        <v>237</v>
      </c>
      <c r="H190">
        <v>2</v>
      </c>
      <c r="I190">
        <v>2</v>
      </c>
      <c r="J190">
        <v>0</v>
      </c>
      <c r="K190">
        <v>2</v>
      </c>
      <c r="L190">
        <v>2</v>
      </c>
      <c r="M190">
        <v>2</v>
      </c>
    </row>
    <row r="191" spans="1:14">
      <c r="A191" s="8" t="s">
        <v>238</v>
      </c>
      <c r="E191">
        <v>0</v>
      </c>
      <c r="F191">
        <v>2</v>
      </c>
      <c r="G191">
        <v>2</v>
      </c>
    </row>
    <row r="192" spans="1:14">
      <c r="A192" s="8" t="s">
        <v>239</v>
      </c>
      <c r="B192" t="s">
        <v>24</v>
      </c>
    </row>
    <row r="194" spans="1:14">
      <c r="A194" s="7" t="s">
        <v>240</v>
      </c>
      <c r="B194" t="s">
        <v>241</v>
      </c>
      <c r="I194" t="s">
        <v>242</v>
      </c>
      <c r="N194" t="s">
        <v>243</v>
      </c>
    </row>
    <row r="195" spans="1:14">
      <c r="A195" s="8" t="s">
        <v>244</v>
      </c>
      <c r="H195">
        <v>2</v>
      </c>
      <c r="I195">
        <v>0</v>
      </c>
      <c r="J195">
        <v>1</v>
      </c>
      <c r="K195">
        <v>0</v>
      </c>
      <c r="L195">
        <v>0</v>
      </c>
      <c r="M195">
        <v>0</v>
      </c>
    </row>
    <row r="196" spans="1:14">
      <c r="A196" s="8" t="s">
        <v>245</v>
      </c>
      <c r="H196">
        <v>1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4">
      <c r="A197" s="8" t="s">
        <v>246</v>
      </c>
      <c r="H197">
        <v>2</v>
      </c>
      <c r="I197">
        <v>0</v>
      </c>
      <c r="J197">
        <v>2</v>
      </c>
      <c r="K197">
        <v>0</v>
      </c>
      <c r="L197">
        <v>0</v>
      </c>
      <c r="M197">
        <v>0</v>
      </c>
    </row>
    <row r="198" spans="1:14">
      <c r="A198" s="8" t="s">
        <v>247</v>
      </c>
      <c r="H198">
        <v>1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4">
      <c r="A199" s="8" t="s">
        <v>248</v>
      </c>
      <c r="H199">
        <v>2</v>
      </c>
      <c r="I199">
        <v>0</v>
      </c>
      <c r="J199">
        <v>2</v>
      </c>
      <c r="K199">
        <v>0</v>
      </c>
      <c r="L199">
        <v>0</v>
      </c>
      <c r="M199">
        <v>0</v>
      </c>
    </row>
    <row r="200" spans="1:14">
      <c r="A200" s="8" t="s">
        <v>249</v>
      </c>
      <c r="H200">
        <v>1</v>
      </c>
      <c r="I200">
        <v>0</v>
      </c>
      <c r="J200">
        <v>0</v>
      </c>
      <c r="K200">
        <v>0</v>
      </c>
      <c r="L200">
        <v>0</v>
      </c>
      <c r="M200">
        <v>1</v>
      </c>
    </row>
    <row r="201" spans="1:14">
      <c r="A201" s="8" t="s">
        <v>250</v>
      </c>
      <c r="E201">
        <v>1</v>
      </c>
      <c r="F201">
        <v>0</v>
      </c>
      <c r="G201">
        <v>2</v>
      </c>
    </row>
    <row r="202" spans="1:14">
      <c r="A202" s="8" t="s">
        <v>251</v>
      </c>
      <c r="E202">
        <v>0</v>
      </c>
      <c r="F202">
        <v>0</v>
      </c>
      <c r="G202">
        <v>2</v>
      </c>
    </row>
    <row r="203" spans="1:14">
      <c r="A203" s="8" t="s">
        <v>252</v>
      </c>
      <c r="B203" t="s">
        <v>30</v>
      </c>
    </row>
    <row r="204" spans="1:14">
      <c r="A204" s="8" t="s">
        <v>253</v>
      </c>
      <c r="B204" s="11" t="s">
        <v>27</v>
      </c>
    </row>
    <row r="206" spans="1:14">
      <c r="A206" s="10" t="s">
        <v>254</v>
      </c>
      <c r="B206" t="s">
        <v>255</v>
      </c>
      <c r="N206" t="s">
        <v>256</v>
      </c>
    </row>
    <row r="207" spans="1:14">
      <c r="A207" s="8" t="s">
        <v>257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2</v>
      </c>
    </row>
    <row r="208" spans="1:14">
      <c r="A208" s="8" t="s">
        <v>258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4">
      <c r="A209" s="8" t="s">
        <v>259</v>
      </c>
      <c r="H209">
        <v>1</v>
      </c>
      <c r="I209">
        <v>0</v>
      </c>
      <c r="J209">
        <v>0</v>
      </c>
      <c r="K209">
        <v>0</v>
      </c>
      <c r="L209">
        <v>0</v>
      </c>
      <c r="M209">
        <v>2</v>
      </c>
    </row>
    <row r="210" spans="1:14">
      <c r="A210" s="8" t="s">
        <v>260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2</v>
      </c>
    </row>
    <row r="211" spans="1:14">
      <c r="A211" s="8" t="s">
        <v>261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4">
      <c r="A212" s="8" t="s">
        <v>262</v>
      </c>
      <c r="E212">
        <v>2</v>
      </c>
      <c r="F212">
        <v>1</v>
      </c>
      <c r="G212">
        <v>2</v>
      </c>
    </row>
    <row r="213" spans="1:14">
      <c r="A213" s="8" t="s">
        <v>263</v>
      </c>
      <c r="E213">
        <v>1</v>
      </c>
      <c r="F213">
        <v>1</v>
      </c>
      <c r="G213">
        <v>2</v>
      </c>
    </row>
    <row r="214" spans="1:14">
      <c r="A214" s="8" t="s">
        <v>264</v>
      </c>
      <c r="B214" t="s">
        <v>24</v>
      </c>
      <c r="C214">
        <v>2</v>
      </c>
      <c r="D214">
        <v>0</v>
      </c>
    </row>
    <row r="216" spans="1:14">
      <c r="A216" s="7" t="s">
        <v>265</v>
      </c>
      <c r="B216" t="s">
        <v>266</v>
      </c>
      <c r="N216" t="s">
        <v>267</v>
      </c>
    </row>
    <row r="217" spans="1:14">
      <c r="A217" s="8" t="s">
        <v>268</v>
      </c>
      <c r="H217">
        <v>2</v>
      </c>
      <c r="I217">
        <v>0</v>
      </c>
      <c r="J217">
        <v>2</v>
      </c>
      <c r="K217">
        <v>0</v>
      </c>
      <c r="L217">
        <v>0</v>
      </c>
      <c r="M217">
        <v>2</v>
      </c>
    </row>
    <row r="218" spans="1:14">
      <c r="A218" s="8" t="s">
        <v>269</v>
      </c>
      <c r="H218">
        <v>2</v>
      </c>
      <c r="I218">
        <v>0</v>
      </c>
      <c r="J218">
        <v>0</v>
      </c>
      <c r="K218">
        <v>0</v>
      </c>
      <c r="L218">
        <v>0</v>
      </c>
      <c r="M218">
        <v>2</v>
      </c>
    </row>
    <row r="219" spans="1:14">
      <c r="A219" s="8" t="s">
        <v>270</v>
      </c>
      <c r="E219">
        <v>2</v>
      </c>
      <c r="F219">
        <v>0</v>
      </c>
      <c r="G219">
        <v>0</v>
      </c>
    </row>
    <row r="220" spans="1:14">
      <c r="A220" s="8" t="s">
        <v>271</v>
      </c>
      <c r="E220">
        <v>1</v>
      </c>
      <c r="F220">
        <v>1</v>
      </c>
      <c r="G220">
        <v>2</v>
      </c>
    </row>
    <row r="221" spans="1:14">
      <c r="A221" s="8" t="s">
        <v>272</v>
      </c>
      <c r="B221" t="s">
        <v>24</v>
      </c>
    </row>
    <row r="223" spans="1:14">
      <c r="A223" s="10" t="s">
        <v>273</v>
      </c>
      <c r="B223" t="s">
        <v>274</v>
      </c>
      <c r="N223" t="s">
        <v>275</v>
      </c>
    </row>
    <row r="224" spans="1:14">
      <c r="A224" s="8" t="s">
        <v>276</v>
      </c>
      <c r="H224">
        <v>2</v>
      </c>
      <c r="I224">
        <v>0</v>
      </c>
      <c r="J224">
        <v>1</v>
      </c>
      <c r="K224">
        <v>0</v>
      </c>
      <c r="L224">
        <v>0</v>
      </c>
      <c r="M224">
        <v>2</v>
      </c>
    </row>
    <row r="225" spans="1:14">
      <c r="A225" s="8" t="s">
        <v>277</v>
      </c>
      <c r="H225">
        <v>1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4">
      <c r="A226" s="8" t="s">
        <v>278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1</v>
      </c>
    </row>
    <row r="227" spans="1:14">
      <c r="A227" s="8" t="s">
        <v>279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4">
      <c r="A228" s="8" t="s">
        <v>280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4">
      <c r="A229" s="8" t="s">
        <v>281</v>
      </c>
      <c r="E229">
        <v>2</v>
      </c>
      <c r="F229">
        <v>0</v>
      </c>
      <c r="G229">
        <v>2</v>
      </c>
    </row>
    <row r="230" spans="1:14">
      <c r="A230" s="8" t="s">
        <v>282</v>
      </c>
      <c r="E230">
        <v>1</v>
      </c>
      <c r="F230">
        <v>1</v>
      </c>
      <c r="G230">
        <v>2</v>
      </c>
    </row>
    <row r="231" spans="1:14">
      <c r="A231" s="8" t="s">
        <v>283</v>
      </c>
      <c r="B231" t="s">
        <v>30</v>
      </c>
    </row>
    <row r="233" spans="1:14">
      <c r="A233" s="7" t="s">
        <v>284</v>
      </c>
      <c r="B233" t="s">
        <v>285</v>
      </c>
      <c r="C233" t="s">
        <v>286</v>
      </c>
      <c r="N233" t="s">
        <v>287</v>
      </c>
    </row>
    <row r="234" spans="1:14">
      <c r="A234" s="8" t="s">
        <v>288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2</v>
      </c>
    </row>
    <row r="235" spans="1:14">
      <c r="A235" s="8" t="s">
        <v>289</v>
      </c>
      <c r="H235">
        <v>2</v>
      </c>
      <c r="I235">
        <v>0</v>
      </c>
      <c r="J235">
        <v>1</v>
      </c>
      <c r="K235">
        <v>0</v>
      </c>
      <c r="L235">
        <v>0</v>
      </c>
      <c r="M235">
        <v>2</v>
      </c>
    </row>
    <row r="236" spans="1:14">
      <c r="A236" s="8" t="s">
        <v>290</v>
      </c>
      <c r="H236">
        <v>2</v>
      </c>
      <c r="I236">
        <v>0</v>
      </c>
      <c r="J236">
        <v>0</v>
      </c>
      <c r="K236">
        <v>0</v>
      </c>
      <c r="L236">
        <v>0</v>
      </c>
      <c r="M236">
        <v>2</v>
      </c>
    </row>
    <row r="237" spans="1:14">
      <c r="A237" s="8" t="s">
        <v>291</v>
      </c>
      <c r="E237">
        <v>2</v>
      </c>
      <c r="F237">
        <v>1</v>
      </c>
      <c r="G237">
        <v>2</v>
      </c>
    </row>
    <row r="238" spans="1:14">
      <c r="A238" s="8" t="s">
        <v>292</v>
      </c>
      <c r="E238">
        <v>2</v>
      </c>
      <c r="F238">
        <v>1</v>
      </c>
      <c r="G238">
        <v>1</v>
      </c>
    </row>
    <row r="239" spans="1:14">
      <c r="A239" s="8" t="s">
        <v>293</v>
      </c>
      <c r="E239">
        <v>2</v>
      </c>
      <c r="F239">
        <v>1</v>
      </c>
      <c r="G239">
        <v>0</v>
      </c>
    </row>
    <row r="240" spans="1:14">
      <c r="A240" s="8" t="s">
        <v>294</v>
      </c>
      <c r="B240" t="s">
        <v>24</v>
      </c>
    </row>
    <row r="242" spans="1:14">
      <c r="A242" s="10" t="s">
        <v>295</v>
      </c>
      <c r="N242" t="s">
        <v>296</v>
      </c>
    </row>
    <row r="243" spans="1:14">
      <c r="A243" s="8" t="s">
        <v>297</v>
      </c>
      <c r="H243">
        <v>1</v>
      </c>
      <c r="I243">
        <v>2</v>
      </c>
      <c r="J243">
        <v>0</v>
      </c>
      <c r="K243">
        <v>0</v>
      </c>
      <c r="L243">
        <v>0</v>
      </c>
      <c r="M243">
        <v>2</v>
      </c>
    </row>
    <row r="244" spans="1:14">
      <c r="A244" s="8" t="s">
        <v>298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2</v>
      </c>
    </row>
    <row r="245" spans="1:14">
      <c r="A245" s="8" t="s">
        <v>299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1</v>
      </c>
    </row>
    <row r="246" spans="1:14">
      <c r="A246" s="8" t="s">
        <v>300</v>
      </c>
      <c r="H246">
        <v>1</v>
      </c>
      <c r="I246">
        <v>1</v>
      </c>
      <c r="J246">
        <v>0</v>
      </c>
      <c r="K246">
        <v>0</v>
      </c>
      <c r="L246">
        <v>0</v>
      </c>
      <c r="M246">
        <v>0</v>
      </c>
    </row>
    <row r="247" spans="1:14">
      <c r="A247" s="8" t="s">
        <v>301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4">
      <c r="A248" s="8" t="s">
        <v>302</v>
      </c>
      <c r="E248">
        <v>0</v>
      </c>
      <c r="F248">
        <v>0</v>
      </c>
      <c r="G248">
        <v>0</v>
      </c>
    </row>
    <row r="249" spans="1:14">
      <c r="A249" s="8" t="s">
        <v>303</v>
      </c>
      <c r="E249">
        <v>1</v>
      </c>
      <c r="F249">
        <v>2</v>
      </c>
      <c r="G249">
        <v>2</v>
      </c>
    </row>
    <row r="250" spans="1:14">
      <c r="A250" s="8" t="s">
        <v>304</v>
      </c>
      <c r="B250" t="s">
        <v>24</v>
      </c>
    </row>
    <row r="252" spans="1:14">
      <c r="A252" s="7" t="s">
        <v>305</v>
      </c>
      <c r="B252" t="s">
        <v>306</v>
      </c>
      <c r="C252" t="s">
        <v>307</v>
      </c>
      <c r="N252" t="s">
        <v>308</v>
      </c>
    </row>
    <row r="253" spans="1:14">
      <c r="A253" s="8" t="s">
        <v>309</v>
      </c>
      <c r="H253">
        <v>1</v>
      </c>
      <c r="I253">
        <v>2</v>
      </c>
      <c r="J253">
        <v>0</v>
      </c>
      <c r="K253">
        <v>2</v>
      </c>
      <c r="L253">
        <v>0</v>
      </c>
      <c r="M253">
        <v>2</v>
      </c>
    </row>
    <row r="254" spans="1:14">
      <c r="A254" s="8" t="s">
        <v>310</v>
      </c>
      <c r="H254">
        <v>0</v>
      </c>
      <c r="I254">
        <v>2</v>
      </c>
      <c r="J254">
        <v>0</v>
      </c>
      <c r="K254">
        <v>2</v>
      </c>
      <c r="L254">
        <v>0</v>
      </c>
      <c r="M254">
        <v>2</v>
      </c>
    </row>
    <row r="255" spans="1:14">
      <c r="A255" s="8" t="s">
        <v>311</v>
      </c>
      <c r="H255">
        <v>1</v>
      </c>
      <c r="I255">
        <v>1</v>
      </c>
      <c r="J255">
        <v>0</v>
      </c>
      <c r="K255">
        <v>0</v>
      </c>
      <c r="L255">
        <v>0</v>
      </c>
      <c r="M255">
        <v>2</v>
      </c>
    </row>
    <row r="256" spans="1:14">
      <c r="A256" s="8" t="s">
        <v>312</v>
      </c>
      <c r="H256">
        <v>2</v>
      </c>
      <c r="I256">
        <v>1</v>
      </c>
      <c r="J256">
        <v>2</v>
      </c>
      <c r="K256">
        <v>1</v>
      </c>
      <c r="L256">
        <v>0</v>
      </c>
      <c r="M256">
        <v>2</v>
      </c>
    </row>
    <row r="257" spans="1:14">
      <c r="A257" s="8" t="s">
        <v>313</v>
      </c>
      <c r="E257">
        <v>2</v>
      </c>
      <c r="F257">
        <v>2</v>
      </c>
      <c r="G257">
        <v>2</v>
      </c>
    </row>
    <row r="258" spans="1:14">
      <c r="A258" s="8" t="s">
        <v>314</v>
      </c>
      <c r="E258">
        <v>2</v>
      </c>
      <c r="F258">
        <v>1</v>
      </c>
      <c r="G258">
        <v>2</v>
      </c>
    </row>
    <row r="259" spans="1:14">
      <c r="A259" s="8" t="s">
        <v>315</v>
      </c>
      <c r="B259" t="s">
        <v>24</v>
      </c>
    </row>
    <row r="261" spans="1:14">
      <c r="A261" s="10" t="s">
        <v>316</v>
      </c>
      <c r="B261" t="s">
        <v>317</v>
      </c>
      <c r="D261" t="s">
        <v>318</v>
      </c>
      <c r="N261" t="s">
        <v>319</v>
      </c>
    </row>
    <row r="262" spans="1:14">
      <c r="A262" s="8" t="s">
        <v>320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2</v>
      </c>
    </row>
    <row r="263" spans="1:14">
      <c r="A263" s="8" t="s">
        <v>321</v>
      </c>
      <c r="H263">
        <v>0</v>
      </c>
      <c r="I263">
        <v>1</v>
      </c>
      <c r="J263">
        <v>0</v>
      </c>
      <c r="K263">
        <v>0</v>
      </c>
      <c r="L263">
        <v>0</v>
      </c>
      <c r="M263">
        <v>2</v>
      </c>
    </row>
    <row r="264" spans="1:14">
      <c r="A264" s="8" t="s">
        <v>322</v>
      </c>
      <c r="H264">
        <v>1</v>
      </c>
      <c r="I264">
        <v>1</v>
      </c>
      <c r="J264">
        <v>0</v>
      </c>
      <c r="K264">
        <v>0</v>
      </c>
      <c r="L264">
        <v>0</v>
      </c>
      <c r="M264">
        <v>2</v>
      </c>
    </row>
    <row r="265" spans="1:14">
      <c r="A265" s="8" t="s">
        <v>323</v>
      </c>
      <c r="H265">
        <v>1</v>
      </c>
      <c r="I265">
        <v>1</v>
      </c>
      <c r="J265">
        <v>1</v>
      </c>
      <c r="K265">
        <v>0</v>
      </c>
      <c r="L265">
        <v>0</v>
      </c>
      <c r="M265">
        <v>2</v>
      </c>
    </row>
    <row r="266" spans="1:14">
      <c r="A266" s="8" t="s">
        <v>324</v>
      </c>
      <c r="E266">
        <v>1</v>
      </c>
      <c r="F266">
        <v>1</v>
      </c>
      <c r="G266">
        <v>2</v>
      </c>
    </row>
    <row r="267" spans="1:14">
      <c r="A267" s="8" t="s">
        <v>325</v>
      </c>
      <c r="E267">
        <v>0</v>
      </c>
      <c r="F267">
        <v>2</v>
      </c>
      <c r="G267">
        <v>2</v>
      </c>
    </row>
    <row r="268" spans="1:14">
      <c r="A268" s="8" t="s">
        <v>326</v>
      </c>
      <c r="B268" t="s">
        <v>27</v>
      </c>
    </row>
    <row r="269" spans="1:14">
      <c r="A269" s="8" t="s">
        <v>327</v>
      </c>
      <c r="B269" t="s">
        <v>30</v>
      </c>
    </row>
    <row r="271" spans="1:14">
      <c r="A271" s="7" t="s">
        <v>328</v>
      </c>
      <c r="B271" t="s">
        <v>329</v>
      </c>
      <c r="N271" t="s">
        <v>330</v>
      </c>
    </row>
    <row r="272" spans="1:14">
      <c r="A272" s="8" t="s">
        <v>331</v>
      </c>
      <c r="H272">
        <v>1</v>
      </c>
      <c r="I272">
        <v>2</v>
      </c>
      <c r="J272">
        <v>0</v>
      </c>
      <c r="K272">
        <v>2</v>
      </c>
      <c r="L272">
        <v>0</v>
      </c>
      <c r="M272">
        <v>2</v>
      </c>
    </row>
    <row r="273" spans="1:14">
      <c r="A273" s="8" t="s">
        <v>332</v>
      </c>
      <c r="H273">
        <v>1</v>
      </c>
      <c r="I273">
        <v>2</v>
      </c>
      <c r="J273">
        <v>1</v>
      </c>
      <c r="K273">
        <v>2</v>
      </c>
      <c r="L273">
        <v>0</v>
      </c>
      <c r="M273">
        <v>2</v>
      </c>
    </row>
    <row r="274" spans="1:14">
      <c r="A274" s="8" t="s">
        <v>333</v>
      </c>
      <c r="H274">
        <v>1</v>
      </c>
      <c r="I274">
        <v>2</v>
      </c>
      <c r="J274">
        <v>0</v>
      </c>
      <c r="K274">
        <v>2</v>
      </c>
      <c r="L274">
        <v>0</v>
      </c>
      <c r="M274">
        <v>2</v>
      </c>
    </row>
    <row r="275" spans="1:14">
      <c r="A275" s="8" t="s">
        <v>334</v>
      </c>
      <c r="E275">
        <v>1</v>
      </c>
      <c r="F275">
        <v>0</v>
      </c>
      <c r="G275">
        <v>2</v>
      </c>
    </row>
    <row r="276" spans="1:14">
      <c r="A276" s="8" t="s">
        <v>335</v>
      </c>
      <c r="B276" t="s">
        <v>24</v>
      </c>
    </row>
    <row r="278" spans="1:14">
      <c r="A278" s="12" t="s">
        <v>336</v>
      </c>
      <c r="B278" t="s">
        <v>337</v>
      </c>
      <c r="N278" t="s">
        <v>338</v>
      </c>
    </row>
    <row r="279" spans="1:14">
      <c r="A279" s="8" t="s">
        <v>339</v>
      </c>
      <c r="H279">
        <v>2</v>
      </c>
      <c r="I279">
        <v>2</v>
      </c>
      <c r="J279">
        <v>0</v>
      </c>
      <c r="K279">
        <v>2</v>
      </c>
      <c r="L279">
        <v>2</v>
      </c>
      <c r="M279">
        <v>2</v>
      </c>
    </row>
    <row r="280" spans="1:14">
      <c r="A280" s="8" t="s">
        <v>340</v>
      </c>
      <c r="H280">
        <v>2</v>
      </c>
      <c r="I280">
        <v>2</v>
      </c>
      <c r="J280">
        <v>0</v>
      </c>
      <c r="K280">
        <v>2</v>
      </c>
      <c r="L280">
        <v>1</v>
      </c>
      <c r="M280">
        <v>2</v>
      </c>
    </row>
    <row r="281" spans="1:14">
      <c r="A281" s="8" t="s">
        <v>341</v>
      </c>
      <c r="H281">
        <v>2</v>
      </c>
      <c r="I281">
        <v>2</v>
      </c>
      <c r="J281">
        <v>0</v>
      </c>
      <c r="K281">
        <v>2</v>
      </c>
      <c r="L281">
        <v>2</v>
      </c>
      <c r="M281">
        <v>2</v>
      </c>
    </row>
    <row r="282" spans="1:14">
      <c r="A282" s="8" t="s">
        <v>342</v>
      </c>
      <c r="H282">
        <v>2</v>
      </c>
      <c r="I282">
        <v>2</v>
      </c>
      <c r="J282">
        <v>0</v>
      </c>
      <c r="K282">
        <v>2</v>
      </c>
      <c r="L282">
        <v>2</v>
      </c>
      <c r="M282">
        <v>2</v>
      </c>
    </row>
    <row r="283" spans="1:14">
      <c r="A283" s="8" t="s">
        <v>343</v>
      </c>
      <c r="E283">
        <v>1</v>
      </c>
      <c r="F283">
        <v>2</v>
      </c>
      <c r="G283">
        <v>2</v>
      </c>
    </row>
    <row r="284" spans="1:14">
      <c r="A284" s="8" t="s">
        <v>344</v>
      </c>
      <c r="B284" t="s">
        <v>24</v>
      </c>
    </row>
    <row r="285" spans="1:14">
      <c r="A285" s="8" t="s">
        <v>345</v>
      </c>
      <c r="B285" t="s">
        <v>24</v>
      </c>
    </row>
    <row r="287" spans="1:14">
      <c r="A287" s="12" t="s">
        <v>346</v>
      </c>
      <c r="B287" t="s">
        <v>347</v>
      </c>
      <c r="C287" t="s">
        <v>348</v>
      </c>
      <c r="N287" t="s">
        <v>349</v>
      </c>
    </row>
    <row r="288" spans="1:14">
      <c r="A288" s="8" t="s">
        <v>350</v>
      </c>
      <c r="H288">
        <v>1</v>
      </c>
      <c r="I288">
        <v>0</v>
      </c>
      <c r="J288">
        <v>0</v>
      </c>
      <c r="K288">
        <v>0</v>
      </c>
      <c r="L288">
        <v>0</v>
      </c>
      <c r="M288">
        <v>0</v>
      </c>
    </row>
    <row r="289" spans="1:14">
      <c r="A289" s="8" t="s">
        <v>351</v>
      </c>
      <c r="H289">
        <v>1</v>
      </c>
      <c r="I289">
        <v>0</v>
      </c>
      <c r="J289">
        <v>0</v>
      </c>
      <c r="K289">
        <v>0</v>
      </c>
      <c r="L289">
        <v>0</v>
      </c>
      <c r="M289">
        <v>0</v>
      </c>
    </row>
    <row r="290" spans="1:14">
      <c r="A290" s="8" t="s">
        <v>352</v>
      </c>
      <c r="H290">
        <v>2</v>
      </c>
      <c r="I290">
        <v>0</v>
      </c>
      <c r="J290">
        <v>0</v>
      </c>
      <c r="K290">
        <v>0</v>
      </c>
      <c r="L290">
        <v>0</v>
      </c>
      <c r="M290">
        <v>0</v>
      </c>
    </row>
    <row r="291" spans="1:14">
      <c r="A291" s="8" t="s">
        <v>353</v>
      </c>
      <c r="H291">
        <v>2</v>
      </c>
      <c r="I291">
        <v>0</v>
      </c>
      <c r="J291">
        <v>0</v>
      </c>
      <c r="K291">
        <v>0</v>
      </c>
      <c r="L291">
        <v>0</v>
      </c>
      <c r="M291">
        <v>0</v>
      </c>
    </row>
    <row r="292" spans="1:14">
      <c r="A292" s="8" t="s">
        <v>354</v>
      </c>
      <c r="H292">
        <v>1</v>
      </c>
      <c r="I292">
        <v>0</v>
      </c>
      <c r="J292">
        <v>0</v>
      </c>
      <c r="K292">
        <v>0</v>
      </c>
      <c r="L292">
        <v>0</v>
      </c>
      <c r="M292">
        <v>0</v>
      </c>
    </row>
    <row r="293" spans="1:14">
      <c r="A293" s="8" t="s">
        <v>355</v>
      </c>
      <c r="H293">
        <v>2</v>
      </c>
      <c r="I293">
        <v>0</v>
      </c>
      <c r="J293">
        <v>0</v>
      </c>
      <c r="K293">
        <v>0</v>
      </c>
      <c r="L293">
        <v>0</v>
      </c>
      <c r="M293">
        <v>0</v>
      </c>
    </row>
    <row r="294" spans="1:14">
      <c r="A294" s="8" t="s">
        <v>356</v>
      </c>
      <c r="E294">
        <v>2</v>
      </c>
      <c r="F294">
        <v>0</v>
      </c>
      <c r="G294">
        <v>1</v>
      </c>
    </row>
    <row r="295" spans="1:14">
      <c r="A295" s="8" t="s">
        <v>357</v>
      </c>
      <c r="E295">
        <v>0</v>
      </c>
      <c r="F295">
        <v>1</v>
      </c>
      <c r="G295">
        <v>1</v>
      </c>
    </row>
    <row r="296" spans="1:14">
      <c r="A296" s="8" t="s">
        <v>358</v>
      </c>
      <c r="B296" t="s">
        <v>24</v>
      </c>
    </row>
    <row r="297" spans="1:14">
      <c r="A297" s="8" t="s">
        <v>359</v>
      </c>
      <c r="B297" t="s">
        <v>24</v>
      </c>
    </row>
    <row r="298" spans="1:14">
      <c r="A298" s="8"/>
    </row>
    <row r="299" spans="1:14">
      <c r="A299" s="12" t="s">
        <v>360</v>
      </c>
      <c r="B299" t="s">
        <v>361</v>
      </c>
      <c r="C299" t="s">
        <v>362</v>
      </c>
      <c r="F299" t="s">
        <v>363</v>
      </c>
      <c r="N299" t="s">
        <v>364</v>
      </c>
    </row>
    <row r="300" spans="1:14">
      <c r="A300" s="8" t="s">
        <v>365</v>
      </c>
      <c r="H300">
        <v>2</v>
      </c>
      <c r="I300">
        <v>0</v>
      </c>
      <c r="J300">
        <v>0</v>
      </c>
      <c r="K300">
        <v>0</v>
      </c>
      <c r="L300">
        <v>0</v>
      </c>
      <c r="M300">
        <v>2</v>
      </c>
    </row>
    <row r="301" spans="1:14">
      <c r="A301" s="8" t="s">
        <v>366</v>
      </c>
      <c r="H301">
        <v>2</v>
      </c>
      <c r="I301">
        <v>0</v>
      </c>
      <c r="J301">
        <v>0</v>
      </c>
      <c r="K301">
        <v>0</v>
      </c>
      <c r="L301">
        <v>0</v>
      </c>
      <c r="M301">
        <v>2</v>
      </c>
    </row>
    <row r="302" spans="1:14">
      <c r="A302" s="8" t="s">
        <v>367</v>
      </c>
      <c r="H302">
        <v>2</v>
      </c>
      <c r="I302">
        <v>0</v>
      </c>
      <c r="J302">
        <v>0</v>
      </c>
      <c r="K302">
        <v>0</v>
      </c>
      <c r="L302">
        <v>0</v>
      </c>
      <c r="M302">
        <v>2</v>
      </c>
    </row>
    <row r="303" spans="1:14">
      <c r="A303" s="8" t="s">
        <v>368</v>
      </c>
      <c r="H303">
        <v>2</v>
      </c>
      <c r="I303">
        <v>0</v>
      </c>
      <c r="J303">
        <v>0</v>
      </c>
      <c r="K303">
        <v>0</v>
      </c>
      <c r="L303">
        <v>0</v>
      </c>
      <c r="M303">
        <v>2</v>
      </c>
    </row>
    <row r="304" spans="1:14">
      <c r="A304" s="8" t="s">
        <v>369</v>
      </c>
      <c r="H304">
        <v>2</v>
      </c>
      <c r="I304">
        <v>0</v>
      </c>
      <c r="J304">
        <v>0</v>
      </c>
      <c r="K304">
        <v>0</v>
      </c>
      <c r="L304">
        <v>0</v>
      </c>
      <c r="M304">
        <v>2</v>
      </c>
    </row>
    <row r="305" spans="1:14">
      <c r="A305" s="8" t="s">
        <v>370</v>
      </c>
      <c r="H305">
        <v>2</v>
      </c>
      <c r="I305">
        <v>0</v>
      </c>
      <c r="J305">
        <v>0</v>
      </c>
      <c r="K305">
        <v>0</v>
      </c>
      <c r="L305">
        <v>0</v>
      </c>
      <c r="M305">
        <v>2</v>
      </c>
    </row>
    <row r="306" spans="1:14">
      <c r="A306" s="8" t="s">
        <v>371</v>
      </c>
      <c r="E306">
        <v>2</v>
      </c>
      <c r="F306">
        <v>0</v>
      </c>
      <c r="G306">
        <v>2</v>
      </c>
    </row>
    <row r="307" spans="1:14">
      <c r="A307" s="8" t="s">
        <v>372</v>
      </c>
      <c r="E307">
        <v>2</v>
      </c>
      <c r="F307">
        <v>1</v>
      </c>
      <c r="G307">
        <v>2</v>
      </c>
    </row>
    <row r="308" spans="1:14">
      <c r="A308" s="8" t="s">
        <v>373</v>
      </c>
      <c r="B308" t="s">
        <v>24</v>
      </c>
    </row>
    <row r="309" spans="1:14">
      <c r="A309" s="8" t="s">
        <v>374</v>
      </c>
      <c r="B309" t="s">
        <v>24</v>
      </c>
    </row>
    <row r="311" spans="1:14">
      <c r="A311" s="12" t="s">
        <v>375</v>
      </c>
      <c r="B311" t="s">
        <v>376</v>
      </c>
      <c r="C311" t="s">
        <v>377</v>
      </c>
      <c r="F311" t="s">
        <v>378</v>
      </c>
      <c r="N311" t="s">
        <v>379</v>
      </c>
    </row>
    <row r="312" spans="1:14">
      <c r="A312" s="8" t="s">
        <v>380</v>
      </c>
      <c r="H312">
        <v>1</v>
      </c>
      <c r="I312">
        <v>0</v>
      </c>
      <c r="J312">
        <v>0</v>
      </c>
      <c r="K312">
        <v>0</v>
      </c>
      <c r="L312">
        <v>0</v>
      </c>
      <c r="M312">
        <v>2</v>
      </c>
    </row>
    <row r="313" spans="1:14">
      <c r="A313" s="8" t="s">
        <v>381</v>
      </c>
      <c r="H313">
        <v>1</v>
      </c>
      <c r="I313">
        <v>0</v>
      </c>
      <c r="J313">
        <v>0</v>
      </c>
      <c r="K313">
        <v>0</v>
      </c>
      <c r="L313">
        <v>0</v>
      </c>
      <c r="M313">
        <v>2</v>
      </c>
    </row>
    <row r="314" spans="1:14">
      <c r="A314" s="8" t="s">
        <v>382</v>
      </c>
      <c r="H314">
        <v>2</v>
      </c>
      <c r="I314">
        <v>0</v>
      </c>
      <c r="J314">
        <v>0</v>
      </c>
      <c r="K314">
        <v>0</v>
      </c>
      <c r="L314">
        <v>2</v>
      </c>
      <c r="M314">
        <v>2</v>
      </c>
    </row>
    <row r="315" spans="1:14">
      <c r="A315" s="8" t="s">
        <v>383</v>
      </c>
      <c r="H315">
        <v>0</v>
      </c>
      <c r="I315">
        <v>0</v>
      </c>
      <c r="J315">
        <v>0</v>
      </c>
      <c r="K315">
        <v>0</v>
      </c>
      <c r="L315">
        <v>2</v>
      </c>
      <c r="M315">
        <v>2</v>
      </c>
    </row>
    <row r="316" spans="1:14">
      <c r="A316" s="8" t="s">
        <v>384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2</v>
      </c>
    </row>
    <row r="317" spans="1:14">
      <c r="A317" s="8" t="s">
        <v>385</v>
      </c>
      <c r="E317">
        <v>2</v>
      </c>
      <c r="F317">
        <v>2</v>
      </c>
      <c r="G317">
        <v>1</v>
      </c>
    </row>
    <row r="318" spans="1:14">
      <c r="A318" s="8" t="s">
        <v>386</v>
      </c>
      <c r="B318" t="s">
        <v>24</v>
      </c>
    </row>
    <row r="320" spans="1:14">
      <c r="A320" s="12" t="s">
        <v>387</v>
      </c>
      <c r="B320" t="s">
        <v>388</v>
      </c>
      <c r="C320" t="s">
        <v>389</v>
      </c>
      <c r="G320" t="s">
        <v>390</v>
      </c>
      <c r="N320" t="s">
        <v>391</v>
      </c>
    </row>
    <row r="321" spans="1:14">
      <c r="A321" s="8" t="s">
        <v>392</v>
      </c>
      <c r="H321">
        <v>1</v>
      </c>
      <c r="I321">
        <v>2</v>
      </c>
      <c r="J321">
        <v>0</v>
      </c>
      <c r="K321">
        <v>2</v>
      </c>
      <c r="L321">
        <v>0</v>
      </c>
      <c r="M321">
        <v>2</v>
      </c>
    </row>
    <row r="322" spans="1:14">
      <c r="A322" s="8" t="s">
        <v>393</v>
      </c>
      <c r="H322">
        <v>1</v>
      </c>
      <c r="I322">
        <v>2</v>
      </c>
      <c r="J322">
        <v>0</v>
      </c>
      <c r="K322">
        <v>2</v>
      </c>
      <c r="L322">
        <v>0</v>
      </c>
      <c r="M322">
        <v>1</v>
      </c>
    </row>
    <row r="323" spans="1:14">
      <c r="A323" s="8" t="s">
        <v>394</v>
      </c>
      <c r="H323">
        <v>1</v>
      </c>
      <c r="I323">
        <v>2</v>
      </c>
      <c r="J323">
        <v>0</v>
      </c>
      <c r="K323">
        <v>2</v>
      </c>
      <c r="L323">
        <v>1</v>
      </c>
      <c r="M323">
        <v>2</v>
      </c>
    </row>
    <row r="324" spans="1:14">
      <c r="A324" s="8" t="s">
        <v>395</v>
      </c>
      <c r="H324">
        <v>0</v>
      </c>
      <c r="I324">
        <v>2</v>
      </c>
      <c r="J324">
        <v>0</v>
      </c>
      <c r="K324">
        <v>2</v>
      </c>
      <c r="L324">
        <v>0</v>
      </c>
      <c r="M324">
        <v>2</v>
      </c>
    </row>
    <row r="325" spans="1:14">
      <c r="A325" s="8" t="s">
        <v>396</v>
      </c>
      <c r="H325">
        <v>2</v>
      </c>
      <c r="I325">
        <v>2</v>
      </c>
      <c r="J325">
        <v>2</v>
      </c>
      <c r="K325">
        <v>2</v>
      </c>
      <c r="L325">
        <v>0</v>
      </c>
      <c r="M325">
        <v>2</v>
      </c>
    </row>
    <row r="326" spans="1:14">
      <c r="A326" s="8" t="s">
        <v>396</v>
      </c>
      <c r="H326">
        <v>2</v>
      </c>
      <c r="I326">
        <v>2</v>
      </c>
      <c r="J326">
        <v>2</v>
      </c>
      <c r="K326">
        <v>2</v>
      </c>
      <c r="L326">
        <v>0</v>
      </c>
      <c r="M326">
        <v>2</v>
      </c>
    </row>
    <row r="327" spans="1:14">
      <c r="A327" s="8" t="s">
        <v>397</v>
      </c>
      <c r="E327">
        <v>1</v>
      </c>
      <c r="F327">
        <v>1</v>
      </c>
      <c r="G327">
        <v>2</v>
      </c>
    </row>
    <row r="328" spans="1:14">
      <c r="A328" s="8" t="s">
        <v>398</v>
      </c>
      <c r="B328" t="s">
        <v>24</v>
      </c>
    </row>
    <row r="330" spans="1:14">
      <c r="A330" s="12" t="s">
        <v>399</v>
      </c>
      <c r="B330" t="s">
        <v>400</v>
      </c>
      <c r="C330" t="s">
        <v>401</v>
      </c>
      <c r="N330" t="s">
        <v>402</v>
      </c>
    </row>
    <row r="331" spans="1:14">
      <c r="A331" s="8" t="s">
        <v>403</v>
      </c>
      <c r="B331" t="s">
        <v>24</v>
      </c>
    </row>
    <row r="332" spans="1:14">
      <c r="A332" s="8" t="s">
        <v>404</v>
      </c>
      <c r="H332">
        <v>2</v>
      </c>
      <c r="I332">
        <v>0</v>
      </c>
      <c r="J332">
        <v>0</v>
      </c>
      <c r="K332">
        <v>0</v>
      </c>
      <c r="L332">
        <v>0</v>
      </c>
      <c r="M332">
        <v>0</v>
      </c>
    </row>
    <row r="333" spans="1:14">
      <c r="A333" s="8" t="s">
        <v>405</v>
      </c>
      <c r="H333">
        <v>1</v>
      </c>
      <c r="I333">
        <v>0</v>
      </c>
      <c r="J333">
        <v>1</v>
      </c>
      <c r="K333">
        <v>0</v>
      </c>
      <c r="L333">
        <v>0</v>
      </c>
      <c r="M333">
        <v>0</v>
      </c>
    </row>
    <row r="334" spans="1:14">
      <c r="A334" s="8" t="s">
        <v>406</v>
      </c>
      <c r="H334">
        <v>1</v>
      </c>
      <c r="I334">
        <v>0</v>
      </c>
      <c r="J334">
        <v>0</v>
      </c>
      <c r="K334">
        <v>0</v>
      </c>
      <c r="L334">
        <v>0</v>
      </c>
      <c r="M334">
        <v>0</v>
      </c>
    </row>
    <row r="335" spans="1:14">
      <c r="A335" s="8" t="s">
        <v>407</v>
      </c>
      <c r="H335">
        <v>1</v>
      </c>
      <c r="I335">
        <v>0</v>
      </c>
      <c r="J335">
        <v>1</v>
      </c>
      <c r="K335">
        <v>0</v>
      </c>
      <c r="L335">
        <v>0</v>
      </c>
      <c r="M335">
        <v>0</v>
      </c>
    </row>
    <row r="336" spans="1:14">
      <c r="A336" s="8" t="s">
        <v>408</v>
      </c>
      <c r="H336">
        <v>1</v>
      </c>
      <c r="I336">
        <v>0</v>
      </c>
      <c r="J336">
        <v>0</v>
      </c>
      <c r="K336">
        <v>0</v>
      </c>
      <c r="L336">
        <v>0</v>
      </c>
      <c r="M336">
        <v>0</v>
      </c>
    </row>
    <row r="337" spans="1:14">
      <c r="A337" s="8" t="s">
        <v>409</v>
      </c>
      <c r="E337">
        <v>2</v>
      </c>
      <c r="G337">
        <v>2</v>
      </c>
    </row>
    <row r="338" spans="1:14">
      <c r="A338" s="8" t="s">
        <v>410</v>
      </c>
      <c r="E338">
        <v>1</v>
      </c>
      <c r="G338">
        <v>1</v>
      </c>
    </row>
    <row r="340" spans="1:14">
      <c r="A340" s="10" t="s">
        <v>411</v>
      </c>
      <c r="B340" t="s">
        <v>412</v>
      </c>
      <c r="C340" t="s">
        <v>413</v>
      </c>
      <c r="N340" t="s">
        <v>414</v>
      </c>
    </row>
    <row r="341" spans="1:14">
      <c r="A341" s="8" t="s">
        <v>415</v>
      </c>
      <c r="H341">
        <v>0</v>
      </c>
      <c r="I341">
        <v>1</v>
      </c>
      <c r="J341">
        <v>0</v>
      </c>
      <c r="K341">
        <v>1</v>
      </c>
      <c r="L341">
        <v>0</v>
      </c>
      <c r="M341">
        <v>2</v>
      </c>
    </row>
    <row r="342" spans="1:14">
      <c r="A342" s="8" t="s">
        <v>416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2</v>
      </c>
    </row>
    <row r="343" spans="1:14">
      <c r="A343" s="8" t="s">
        <v>417</v>
      </c>
      <c r="H343">
        <v>0</v>
      </c>
      <c r="I343">
        <v>2</v>
      </c>
      <c r="J343">
        <v>0</v>
      </c>
      <c r="K343">
        <v>2</v>
      </c>
      <c r="L343">
        <v>0</v>
      </c>
      <c r="M343">
        <v>2</v>
      </c>
    </row>
    <row r="344" spans="1:14">
      <c r="A344" s="8" t="s">
        <v>418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2</v>
      </c>
    </row>
    <row r="345" spans="1:14">
      <c r="A345" s="8" t="s">
        <v>419</v>
      </c>
      <c r="H345">
        <v>0</v>
      </c>
      <c r="I345">
        <v>2</v>
      </c>
      <c r="J345">
        <v>0</v>
      </c>
      <c r="K345">
        <v>0</v>
      </c>
      <c r="L345">
        <v>0</v>
      </c>
      <c r="M345">
        <v>2</v>
      </c>
    </row>
    <row r="346" spans="1:14">
      <c r="A346" s="8" t="s">
        <v>420</v>
      </c>
      <c r="H346">
        <v>0</v>
      </c>
      <c r="I346">
        <v>1</v>
      </c>
      <c r="J346">
        <v>0</v>
      </c>
      <c r="K346">
        <v>1</v>
      </c>
      <c r="L346">
        <v>0</v>
      </c>
      <c r="M346">
        <v>2</v>
      </c>
    </row>
    <row r="347" spans="1:14">
      <c r="A347" s="8" t="s">
        <v>421</v>
      </c>
      <c r="E347">
        <v>0</v>
      </c>
      <c r="F347">
        <v>2</v>
      </c>
      <c r="G347">
        <v>2</v>
      </c>
    </row>
    <row r="348" spans="1:14">
      <c r="A348" s="8" t="s">
        <v>422</v>
      </c>
      <c r="E348">
        <v>0</v>
      </c>
      <c r="F348">
        <v>0</v>
      </c>
      <c r="G348">
        <v>1</v>
      </c>
    </row>
    <row r="349" spans="1:14">
      <c r="A349" s="8" t="s">
        <v>423</v>
      </c>
      <c r="B349" t="s">
        <v>24</v>
      </c>
    </row>
    <row r="351" spans="1:14">
      <c r="A351" s="10" t="s">
        <v>424</v>
      </c>
      <c r="B351" t="s">
        <v>425</v>
      </c>
      <c r="D351" t="s">
        <v>426</v>
      </c>
      <c r="N351" t="s">
        <v>427</v>
      </c>
    </row>
    <row r="352" spans="1:14">
      <c r="A352" s="8" t="s">
        <v>428</v>
      </c>
      <c r="H352">
        <v>0</v>
      </c>
      <c r="I352">
        <v>1</v>
      </c>
      <c r="J352">
        <v>0</v>
      </c>
      <c r="K352">
        <v>0</v>
      </c>
      <c r="L352">
        <v>0</v>
      </c>
      <c r="M352">
        <v>0</v>
      </c>
    </row>
    <row r="353" spans="1:13">
      <c r="A353" s="8" t="s">
        <v>429</v>
      </c>
      <c r="H353">
        <v>0</v>
      </c>
      <c r="I353">
        <v>1</v>
      </c>
      <c r="J353">
        <v>0</v>
      </c>
      <c r="K353">
        <v>0</v>
      </c>
      <c r="L353">
        <v>0</v>
      </c>
      <c r="M353">
        <v>0</v>
      </c>
    </row>
    <row r="354" spans="1:13">
      <c r="A354" s="8" t="s">
        <v>430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>
      <c r="A355" s="8" t="s">
        <v>431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1</v>
      </c>
    </row>
    <row r="356" spans="1:13">
      <c r="A356" s="8" t="s">
        <v>432</v>
      </c>
      <c r="E356">
        <v>0</v>
      </c>
      <c r="F356">
        <v>2</v>
      </c>
      <c r="G356">
        <v>0</v>
      </c>
    </row>
    <row r="357" spans="1:13">
      <c r="A357" s="8" t="s">
        <v>433</v>
      </c>
      <c r="B357" t="s">
        <v>24</v>
      </c>
    </row>
    <row r="359" spans="1:13">
      <c r="A359" s="10" t="s">
        <v>434</v>
      </c>
      <c r="B359" t="s">
        <v>435</v>
      </c>
      <c r="D359" t="s">
        <v>436</v>
      </c>
    </row>
    <row r="360" spans="1:13">
      <c r="A360" s="8" t="s">
        <v>437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2</v>
      </c>
    </row>
    <row r="361" spans="1:13">
      <c r="A361" s="8" t="s">
        <v>438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2</v>
      </c>
    </row>
    <row r="362" spans="1:13">
      <c r="A362" s="8" t="s">
        <v>439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</row>
    <row r="363" spans="1:13">
      <c r="A363" s="8" t="s">
        <v>440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1</v>
      </c>
    </row>
    <row r="364" spans="1:13">
      <c r="A364" s="13" t="s">
        <v>441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</row>
    <row r="365" spans="1:13">
      <c r="A365" s="13" t="s">
        <v>442</v>
      </c>
      <c r="E365">
        <v>1</v>
      </c>
      <c r="F365">
        <v>1</v>
      </c>
      <c r="G365">
        <v>2</v>
      </c>
    </row>
    <row r="366" spans="1:13">
      <c r="A366" s="8" t="s">
        <v>443</v>
      </c>
      <c r="E366">
        <v>1</v>
      </c>
      <c r="F366">
        <v>0</v>
      </c>
      <c r="G366">
        <v>2</v>
      </c>
    </row>
    <row r="367" spans="1:13">
      <c r="A367" s="8" t="s">
        <v>444</v>
      </c>
      <c r="B367" t="s">
        <v>24</v>
      </c>
    </row>
    <row r="369" spans="1:13">
      <c r="A369" s="10" t="s">
        <v>445</v>
      </c>
    </row>
    <row r="370" spans="1:13">
      <c r="A370" t="s">
        <v>446</v>
      </c>
      <c r="H370">
        <v>0</v>
      </c>
      <c r="J370">
        <v>0</v>
      </c>
      <c r="L370">
        <v>2</v>
      </c>
      <c r="M370">
        <v>0</v>
      </c>
    </row>
    <row r="371" spans="1:13">
      <c r="A371" t="s">
        <v>447</v>
      </c>
      <c r="H371">
        <v>0</v>
      </c>
      <c r="J371">
        <v>0</v>
      </c>
      <c r="L371">
        <v>2</v>
      </c>
      <c r="M371">
        <v>1</v>
      </c>
    </row>
    <row r="372" spans="1:13">
      <c r="A372" t="s">
        <v>448</v>
      </c>
      <c r="H372">
        <v>2</v>
      </c>
      <c r="J372">
        <v>1</v>
      </c>
      <c r="L372">
        <v>2</v>
      </c>
      <c r="M372">
        <v>2</v>
      </c>
    </row>
    <row r="373" spans="1:13">
      <c r="A373" t="s">
        <v>644</v>
      </c>
      <c r="H373">
        <v>0</v>
      </c>
      <c r="J373">
        <v>0</v>
      </c>
      <c r="L373">
        <v>2</v>
      </c>
      <c r="M373">
        <v>2</v>
      </c>
    </row>
    <row r="374" spans="1:13">
      <c r="A374" t="s">
        <v>645</v>
      </c>
      <c r="H374">
        <v>1</v>
      </c>
      <c r="J374">
        <v>0</v>
      </c>
      <c r="L374">
        <v>1</v>
      </c>
      <c r="M374">
        <v>2</v>
      </c>
    </row>
    <row r="375" spans="1:13">
      <c r="A375" t="s">
        <v>646</v>
      </c>
      <c r="H375">
        <v>1</v>
      </c>
      <c r="J375">
        <v>0</v>
      </c>
      <c r="L375">
        <v>1</v>
      </c>
      <c r="M375">
        <v>2</v>
      </c>
    </row>
    <row r="376" spans="1:13">
      <c r="A376" t="s">
        <v>647</v>
      </c>
    </row>
    <row r="377" spans="1:13">
      <c r="A377" t="s">
        <v>648</v>
      </c>
    </row>
    <row r="378" spans="1:13">
      <c r="A378" t="s">
        <v>649</v>
      </c>
    </row>
    <row r="379" spans="1:13">
      <c r="A379" t="s">
        <v>650</v>
      </c>
      <c r="B379" t="s">
        <v>30</v>
      </c>
    </row>
    <row r="381" spans="1:13">
      <c r="A381" s="10" t="s">
        <v>449</v>
      </c>
    </row>
    <row r="382" spans="1:13">
      <c r="A382" t="s">
        <v>651</v>
      </c>
      <c r="H382">
        <v>0</v>
      </c>
      <c r="J382">
        <v>0</v>
      </c>
      <c r="L382">
        <v>0</v>
      </c>
      <c r="M382">
        <v>2</v>
      </c>
    </row>
    <row r="383" spans="1:13">
      <c r="A383" t="s">
        <v>652</v>
      </c>
      <c r="H383">
        <v>0</v>
      </c>
      <c r="J383">
        <v>0</v>
      </c>
      <c r="L383">
        <v>0</v>
      </c>
      <c r="M383">
        <v>2</v>
      </c>
    </row>
    <row r="384" spans="1:13">
      <c r="A384" t="s">
        <v>653</v>
      </c>
    </row>
    <row r="385" spans="1:1">
      <c r="A385" t="s">
        <v>654</v>
      </c>
    </row>
    <row r="386" spans="1:1">
      <c r="A386" t="s">
        <v>655</v>
      </c>
    </row>
    <row r="387" spans="1:1">
      <c r="A387" t="s">
        <v>656</v>
      </c>
    </row>
    <row r="388" spans="1:1">
      <c r="A388" t="s">
        <v>657</v>
      </c>
    </row>
    <row r="389" spans="1:1">
      <c r="A389" t="s">
        <v>658</v>
      </c>
    </row>
    <row r="390" spans="1:1">
      <c r="A390" t="s">
        <v>659</v>
      </c>
    </row>
    <row r="392" spans="1:1">
      <c r="A392" s="10" t="s">
        <v>450</v>
      </c>
    </row>
    <row r="393" spans="1:1" ht="14" customHeight="1">
      <c r="A393" t="s">
        <v>660</v>
      </c>
    </row>
    <row r="394" spans="1:1" ht="14" customHeight="1">
      <c r="A394" t="s">
        <v>661</v>
      </c>
    </row>
    <row r="395" spans="1:1" ht="14" customHeight="1">
      <c r="A395" t="s">
        <v>662</v>
      </c>
    </row>
    <row r="396" spans="1:1">
      <c r="A396" t="s">
        <v>663</v>
      </c>
    </row>
    <row r="397" spans="1:1">
      <c r="A397" t="s">
        <v>664</v>
      </c>
    </row>
    <row r="398" spans="1:1">
      <c r="A398" t="s">
        <v>665</v>
      </c>
    </row>
    <row r="399" spans="1:1">
      <c r="A399" t="s">
        <v>666</v>
      </c>
    </row>
    <row r="400" spans="1:1">
      <c r="A400" t="s">
        <v>667</v>
      </c>
    </row>
    <row r="402" spans="1:1">
      <c r="A402" s="10" t="s">
        <v>451</v>
      </c>
    </row>
    <row r="403" spans="1:1">
      <c r="A403" t="s">
        <v>668</v>
      </c>
    </row>
    <row r="404" spans="1:1">
      <c r="A404" t="s">
        <v>669</v>
      </c>
    </row>
    <row r="405" spans="1:1">
      <c r="A405" t="s">
        <v>670</v>
      </c>
    </row>
    <row r="406" spans="1:1">
      <c r="A406" t="s">
        <v>671</v>
      </c>
    </row>
    <row r="407" spans="1:1">
      <c r="A407" t="s">
        <v>672</v>
      </c>
    </row>
    <row r="408" spans="1:1">
      <c r="A408" t="s">
        <v>673</v>
      </c>
    </row>
    <row r="409" spans="1:1">
      <c r="A409" t="s">
        <v>674</v>
      </c>
    </row>
    <row r="410" spans="1:1">
      <c r="A410" t="s">
        <v>675</v>
      </c>
    </row>
    <row r="411" spans="1:1">
      <c r="A411" t="s">
        <v>676</v>
      </c>
    </row>
    <row r="412" spans="1:1">
      <c r="A412" t="s">
        <v>677</v>
      </c>
    </row>
    <row r="413" spans="1:1">
      <c r="A413" t="s">
        <v>678</v>
      </c>
    </row>
    <row r="414" spans="1:1">
      <c r="A414" t="s">
        <v>679</v>
      </c>
    </row>
    <row r="416" spans="1:1">
      <c r="A416" s="10" t="s">
        <v>452</v>
      </c>
    </row>
    <row r="417" spans="1:13">
      <c r="A417" t="s">
        <v>680</v>
      </c>
    </row>
    <row r="418" spans="1:13">
      <c r="A418" t="s">
        <v>681</v>
      </c>
    </row>
    <row r="419" spans="1:13">
      <c r="A419" t="s">
        <v>682</v>
      </c>
    </row>
    <row r="420" spans="1:13">
      <c r="A420" t="s">
        <v>683</v>
      </c>
    </row>
    <row r="421" spans="1:13">
      <c r="A421" t="s">
        <v>684</v>
      </c>
    </row>
    <row r="422" spans="1:13">
      <c r="A422" t="s">
        <v>685</v>
      </c>
    </row>
    <row r="423" spans="1:13">
      <c r="A423" t="s">
        <v>686</v>
      </c>
    </row>
    <row r="425" spans="1:13">
      <c r="A425" s="10" t="s">
        <v>687</v>
      </c>
    </row>
    <row r="426" spans="1:13">
      <c r="A426" s="11" t="s">
        <v>699</v>
      </c>
      <c r="H426">
        <v>0</v>
      </c>
      <c r="J426">
        <v>0</v>
      </c>
      <c r="L426">
        <v>0</v>
      </c>
      <c r="M426">
        <v>2</v>
      </c>
    </row>
    <row r="427" spans="1:13">
      <c r="A427" s="11" t="s">
        <v>700</v>
      </c>
      <c r="H427">
        <v>0</v>
      </c>
      <c r="J427">
        <v>0</v>
      </c>
      <c r="L427">
        <v>0</v>
      </c>
      <c r="M427">
        <v>2</v>
      </c>
    </row>
    <row r="428" spans="1:13">
      <c r="A428" s="11" t="s">
        <v>701</v>
      </c>
      <c r="H428">
        <v>0</v>
      </c>
      <c r="J428">
        <v>0</v>
      </c>
      <c r="L428">
        <v>0</v>
      </c>
      <c r="M428">
        <v>2</v>
      </c>
    </row>
    <row r="429" spans="1:13">
      <c r="A429" s="11" t="s">
        <v>702</v>
      </c>
      <c r="E429">
        <v>0</v>
      </c>
      <c r="L429">
        <v>0</v>
      </c>
      <c r="M429">
        <v>2</v>
      </c>
    </row>
    <row r="430" spans="1:13">
      <c r="A430" s="11" t="s">
        <v>703</v>
      </c>
      <c r="B430" t="s">
        <v>24</v>
      </c>
    </row>
    <row r="431" spans="1:13">
      <c r="A431" s="11" t="s">
        <v>704</v>
      </c>
      <c r="B431" t="s">
        <v>24</v>
      </c>
    </row>
    <row r="433" spans="1:13">
      <c r="A433" s="10" t="s">
        <v>688</v>
      </c>
    </row>
    <row r="434" spans="1:13">
      <c r="A434" s="11" t="s">
        <v>705</v>
      </c>
      <c r="H434">
        <v>0</v>
      </c>
      <c r="J434">
        <v>0</v>
      </c>
      <c r="L434">
        <v>2</v>
      </c>
      <c r="M434">
        <v>2</v>
      </c>
    </row>
    <row r="435" spans="1:13">
      <c r="A435" s="11" t="s">
        <v>706</v>
      </c>
      <c r="H435">
        <v>0</v>
      </c>
      <c r="J435">
        <v>0</v>
      </c>
      <c r="L435">
        <v>0</v>
      </c>
      <c r="M435">
        <v>2</v>
      </c>
    </row>
    <row r="436" spans="1:13">
      <c r="A436" s="11" t="s">
        <v>707</v>
      </c>
      <c r="H436">
        <v>0</v>
      </c>
      <c r="J436">
        <v>0</v>
      </c>
      <c r="L436">
        <v>2</v>
      </c>
      <c r="M436">
        <v>2</v>
      </c>
    </row>
    <row r="437" spans="1:13">
      <c r="A437" s="11" t="s">
        <v>708</v>
      </c>
      <c r="H437">
        <v>0</v>
      </c>
      <c r="J437">
        <v>0</v>
      </c>
      <c r="L437">
        <v>1</v>
      </c>
      <c r="M437">
        <v>2</v>
      </c>
    </row>
    <row r="438" spans="1:13">
      <c r="A438" s="11" t="s">
        <v>709</v>
      </c>
      <c r="H438">
        <v>0</v>
      </c>
      <c r="J438">
        <v>0</v>
      </c>
      <c r="L438">
        <v>2</v>
      </c>
      <c r="M438">
        <v>2</v>
      </c>
    </row>
    <row r="440" spans="1:13">
      <c r="A440" s="10" t="s">
        <v>689</v>
      </c>
    </row>
    <row r="442" spans="1:13">
      <c r="A442" s="10" t="s">
        <v>690</v>
      </c>
    </row>
    <row r="444" spans="1:13">
      <c r="A444" s="10" t="s">
        <v>691</v>
      </c>
    </row>
    <row r="448" spans="1:13">
      <c r="A448" s="10" t="s">
        <v>692</v>
      </c>
    </row>
    <row r="451" spans="1:13">
      <c r="A451" s="10" t="s">
        <v>710</v>
      </c>
      <c r="B451" t="s">
        <v>711</v>
      </c>
    </row>
    <row r="452" spans="1:13">
      <c r="A452" t="s">
        <v>712</v>
      </c>
      <c r="H452">
        <v>2</v>
      </c>
      <c r="I452">
        <v>2</v>
      </c>
      <c r="J452">
        <v>2</v>
      </c>
      <c r="K452">
        <v>2</v>
      </c>
      <c r="L452">
        <v>2</v>
      </c>
      <c r="M452">
        <v>1</v>
      </c>
    </row>
    <row r="453" spans="1:13">
      <c r="A453" t="s">
        <v>713</v>
      </c>
      <c r="H453">
        <v>2</v>
      </c>
      <c r="I453">
        <v>2</v>
      </c>
      <c r="J453">
        <v>2</v>
      </c>
      <c r="K453">
        <v>2</v>
      </c>
      <c r="L453">
        <v>2</v>
      </c>
      <c r="M453">
        <v>2</v>
      </c>
    </row>
    <row r="454" spans="1:13">
      <c r="A454" t="s">
        <v>714</v>
      </c>
      <c r="H454">
        <v>1</v>
      </c>
      <c r="I454">
        <v>1</v>
      </c>
      <c r="J454">
        <v>0</v>
      </c>
      <c r="K454">
        <v>1</v>
      </c>
      <c r="L454">
        <v>2</v>
      </c>
      <c r="M454">
        <v>2</v>
      </c>
    </row>
    <row r="455" spans="1:13">
      <c r="A455" t="s">
        <v>715</v>
      </c>
      <c r="H455">
        <v>2</v>
      </c>
      <c r="I455">
        <v>1</v>
      </c>
      <c r="J455">
        <v>2</v>
      </c>
      <c r="K455">
        <v>1</v>
      </c>
      <c r="L455">
        <v>2</v>
      </c>
      <c r="M455">
        <v>2</v>
      </c>
    </row>
    <row r="456" spans="1:13">
      <c r="A456" t="s">
        <v>716</v>
      </c>
      <c r="H456">
        <v>1</v>
      </c>
      <c r="I456">
        <v>0</v>
      </c>
      <c r="J456">
        <v>0</v>
      </c>
      <c r="K456">
        <v>0</v>
      </c>
      <c r="L456">
        <v>2</v>
      </c>
      <c r="M456">
        <v>0</v>
      </c>
    </row>
    <row r="458" spans="1:13">
      <c r="A458" s="10" t="s">
        <v>717</v>
      </c>
      <c r="B458" t="s">
        <v>735</v>
      </c>
    </row>
    <row r="459" spans="1:13">
      <c r="A459" t="s">
        <v>718</v>
      </c>
      <c r="H459">
        <v>0</v>
      </c>
      <c r="I459">
        <v>0</v>
      </c>
      <c r="J459">
        <v>0</v>
      </c>
      <c r="K459">
        <v>0</v>
      </c>
      <c r="L459">
        <v>2</v>
      </c>
      <c r="M459">
        <v>2</v>
      </c>
    </row>
    <row r="460" spans="1:13">
      <c r="A460" t="s">
        <v>719</v>
      </c>
      <c r="H460">
        <v>2</v>
      </c>
      <c r="I460">
        <v>1</v>
      </c>
      <c r="J460">
        <v>2</v>
      </c>
      <c r="K460">
        <v>1</v>
      </c>
      <c r="L460">
        <v>2</v>
      </c>
      <c r="M460">
        <v>2</v>
      </c>
    </row>
    <row r="461" spans="1:13">
      <c r="A461" t="s">
        <v>720</v>
      </c>
      <c r="H461">
        <v>2</v>
      </c>
      <c r="I461">
        <v>1</v>
      </c>
      <c r="J461">
        <v>2</v>
      </c>
      <c r="K461">
        <v>1</v>
      </c>
      <c r="L461">
        <v>2</v>
      </c>
      <c r="M461">
        <v>2</v>
      </c>
    </row>
    <row r="462" spans="1:13">
      <c r="A462" t="s">
        <v>721</v>
      </c>
      <c r="H462">
        <v>2</v>
      </c>
      <c r="I462">
        <v>2</v>
      </c>
      <c r="J462">
        <v>1</v>
      </c>
      <c r="K462">
        <v>1</v>
      </c>
      <c r="L462">
        <v>2</v>
      </c>
      <c r="M462">
        <v>2</v>
      </c>
    </row>
    <row r="463" spans="1:13">
      <c r="A463" t="s">
        <v>722</v>
      </c>
      <c r="H463">
        <v>2</v>
      </c>
      <c r="I463">
        <v>1</v>
      </c>
      <c r="J463">
        <v>2</v>
      </c>
      <c r="K463">
        <v>1</v>
      </c>
      <c r="L463">
        <v>2</v>
      </c>
    </row>
    <row r="465" spans="1:13">
      <c r="A465" s="10" t="s">
        <v>739</v>
      </c>
      <c r="B465" t="s">
        <v>740</v>
      </c>
      <c r="D465" t="s">
        <v>741</v>
      </c>
      <c r="I465" t="s">
        <v>742</v>
      </c>
    </row>
    <row r="466" spans="1:13">
      <c r="A466" t="s">
        <v>723</v>
      </c>
      <c r="H466">
        <v>2</v>
      </c>
      <c r="I466">
        <v>2</v>
      </c>
      <c r="J466">
        <v>0</v>
      </c>
      <c r="K466">
        <v>2</v>
      </c>
      <c r="L466">
        <v>2</v>
      </c>
      <c r="M466">
        <v>2</v>
      </c>
    </row>
    <row r="467" spans="1:13">
      <c r="A467" t="s">
        <v>724</v>
      </c>
      <c r="H467">
        <v>2</v>
      </c>
      <c r="I467">
        <v>1</v>
      </c>
      <c r="J467">
        <v>1</v>
      </c>
      <c r="K467">
        <v>2</v>
      </c>
      <c r="L467">
        <v>2</v>
      </c>
      <c r="M467">
        <v>2</v>
      </c>
    </row>
    <row r="468" spans="1:13">
      <c r="A468" t="s">
        <v>727</v>
      </c>
      <c r="H468">
        <v>2</v>
      </c>
      <c r="I468">
        <v>2</v>
      </c>
      <c r="J468">
        <v>2</v>
      </c>
      <c r="K468">
        <v>2</v>
      </c>
      <c r="L468">
        <v>2</v>
      </c>
      <c r="M468">
        <v>2</v>
      </c>
    </row>
    <row r="469" spans="1:13">
      <c r="A469" t="s">
        <v>728</v>
      </c>
      <c r="H469">
        <v>2</v>
      </c>
      <c r="I469">
        <v>1</v>
      </c>
      <c r="J469">
        <v>2</v>
      </c>
      <c r="K469">
        <v>2</v>
      </c>
      <c r="L469">
        <v>2</v>
      </c>
      <c r="M469">
        <v>1</v>
      </c>
    </row>
    <row r="470" spans="1:13">
      <c r="A470" t="s">
        <v>729</v>
      </c>
      <c r="H470">
        <v>2</v>
      </c>
      <c r="I470">
        <v>1</v>
      </c>
      <c r="J470">
        <v>2</v>
      </c>
      <c r="K470">
        <v>2</v>
      </c>
      <c r="L470">
        <v>2</v>
      </c>
      <c r="M470">
        <v>2</v>
      </c>
    </row>
    <row r="471" spans="1:13">
      <c r="A471" t="s">
        <v>726</v>
      </c>
      <c r="E471">
        <v>0</v>
      </c>
      <c r="F471">
        <v>2</v>
      </c>
      <c r="G471">
        <v>2</v>
      </c>
    </row>
    <row r="472" spans="1:13">
      <c r="A472" t="s">
        <v>725</v>
      </c>
      <c r="B472" t="s">
        <v>30</v>
      </c>
    </row>
    <row r="474" spans="1:13">
      <c r="A474" s="10" t="s">
        <v>738</v>
      </c>
      <c r="B474" t="s">
        <v>736</v>
      </c>
      <c r="D474" t="s">
        <v>64</v>
      </c>
      <c r="F474" t="s">
        <v>737</v>
      </c>
    </row>
    <row r="475" spans="1:13">
      <c r="A475" t="s">
        <v>730</v>
      </c>
      <c r="H475">
        <v>1</v>
      </c>
      <c r="I475">
        <v>0</v>
      </c>
      <c r="J475">
        <v>1</v>
      </c>
      <c r="K475">
        <v>0</v>
      </c>
      <c r="L475">
        <v>2</v>
      </c>
      <c r="M475">
        <v>2</v>
      </c>
    </row>
    <row r="476" spans="1:13">
      <c r="A476" t="s">
        <v>731</v>
      </c>
      <c r="H476">
        <v>0</v>
      </c>
      <c r="I476">
        <v>0</v>
      </c>
      <c r="J476">
        <v>0</v>
      </c>
      <c r="K476">
        <v>0</v>
      </c>
      <c r="L476">
        <v>2</v>
      </c>
      <c r="M476">
        <v>2</v>
      </c>
    </row>
    <row r="477" spans="1:13">
      <c r="A477" t="s">
        <v>732</v>
      </c>
      <c r="H477">
        <v>0</v>
      </c>
      <c r="I477">
        <v>0</v>
      </c>
      <c r="J477">
        <v>0</v>
      </c>
      <c r="K477">
        <v>0</v>
      </c>
      <c r="L477">
        <v>2</v>
      </c>
      <c r="M477">
        <v>2</v>
      </c>
    </row>
    <row r="478" spans="1:13">
      <c r="A478" t="s">
        <v>733</v>
      </c>
      <c r="H478">
        <v>2</v>
      </c>
      <c r="I478">
        <v>0</v>
      </c>
      <c r="J478">
        <v>2</v>
      </c>
      <c r="K478">
        <v>0</v>
      </c>
      <c r="L478">
        <v>2</v>
      </c>
      <c r="M478">
        <v>2</v>
      </c>
    </row>
    <row r="479" spans="1:13">
      <c r="A479" s="11" t="s">
        <v>734</v>
      </c>
      <c r="H479">
        <v>2</v>
      </c>
      <c r="I479">
        <v>0</v>
      </c>
      <c r="J479">
        <v>2</v>
      </c>
      <c r="K479">
        <v>0</v>
      </c>
      <c r="L479">
        <v>2</v>
      </c>
      <c r="M479">
        <v>2</v>
      </c>
    </row>
    <row r="480" spans="1:13">
      <c r="A480" s="11" t="s">
        <v>832</v>
      </c>
      <c r="E480" t="s">
        <v>833</v>
      </c>
      <c r="F480">
        <v>2</v>
      </c>
      <c r="G480">
        <v>2</v>
      </c>
    </row>
    <row r="481" spans="1:13">
      <c r="A481" s="11" t="s">
        <v>834</v>
      </c>
      <c r="B481" t="s">
        <v>27</v>
      </c>
      <c r="E481">
        <v>2</v>
      </c>
      <c r="F481">
        <v>2</v>
      </c>
      <c r="G481">
        <v>2</v>
      </c>
    </row>
    <row r="482" spans="1:13">
      <c r="A482" s="11" t="s">
        <v>835</v>
      </c>
      <c r="B482" t="s">
        <v>27</v>
      </c>
    </row>
    <row r="483" spans="1:13">
      <c r="A483" s="10"/>
    </row>
    <row r="484" spans="1:13">
      <c r="A484" s="10" t="s">
        <v>743</v>
      </c>
    </row>
    <row r="485" spans="1:13">
      <c r="A485" s="11" t="s">
        <v>775</v>
      </c>
      <c r="H485">
        <v>2</v>
      </c>
      <c r="I485">
        <v>1</v>
      </c>
      <c r="J485">
        <v>0</v>
      </c>
      <c r="K485">
        <v>2</v>
      </c>
      <c r="L485">
        <v>2</v>
      </c>
      <c r="M485">
        <v>2</v>
      </c>
    </row>
    <row r="486" spans="1:13">
      <c r="A486" s="11" t="s">
        <v>776</v>
      </c>
      <c r="H486">
        <v>1</v>
      </c>
      <c r="I486">
        <v>1</v>
      </c>
      <c r="J486">
        <v>0</v>
      </c>
      <c r="K486">
        <v>2</v>
      </c>
      <c r="L486">
        <v>2</v>
      </c>
      <c r="M486">
        <v>2</v>
      </c>
    </row>
    <row r="487" spans="1:13">
      <c r="A487" s="11" t="s">
        <v>777</v>
      </c>
      <c r="H487">
        <v>1</v>
      </c>
      <c r="I487">
        <v>2</v>
      </c>
      <c r="J487">
        <v>0</v>
      </c>
      <c r="K487">
        <v>2</v>
      </c>
      <c r="L487">
        <v>2</v>
      </c>
      <c r="M487">
        <v>2</v>
      </c>
    </row>
    <row r="488" spans="1:13">
      <c r="A488" s="11" t="s">
        <v>778</v>
      </c>
      <c r="H488">
        <v>1</v>
      </c>
      <c r="I488">
        <v>2</v>
      </c>
      <c r="J488">
        <v>1</v>
      </c>
      <c r="K488">
        <v>2</v>
      </c>
      <c r="L488">
        <v>2</v>
      </c>
      <c r="M488">
        <v>2</v>
      </c>
    </row>
    <row r="489" spans="1:13">
      <c r="A489" s="11" t="s">
        <v>779</v>
      </c>
      <c r="H489">
        <v>1</v>
      </c>
      <c r="I489">
        <v>2</v>
      </c>
      <c r="J489">
        <v>0</v>
      </c>
      <c r="K489">
        <v>2</v>
      </c>
      <c r="L489">
        <v>2</v>
      </c>
      <c r="M489">
        <v>2</v>
      </c>
    </row>
    <row r="490" spans="1:13">
      <c r="A490" s="11" t="s">
        <v>780</v>
      </c>
      <c r="E490">
        <v>2</v>
      </c>
      <c r="F490">
        <v>2</v>
      </c>
      <c r="G490">
        <v>2</v>
      </c>
    </row>
    <row r="491" spans="1:13">
      <c r="A491" s="11" t="s">
        <v>781</v>
      </c>
      <c r="B491" t="s">
        <v>27</v>
      </c>
    </row>
    <row r="493" spans="1:13">
      <c r="A493" s="10" t="s">
        <v>744</v>
      </c>
    </row>
    <row r="494" spans="1:13">
      <c r="A494" s="11" t="s">
        <v>768</v>
      </c>
      <c r="H494">
        <v>2</v>
      </c>
      <c r="I494">
        <v>2</v>
      </c>
      <c r="J494">
        <v>2</v>
      </c>
      <c r="K494">
        <v>1</v>
      </c>
      <c r="L494">
        <v>2</v>
      </c>
      <c r="M494">
        <v>2</v>
      </c>
    </row>
    <row r="495" spans="1:13">
      <c r="A495" s="11" t="s">
        <v>769</v>
      </c>
      <c r="H495">
        <v>2</v>
      </c>
      <c r="I495">
        <v>2</v>
      </c>
      <c r="J495">
        <v>2</v>
      </c>
      <c r="K495">
        <v>1</v>
      </c>
      <c r="L495">
        <v>2</v>
      </c>
      <c r="M495">
        <v>2</v>
      </c>
    </row>
    <row r="496" spans="1:13">
      <c r="A496" s="23" t="s">
        <v>770</v>
      </c>
      <c r="H496">
        <v>2</v>
      </c>
      <c r="I496">
        <v>2</v>
      </c>
      <c r="J496">
        <v>2</v>
      </c>
      <c r="K496">
        <v>1</v>
      </c>
      <c r="L496">
        <v>2</v>
      </c>
      <c r="M496">
        <v>2</v>
      </c>
    </row>
    <row r="497" spans="1:14">
      <c r="A497" s="23" t="s">
        <v>771</v>
      </c>
      <c r="H497">
        <v>2</v>
      </c>
      <c r="I497">
        <v>2</v>
      </c>
      <c r="J497">
        <v>2</v>
      </c>
      <c r="K497">
        <v>2</v>
      </c>
      <c r="L497">
        <v>2</v>
      </c>
      <c r="M497">
        <v>2</v>
      </c>
    </row>
    <row r="498" spans="1:14">
      <c r="A498" s="11" t="s">
        <v>772</v>
      </c>
      <c r="H498">
        <v>2</v>
      </c>
      <c r="I498">
        <v>1</v>
      </c>
      <c r="J498">
        <v>2</v>
      </c>
      <c r="K498">
        <v>0</v>
      </c>
      <c r="L498">
        <v>2</v>
      </c>
      <c r="M498">
        <v>2</v>
      </c>
    </row>
    <row r="499" spans="1:14">
      <c r="A499" s="11" t="s">
        <v>773</v>
      </c>
      <c r="H499">
        <v>2</v>
      </c>
      <c r="I499">
        <v>2</v>
      </c>
      <c r="J499">
        <v>1</v>
      </c>
      <c r="K499">
        <v>2</v>
      </c>
      <c r="L499">
        <v>2</v>
      </c>
      <c r="M499">
        <v>2</v>
      </c>
    </row>
    <row r="500" spans="1:14">
      <c r="A500" s="23" t="s">
        <v>774</v>
      </c>
      <c r="H500">
        <v>2</v>
      </c>
      <c r="I500">
        <v>2</v>
      </c>
      <c r="J500">
        <v>2</v>
      </c>
      <c r="K500">
        <v>2</v>
      </c>
      <c r="L500">
        <v>2</v>
      </c>
      <c r="M500">
        <v>2</v>
      </c>
    </row>
    <row r="501" spans="1:14">
      <c r="A501" s="16" t="s">
        <v>782</v>
      </c>
      <c r="E501">
        <v>2</v>
      </c>
      <c r="F501">
        <v>1</v>
      </c>
      <c r="G501">
        <v>2</v>
      </c>
    </row>
    <row r="503" spans="1:14">
      <c r="A503" s="10" t="s">
        <v>745</v>
      </c>
    </row>
    <row r="504" spans="1:14">
      <c r="A504" s="11" t="s">
        <v>783</v>
      </c>
      <c r="H504">
        <v>0</v>
      </c>
      <c r="I504">
        <v>0</v>
      </c>
      <c r="J504">
        <v>0</v>
      </c>
      <c r="K504">
        <v>0</v>
      </c>
      <c r="L504">
        <v>2</v>
      </c>
      <c r="M504">
        <v>2</v>
      </c>
      <c r="N504" t="s">
        <v>784</v>
      </c>
    </row>
    <row r="505" spans="1:14">
      <c r="A505" s="11" t="s">
        <v>785</v>
      </c>
      <c r="H505">
        <v>2</v>
      </c>
      <c r="I505">
        <v>0</v>
      </c>
      <c r="J505">
        <v>0</v>
      </c>
      <c r="K505">
        <v>0</v>
      </c>
      <c r="L505">
        <v>2</v>
      </c>
      <c r="M505">
        <v>2</v>
      </c>
      <c r="N505" t="s">
        <v>784</v>
      </c>
    </row>
    <row r="506" spans="1:14">
      <c r="A506" s="11" t="s">
        <v>786</v>
      </c>
      <c r="H506">
        <v>2</v>
      </c>
      <c r="I506">
        <v>0</v>
      </c>
      <c r="J506">
        <v>0</v>
      </c>
      <c r="K506">
        <v>0</v>
      </c>
      <c r="L506">
        <v>2</v>
      </c>
      <c r="M506">
        <v>2</v>
      </c>
      <c r="N506" t="s">
        <v>784</v>
      </c>
    </row>
    <row r="507" spans="1:14">
      <c r="A507" s="11" t="s">
        <v>787</v>
      </c>
      <c r="H507">
        <v>1</v>
      </c>
      <c r="I507">
        <v>0</v>
      </c>
      <c r="J507">
        <v>0</v>
      </c>
      <c r="K507">
        <v>0</v>
      </c>
      <c r="L507">
        <v>2</v>
      </c>
      <c r="M507">
        <v>2</v>
      </c>
      <c r="N507" t="s">
        <v>784</v>
      </c>
    </row>
    <row r="508" spans="1:14">
      <c r="A508" s="11" t="s">
        <v>788</v>
      </c>
      <c r="E508">
        <v>2</v>
      </c>
      <c r="F508">
        <v>2</v>
      </c>
      <c r="G508">
        <v>2</v>
      </c>
    </row>
    <row r="509" spans="1:14">
      <c r="A509" s="11" t="s">
        <v>789</v>
      </c>
      <c r="E509">
        <v>2</v>
      </c>
      <c r="F509">
        <v>2</v>
      </c>
      <c r="G509">
        <v>2</v>
      </c>
    </row>
    <row r="510" spans="1:14">
      <c r="A510" s="11" t="s">
        <v>790</v>
      </c>
      <c r="B510" t="s">
        <v>30</v>
      </c>
    </row>
    <row r="512" spans="1:14">
      <c r="A512" s="10" t="s">
        <v>746</v>
      </c>
    </row>
    <row r="513" spans="1:13">
      <c r="A513" s="11" t="s">
        <v>791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</row>
    <row r="514" spans="1:13">
      <c r="A514" s="11" t="s">
        <v>792</v>
      </c>
      <c r="H514">
        <v>2</v>
      </c>
      <c r="I514">
        <v>0</v>
      </c>
      <c r="J514">
        <v>0</v>
      </c>
      <c r="K514">
        <v>0</v>
      </c>
      <c r="L514">
        <v>2</v>
      </c>
      <c r="M514">
        <v>2</v>
      </c>
    </row>
    <row r="515" spans="1:13">
      <c r="A515" s="11" t="s">
        <v>827</v>
      </c>
      <c r="H515">
        <v>0</v>
      </c>
      <c r="I515">
        <v>0</v>
      </c>
      <c r="J515">
        <v>2</v>
      </c>
      <c r="K515">
        <v>0</v>
      </c>
      <c r="L515">
        <v>0</v>
      </c>
      <c r="M515">
        <v>0</v>
      </c>
    </row>
    <row r="516" spans="1:13">
      <c r="A516" s="11" t="s">
        <v>828</v>
      </c>
      <c r="H516">
        <v>1</v>
      </c>
      <c r="I516">
        <v>2</v>
      </c>
      <c r="J516">
        <v>2</v>
      </c>
      <c r="K516">
        <v>0</v>
      </c>
      <c r="L516">
        <v>0</v>
      </c>
      <c r="M516">
        <v>2</v>
      </c>
    </row>
    <row r="517" spans="1:13">
      <c r="A517" s="11" t="s">
        <v>829</v>
      </c>
      <c r="H517">
        <v>0</v>
      </c>
      <c r="I517">
        <v>2</v>
      </c>
      <c r="J517">
        <v>0</v>
      </c>
      <c r="K517">
        <v>0</v>
      </c>
      <c r="L517">
        <v>0</v>
      </c>
      <c r="M517">
        <v>2</v>
      </c>
    </row>
    <row r="518" spans="1:13">
      <c r="A518" s="11" t="s">
        <v>830</v>
      </c>
      <c r="H518">
        <v>0</v>
      </c>
      <c r="I518">
        <v>2</v>
      </c>
      <c r="J518">
        <v>0</v>
      </c>
      <c r="K518">
        <v>0</v>
      </c>
      <c r="L518">
        <v>2</v>
      </c>
      <c r="M518">
        <v>2</v>
      </c>
    </row>
    <row r="519" spans="1:13">
      <c r="A519" s="11" t="s">
        <v>831</v>
      </c>
      <c r="B519" t="s">
        <v>24</v>
      </c>
    </row>
    <row r="521" spans="1:13">
      <c r="A521" s="10" t="s">
        <v>747</v>
      </c>
    </row>
    <row r="522" spans="1:13">
      <c r="A522" t="s">
        <v>748</v>
      </c>
      <c r="H522">
        <v>2</v>
      </c>
      <c r="I522">
        <v>2</v>
      </c>
      <c r="J522">
        <v>2</v>
      </c>
      <c r="K522">
        <v>1</v>
      </c>
      <c r="L522">
        <v>2</v>
      </c>
      <c r="M522">
        <v>2</v>
      </c>
    </row>
    <row r="523" spans="1:13">
      <c r="A523" t="s">
        <v>749</v>
      </c>
      <c r="H523">
        <v>2</v>
      </c>
      <c r="I523">
        <v>2</v>
      </c>
      <c r="J523">
        <v>0</v>
      </c>
      <c r="K523">
        <v>2</v>
      </c>
      <c r="L523">
        <v>2</v>
      </c>
      <c r="M523">
        <v>2</v>
      </c>
    </row>
    <row r="524" spans="1:13">
      <c r="A524" t="s">
        <v>750</v>
      </c>
      <c r="H524">
        <v>2</v>
      </c>
      <c r="I524">
        <v>2</v>
      </c>
      <c r="J524">
        <v>0</v>
      </c>
      <c r="K524">
        <v>0</v>
      </c>
      <c r="L524">
        <v>2</v>
      </c>
      <c r="M524">
        <v>2</v>
      </c>
    </row>
    <row r="525" spans="1:13">
      <c r="A525" t="s">
        <v>751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2</v>
      </c>
    </row>
    <row r="526" spans="1:13">
      <c r="A526" t="s">
        <v>752</v>
      </c>
      <c r="H526">
        <v>2</v>
      </c>
      <c r="I526">
        <v>2</v>
      </c>
      <c r="J526">
        <v>2</v>
      </c>
      <c r="K526">
        <v>0</v>
      </c>
      <c r="L526">
        <v>2</v>
      </c>
      <c r="M526">
        <v>2</v>
      </c>
    </row>
    <row r="527" spans="1:13">
      <c r="A527" t="s">
        <v>753</v>
      </c>
      <c r="H527">
        <v>2</v>
      </c>
      <c r="I527">
        <v>0</v>
      </c>
      <c r="J527">
        <v>0</v>
      </c>
      <c r="K527">
        <v>0</v>
      </c>
      <c r="L527">
        <v>2</v>
      </c>
      <c r="M527">
        <v>2</v>
      </c>
    </row>
    <row r="529" spans="1:13">
      <c r="A529" s="10" t="s">
        <v>754</v>
      </c>
    </row>
    <row r="530" spans="1:13">
      <c r="A530" s="11" t="s">
        <v>756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</row>
    <row r="531" spans="1:13">
      <c r="A531" s="11" t="s">
        <v>757</v>
      </c>
      <c r="H531">
        <v>2</v>
      </c>
      <c r="I531">
        <v>2</v>
      </c>
      <c r="J531">
        <v>1</v>
      </c>
      <c r="K531">
        <v>1</v>
      </c>
      <c r="L531">
        <v>1</v>
      </c>
      <c r="M531">
        <v>2</v>
      </c>
    </row>
    <row r="532" spans="1:13">
      <c r="A532" s="11" t="s">
        <v>758</v>
      </c>
      <c r="H532">
        <v>1</v>
      </c>
      <c r="I532">
        <v>2</v>
      </c>
      <c r="J532">
        <v>1</v>
      </c>
      <c r="K532">
        <v>1</v>
      </c>
      <c r="L532">
        <v>0</v>
      </c>
      <c r="M532">
        <v>1</v>
      </c>
    </row>
    <row r="533" spans="1:13">
      <c r="A533" s="11" t="s">
        <v>759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1</v>
      </c>
    </row>
    <row r="534" spans="1:13">
      <c r="A534" s="11" t="s">
        <v>760</v>
      </c>
      <c r="H534">
        <v>2</v>
      </c>
      <c r="I534">
        <v>0</v>
      </c>
      <c r="J534">
        <v>2</v>
      </c>
      <c r="K534">
        <v>0</v>
      </c>
      <c r="L534">
        <v>2</v>
      </c>
      <c r="M534">
        <v>2</v>
      </c>
    </row>
    <row r="535" spans="1:13">
      <c r="A535" s="11" t="s">
        <v>823</v>
      </c>
      <c r="E535">
        <v>2</v>
      </c>
      <c r="F535">
        <v>2</v>
      </c>
      <c r="G535">
        <v>2</v>
      </c>
    </row>
    <row r="536" spans="1:13">
      <c r="A536" s="11" t="s">
        <v>824</v>
      </c>
      <c r="B536" t="s">
        <v>24</v>
      </c>
    </row>
    <row r="538" spans="1:13">
      <c r="A538" s="10" t="s">
        <v>755</v>
      </c>
    </row>
    <row r="539" spans="1:13">
      <c r="A539" t="s">
        <v>761</v>
      </c>
      <c r="H539">
        <v>2</v>
      </c>
      <c r="I539">
        <v>2</v>
      </c>
      <c r="J539">
        <v>1</v>
      </c>
      <c r="K539">
        <v>1</v>
      </c>
      <c r="L539">
        <v>1</v>
      </c>
      <c r="M539">
        <v>2</v>
      </c>
    </row>
    <row r="540" spans="1:13">
      <c r="A540" t="s">
        <v>762</v>
      </c>
      <c r="H540">
        <v>2</v>
      </c>
      <c r="I540">
        <v>1</v>
      </c>
      <c r="J540">
        <v>1</v>
      </c>
      <c r="K540">
        <v>0</v>
      </c>
      <c r="L540">
        <v>1</v>
      </c>
      <c r="M540">
        <v>2</v>
      </c>
    </row>
    <row r="541" spans="1:13">
      <c r="A541" t="s">
        <v>763</v>
      </c>
      <c r="H541">
        <v>2</v>
      </c>
      <c r="I541">
        <v>2</v>
      </c>
      <c r="J541">
        <v>2</v>
      </c>
      <c r="K541">
        <v>1</v>
      </c>
      <c r="L541">
        <v>2</v>
      </c>
      <c r="M541">
        <v>2</v>
      </c>
    </row>
    <row r="542" spans="1:13">
      <c r="A542" t="s">
        <v>764</v>
      </c>
      <c r="H542">
        <v>1</v>
      </c>
      <c r="I542">
        <v>2</v>
      </c>
      <c r="J542">
        <v>0</v>
      </c>
      <c r="K542">
        <v>1</v>
      </c>
      <c r="L542">
        <v>1</v>
      </c>
      <c r="M542">
        <v>2</v>
      </c>
    </row>
    <row r="543" spans="1:13">
      <c r="A543" t="s">
        <v>765</v>
      </c>
      <c r="H543">
        <v>1</v>
      </c>
      <c r="I543">
        <v>1</v>
      </c>
      <c r="J543">
        <v>1</v>
      </c>
      <c r="K543">
        <v>0</v>
      </c>
      <c r="L543">
        <v>1</v>
      </c>
      <c r="M543">
        <v>2</v>
      </c>
    </row>
    <row r="544" spans="1:13">
      <c r="A544" t="s">
        <v>766</v>
      </c>
      <c r="H544">
        <v>1</v>
      </c>
      <c r="I544">
        <v>1</v>
      </c>
      <c r="J544">
        <v>0</v>
      </c>
      <c r="K544">
        <v>0</v>
      </c>
      <c r="L544">
        <v>1</v>
      </c>
      <c r="M544">
        <v>1</v>
      </c>
    </row>
    <row r="545" spans="1:13">
      <c r="A545" t="s">
        <v>767</v>
      </c>
      <c r="H545">
        <v>0</v>
      </c>
      <c r="I545">
        <v>1</v>
      </c>
      <c r="J545">
        <v>0</v>
      </c>
      <c r="K545">
        <v>1</v>
      </c>
      <c r="L545">
        <v>1</v>
      </c>
      <c r="M545">
        <v>1</v>
      </c>
    </row>
    <row r="546" spans="1:13">
      <c r="A546" t="s">
        <v>825</v>
      </c>
      <c r="E546">
        <v>2</v>
      </c>
      <c r="F546">
        <v>2</v>
      </c>
      <c r="G546">
        <v>2</v>
      </c>
    </row>
    <row r="547" spans="1:13">
      <c r="A547" t="s">
        <v>826</v>
      </c>
    </row>
    <row r="549" spans="1:13">
      <c r="A549" s="10" t="s">
        <v>793</v>
      </c>
    </row>
    <row r="550" spans="1:13">
      <c r="A550" s="11" t="s">
        <v>815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2</v>
      </c>
    </row>
    <row r="551" spans="1:13">
      <c r="A551" s="11" t="s">
        <v>816</v>
      </c>
      <c r="H551">
        <v>0</v>
      </c>
      <c r="I551">
        <v>1</v>
      </c>
      <c r="J551">
        <v>0</v>
      </c>
      <c r="K551">
        <v>0</v>
      </c>
      <c r="L551">
        <v>2</v>
      </c>
      <c r="M551">
        <v>2</v>
      </c>
    </row>
    <row r="552" spans="1:13">
      <c r="A552" s="11" t="s">
        <v>817</v>
      </c>
      <c r="H552">
        <v>1</v>
      </c>
      <c r="I552">
        <v>1</v>
      </c>
      <c r="J552">
        <v>1</v>
      </c>
      <c r="K552">
        <v>1</v>
      </c>
      <c r="L552">
        <v>2</v>
      </c>
      <c r="M552">
        <v>2</v>
      </c>
    </row>
    <row r="553" spans="1:13">
      <c r="A553" s="11" t="s">
        <v>818</v>
      </c>
      <c r="H553">
        <v>0</v>
      </c>
      <c r="I553">
        <v>1</v>
      </c>
      <c r="J553">
        <v>1</v>
      </c>
      <c r="K553">
        <v>1</v>
      </c>
      <c r="L553">
        <v>2</v>
      </c>
      <c r="M553">
        <v>2</v>
      </c>
    </row>
    <row r="554" spans="1:13">
      <c r="A554" s="11" t="s">
        <v>821</v>
      </c>
      <c r="H554">
        <v>1</v>
      </c>
      <c r="I554">
        <v>1</v>
      </c>
      <c r="J554">
        <v>0</v>
      </c>
      <c r="K554">
        <v>0</v>
      </c>
      <c r="L554">
        <v>2</v>
      </c>
      <c r="M554">
        <v>2</v>
      </c>
    </row>
    <row r="555" spans="1:13">
      <c r="A555" s="11" t="s">
        <v>822</v>
      </c>
      <c r="H555">
        <v>0</v>
      </c>
      <c r="I555">
        <v>1</v>
      </c>
      <c r="J555">
        <v>0</v>
      </c>
      <c r="K555">
        <v>1</v>
      </c>
      <c r="L555">
        <v>2</v>
      </c>
      <c r="M555">
        <v>2</v>
      </c>
    </row>
    <row r="556" spans="1:13">
      <c r="A556" s="11" t="s">
        <v>813</v>
      </c>
      <c r="E556">
        <v>2</v>
      </c>
      <c r="F556">
        <v>2</v>
      </c>
      <c r="G556" t="s">
        <v>814</v>
      </c>
    </row>
    <row r="557" spans="1:13">
      <c r="A557" s="11" t="s">
        <v>819</v>
      </c>
      <c r="B557" t="s">
        <v>30</v>
      </c>
      <c r="E557">
        <v>0</v>
      </c>
      <c r="F557">
        <v>1</v>
      </c>
    </row>
    <row r="558" spans="1:13">
      <c r="A558" t="s">
        <v>820</v>
      </c>
      <c r="B558" t="s">
        <v>27</v>
      </c>
    </row>
    <row r="560" spans="1:13">
      <c r="A560" s="10" t="s">
        <v>794</v>
      </c>
    </row>
    <row r="561" spans="1:14">
      <c r="A561" t="s">
        <v>796</v>
      </c>
      <c r="H561">
        <v>2</v>
      </c>
      <c r="I561">
        <v>1</v>
      </c>
      <c r="J561">
        <v>0</v>
      </c>
      <c r="K561">
        <v>0</v>
      </c>
      <c r="L561">
        <v>2</v>
      </c>
      <c r="M561">
        <v>2</v>
      </c>
    </row>
    <row r="562" spans="1:14">
      <c r="A562" t="s">
        <v>797</v>
      </c>
      <c r="H562">
        <v>2</v>
      </c>
      <c r="I562">
        <v>2</v>
      </c>
      <c r="J562">
        <v>0</v>
      </c>
      <c r="K562">
        <v>1</v>
      </c>
      <c r="L562">
        <v>2</v>
      </c>
      <c r="M562">
        <v>2</v>
      </c>
    </row>
    <row r="563" spans="1:14">
      <c r="A563" t="s">
        <v>799</v>
      </c>
      <c r="H563">
        <v>2</v>
      </c>
      <c r="I563">
        <v>0</v>
      </c>
      <c r="J563">
        <v>1</v>
      </c>
      <c r="K563">
        <v>0</v>
      </c>
      <c r="L563">
        <v>2</v>
      </c>
      <c r="M563">
        <v>2</v>
      </c>
    </row>
    <row r="564" spans="1:14">
      <c r="A564" t="s">
        <v>800</v>
      </c>
      <c r="H564">
        <v>2</v>
      </c>
      <c r="I564">
        <v>2</v>
      </c>
      <c r="J564">
        <v>1</v>
      </c>
      <c r="K564">
        <v>1</v>
      </c>
      <c r="L564">
        <v>2</v>
      </c>
      <c r="M564">
        <v>2</v>
      </c>
    </row>
    <row r="565" spans="1:14">
      <c r="A565" t="s">
        <v>801</v>
      </c>
      <c r="H565">
        <v>2</v>
      </c>
      <c r="I565">
        <v>2</v>
      </c>
      <c r="J565">
        <v>0</v>
      </c>
      <c r="K565">
        <v>0</v>
      </c>
      <c r="L565">
        <v>2</v>
      </c>
      <c r="M565">
        <v>1</v>
      </c>
    </row>
    <row r="566" spans="1:14">
      <c r="A566" t="s">
        <v>802</v>
      </c>
      <c r="H566">
        <v>2</v>
      </c>
      <c r="I566">
        <v>2</v>
      </c>
      <c r="J566">
        <v>0</v>
      </c>
      <c r="K566">
        <v>0</v>
      </c>
      <c r="L566">
        <v>2</v>
      </c>
      <c r="M566">
        <v>2</v>
      </c>
    </row>
    <row r="567" spans="1:14">
      <c r="A567" t="s">
        <v>803</v>
      </c>
      <c r="H567">
        <v>2</v>
      </c>
      <c r="I567">
        <v>2</v>
      </c>
      <c r="J567">
        <v>2</v>
      </c>
      <c r="K567">
        <v>0</v>
      </c>
      <c r="L567">
        <v>2</v>
      </c>
      <c r="M567">
        <v>2</v>
      </c>
    </row>
    <row r="568" spans="1:14">
      <c r="A568" t="s">
        <v>798</v>
      </c>
      <c r="E568">
        <v>2</v>
      </c>
      <c r="F568">
        <v>2</v>
      </c>
      <c r="G568">
        <v>2</v>
      </c>
    </row>
    <row r="569" spans="1:14">
      <c r="A569" t="s">
        <v>804</v>
      </c>
      <c r="B569" t="s">
        <v>27</v>
      </c>
    </row>
    <row r="571" spans="1:14">
      <c r="A571" s="10" t="s">
        <v>795</v>
      </c>
    </row>
    <row r="572" spans="1:14">
      <c r="A572" t="s">
        <v>805</v>
      </c>
      <c r="H572">
        <v>2</v>
      </c>
      <c r="I572">
        <v>0</v>
      </c>
      <c r="J572">
        <v>2</v>
      </c>
      <c r="K572">
        <v>0</v>
      </c>
      <c r="L572">
        <v>2</v>
      </c>
      <c r="M572">
        <v>2</v>
      </c>
    </row>
    <row r="573" spans="1:14">
      <c r="A573" t="s">
        <v>806</v>
      </c>
      <c r="H573">
        <v>0</v>
      </c>
      <c r="I573">
        <v>0</v>
      </c>
      <c r="J573">
        <v>0</v>
      </c>
      <c r="K573">
        <v>0</v>
      </c>
      <c r="L573">
        <v>2</v>
      </c>
      <c r="M573">
        <v>2</v>
      </c>
      <c r="N573" t="s">
        <v>807</v>
      </c>
    </row>
    <row r="574" spans="1:14">
      <c r="A574" t="s">
        <v>809</v>
      </c>
      <c r="H574">
        <v>2</v>
      </c>
      <c r="I574">
        <v>0</v>
      </c>
      <c r="J574">
        <v>2</v>
      </c>
      <c r="K574">
        <v>0</v>
      </c>
      <c r="L574">
        <v>2</v>
      </c>
      <c r="M574">
        <v>2</v>
      </c>
      <c r="N574" t="s">
        <v>807</v>
      </c>
    </row>
    <row r="575" spans="1:14">
      <c r="A575" s="24" t="s">
        <v>810</v>
      </c>
      <c r="H575">
        <v>2</v>
      </c>
      <c r="I575">
        <v>0</v>
      </c>
      <c r="J575">
        <v>2</v>
      </c>
      <c r="K575">
        <v>0</v>
      </c>
      <c r="L575">
        <v>2</v>
      </c>
      <c r="M575">
        <v>2</v>
      </c>
    </row>
    <row r="576" spans="1:14">
      <c r="A576" s="25" t="s">
        <v>811</v>
      </c>
      <c r="H576">
        <v>2</v>
      </c>
      <c r="I576">
        <v>0</v>
      </c>
      <c r="J576">
        <v>1</v>
      </c>
      <c r="K576">
        <v>0</v>
      </c>
      <c r="L576">
        <v>2</v>
      </c>
      <c r="M576">
        <v>2</v>
      </c>
    </row>
    <row r="577" spans="1:13">
      <c r="A577" s="25" t="s">
        <v>812</v>
      </c>
      <c r="H577">
        <v>2</v>
      </c>
      <c r="I577">
        <v>1</v>
      </c>
      <c r="J577">
        <v>1</v>
      </c>
      <c r="K577">
        <v>0</v>
      </c>
      <c r="L577">
        <v>2</v>
      </c>
      <c r="M577">
        <v>2</v>
      </c>
    </row>
    <row r="578" spans="1:13">
      <c r="A578" s="25" t="s">
        <v>808</v>
      </c>
      <c r="B578" t="s">
        <v>27</v>
      </c>
      <c r="E578">
        <v>2</v>
      </c>
      <c r="F578">
        <v>0</v>
      </c>
      <c r="G578">
        <v>0</v>
      </c>
    </row>
    <row r="579" spans="1:13">
      <c r="A579" s="25"/>
    </row>
    <row r="580" spans="1:13">
      <c r="A580" s="26" t="s">
        <v>852</v>
      </c>
    </row>
    <row r="581" spans="1:13">
      <c r="A581" s="25" t="s">
        <v>851</v>
      </c>
      <c r="H581">
        <v>1</v>
      </c>
      <c r="I581">
        <v>2</v>
      </c>
      <c r="J581">
        <v>2</v>
      </c>
      <c r="K581">
        <v>2</v>
      </c>
      <c r="L581">
        <v>2</v>
      </c>
      <c r="M581">
        <v>2</v>
      </c>
    </row>
    <row r="582" spans="1:13">
      <c r="A582" s="25" t="s">
        <v>853</v>
      </c>
      <c r="H582">
        <v>1</v>
      </c>
      <c r="I582">
        <v>2</v>
      </c>
      <c r="J582">
        <v>1</v>
      </c>
      <c r="K582">
        <v>2</v>
      </c>
      <c r="L582">
        <v>2</v>
      </c>
      <c r="M582">
        <v>2</v>
      </c>
    </row>
    <row r="583" spans="1:13">
      <c r="A583" s="25" t="s">
        <v>854</v>
      </c>
      <c r="H583">
        <v>1</v>
      </c>
      <c r="I583">
        <v>2</v>
      </c>
      <c r="J583">
        <v>1</v>
      </c>
      <c r="K583">
        <v>2</v>
      </c>
      <c r="L583">
        <v>2</v>
      </c>
      <c r="M583">
        <v>2</v>
      </c>
    </row>
    <row r="584" spans="1:13">
      <c r="A584" s="25" t="s">
        <v>856</v>
      </c>
      <c r="H584">
        <v>1</v>
      </c>
      <c r="I584">
        <v>2</v>
      </c>
      <c r="J584">
        <v>1</v>
      </c>
      <c r="K584">
        <v>2</v>
      </c>
      <c r="L584">
        <v>2</v>
      </c>
      <c r="M584">
        <v>2</v>
      </c>
    </row>
    <row r="585" spans="1:13">
      <c r="A585" s="25" t="s">
        <v>857</v>
      </c>
      <c r="H585">
        <v>2</v>
      </c>
      <c r="I585">
        <v>2</v>
      </c>
      <c r="J585">
        <v>1</v>
      </c>
      <c r="K585">
        <v>2</v>
      </c>
      <c r="L585">
        <v>2</v>
      </c>
      <c r="M585">
        <v>2</v>
      </c>
    </row>
    <row r="586" spans="1:13">
      <c r="A586" s="25" t="s">
        <v>858</v>
      </c>
      <c r="H586">
        <v>2</v>
      </c>
      <c r="I586">
        <v>2</v>
      </c>
      <c r="J586">
        <v>2</v>
      </c>
      <c r="K586">
        <v>2</v>
      </c>
      <c r="L586">
        <v>2</v>
      </c>
      <c r="M586">
        <v>2</v>
      </c>
    </row>
    <row r="587" spans="1:13">
      <c r="A587" s="25" t="s">
        <v>855</v>
      </c>
      <c r="E587">
        <v>0</v>
      </c>
      <c r="F587">
        <v>2</v>
      </c>
      <c r="G587">
        <v>2</v>
      </c>
    </row>
    <row r="588" spans="1:13">
      <c r="A588" s="25" t="s">
        <v>859</v>
      </c>
      <c r="E588">
        <v>2</v>
      </c>
      <c r="F588">
        <v>2</v>
      </c>
      <c r="G588">
        <v>2</v>
      </c>
    </row>
    <row r="589" spans="1:13">
      <c r="A589" s="25"/>
    </row>
    <row r="590" spans="1:13">
      <c r="A590" s="26" t="s">
        <v>860</v>
      </c>
    </row>
    <row r="591" spans="1:13">
      <c r="A591" s="25" t="s">
        <v>861</v>
      </c>
      <c r="H591">
        <v>1</v>
      </c>
      <c r="I591">
        <v>2</v>
      </c>
      <c r="J591">
        <v>2</v>
      </c>
      <c r="K591">
        <v>0</v>
      </c>
      <c r="L591">
        <v>2</v>
      </c>
      <c r="M591">
        <v>2</v>
      </c>
    </row>
    <row r="592" spans="1:13">
      <c r="A592" s="25" t="s">
        <v>862</v>
      </c>
      <c r="H592">
        <v>0</v>
      </c>
      <c r="I592">
        <v>0</v>
      </c>
      <c r="J592">
        <v>1</v>
      </c>
      <c r="K592">
        <v>0</v>
      </c>
      <c r="L592">
        <v>1</v>
      </c>
      <c r="M592">
        <v>1</v>
      </c>
    </row>
    <row r="593" spans="1:13">
      <c r="A593" s="25" t="s">
        <v>863</v>
      </c>
      <c r="H593">
        <v>2</v>
      </c>
      <c r="I593">
        <v>0</v>
      </c>
      <c r="J593">
        <v>2</v>
      </c>
      <c r="K593">
        <v>0</v>
      </c>
      <c r="L593">
        <v>2</v>
      </c>
      <c r="M593">
        <v>2</v>
      </c>
    </row>
    <row r="594" spans="1:13">
      <c r="A594" s="25" t="s">
        <v>864</v>
      </c>
      <c r="H594">
        <v>2</v>
      </c>
      <c r="I594">
        <v>0</v>
      </c>
      <c r="J594">
        <v>2</v>
      </c>
      <c r="K594">
        <v>0</v>
      </c>
      <c r="L594">
        <v>2</v>
      </c>
      <c r="M594">
        <v>2</v>
      </c>
    </row>
    <row r="595" spans="1:13">
      <c r="A595" s="25" t="s">
        <v>865</v>
      </c>
      <c r="H595">
        <v>2</v>
      </c>
      <c r="I595">
        <v>1</v>
      </c>
      <c r="J595">
        <v>2</v>
      </c>
      <c r="K595">
        <v>2</v>
      </c>
      <c r="L595">
        <v>2</v>
      </c>
      <c r="M595">
        <v>2</v>
      </c>
    </row>
    <row r="596" spans="1:13">
      <c r="A596" s="25" t="s">
        <v>866</v>
      </c>
      <c r="E596">
        <v>2</v>
      </c>
      <c r="F596">
        <v>2</v>
      </c>
      <c r="G596">
        <v>2</v>
      </c>
    </row>
    <row r="597" spans="1:13">
      <c r="A597" s="25" t="s">
        <v>867</v>
      </c>
      <c r="B597" t="s">
        <v>24</v>
      </c>
      <c r="E597">
        <v>1</v>
      </c>
      <c r="F597">
        <v>2</v>
      </c>
    </row>
    <row r="598" spans="1:13">
      <c r="A598" s="25"/>
    </row>
    <row r="599" spans="1:13">
      <c r="A599" s="26" t="s">
        <v>868</v>
      </c>
    </row>
    <row r="600" spans="1:13">
      <c r="A600" s="25" t="s">
        <v>878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2</v>
      </c>
    </row>
    <row r="601" spans="1:13">
      <c r="A601" s="25" t="s">
        <v>879</v>
      </c>
      <c r="H601">
        <v>1</v>
      </c>
      <c r="I601">
        <v>0</v>
      </c>
      <c r="J601">
        <v>2</v>
      </c>
      <c r="K601">
        <v>0</v>
      </c>
      <c r="L601">
        <v>1</v>
      </c>
      <c r="M601">
        <v>1</v>
      </c>
    </row>
    <row r="602" spans="1:13">
      <c r="A602" s="25" t="s">
        <v>880</v>
      </c>
      <c r="H602">
        <v>1</v>
      </c>
      <c r="I602">
        <v>1</v>
      </c>
      <c r="J602">
        <v>2</v>
      </c>
      <c r="K602">
        <v>1</v>
      </c>
      <c r="L602">
        <v>1</v>
      </c>
      <c r="M602">
        <v>1</v>
      </c>
    </row>
    <row r="603" spans="1:13">
      <c r="A603" s="25" t="s">
        <v>881</v>
      </c>
      <c r="H603">
        <v>1</v>
      </c>
      <c r="I603">
        <v>0</v>
      </c>
      <c r="J603">
        <v>2</v>
      </c>
      <c r="K603">
        <v>0</v>
      </c>
      <c r="L603">
        <v>1</v>
      </c>
      <c r="M603">
        <v>1</v>
      </c>
    </row>
    <row r="604" spans="1:13">
      <c r="A604" s="25" t="s">
        <v>882</v>
      </c>
      <c r="H604">
        <v>1</v>
      </c>
      <c r="I604">
        <v>0</v>
      </c>
      <c r="J604">
        <v>1</v>
      </c>
      <c r="K604">
        <v>0</v>
      </c>
      <c r="L604">
        <v>1</v>
      </c>
      <c r="M604">
        <v>1</v>
      </c>
    </row>
    <row r="605" spans="1:13">
      <c r="A605" s="25" t="s">
        <v>883</v>
      </c>
      <c r="H605">
        <v>0</v>
      </c>
      <c r="I605">
        <v>2</v>
      </c>
      <c r="J605">
        <v>0</v>
      </c>
      <c r="K605">
        <v>2</v>
      </c>
      <c r="L605">
        <v>1</v>
      </c>
      <c r="M605">
        <v>1</v>
      </c>
    </row>
    <row r="606" spans="1:13">
      <c r="A606" s="25" t="s">
        <v>884</v>
      </c>
      <c r="H606">
        <v>2</v>
      </c>
      <c r="I606">
        <v>1</v>
      </c>
      <c r="J606">
        <v>2</v>
      </c>
      <c r="K606">
        <v>2</v>
      </c>
      <c r="L606">
        <v>2</v>
      </c>
      <c r="M606">
        <v>2</v>
      </c>
    </row>
    <row r="607" spans="1:13">
      <c r="A607" s="25" t="s">
        <v>885</v>
      </c>
      <c r="H607">
        <v>2</v>
      </c>
      <c r="I607">
        <v>0</v>
      </c>
      <c r="J607">
        <v>2</v>
      </c>
      <c r="K607">
        <v>0</v>
      </c>
      <c r="L607">
        <v>2</v>
      </c>
      <c r="M607">
        <v>2</v>
      </c>
    </row>
    <row r="608" spans="1:13">
      <c r="A608" s="25" t="s">
        <v>886</v>
      </c>
      <c r="E608">
        <v>1</v>
      </c>
      <c r="F608">
        <v>2</v>
      </c>
      <c r="G608">
        <v>2</v>
      </c>
    </row>
    <row r="609" spans="1:13">
      <c r="A609" s="25" t="s">
        <v>887</v>
      </c>
    </row>
    <row r="610" spans="1:13">
      <c r="A610" s="25" t="s">
        <v>888</v>
      </c>
    </row>
    <row r="611" spans="1:13">
      <c r="A611" s="25"/>
    </row>
    <row r="612" spans="1:13">
      <c r="A612" s="26" t="s">
        <v>869</v>
      </c>
    </row>
    <row r="613" spans="1:13">
      <c r="A613" s="25" t="s">
        <v>889</v>
      </c>
      <c r="H613">
        <v>0</v>
      </c>
      <c r="I613">
        <v>0</v>
      </c>
      <c r="J613">
        <v>0</v>
      </c>
      <c r="K613">
        <v>0</v>
      </c>
      <c r="L613">
        <v>2</v>
      </c>
      <c r="M613">
        <v>2</v>
      </c>
    </row>
    <row r="614" spans="1:13">
      <c r="A614" s="25" t="s">
        <v>890</v>
      </c>
      <c r="H614">
        <v>2</v>
      </c>
      <c r="I614">
        <v>2</v>
      </c>
      <c r="J614">
        <v>2</v>
      </c>
      <c r="K614">
        <v>0</v>
      </c>
      <c r="L614">
        <v>2</v>
      </c>
      <c r="M614">
        <v>2</v>
      </c>
    </row>
    <row r="615" spans="1:13">
      <c r="A615" s="25" t="s">
        <v>891</v>
      </c>
      <c r="H615">
        <v>0</v>
      </c>
      <c r="I615">
        <v>0</v>
      </c>
      <c r="J615">
        <v>0</v>
      </c>
      <c r="K615">
        <v>0</v>
      </c>
      <c r="L615">
        <v>2</v>
      </c>
      <c r="M615">
        <v>2</v>
      </c>
    </row>
    <row r="616" spans="1:13">
      <c r="A616" s="25" t="s">
        <v>892</v>
      </c>
      <c r="H616">
        <v>1</v>
      </c>
      <c r="I616">
        <v>0</v>
      </c>
      <c r="J616">
        <v>1</v>
      </c>
      <c r="K616">
        <v>0</v>
      </c>
      <c r="L616">
        <v>1</v>
      </c>
      <c r="M616">
        <v>1</v>
      </c>
    </row>
    <row r="617" spans="1:13">
      <c r="A617" s="25" t="s">
        <v>893</v>
      </c>
      <c r="H617">
        <v>2</v>
      </c>
      <c r="I617">
        <v>1</v>
      </c>
      <c r="J617">
        <v>2</v>
      </c>
      <c r="K617">
        <v>0</v>
      </c>
      <c r="L617">
        <v>2</v>
      </c>
      <c r="M617">
        <v>2</v>
      </c>
    </row>
    <row r="618" spans="1:13">
      <c r="A618" s="25" t="s">
        <v>895</v>
      </c>
      <c r="E618">
        <v>2</v>
      </c>
      <c r="F618">
        <v>2</v>
      </c>
      <c r="G618">
        <v>2</v>
      </c>
    </row>
    <row r="619" spans="1:13">
      <c r="A619" s="25" t="s">
        <v>896</v>
      </c>
      <c r="E619">
        <v>2</v>
      </c>
      <c r="F619">
        <v>2</v>
      </c>
      <c r="G619">
        <v>2</v>
      </c>
    </row>
    <row r="620" spans="1:13">
      <c r="A620" s="25" t="s">
        <v>894</v>
      </c>
      <c r="B620" t="s">
        <v>24</v>
      </c>
    </row>
    <row r="621" spans="1:13">
      <c r="A621" s="25"/>
    </row>
    <row r="622" spans="1:13">
      <c r="A622" s="26" t="s">
        <v>870</v>
      </c>
    </row>
    <row r="623" spans="1:13">
      <c r="A623" t="s">
        <v>905</v>
      </c>
      <c r="H623">
        <v>0</v>
      </c>
      <c r="I623">
        <v>0</v>
      </c>
      <c r="J623" t="s">
        <v>906</v>
      </c>
      <c r="K623">
        <v>0</v>
      </c>
      <c r="L623">
        <v>2</v>
      </c>
      <c r="M623">
        <v>2</v>
      </c>
    </row>
    <row r="624" spans="1:13">
      <c r="A624" t="s">
        <v>907</v>
      </c>
      <c r="H624">
        <v>1</v>
      </c>
      <c r="I624">
        <v>0</v>
      </c>
      <c r="J624">
        <v>1</v>
      </c>
      <c r="K624">
        <v>0</v>
      </c>
      <c r="L624">
        <v>2</v>
      </c>
      <c r="M624">
        <v>2</v>
      </c>
    </row>
    <row r="625" spans="1:13">
      <c r="A625" t="s">
        <v>908</v>
      </c>
      <c r="H625">
        <v>0</v>
      </c>
      <c r="I625">
        <v>0</v>
      </c>
      <c r="J625">
        <v>0</v>
      </c>
      <c r="K625">
        <v>0</v>
      </c>
      <c r="L625">
        <v>2</v>
      </c>
      <c r="M625">
        <v>2</v>
      </c>
    </row>
    <row r="626" spans="1:13">
      <c r="A626" t="s">
        <v>909</v>
      </c>
      <c r="H626">
        <v>0</v>
      </c>
      <c r="I626">
        <v>0</v>
      </c>
      <c r="J626">
        <v>0</v>
      </c>
      <c r="K626">
        <v>0</v>
      </c>
      <c r="L626">
        <v>2</v>
      </c>
      <c r="M626">
        <v>2</v>
      </c>
    </row>
    <row r="627" spans="1:13">
      <c r="A627" t="s">
        <v>910</v>
      </c>
      <c r="H627">
        <v>0</v>
      </c>
      <c r="I627">
        <v>0</v>
      </c>
      <c r="J627">
        <v>0</v>
      </c>
      <c r="K627">
        <v>0</v>
      </c>
      <c r="L627">
        <v>2</v>
      </c>
      <c r="M627">
        <v>2</v>
      </c>
    </row>
    <row r="628" spans="1:13">
      <c r="A628" s="23" t="s">
        <v>911</v>
      </c>
      <c r="E628">
        <v>2</v>
      </c>
      <c r="F628">
        <v>2</v>
      </c>
      <c r="G628">
        <v>2</v>
      </c>
    </row>
    <row r="629" spans="1:13">
      <c r="A629" t="s">
        <v>912</v>
      </c>
      <c r="E629">
        <v>2</v>
      </c>
      <c r="F629">
        <v>2</v>
      </c>
      <c r="G629">
        <v>2</v>
      </c>
    </row>
    <row r="630" spans="1:13">
      <c r="A630" t="s">
        <v>913</v>
      </c>
      <c r="B630" t="s">
        <v>27</v>
      </c>
    </row>
    <row r="632" spans="1:13">
      <c r="A632" s="10" t="s">
        <v>871</v>
      </c>
    </row>
    <row r="633" spans="1:13">
      <c r="A633" t="s">
        <v>914</v>
      </c>
      <c r="H633">
        <v>0</v>
      </c>
      <c r="I633">
        <v>0</v>
      </c>
      <c r="J633">
        <v>0</v>
      </c>
      <c r="K633">
        <v>0</v>
      </c>
      <c r="L633">
        <v>2</v>
      </c>
      <c r="M633">
        <v>2</v>
      </c>
    </row>
    <row r="634" spans="1:13">
      <c r="A634" t="s">
        <v>915</v>
      </c>
      <c r="H634">
        <v>0</v>
      </c>
      <c r="I634">
        <v>1</v>
      </c>
      <c r="J634">
        <v>0</v>
      </c>
      <c r="K634">
        <v>0</v>
      </c>
      <c r="L634">
        <v>2</v>
      </c>
      <c r="M634">
        <v>2</v>
      </c>
    </row>
    <row r="635" spans="1:13">
      <c r="A635" t="s">
        <v>916</v>
      </c>
      <c r="H635">
        <v>0</v>
      </c>
      <c r="I635">
        <v>1</v>
      </c>
      <c r="J635">
        <v>0</v>
      </c>
      <c r="K635">
        <v>0</v>
      </c>
      <c r="L635">
        <v>2</v>
      </c>
      <c r="M635">
        <v>2</v>
      </c>
    </row>
    <row r="636" spans="1:13">
      <c r="A636" t="s">
        <v>917</v>
      </c>
      <c r="H636">
        <v>1</v>
      </c>
      <c r="I636">
        <v>2</v>
      </c>
      <c r="J636">
        <v>0</v>
      </c>
      <c r="K636">
        <v>0</v>
      </c>
      <c r="L636">
        <v>2</v>
      </c>
      <c r="M636">
        <v>2</v>
      </c>
    </row>
    <row r="637" spans="1:13">
      <c r="A637" t="s">
        <v>918</v>
      </c>
      <c r="H637">
        <v>0</v>
      </c>
      <c r="I637">
        <v>1</v>
      </c>
      <c r="J637">
        <v>0</v>
      </c>
      <c r="K637">
        <v>0</v>
      </c>
      <c r="L637">
        <v>2</v>
      </c>
      <c r="M637">
        <v>2</v>
      </c>
    </row>
    <row r="638" spans="1:13">
      <c r="A638" t="s">
        <v>919</v>
      </c>
      <c r="E638" t="s">
        <v>920</v>
      </c>
      <c r="F638">
        <v>2</v>
      </c>
      <c r="G638">
        <v>2</v>
      </c>
    </row>
    <row r="639" spans="1:13">
      <c r="A639" t="s">
        <v>921</v>
      </c>
      <c r="E639">
        <v>1</v>
      </c>
      <c r="F639">
        <v>2</v>
      </c>
      <c r="G639">
        <v>2</v>
      </c>
    </row>
    <row r="641" spans="1:13">
      <c r="A641" s="10" t="s">
        <v>872</v>
      </c>
    </row>
    <row r="642" spans="1:13">
      <c r="A642" t="s">
        <v>936</v>
      </c>
      <c r="H642">
        <v>0</v>
      </c>
      <c r="I642">
        <v>1</v>
      </c>
      <c r="J642">
        <v>0</v>
      </c>
      <c r="K642">
        <v>0</v>
      </c>
      <c r="L642">
        <v>1</v>
      </c>
      <c r="M642">
        <v>1</v>
      </c>
    </row>
    <row r="643" spans="1:13">
      <c r="A643" t="s">
        <v>937</v>
      </c>
      <c r="H643">
        <v>0</v>
      </c>
      <c r="I643">
        <v>1</v>
      </c>
      <c r="J643">
        <v>0</v>
      </c>
      <c r="K643">
        <v>0</v>
      </c>
      <c r="L643">
        <v>2</v>
      </c>
      <c r="M643">
        <v>2</v>
      </c>
    </row>
    <row r="644" spans="1:13">
      <c r="A644" t="s">
        <v>938</v>
      </c>
      <c r="H644">
        <v>0</v>
      </c>
      <c r="I644">
        <v>1</v>
      </c>
      <c r="J644">
        <v>0</v>
      </c>
      <c r="K644">
        <v>0</v>
      </c>
      <c r="L644">
        <v>1</v>
      </c>
      <c r="M644">
        <v>2</v>
      </c>
    </row>
    <row r="645" spans="1:13">
      <c r="A645" t="s">
        <v>939</v>
      </c>
      <c r="H645">
        <v>0</v>
      </c>
      <c r="I645">
        <v>2</v>
      </c>
      <c r="J645">
        <v>0</v>
      </c>
      <c r="K645">
        <v>0</v>
      </c>
      <c r="L645">
        <v>2</v>
      </c>
      <c r="M645">
        <v>2</v>
      </c>
    </row>
    <row r="646" spans="1:13">
      <c r="A646" t="s">
        <v>940</v>
      </c>
      <c r="E646">
        <v>0</v>
      </c>
      <c r="F646">
        <v>1</v>
      </c>
      <c r="G646">
        <v>2</v>
      </c>
    </row>
    <row r="648" spans="1:13">
      <c r="A648" s="10" t="s">
        <v>873</v>
      </c>
    </row>
    <row r="649" spans="1:13">
      <c r="A649" s="11" t="s">
        <v>941</v>
      </c>
      <c r="H649">
        <v>0</v>
      </c>
      <c r="I649">
        <v>0</v>
      </c>
      <c r="J649">
        <v>0</v>
      </c>
      <c r="K649">
        <v>0</v>
      </c>
      <c r="L649">
        <v>1</v>
      </c>
      <c r="M649">
        <v>2</v>
      </c>
    </row>
    <row r="650" spans="1:13">
      <c r="A650" t="s">
        <v>942</v>
      </c>
      <c r="H650">
        <v>0</v>
      </c>
      <c r="I650">
        <v>0</v>
      </c>
      <c r="J650">
        <v>0</v>
      </c>
      <c r="K650">
        <v>0</v>
      </c>
      <c r="L650">
        <v>2</v>
      </c>
      <c r="M650">
        <v>2</v>
      </c>
    </row>
    <row r="651" spans="1:13">
      <c r="A651" t="s">
        <v>943</v>
      </c>
      <c r="H651">
        <v>0</v>
      </c>
      <c r="I651">
        <v>0</v>
      </c>
      <c r="J651">
        <v>0</v>
      </c>
      <c r="K651">
        <v>0</v>
      </c>
      <c r="L651">
        <v>2</v>
      </c>
      <c r="M651">
        <v>2</v>
      </c>
    </row>
    <row r="652" spans="1:13">
      <c r="A652" t="s">
        <v>944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1</v>
      </c>
    </row>
    <row r="653" spans="1:13">
      <c r="A653" t="s">
        <v>945</v>
      </c>
      <c r="H653">
        <v>1</v>
      </c>
      <c r="I653">
        <v>2</v>
      </c>
      <c r="J653">
        <v>0</v>
      </c>
      <c r="K653">
        <v>0</v>
      </c>
      <c r="L653">
        <v>2</v>
      </c>
      <c r="M653">
        <v>2</v>
      </c>
    </row>
    <row r="654" spans="1:13">
      <c r="A654" t="s">
        <v>946</v>
      </c>
      <c r="E654">
        <v>0</v>
      </c>
      <c r="F654">
        <v>1</v>
      </c>
      <c r="G654">
        <v>1</v>
      </c>
    </row>
    <row r="655" spans="1:13">
      <c r="A655" t="s">
        <v>947</v>
      </c>
      <c r="B655" t="s">
        <v>24</v>
      </c>
    </row>
    <row r="657" spans="1:13">
      <c r="A657" s="10" t="s">
        <v>874</v>
      </c>
    </row>
    <row r="658" spans="1:13">
      <c r="A658" t="s">
        <v>948</v>
      </c>
      <c r="H658">
        <v>2</v>
      </c>
      <c r="I658">
        <v>0</v>
      </c>
      <c r="J658">
        <v>2</v>
      </c>
      <c r="K658">
        <v>1</v>
      </c>
      <c r="L658">
        <v>2</v>
      </c>
      <c r="M658">
        <v>2</v>
      </c>
    </row>
    <row r="659" spans="1:13">
      <c r="A659" t="s">
        <v>949</v>
      </c>
      <c r="H659">
        <v>2</v>
      </c>
      <c r="I659">
        <v>1</v>
      </c>
      <c r="J659">
        <v>2</v>
      </c>
      <c r="K659">
        <v>2</v>
      </c>
      <c r="L659">
        <v>2</v>
      </c>
      <c r="M659">
        <v>2</v>
      </c>
    </row>
    <row r="660" spans="1:13">
      <c r="A660" t="s">
        <v>950</v>
      </c>
      <c r="H660">
        <v>2</v>
      </c>
      <c r="I660">
        <v>0</v>
      </c>
      <c r="J660">
        <v>2</v>
      </c>
      <c r="K660">
        <v>2</v>
      </c>
      <c r="L660">
        <v>2</v>
      </c>
      <c r="M660">
        <v>2</v>
      </c>
    </row>
    <row r="661" spans="1:13">
      <c r="A661" t="s">
        <v>951</v>
      </c>
      <c r="H661">
        <v>2</v>
      </c>
      <c r="I661">
        <v>2</v>
      </c>
      <c r="J661">
        <v>2</v>
      </c>
      <c r="K661">
        <v>2</v>
      </c>
      <c r="L661">
        <v>2</v>
      </c>
      <c r="M661">
        <v>2</v>
      </c>
    </row>
    <row r="662" spans="1:13">
      <c r="A662" t="s">
        <v>952</v>
      </c>
      <c r="E662">
        <v>2</v>
      </c>
      <c r="F662">
        <v>2</v>
      </c>
      <c r="G662">
        <v>2</v>
      </c>
    </row>
    <row r="663" spans="1:13">
      <c r="A663" t="s">
        <v>953</v>
      </c>
      <c r="B663" t="s">
        <v>24</v>
      </c>
    </row>
    <row r="665" spans="1:13">
      <c r="A665" s="10" t="s">
        <v>875</v>
      </c>
    </row>
    <row r="666" spans="1:13">
      <c r="A666" t="s">
        <v>954</v>
      </c>
      <c r="H666">
        <v>0</v>
      </c>
      <c r="I666">
        <v>1</v>
      </c>
      <c r="J666">
        <v>0</v>
      </c>
      <c r="K666">
        <v>1</v>
      </c>
      <c r="L666">
        <v>2</v>
      </c>
      <c r="M666">
        <v>2</v>
      </c>
    </row>
    <row r="667" spans="1:13">
      <c r="A667" t="s">
        <v>955</v>
      </c>
      <c r="H667">
        <v>0</v>
      </c>
      <c r="I667">
        <v>2</v>
      </c>
      <c r="J667">
        <v>0</v>
      </c>
      <c r="K667">
        <v>0</v>
      </c>
      <c r="L667">
        <v>2</v>
      </c>
      <c r="M667">
        <v>2</v>
      </c>
    </row>
    <row r="668" spans="1:13">
      <c r="A668" t="s">
        <v>956</v>
      </c>
      <c r="H668">
        <v>0</v>
      </c>
      <c r="I668">
        <v>1</v>
      </c>
      <c r="J668">
        <v>0</v>
      </c>
      <c r="K668">
        <v>0</v>
      </c>
      <c r="L668">
        <v>2</v>
      </c>
      <c r="M668">
        <v>2</v>
      </c>
    </row>
    <row r="669" spans="1:13">
      <c r="A669" t="s">
        <v>957</v>
      </c>
      <c r="H669">
        <v>0</v>
      </c>
      <c r="I669">
        <v>1</v>
      </c>
      <c r="J669">
        <v>0</v>
      </c>
      <c r="K669">
        <v>1</v>
      </c>
      <c r="L669">
        <v>2</v>
      </c>
      <c r="M669">
        <v>2</v>
      </c>
    </row>
    <row r="670" spans="1:13">
      <c r="A670" t="s">
        <v>959</v>
      </c>
      <c r="H670">
        <v>0</v>
      </c>
      <c r="I670">
        <v>1</v>
      </c>
      <c r="J670">
        <v>0</v>
      </c>
      <c r="K670">
        <v>1</v>
      </c>
      <c r="L670">
        <v>2</v>
      </c>
      <c r="M670">
        <v>2</v>
      </c>
    </row>
    <row r="671" spans="1:13">
      <c r="A671" t="s">
        <v>958</v>
      </c>
      <c r="H671">
        <v>0</v>
      </c>
      <c r="I671">
        <v>1</v>
      </c>
      <c r="J671">
        <v>0</v>
      </c>
      <c r="K671">
        <v>0</v>
      </c>
      <c r="L671">
        <v>0</v>
      </c>
      <c r="M671">
        <v>2</v>
      </c>
    </row>
    <row r="672" spans="1:13">
      <c r="A672" t="s">
        <v>960</v>
      </c>
      <c r="E672">
        <v>2</v>
      </c>
      <c r="F672">
        <v>2</v>
      </c>
      <c r="G672">
        <v>2</v>
      </c>
    </row>
    <row r="674" spans="1:13">
      <c r="A674" s="10" t="s">
        <v>876</v>
      </c>
    </row>
    <row r="675" spans="1:13">
      <c r="A675" t="s">
        <v>897</v>
      </c>
      <c r="H675">
        <v>0</v>
      </c>
      <c r="I675">
        <v>0</v>
      </c>
      <c r="J675">
        <v>0</v>
      </c>
      <c r="K675">
        <v>0</v>
      </c>
      <c r="L675">
        <v>1</v>
      </c>
      <c r="M675">
        <v>2</v>
      </c>
    </row>
    <row r="676" spans="1:13">
      <c r="A676" t="s">
        <v>898</v>
      </c>
      <c r="H676">
        <v>0</v>
      </c>
      <c r="I676">
        <v>0</v>
      </c>
      <c r="J676">
        <v>0</v>
      </c>
      <c r="K676">
        <v>0</v>
      </c>
      <c r="L676">
        <v>1</v>
      </c>
      <c r="M676">
        <v>0</v>
      </c>
    </row>
    <row r="677" spans="1:13">
      <c r="A677" t="s">
        <v>899</v>
      </c>
      <c r="H677">
        <v>0</v>
      </c>
      <c r="I677">
        <v>2</v>
      </c>
      <c r="J677">
        <v>0</v>
      </c>
      <c r="K677">
        <v>0</v>
      </c>
      <c r="L677">
        <v>1</v>
      </c>
      <c r="M677">
        <v>2</v>
      </c>
    </row>
    <row r="678" spans="1:13">
      <c r="A678" t="s">
        <v>900</v>
      </c>
      <c r="H678">
        <v>0</v>
      </c>
      <c r="I678">
        <v>2</v>
      </c>
      <c r="J678">
        <v>0</v>
      </c>
      <c r="K678">
        <v>1</v>
      </c>
      <c r="L678">
        <v>1</v>
      </c>
      <c r="M678">
        <v>2</v>
      </c>
    </row>
    <row r="679" spans="1:13">
      <c r="A679" t="s">
        <v>901</v>
      </c>
      <c r="H679">
        <v>1</v>
      </c>
      <c r="I679">
        <v>2</v>
      </c>
      <c r="J679">
        <v>0</v>
      </c>
      <c r="K679">
        <v>1</v>
      </c>
      <c r="L679">
        <v>2</v>
      </c>
      <c r="M679">
        <v>2</v>
      </c>
    </row>
    <row r="680" spans="1:13">
      <c r="A680" t="s">
        <v>902</v>
      </c>
      <c r="H680">
        <v>0</v>
      </c>
      <c r="I680">
        <v>2</v>
      </c>
      <c r="J680">
        <v>0</v>
      </c>
      <c r="K680">
        <v>0</v>
      </c>
      <c r="L680">
        <v>2</v>
      </c>
      <c r="M680">
        <v>2</v>
      </c>
    </row>
    <row r="681" spans="1:13">
      <c r="A681" t="s">
        <v>903</v>
      </c>
      <c r="E681">
        <v>1</v>
      </c>
      <c r="F681">
        <v>2</v>
      </c>
      <c r="G681">
        <v>2</v>
      </c>
    </row>
    <row r="682" spans="1:13">
      <c r="A682" t="s">
        <v>904</v>
      </c>
      <c r="E682">
        <v>1</v>
      </c>
      <c r="F682">
        <v>2</v>
      </c>
      <c r="G682">
        <v>2</v>
      </c>
    </row>
    <row r="684" spans="1:13">
      <c r="A684" s="10" t="s">
        <v>877</v>
      </c>
    </row>
    <row r="685" spans="1:13">
      <c r="A685" t="s">
        <v>961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1</v>
      </c>
    </row>
    <row r="686" spans="1:13">
      <c r="A686" t="s">
        <v>962</v>
      </c>
      <c r="H686">
        <v>0</v>
      </c>
      <c r="I686">
        <v>0</v>
      </c>
      <c r="J686">
        <v>0</v>
      </c>
      <c r="K686">
        <v>0</v>
      </c>
      <c r="L686">
        <v>2</v>
      </c>
      <c r="M686">
        <v>2</v>
      </c>
    </row>
    <row r="687" spans="1:13">
      <c r="A687" t="s">
        <v>963</v>
      </c>
      <c r="H687">
        <v>0</v>
      </c>
      <c r="I687">
        <v>0</v>
      </c>
      <c r="J687">
        <v>0</v>
      </c>
      <c r="K687">
        <v>0</v>
      </c>
      <c r="L687">
        <v>2</v>
      </c>
      <c r="M687">
        <v>2</v>
      </c>
    </row>
    <row r="688" spans="1:13">
      <c r="A688" t="s">
        <v>964</v>
      </c>
      <c r="H688">
        <v>0</v>
      </c>
      <c r="I688">
        <v>0</v>
      </c>
      <c r="J688">
        <v>0</v>
      </c>
      <c r="K688">
        <v>0</v>
      </c>
      <c r="L688">
        <v>2</v>
      </c>
      <c r="M688">
        <v>2</v>
      </c>
    </row>
    <row r="689" spans="1:13">
      <c r="A689" t="s">
        <v>966</v>
      </c>
      <c r="E689">
        <v>0</v>
      </c>
      <c r="F689">
        <v>1</v>
      </c>
      <c r="G689">
        <v>2</v>
      </c>
    </row>
    <row r="690" spans="1:13">
      <c r="A690" t="s">
        <v>965</v>
      </c>
      <c r="B690" t="s">
        <v>24</v>
      </c>
    </row>
    <row r="692" spans="1:13">
      <c r="A692" s="10" t="s">
        <v>967</v>
      </c>
    </row>
    <row r="693" spans="1:13">
      <c r="A693" t="s">
        <v>972</v>
      </c>
      <c r="H693">
        <v>2</v>
      </c>
      <c r="I693">
        <v>2</v>
      </c>
      <c r="J693">
        <v>1</v>
      </c>
      <c r="K693">
        <v>2</v>
      </c>
      <c r="L693">
        <v>2</v>
      </c>
      <c r="M693">
        <v>2</v>
      </c>
    </row>
    <row r="694" spans="1:13">
      <c r="A694" t="s">
        <v>973</v>
      </c>
      <c r="H694">
        <v>1</v>
      </c>
      <c r="I694">
        <v>2</v>
      </c>
      <c r="J694">
        <v>2</v>
      </c>
      <c r="K694">
        <v>2</v>
      </c>
      <c r="L694">
        <v>2</v>
      </c>
      <c r="M694">
        <v>2</v>
      </c>
    </row>
    <row r="695" spans="1:13">
      <c r="A695" t="s">
        <v>975</v>
      </c>
      <c r="H695">
        <v>1</v>
      </c>
      <c r="I695">
        <v>2</v>
      </c>
      <c r="J695">
        <v>2</v>
      </c>
      <c r="K695">
        <v>2</v>
      </c>
      <c r="L695">
        <v>2</v>
      </c>
      <c r="M695">
        <v>2</v>
      </c>
    </row>
    <row r="696" spans="1:13" ht="16" customHeight="1">
      <c r="A696" t="s">
        <v>976</v>
      </c>
      <c r="H696">
        <v>2</v>
      </c>
      <c r="I696">
        <v>2</v>
      </c>
      <c r="J696">
        <v>2</v>
      </c>
      <c r="K696">
        <v>2</v>
      </c>
      <c r="L696">
        <v>2</v>
      </c>
      <c r="M696">
        <v>2</v>
      </c>
    </row>
    <row r="697" spans="1:13">
      <c r="A697" t="s">
        <v>978</v>
      </c>
      <c r="H697">
        <v>0</v>
      </c>
      <c r="I697">
        <v>1</v>
      </c>
      <c r="J697">
        <v>0</v>
      </c>
      <c r="K697">
        <v>2</v>
      </c>
      <c r="L697">
        <v>2</v>
      </c>
      <c r="M697">
        <v>2</v>
      </c>
    </row>
    <row r="698" spans="1:13">
      <c r="A698" t="s">
        <v>971</v>
      </c>
      <c r="E698">
        <v>1</v>
      </c>
      <c r="F698">
        <v>2</v>
      </c>
      <c r="G698">
        <v>2</v>
      </c>
    </row>
    <row r="699" spans="1:13">
      <c r="A699" t="s">
        <v>974</v>
      </c>
    </row>
    <row r="700" spans="1:13">
      <c r="A700" t="s">
        <v>977</v>
      </c>
      <c r="E700">
        <v>1</v>
      </c>
    </row>
    <row r="702" spans="1:13">
      <c r="A702" s="10" t="s">
        <v>968</v>
      </c>
    </row>
    <row r="703" spans="1:13">
      <c r="A703" t="s">
        <v>990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2</v>
      </c>
    </row>
    <row r="704" spans="1:13">
      <c r="A704" t="s">
        <v>991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2</v>
      </c>
    </row>
    <row r="705" spans="1:14">
      <c r="A705" t="s">
        <v>994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2</v>
      </c>
    </row>
    <row r="706" spans="1:14">
      <c r="A706" t="s">
        <v>995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2</v>
      </c>
    </row>
    <row r="707" spans="1:14">
      <c r="A707" t="s">
        <v>996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2</v>
      </c>
    </row>
    <row r="708" spans="1:14">
      <c r="A708" t="s">
        <v>997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2</v>
      </c>
    </row>
    <row r="709" spans="1:14">
      <c r="A709" t="s">
        <v>989</v>
      </c>
      <c r="E709">
        <v>0</v>
      </c>
      <c r="F709">
        <v>0</v>
      </c>
    </row>
    <row r="710" spans="1:14">
      <c r="A710" t="s">
        <v>993</v>
      </c>
      <c r="E710">
        <v>0</v>
      </c>
      <c r="F710">
        <v>0</v>
      </c>
      <c r="G710">
        <v>2</v>
      </c>
    </row>
    <row r="711" spans="1:14">
      <c r="A711" t="s">
        <v>992</v>
      </c>
      <c r="B711" t="s">
        <v>24</v>
      </c>
    </row>
    <row r="713" spans="1:14">
      <c r="A713" s="10" t="s">
        <v>969</v>
      </c>
    </row>
    <row r="714" spans="1:14">
      <c r="A714" t="s">
        <v>998</v>
      </c>
      <c r="H714">
        <v>1</v>
      </c>
      <c r="I714">
        <v>0</v>
      </c>
      <c r="J714">
        <v>1</v>
      </c>
      <c r="K714">
        <v>0</v>
      </c>
      <c r="L714">
        <v>2</v>
      </c>
      <c r="M714">
        <v>2</v>
      </c>
      <c r="N714" t="s">
        <v>1045</v>
      </c>
    </row>
    <row r="715" spans="1:14">
      <c r="A715" t="s">
        <v>999</v>
      </c>
      <c r="H715">
        <v>1</v>
      </c>
      <c r="I715">
        <v>0</v>
      </c>
      <c r="J715">
        <v>1</v>
      </c>
      <c r="K715">
        <v>0</v>
      </c>
      <c r="L715">
        <v>2</v>
      </c>
      <c r="M715">
        <v>2</v>
      </c>
    </row>
    <row r="716" spans="1:14">
      <c r="A716" t="s">
        <v>1000</v>
      </c>
      <c r="H716">
        <v>0</v>
      </c>
      <c r="I716">
        <v>0</v>
      </c>
      <c r="J716">
        <v>0</v>
      </c>
      <c r="K716">
        <v>0</v>
      </c>
      <c r="L716">
        <v>2</v>
      </c>
      <c r="M716">
        <v>2</v>
      </c>
    </row>
    <row r="717" spans="1:14">
      <c r="A717" t="s">
        <v>1001</v>
      </c>
      <c r="H717">
        <v>0</v>
      </c>
      <c r="I717">
        <v>0</v>
      </c>
      <c r="J717">
        <v>1</v>
      </c>
      <c r="K717">
        <v>0</v>
      </c>
      <c r="L717">
        <v>2</v>
      </c>
      <c r="M717">
        <v>2</v>
      </c>
    </row>
    <row r="718" spans="1:14">
      <c r="A718" t="s">
        <v>1002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1</v>
      </c>
    </row>
    <row r="719" spans="1:14">
      <c r="A719" t="s">
        <v>1004</v>
      </c>
      <c r="E719">
        <v>0</v>
      </c>
      <c r="F719">
        <v>0</v>
      </c>
    </row>
    <row r="720" spans="1:14">
      <c r="A720" t="s">
        <v>1005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2</v>
      </c>
    </row>
    <row r="721" spans="1:13">
      <c r="A721" t="s">
        <v>1003</v>
      </c>
      <c r="B721" t="s">
        <v>24</v>
      </c>
    </row>
    <row r="723" spans="1:13">
      <c r="A723" s="10" t="s">
        <v>970</v>
      </c>
    </row>
    <row r="724" spans="1:13">
      <c r="A724" t="s">
        <v>979</v>
      </c>
    </row>
    <row r="725" spans="1:13">
      <c r="A725" t="s">
        <v>980</v>
      </c>
    </row>
    <row r="726" spans="1:13">
      <c r="A726" t="s">
        <v>981</v>
      </c>
    </row>
    <row r="727" spans="1:13">
      <c r="A727" t="s">
        <v>982</v>
      </c>
    </row>
    <row r="728" spans="1:13">
      <c r="A728" t="s">
        <v>983</v>
      </c>
    </row>
    <row r="729" spans="1:13">
      <c r="A729" t="s">
        <v>984</v>
      </c>
    </row>
    <row r="730" spans="1:13">
      <c r="A730" t="s">
        <v>985</v>
      </c>
    </row>
    <row r="731" spans="1:13">
      <c r="A731" t="s">
        <v>986</v>
      </c>
    </row>
    <row r="732" spans="1:13">
      <c r="A732" t="s">
        <v>987</v>
      </c>
    </row>
    <row r="733" spans="1:13">
      <c r="A733" t="s">
        <v>988</v>
      </c>
    </row>
    <row r="735" spans="1:13">
      <c r="A735" s="10" t="s">
        <v>1006</v>
      </c>
    </row>
    <row r="736" spans="1:13">
      <c r="A736" t="s">
        <v>1012</v>
      </c>
      <c r="H736">
        <v>2</v>
      </c>
      <c r="I736">
        <v>1</v>
      </c>
      <c r="J736">
        <v>2</v>
      </c>
      <c r="K736">
        <v>1</v>
      </c>
      <c r="L736">
        <v>2</v>
      </c>
      <c r="M736">
        <v>2</v>
      </c>
    </row>
    <row r="737" spans="1:13">
      <c r="A737" t="s">
        <v>1013</v>
      </c>
      <c r="H737">
        <v>1</v>
      </c>
      <c r="I737">
        <v>2</v>
      </c>
      <c r="J737">
        <v>1</v>
      </c>
      <c r="K737">
        <v>1</v>
      </c>
      <c r="L737">
        <v>2</v>
      </c>
      <c r="M737">
        <v>2</v>
      </c>
    </row>
    <row r="738" spans="1:13">
      <c r="A738" t="s">
        <v>1014</v>
      </c>
      <c r="H738">
        <v>2</v>
      </c>
      <c r="I738">
        <v>2</v>
      </c>
      <c r="J738">
        <v>2</v>
      </c>
      <c r="K738">
        <v>2</v>
      </c>
      <c r="L738">
        <v>2</v>
      </c>
      <c r="M738">
        <v>2</v>
      </c>
    </row>
    <row r="739" spans="1:13">
      <c r="A739" t="s">
        <v>1015</v>
      </c>
      <c r="H739">
        <v>2</v>
      </c>
      <c r="I739">
        <v>2</v>
      </c>
      <c r="J739">
        <v>2</v>
      </c>
      <c r="K739">
        <v>2</v>
      </c>
      <c r="L739">
        <v>2</v>
      </c>
      <c r="M739">
        <v>2</v>
      </c>
    </row>
    <row r="740" spans="1:13">
      <c r="A740" t="s">
        <v>1016</v>
      </c>
      <c r="E740">
        <v>2</v>
      </c>
      <c r="F740" t="s">
        <v>1017</v>
      </c>
      <c r="G740">
        <v>2</v>
      </c>
    </row>
    <row r="741" spans="1:13">
      <c r="A741" t="s">
        <v>1018</v>
      </c>
      <c r="E741">
        <v>2</v>
      </c>
      <c r="F741">
        <v>1</v>
      </c>
      <c r="G741">
        <v>2</v>
      </c>
    </row>
    <row r="742" spans="1:13">
      <c r="A742" t="s">
        <v>1019</v>
      </c>
      <c r="B742" t="s">
        <v>30</v>
      </c>
    </row>
    <row r="744" spans="1:13">
      <c r="A744" s="10" t="s">
        <v>1007</v>
      </c>
    </row>
    <row r="745" spans="1:13">
      <c r="A745" s="11" t="s">
        <v>1029</v>
      </c>
      <c r="H745">
        <v>1</v>
      </c>
      <c r="I745">
        <v>0</v>
      </c>
      <c r="J745">
        <v>0</v>
      </c>
      <c r="K745">
        <v>0</v>
      </c>
      <c r="L745">
        <v>1</v>
      </c>
      <c r="M745">
        <v>1</v>
      </c>
    </row>
    <row r="746" spans="1:13">
      <c r="A746" s="11" t="s">
        <v>1030</v>
      </c>
      <c r="H746">
        <v>1</v>
      </c>
      <c r="I746">
        <v>0</v>
      </c>
      <c r="J746">
        <v>0</v>
      </c>
      <c r="K746">
        <v>0</v>
      </c>
      <c r="L746">
        <v>1</v>
      </c>
      <c r="M746">
        <v>1</v>
      </c>
    </row>
    <row r="747" spans="1:13">
      <c r="A747" s="11" t="s">
        <v>1031</v>
      </c>
      <c r="H747">
        <v>1</v>
      </c>
      <c r="I747">
        <v>0</v>
      </c>
      <c r="J747">
        <v>0</v>
      </c>
      <c r="K747">
        <v>0</v>
      </c>
      <c r="L747">
        <v>0</v>
      </c>
      <c r="M747">
        <v>0</v>
      </c>
    </row>
    <row r="748" spans="1:13">
      <c r="A748" t="s">
        <v>1032</v>
      </c>
      <c r="H748">
        <v>2</v>
      </c>
      <c r="I748">
        <v>0</v>
      </c>
      <c r="J748">
        <v>2</v>
      </c>
      <c r="K748">
        <v>0</v>
      </c>
      <c r="L748">
        <v>1</v>
      </c>
      <c r="M748">
        <v>1</v>
      </c>
    </row>
    <row r="749" spans="1:13">
      <c r="A749" t="s">
        <v>1034</v>
      </c>
      <c r="H749">
        <v>2</v>
      </c>
      <c r="I749">
        <v>0</v>
      </c>
      <c r="J749">
        <v>2</v>
      </c>
      <c r="K749">
        <v>0</v>
      </c>
      <c r="L749">
        <v>2</v>
      </c>
      <c r="M749">
        <v>2</v>
      </c>
    </row>
    <row r="750" spans="1:13">
      <c r="A750" t="s">
        <v>1035</v>
      </c>
      <c r="H750">
        <v>1</v>
      </c>
      <c r="I750">
        <v>0</v>
      </c>
      <c r="J750">
        <v>0</v>
      </c>
      <c r="K750">
        <v>0</v>
      </c>
      <c r="L750">
        <v>1</v>
      </c>
      <c r="M750">
        <v>1</v>
      </c>
    </row>
    <row r="751" spans="1:13">
      <c r="A751" t="s">
        <v>1033</v>
      </c>
      <c r="E751">
        <v>0</v>
      </c>
      <c r="F751">
        <v>0</v>
      </c>
      <c r="G751">
        <v>1</v>
      </c>
    </row>
    <row r="752" spans="1:13">
      <c r="A752" t="s">
        <v>1036</v>
      </c>
    </row>
    <row r="754" spans="1:13">
      <c r="A754" s="10" t="s">
        <v>1008</v>
      </c>
    </row>
    <row r="755" spans="1:13">
      <c r="A755" s="11" t="s">
        <v>1020</v>
      </c>
      <c r="H755">
        <v>2</v>
      </c>
      <c r="I755">
        <v>2</v>
      </c>
      <c r="J755">
        <v>2</v>
      </c>
      <c r="K755">
        <v>2</v>
      </c>
      <c r="L755">
        <v>2</v>
      </c>
      <c r="M755">
        <v>2</v>
      </c>
    </row>
    <row r="756" spans="1:13">
      <c r="A756" s="11" t="s">
        <v>1021</v>
      </c>
      <c r="H756">
        <v>2</v>
      </c>
      <c r="I756">
        <v>2</v>
      </c>
      <c r="J756">
        <v>2</v>
      </c>
      <c r="K756">
        <v>2</v>
      </c>
      <c r="L756">
        <v>2</v>
      </c>
      <c r="M756">
        <v>2</v>
      </c>
    </row>
    <row r="757" spans="1:13">
      <c r="A757" s="11" t="s">
        <v>1022</v>
      </c>
      <c r="H757">
        <v>1</v>
      </c>
      <c r="I757">
        <v>2</v>
      </c>
      <c r="J757">
        <v>2</v>
      </c>
      <c r="K757">
        <v>2</v>
      </c>
    </row>
    <row r="758" spans="1:13">
      <c r="A758" s="11" t="s">
        <v>1023</v>
      </c>
      <c r="H758">
        <v>1</v>
      </c>
      <c r="I758">
        <v>1</v>
      </c>
      <c r="J758">
        <v>1</v>
      </c>
      <c r="K758">
        <v>2</v>
      </c>
      <c r="L758">
        <v>2</v>
      </c>
      <c r="M758">
        <v>2</v>
      </c>
    </row>
    <row r="759" spans="1:13">
      <c r="A759" t="s">
        <v>1024</v>
      </c>
      <c r="H759">
        <v>1</v>
      </c>
      <c r="I759">
        <v>2</v>
      </c>
      <c r="J759">
        <v>1</v>
      </c>
      <c r="K759">
        <v>2</v>
      </c>
      <c r="L759">
        <v>2</v>
      </c>
      <c r="M759">
        <v>2</v>
      </c>
    </row>
    <row r="760" spans="1:13">
      <c r="A760" t="s">
        <v>1025</v>
      </c>
      <c r="H760">
        <v>1</v>
      </c>
      <c r="I760">
        <v>1</v>
      </c>
      <c r="J760">
        <v>1</v>
      </c>
      <c r="K760">
        <v>2</v>
      </c>
      <c r="L760">
        <v>2</v>
      </c>
      <c r="M760">
        <v>2</v>
      </c>
    </row>
    <row r="761" spans="1:13">
      <c r="A761" t="s">
        <v>1026</v>
      </c>
      <c r="H761">
        <v>1</v>
      </c>
      <c r="I761">
        <v>0</v>
      </c>
      <c r="J761">
        <v>1</v>
      </c>
      <c r="K761">
        <v>2</v>
      </c>
      <c r="L761">
        <v>2</v>
      </c>
      <c r="M761">
        <v>2</v>
      </c>
    </row>
    <row r="762" spans="1:13">
      <c r="A762" t="s">
        <v>1027</v>
      </c>
      <c r="E762">
        <v>1</v>
      </c>
      <c r="F762">
        <v>2</v>
      </c>
      <c r="G762">
        <v>2</v>
      </c>
    </row>
    <row r="763" spans="1:13">
      <c r="A763" t="s">
        <v>1028</v>
      </c>
      <c r="B763" t="s">
        <v>24</v>
      </c>
    </row>
    <row r="765" spans="1:13">
      <c r="A765" s="10" t="s">
        <v>1009</v>
      </c>
    </row>
    <row r="766" spans="1:13">
      <c r="A766" t="s">
        <v>1046</v>
      </c>
      <c r="H766">
        <v>1</v>
      </c>
      <c r="I766">
        <v>0</v>
      </c>
      <c r="J766">
        <v>0</v>
      </c>
      <c r="K766">
        <v>0</v>
      </c>
      <c r="L766">
        <v>0</v>
      </c>
      <c r="M766">
        <v>2</v>
      </c>
    </row>
    <row r="767" spans="1:13">
      <c r="A767" t="s">
        <v>1047</v>
      </c>
      <c r="H767">
        <v>2</v>
      </c>
      <c r="I767">
        <v>0</v>
      </c>
      <c r="J767">
        <v>0</v>
      </c>
      <c r="K767">
        <v>0</v>
      </c>
      <c r="L767">
        <v>1</v>
      </c>
      <c r="M767">
        <v>2</v>
      </c>
    </row>
    <row r="768" spans="1:13">
      <c r="A768" t="s">
        <v>1048</v>
      </c>
      <c r="H768">
        <v>2</v>
      </c>
      <c r="I768">
        <v>2</v>
      </c>
      <c r="J768">
        <v>0</v>
      </c>
      <c r="K768">
        <v>0</v>
      </c>
      <c r="L768">
        <v>1</v>
      </c>
      <c r="M768">
        <v>2</v>
      </c>
    </row>
    <row r="769" spans="1:13">
      <c r="A769" t="s">
        <v>1049</v>
      </c>
      <c r="H769">
        <v>2</v>
      </c>
      <c r="I769">
        <v>0</v>
      </c>
      <c r="J769">
        <v>2</v>
      </c>
      <c r="K769">
        <v>0</v>
      </c>
      <c r="L769">
        <v>2</v>
      </c>
      <c r="M769">
        <v>2</v>
      </c>
    </row>
    <row r="770" spans="1:13">
      <c r="A770" t="s">
        <v>1050</v>
      </c>
      <c r="E770">
        <v>2</v>
      </c>
      <c r="F770">
        <v>0</v>
      </c>
      <c r="G770">
        <v>1</v>
      </c>
    </row>
    <row r="771" spans="1:13">
      <c r="A771" t="s">
        <v>1051</v>
      </c>
      <c r="B771" t="s">
        <v>24</v>
      </c>
    </row>
    <row r="772" spans="1:13">
      <c r="A772" t="s">
        <v>1052</v>
      </c>
      <c r="H772">
        <v>2</v>
      </c>
      <c r="I772">
        <v>0</v>
      </c>
      <c r="J772">
        <v>1</v>
      </c>
      <c r="K772">
        <v>0</v>
      </c>
      <c r="L772">
        <v>2</v>
      </c>
      <c r="M772">
        <v>2</v>
      </c>
    </row>
    <row r="773" spans="1:13">
      <c r="A773" t="s">
        <v>1053</v>
      </c>
      <c r="H773">
        <v>2</v>
      </c>
      <c r="I773">
        <v>0</v>
      </c>
      <c r="J773">
        <v>0</v>
      </c>
      <c r="K773">
        <v>0</v>
      </c>
      <c r="L773">
        <v>2</v>
      </c>
      <c r="M773">
        <v>2</v>
      </c>
    </row>
    <row r="775" spans="1:13">
      <c r="A775" s="10" t="s">
        <v>1010</v>
      </c>
    </row>
    <row r="776" spans="1:13">
      <c r="A776" t="s">
        <v>1054</v>
      </c>
      <c r="E776">
        <v>1</v>
      </c>
      <c r="F776">
        <v>0</v>
      </c>
    </row>
    <row r="777" spans="1:13">
      <c r="A777" t="s">
        <v>1055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</row>
    <row r="778" spans="1:13">
      <c r="A778" t="s">
        <v>1056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</row>
    <row r="779" spans="1:13">
      <c r="A779" t="s">
        <v>1057</v>
      </c>
      <c r="B779" t="s">
        <v>24</v>
      </c>
    </row>
    <row r="780" spans="1:13">
      <c r="A780" t="s">
        <v>1058</v>
      </c>
      <c r="E780">
        <v>0</v>
      </c>
      <c r="F780">
        <v>0</v>
      </c>
    </row>
    <row r="781" spans="1:13">
      <c r="A781" t="s">
        <v>1059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1</v>
      </c>
    </row>
    <row r="782" spans="1:13">
      <c r="A782" t="s">
        <v>1060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1</v>
      </c>
    </row>
    <row r="783" spans="1:13">
      <c r="A783" t="s">
        <v>1061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1</v>
      </c>
    </row>
    <row r="784" spans="1:13">
      <c r="E784">
        <v>1</v>
      </c>
      <c r="F784">
        <v>0</v>
      </c>
    </row>
    <row r="785" spans="1:13">
      <c r="A785" s="10" t="s">
        <v>1011</v>
      </c>
    </row>
    <row r="786" spans="1:13">
      <c r="A786" t="s">
        <v>1062</v>
      </c>
      <c r="E786">
        <v>0</v>
      </c>
      <c r="F786">
        <v>0</v>
      </c>
      <c r="G786">
        <v>1</v>
      </c>
    </row>
    <row r="787" spans="1:13">
      <c r="A787" t="s">
        <v>1063</v>
      </c>
      <c r="H787">
        <v>1</v>
      </c>
      <c r="I787">
        <v>0</v>
      </c>
      <c r="J787">
        <v>0</v>
      </c>
      <c r="K787">
        <v>0</v>
      </c>
      <c r="L787">
        <v>0</v>
      </c>
      <c r="M787">
        <v>1</v>
      </c>
    </row>
    <row r="788" spans="1:13">
      <c r="A788" t="s">
        <v>1064</v>
      </c>
      <c r="H788">
        <v>1</v>
      </c>
      <c r="I788">
        <v>0</v>
      </c>
      <c r="J788">
        <v>0</v>
      </c>
      <c r="K788">
        <v>0</v>
      </c>
      <c r="L788">
        <v>0</v>
      </c>
      <c r="M788">
        <v>0</v>
      </c>
    </row>
    <row r="789" spans="1:13">
      <c r="A789" t="s">
        <v>1065</v>
      </c>
      <c r="H789">
        <v>1</v>
      </c>
      <c r="I789">
        <v>0</v>
      </c>
      <c r="J789">
        <v>0</v>
      </c>
      <c r="K789">
        <v>0</v>
      </c>
      <c r="L789">
        <v>0</v>
      </c>
      <c r="M789">
        <v>1</v>
      </c>
    </row>
    <row r="790" spans="1:13">
      <c r="A790" t="s">
        <v>1066</v>
      </c>
      <c r="B790" t="s">
        <v>24</v>
      </c>
    </row>
    <row r="791" spans="1:13">
      <c r="A791" t="s">
        <v>1067</v>
      </c>
      <c r="E791">
        <v>1</v>
      </c>
      <c r="F791">
        <v>1</v>
      </c>
    </row>
    <row r="792" spans="1:13">
      <c r="A792" t="s">
        <v>1068</v>
      </c>
      <c r="H792">
        <v>1</v>
      </c>
      <c r="I792">
        <v>0</v>
      </c>
      <c r="J792">
        <v>0</v>
      </c>
      <c r="K792">
        <v>0</v>
      </c>
      <c r="L792">
        <v>1</v>
      </c>
      <c r="M792">
        <v>1</v>
      </c>
    </row>
    <row r="793" spans="1:13">
      <c r="A793" t="s">
        <v>1069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1</v>
      </c>
    </row>
    <row r="794" spans="1:13">
      <c r="A794" t="s">
        <v>1070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2</v>
      </c>
    </row>
    <row r="795" spans="1:13">
      <c r="A795" t="s">
        <v>1071</v>
      </c>
    </row>
    <row r="797" spans="1:13">
      <c r="A797" s="10" t="s">
        <v>1037</v>
      </c>
    </row>
    <row r="798" spans="1:13">
      <c r="A798" s="11" t="s">
        <v>1072</v>
      </c>
      <c r="E798">
        <v>0</v>
      </c>
      <c r="F798">
        <v>0</v>
      </c>
    </row>
    <row r="799" spans="1:13">
      <c r="A799" s="11" t="s">
        <v>1073</v>
      </c>
      <c r="H799">
        <v>1</v>
      </c>
      <c r="I799">
        <v>0</v>
      </c>
      <c r="J799">
        <v>0</v>
      </c>
      <c r="K799">
        <v>0</v>
      </c>
      <c r="L799">
        <v>0</v>
      </c>
      <c r="M799">
        <v>2</v>
      </c>
    </row>
    <row r="800" spans="1:13">
      <c r="A800" s="11" t="s">
        <v>1074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2</v>
      </c>
    </row>
    <row r="801" spans="1:13">
      <c r="A801" s="11" t="s">
        <v>1075</v>
      </c>
      <c r="E801">
        <v>0</v>
      </c>
      <c r="F801">
        <v>0</v>
      </c>
    </row>
    <row r="802" spans="1:13">
      <c r="A802" s="11" t="s">
        <v>1076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2</v>
      </c>
    </row>
    <row r="803" spans="1:13">
      <c r="A803" s="11" t="s">
        <v>1077</v>
      </c>
    </row>
    <row r="805" spans="1:13">
      <c r="A805" s="10" t="s">
        <v>1038</v>
      </c>
    </row>
    <row r="806" spans="1:13">
      <c r="A806" s="11" t="s">
        <v>1078</v>
      </c>
      <c r="E806">
        <v>0</v>
      </c>
      <c r="F806">
        <v>0</v>
      </c>
    </row>
    <row r="807" spans="1:13">
      <c r="A807" s="11" t="s">
        <v>1079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</row>
    <row r="808" spans="1:13">
      <c r="A808" s="11" t="s">
        <v>1080</v>
      </c>
      <c r="H808">
        <v>0</v>
      </c>
      <c r="I808">
        <v>0</v>
      </c>
      <c r="J808">
        <v>0</v>
      </c>
      <c r="K808">
        <v>0</v>
      </c>
      <c r="L808">
        <v>1</v>
      </c>
      <c r="M808">
        <v>2</v>
      </c>
    </row>
    <row r="809" spans="1:13">
      <c r="A809" s="11" t="s">
        <v>1081</v>
      </c>
      <c r="E809">
        <v>0</v>
      </c>
      <c r="F809">
        <v>0</v>
      </c>
    </row>
    <row r="810" spans="1:13">
      <c r="A810" s="11" t="s">
        <v>1082</v>
      </c>
      <c r="H810">
        <v>0</v>
      </c>
      <c r="I810">
        <v>0</v>
      </c>
      <c r="J810">
        <v>0</v>
      </c>
      <c r="K810">
        <v>0</v>
      </c>
      <c r="L810">
        <v>1</v>
      </c>
      <c r="M810">
        <v>2</v>
      </c>
    </row>
    <row r="811" spans="1:13">
      <c r="A811" s="11" t="s">
        <v>1083</v>
      </c>
    </row>
    <row r="812" spans="1:13">
      <c r="A812" s="11" t="s">
        <v>1084</v>
      </c>
    </row>
    <row r="814" spans="1:13">
      <c r="A814" s="10" t="s">
        <v>1039</v>
      </c>
    </row>
    <row r="815" spans="1:13">
      <c r="A815" s="11" t="s">
        <v>1085</v>
      </c>
      <c r="E815">
        <v>0</v>
      </c>
      <c r="F815">
        <v>0</v>
      </c>
    </row>
    <row r="816" spans="1:13">
      <c r="A816" s="11" t="s">
        <v>1086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2</v>
      </c>
    </row>
    <row r="817" spans="1:13">
      <c r="A817" s="11" t="s">
        <v>1087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2</v>
      </c>
    </row>
    <row r="818" spans="1:13">
      <c r="A818" s="11" t="s">
        <v>1088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2</v>
      </c>
    </row>
    <row r="819" spans="1:13">
      <c r="A819" t="s">
        <v>1089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2</v>
      </c>
    </row>
    <row r="820" spans="1:13">
      <c r="A820" t="s">
        <v>1090</v>
      </c>
      <c r="E820">
        <v>0</v>
      </c>
      <c r="F820">
        <v>0</v>
      </c>
    </row>
    <row r="821" spans="1:13">
      <c r="A821" t="s">
        <v>1091</v>
      </c>
    </row>
    <row r="823" spans="1:13">
      <c r="A823" s="10" t="s">
        <v>1040</v>
      </c>
    </row>
    <row r="824" spans="1:13">
      <c r="A824" t="s">
        <v>1092</v>
      </c>
      <c r="E824">
        <v>0</v>
      </c>
      <c r="F824">
        <v>0</v>
      </c>
    </row>
    <row r="825" spans="1:13">
      <c r="A825" t="s">
        <v>1093</v>
      </c>
      <c r="H825">
        <v>2</v>
      </c>
      <c r="I825">
        <v>0</v>
      </c>
      <c r="J825">
        <v>1</v>
      </c>
      <c r="K825">
        <v>0</v>
      </c>
      <c r="L825">
        <v>2</v>
      </c>
      <c r="M825">
        <v>2</v>
      </c>
    </row>
    <row r="826" spans="1:13">
      <c r="A826" t="s">
        <v>1094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2</v>
      </c>
    </row>
    <row r="827" spans="1:13">
      <c r="A827" t="s">
        <v>1095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2</v>
      </c>
    </row>
    <row r="828" spans="1:13">
      <c r="A828" t="s">
        <v>1096</v>
      </c>
      <c r="E828">
        <v>1</v>
      </c>
      <c r="F828">
        <v>0</v>
      </c>
    </row>
    <row r="829" spans="1:13">
      <c r="A829" t="s">
        <v>1097</v>
      </c>
      <c r="H829">
        <v>0</v>
      </c>
      <c r="I829">
        <v>0</v>
      </c>
      <c r="J829">
        <v>0</v>
      </c>
      <c r="K829">
        <v>0</v>
      </c>
      <c r="L829">
        <v>2</v>
      </c>
      <c r="M829">
        <v>2</v>
      </c>
    </row>
    <row r="830" spans="1:13">
      <c r="A830" t="s">
        <v>1098</v>
      </c>
    </row>
    <row r="831" spans="1:13">
      <c r="A831" t="s">
        <v>1099</v>
      </c>
    </row>
    <row r="833" spans="1:13">
      <c r="A833" s="10" t="s">
        <v>1041</v>
      </c>
    </row>
    <row r="834" spans="1:13">
      <c r="A834" t="s">
        <v>1170</v>
      </c>
      <c r="E834">
        <v>1</v>
      </c>
      <c r="F834">
        <v>0</v>
      </c>
    </row>
    <row r="835" spans="1:13">
      <c r="A835" t="s">
        <v>1171</v>
      </c>
      <c r="H835">
        <v>2</v>
      </c>
      <c r="I835">
        <v>0</v>
      </c>
      <c r="J835">
        <v>2</v>
      </c>
      <c r="K835">
        <v>0</v>
      </c>
      <c r="L835">
        <v>0</v>
      </c>
      <c r="M835">
        <v>2</v>
      </c>
    </row>
    <row r="836" spans="1:13">
      <c r="A836" t="s">
        <v>1172</v>
      </c>
      <c r="E836">
        <v>2</v>
      </c>
      <c r="F836">
        <v>0</v>
      </c>
    </row>
    <row r="837" spans="1:13">
      <c r="A837" t="s">
        <v>1173</v>
      </c>
      <c r="H837">
        <v>0</v>
      </c>
      <c r="I837">
        <v>0</v>
      </c>
      <c r="J837">
        <v>0</v>
      </c>
      <c r="K837">
        <v>0</v>
      </c>
      <c r="L837">
        <v>2</v>
      </c>
      <c r="M837">
        <v>2</v>
      </c>
    </row>
    <row r="838" spans="1:13">
      <c r="A838" t="s">
        <v>1174</v>
      </c>
      <c r="H838">
        <v>1</v>
      </c>
      <c r="I838">
        <v>0</v>
      </c>
      <c r="J838">
        <v>0</v>
      </c>
      <c r="K838">
        <v>0</v>
      </c>
      <c r="L838">
        <v>2</v>
      </c>
      <c r="M838">
        <v>2</v>
      </c>
    </row>
    <row r="839" spans="1:13">
      <c r="A839" t="s">
        <v>1175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</row>
    <row r="841" spans="1:13">
      <c r="A841" s="10" t="s">
        <v>1042</v>
      </c>
    </row>
    <row r="842" spans="1:13">
      <c r="A842" s="11" t="s">
        <v>1176</v>
      </c>
      <c r="E842">
        <v>0</v>
      </c>
      <c r="F842">
        <v>0</v>
      </c>
    </row>
    <row r="843" spans="1:13">
      <c r="A843" s="11" t="s">
        <v>1177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2</v>
      </c>
    </row>
    <row r="844" spans="1:13">
      <c r="A844" s="10"/>
    </row>
    <row r="845" spans="1:13">
      <c r="A845" s="10"/>
    </row>
    <row r="846" spans="1:13">
      <c r="A846" s="10"/>
    </row>
    <row r="848" spans="1:13">
      <c r="A848" s="10" t="s">
        <v>1043</v>
      </c>
    </row>
    <row r="849" spans="1:13">
      <c r="A849" t="s">
        <v>1178</v>
      </c>
      <c r="H849">
        <v>2</v>
      </c>
      <c r="I849">
        <v>2</v>
      </c>
      <c r="J849">
        <v>0</v>
      </c>
      <c r="K849">
        <v>0</v>
      </c>
      <c r="L849">
        <v>2</v>
      </c>
      <c r="M849">
        <v>2</v>
      </c>
    </row>
    <row r="850" spans="1:13">
      <c r="A850" t="s">
        <v>1179</v>
      </c>
      <c r="H850">
        <v>0</v>
      </c>
      <c r="I850">
        <v>2</v>
      </c>
      <c r="J850">
        <v>0</v>
      </c>
      <c r="K850">
        <v>0</v>
      </c>
      <c r="L850">
        <v>2</v>
      </c>
      <c r="M850">
        <v>2</v>
      </c>
    </row>
    <row r="851" spans="1:13">
      <c r="A851" t="s">
        <v>1180</v>
      </c>
      <c r="H851">
        <v>0</v>
      </c>
      <c r="I851">
        <v>2</v>
      </c>
      <c r="J851">
        <v>0</v>
      </c>
      <c r="K851">
        <v>0</v>
      </c>
      <c r="L851">
        <v>2</v>
      </c>
      <c r="M851">
        <v>2</v>
      </c>
    </row>
    <row r="852" spans="1:13">
      <c r="A852" t="s">
        <v>1181</v>
      </c>
      <c r="H852">
        <v>0</v>
      </c>
      <c r="I852">
        <v>2</v>
      </c>
      <c r="J852">
        <v>0</v>
      </c>
      <c r="K852">
        <v>0</v>
      </c>
      <c r="L852">
        <v>2</v>
      </c>
      <c r="M852">
        <v>2</v>
      </c>
    </row>
    <row r="853" spans="1:13">
      <c r="A853" t="s">
        <v>1182</v>
      </c>
      <c r="H853">
        <v>1</v>
      </c>
      <c r="I853">
        <v>2</v>
      </c>
      <c r="J853">
        <v>0</v>
      </c>
      <c r="K853">
        <v>0</v>
      </c>
      <c r="L853">
        <v>2</v>
      </c>
      <c r="M853">
        <v>2</v>
      </c>
    </row>
    <row r="854" spans="1:13">
      <c r="A854" t="s">
        <v>1183</v>
      </c>
      <c r="E854">
        <v>1</v>
      </c>
      <c r="F854">
        <v>2</v>
      </c>
    </row>
    <row r="855" spans="1:13">
      <c r="A855" t="s">
        <v>1184</v>
      </c>
      <c r="E855">
        <v>2</v>
      </c>
      <c r="F855">
        <v>2</v>
      </c>
    </row>
    <row r="856" spans="1:13">
      <c r="A856" t="s">
        <v>1185</v>
      </c>
      <c r="H856">
        <v>1</v>
      </c>
      <c r="I856">
        <v>2</v>
      </c>
      <c r="J856">
        <v>0</v>
      </c>
      <c r="K856">
        <v>0</v>
      </c>
      <c r="L856">
        <v>2</v>
      </c>
      <c r="M856">
        <v>2</v>
      </c>
    </row>
    <row r="857" spans="1:13">
      <c r="A857" t="s">
        <v>1186</v>
      </c>
      <c r="H857">
        <v>1</v>
      </c>
      <c r="I857">
        <v>2</v>
      </c>
      <c r="J857">
        <v>0</v>
      </c>
      <c r="K857">
        <v>0</v>
      </c>
      <c r="L857">
        <v>2</v>
      </c>
      <c r="M857">
        <v>2</v>
      </c>
    </row>
    <row r="859" spans="1:13">
      <c r="A859" s="10" t="s">
        <v>1044</v>
      </c>
    </row>
    <row r="860" spans="1:13">
      <c r="A860" t="s">
        <v>1192</v>
      </c>
      <c r="E860">
        <v>0</v>
      </c>
      <c r="F860">
        <v>0</v>
      </c>
      <c r="G860">
        <v>2</v>
      </c>
    </row>
    <row r="861" spans="1:13">
      <c r="A861" t="s">
        <v>1193</v>
      </c>
      <c r="H861">
        <v>0</v>
      </c>
      <c r="I861">
        <v>0</v>
      </c>
      <c r="J861">
        <v>0</v>
      </c>
      <c r="K861">
        <v>0</v>
      </c>
      <c r="L861">
        <v>2</v>
      </c>
      <c r="M861">
        <v>2</v>
      </c>
    </row>
    <row r="862" spans="1:13">
      <c r="A862" t="s">
        <v>1194</v>
      </c>
      <c r="E862">
        <v>0</v>
      </c>
      <c r="F862">
        <v>0</v>
      </c>
      <c r="G862">
        <v>2</v>
      </c>
    </row>
    <row r="863" spans="1:13">
      <c r="A863" t="s">
        <v>1195</v>
      </c>
      <c r="H863">
        <v>0</v>
      </c>
      <c r="I863">
        <v>0</v>
      </c>
      <c r="J863">
        <v>0</v>
      </c>
      <c r="K863">
        <v>0</v>
      </c>
      <c r="L863">
        <v>2</v>
      </c>
      <c r="M863">
        <v>2</v>
      </c>
    </row>
    <row r="864" spans="1:13">
      <c r="A864" t="s">
        <v>1196</v>
      </c>
      <c r="H864">
        <v>0</v>
      </c>
      <c r="I864">
        <v>0</v>
      </c>
      <c r="J864">
        <v>0</v>
      </c>
      <c r="K864">
        <v>0</v>
      </c>
      <c r="L864">
        <v>2</v>
      </c>
      <c r="M864">
        <v>2</v>
      </c>
    </row>
    <row r="865" spans="1:13">
      <c r="A865" t="s">
        <v>1197</v>
      </c>
      <c r="H865">
        <v>0</v>
      </c>
      <c r="I865">
        <v>0</v>
      </c>
      <c r="J865">
        <v>0</v>
      </c>
      <c r="K865">
        <v>0</v>
      </c>
      <c r="L865">
        <v>2</v>
      </c>
      <c r="M865">
        <v>2</v>
      </c>
    </row>
    <row r="866" spans="1:13">
      <c r="A866" t="s">
        <v>1198</v>
      </c>
      <c r="H866">
        <v>0</v>
      </c>
      <c r="I866">
        <v>0</v>
      </c>
      <c r="J866">
        <v>0</v>
      </c>
      <c r="K866">
        <v>0</v>
      </c>
      <c r="L866">
        <v>2</v>
      </c>
      <c r="M866">
        <v>2</v>
      </c>
    </row>
    <row r="868" spans="1:13">
      <c r="A868" s="10" t="s">
        <v>1188</v>
      </c>
    </row>
    <row r="869" spans="1:13">
      <c r="A869" s="11" t="s">
        <v>1199</v>
      </c>
      <c r="E869">
        <v>1</v>
      </c>
      <c r="F869">
        <v>0</v>
      </c>
    </row>
    <row r="870" spans="1:13">
      <c r="A870" s="11" t="s">
        <v>1200</v>
      </c>
      <c r="H870">
        <v>2</v>
      </c>
      <c r="I870">
        <v>0</v>
      </c>
      <c r="J870">
        <v>0</v>
      </c>
      <c r="K870">
        <v>0</v>
      </c>
      <c r="L870">
        <v>2</v>
      </c>
      <c r="M870">
        <v>2</v>
      </c>
    </row>
    <row r="871" spans="1:13">
      <c r="A871" s="11" t="s">
        <v>1201</v>
      </c>
      <c r="H871">
        <v>2</v>
      </c>
      <c r="I871">
        <v>0</v>
      </c>
      <c r="J871">
        <v>2</v>
      </c>
      <c r="K871">
        <v>0</v>
      </c>
      <c r="L871">
        <v>2</v>
      </c>
      <c r="M871">
        <v>2</v>
      </c>
    </row>
    <row r="872" spans="1:13">
      <c r="A872" s="11" t="s">
        <v>1202</v>
      </c>
      <c r="E872">
        <v>1</v>
      </c>
      <c r="F872">
        <v>0</v>
      </c>
    </row>
    <row r="873" spans="1:13">
      <c r="A873" s="11" t="s">
        <v>1203</v>
      </c>
      <c r="H873">
        <v>1</v>
      </c>
      <c r="I873">
        <v>0</v>
      </c>
      <c r="J873">
        <v>0</v>
      </c>
      <c r="K873">
        <v>0</v>
      </c>
      <c r="L873">
        <v>2</v>
      </c>
      <c r="M873">
        <v>2</v>
      </c>
    </row>
    <row r="874" spans="1:13">
      <c r="A874" s="11" t="s">
        <v>1204</v>
      </c>
      <c r="H874">
        <v>2</v>
      </c>
      <c r="I874">
        <v>0</v>
      </c>
      <c r="J874">
        <v>0</v>
      </c>
      <c r="K874">
        <v>0</v>
      </c>
      <c r="L874">
        <v>2</v>
      </c>
      <c r="M874">
        <v>2</v>
      </c>
    </row>
    <row r="875" spans="1:13">
      <c r="A875" s="11" t="s">
        <v>1205</v>
      </c>
      <c r="H875">
        <v>1</v>
      </c>
      <c r="I875">
        <v>0</v>
      </c>
      <c r="J875">
        <v>1</v>
      </c>
      <c r="K875">
        <v>0</v>
      </c>
      <c r="L875">
        <v>2</v>
      </c>
      <c r="M875">
        <v>2</v>
      </c>
    </row>
    <row r="876" spans="1:13">
      <c r="A876" s="11" t="s">
        <v>1206</v>
      </c>
      <c r="H876">
        <v>1</v>
      </c>
      <c r="I876">
        <v>0</v>
      </c>
      <c r="J876">
        <v>1</v>
      </c>
      <c r="K876">
        <v>0</v>
      </c>
      <c r="L876">
        <v>2</v>
      </c>
      <c r="M876">
        <v>2</v>
      </c>
    </row>
    <row r="878" spans="1:13">
      <c r="A878" s="10" t="s">
        <v>1189</v>
      </c>
    </row>
    <row r="879" spans="1:13">
      <c r="A879" s="11" t="s">
        <v>1207</v>
      </c>
      <c r="E879">
        <v>0</v>
      </c>
      <c r="F879">
        <v>0</v>
      </c>
      <c r="G879">
        <v>2</v>
      </c>
    </row>
    <row r="880" spans="1:13">
      <c r="A880" s="11" t="s">
        <v>1210</v>
      </c>
      <c r="H880">
        <v>0</v>
      </c>
      <c r="I880">
        <v>0</v>
      </c>
      <c r="J880">
        <v>1</v>
      </c>
      <c r="K880">
        <v>0</v>
      </c>
      <c r="L880">
        <v>0</v>
      </c>
      <c r="M880">
        <v>2</v>
      </c>
    </row>
    <row r="881" spans="1:13">
      <c r="A881" s="11" t="s">
        <v>1211</v>
      </c>
      <c r="H881">
        <v>0</v>
      </c>
      <c r="I881">
        <v>0</v>
      </c>
      <c r="J881">
        <v>0</v>
      </c>
      <c r="K881">
        <v>0</v>
      </c>
      <c r="L881">
        <v>2</v>
      </c>
      <c r="M881">
        <v>2</v>
      </c>
    </row>
    <row r="882" spans="1:13">
      <c r="A882" s="11" t="s">
        <v>1212</v>
      </c>
      <c r="H882">
        <v>0</v>
      </c>
      <c r="I882">
        <v>0</v>
      </c>
      <c r="J882">
        <v>0</v>
      </c>
      <c r="K882">
        <v>0</v>
      </c>
      <c r="L882">
        <v>2</v>
      </c>
      <c r="M882">
        <v>2</v>
      </c>
    </row>
    <row r="883" spans="1:13">
      <c r="A883" s="11" t="s">
        <v>1213</v>
      </c>
      <c r="H883">
        <v>0</v>
      </c>
      <c r="I883">
        <v>0</v>
      </c>
      <c r="J883">
        <v>0</v>
      </c>
      <c r="K883">
        <v>0</v>
      </c>
      <c r="L883">
        <v>2</v>
      </c>
      <c r="M883">
        <v>2</v>
      </c>
    </row>
    <row r="884" spans="1:13">
      <c r="A884" s="11" t="s">
        <v>1214</v>
      </c>
      <c r="B884" t="s">
        <v>24</v>
      </c>
      <c r="E884">
        <v>0</v>
      </c>
      <c r="F884">
        <v>0</v>
      </c>
    </row>
    <row r="885" spans="1:13">
      <c r="A885" s="11" t="s">
        <v>1215</v>
      </c>
      <c r="E885">
        <v>1</v>
      </c>
      <c r="F885">
        <v>0</v>
      </c>
    </row>
    <row r="886" spans="1:13">
      <c r="A886" s="11" t="s">
        <v>1216</v>
      </c>
      <c r="H886">
        <v>0</v>
      </c>
      <c r="I886">
        <v>0</v>
      </c>
      <c r="J886">
        <v>0</v>
      </c>
      <c r="K886">
        <v>0</v>
      </c>
      <c r="L886">
        <v>2</v>
      </c>
      <c r="M886">
        <v>2</v>
      </c>
    </row>
    <row r="887" spans="1:13">
      <c r="A887" s="11" t="s">
        <v>1217</v>
      </c>
      <c r="H887">
        <v>2</v>
      </c>
      <c r="I887">
        <v>0</v>
      </c>
      <c r="J887">
        <v>0</v>
      </c>
      <c r="K887">
        <v>0</v>
      </c>
      <c r="L887">
        <v>2</v>
      </c>
      <c r="M887">
        <v>2</v>
      </c>
    </row>
    <row r="888" spans="1:13">
      <c r="A888" s="11" t="s">
        <v>1218</v>
      </c>
      <c r="H888">
        <v>2</v>
      </c>
      <c r="I888">
        <v>0</v>
      </c>
      <c r="J888">
        <v>0</v>
      </c>
      <c r="K888">
        <v>0</v>
      </c>
      <c r="L888">
        <v>2</v>
      </c>
      <c r="M888">
        <v>2</v>
      </c>
    </row>
    <row r="889" spans="1:13">
      <c r="A889" s="11" t="s">
        <v>1219</v>
      </c>
      <c r="H889">
        <v>0</v>
      </c>
      <c r="I889">
        <v>0</v>
      </c>
      <c r="J889">
        <v>0</v>
      </c>
      <c r="K889">
        <v>0</v>
      </c>
      <c r="L889">
        <v>2</v>
      </c>
      <c r="M889">
        <v>2</v>
      </c>
    </row>
    <row r="890" spans="1:13">
      <c r="A890" s="11"/>
    </row>
    <row r="891" spans="1:13">
      <c r="A891" s="10" t="s">
        <v>1190</v>
      </c>
    </row>
    <row r="892" spans="1:13">
      <c r="A892" s="11" t="s">
        <v>1220</v>
      </c>
      <c r="H892">
        <v>0</v>
      </c>
      <c r="I892">
        <v>0</v>
      </c>
      <c r="J892">
        <v>2</v>
      </c>
      <c r="K892">
        <v>0</v>
      </c>
      <c r="L892">
        <v>2</v>
      </c>
      <c r="M892">
        <v>2</v>
      </c>
    </row>
    <row r="893" spans="1:13">
      <c r="A893" s="11" t="s">
        <v>1221</v>
      </c>
      <c r="H893">
        <v>1</v>
      </c>
      <c r="I893">
        <v>0</v>
      </c>
      <c r="J893">
        <v>1</v>
      </c>
      <c r="K893">
        <v>0</v>
      </c>
      <c r="L893">
        <v>2</v>
      </c>
      <c r="M893">
        <v>2</v>
      </c>
    </row>
    <row r="894" spans="1:13">
      <c r="A894" s="11" t="s">
        <v>1222</v>
      </c>
      <c r="E894">
        <v>0</v>
      </c>
      <c r="F894">
        <v>2</v>
      </c>
    </row>
    <row r="895" spans="1:13">
      <c r="A895" s="11" t="s">
        <v>1223</v>
      </c>
      <c r="H895">
        <v>0</v>
      </c>
      <c r="I895">
        <v>0</v>
      </c>
      <c r="J895">
        <v>0</v>
      </c>
      <c r="K895">
        <v>0</v>
      </c>
      <c r="L895">
        <v>2</v>
      </c>
      <c r="M895">
        <v>2</v>
      </c>
    </row>
    <row r="896" spans="1:13">
      <c r="A896" s="11" t="s">
        <v>1224</v>
      </c>
      <c r="H896">
        <v>2</v>
      </c>
      <c r="I896">
        <v>0</v>
      </c>
      <c r="J896">
        <v>0</v>
      </c>
      <c r="K896">
        <v>0</v>
      </c>
      <c r="L896">
        <v>2</v>
      </c>
      <c r="M896">
        <v>2</v>
      </c>
    </row>
    <row r="897" spans="1:13">
      <c r="A897" s="11" t="s">
        <v>1225</v>
      </c>
      <c r="H897">
        <v>0</v>
      </c>
      <c r="I897">
        <v>0</v>
      </c>
      <c r="J897">
        <v>0</v>
      </c>
      <c r="K897">
        <v>0</v>
      </c>
      <c r="L897">
        <v>2</v>
      </c>
      <c r="M897">
        <v>2</v>
      </c>
    </row>
    <row r="898" spans="1:13">
      <c r="A898" s="11" t="s">
        <v>1226</v>
      </c>
      <c r="E898">
        <v>0</v>
      </c>
      <c r="F898">
        <v>2</v>
      </c>
    </row>
    <row r="899" spans="1:13">
      <c r="A899" s="11" t="s">
        <v>1227</v>
      </c>
      <c r="H899">
        <v>2</v>
      </c>
      <c r="I899">
        <v>0</v>
      </c>
      <c r="J899">
        <v>1</v>
      </c>
      <c r="K899">
        <v>0</v>
      </c>
      <c r="L899">
        <v>2</v>
      </c>
      <c r="M899">
        <v>2</v>
      </c>
    </row>
    <row r="900" spans="1:13">
      <c r="A900" s="11" t="s">
        <v>1228</v>
      </c>
      <c r="H900">
        <v>2</v>
      </c>
      <c r="I900">
        <v>0</v>
      </c>
      <c r="J900">
        <v>2</v>
      </c>
      <c r="K900">
        <v>0</v>
      </c>
      <c r="L900">
        <v>2</v>
      </c>
      <c r="M900">
        <v>2</v>
      </c>
    </row>
    <row r="902" spans="1:13">
      <c r="A902" s="10" t="s">
        <v>1191</v>
      </c>
    </row>
    <row r="903" spans="1:13">
      <c r="A903" s="11" t="s">
        <v>1262</v>
      </c>
      <c r="E903">
        <v>0</v>
      </c>
      <c r="F903">
        <v>1</v>
      </c>
    </row>
    <row r="904" spans="1:13">
      <c r="A904" s="11" t="s">
        <v>1263</v>
      </c>
      <c r="H904">
        <v>0</v>
      </c>
      <c r="I904">
        <v>0</v>
      </c>
      <c r="J904">
        <v>0</v>
      </c>
      <c r="K904">
        <v>0</v>
      </c>
      <c r="L904">
        <v>2</v>
      </c>
      <c r="M904">
        <v>2</v>
      </c>
    </row>
    <row r="905" spans="1:13">
      <c r="A905" s="11" t="s">
        <v>1264</v>
      </c>
      <c r="H905">
        <v>1</v>
      </c>
      <c r="I905">
        <v>0</v>
      </c>
      <c r="J905">
        <v>1</v>
      </c>
      <c r="K905">
        <v>0</v>
      </c>
      <c r="L905">
        <v>2</v>
      </c>
      <c r="M905">
        <v>2</v>
      </c>
    </row>
    <row r="906" spans="1:13">
      <c r="A906" s="11" t="s">
        <v>1265</v>
      </c>
    </row>
    <row r="907" spans="1:13">
      <c r="A907" s="11" t="s">
        <v>1266</v>
      </c>
      <c r="B907" t="s">
        <v>24</v>
      </c>
    </row>
    <row r="908" spans="1:13">
      <c r="A908" s="11" t="s">
        <v>1267</v>
      </c>
      <c r="E908">
        <v>2</v>
      </c>
      <c r="F908">
        <v>2</v>
      </c>
    </row>
    <row r="909" spans="1:13">
      <c r="A909" s="11" t="s">
        <v>1268</v>
      </c>
      <c r="H909">
        <v>1</v>
      </c>
      <c r="I909">
        <v>0</v>
      </c>
      <c r="J909">
        <v>0</v>
      </c>
      <c r="K909">
        <v>0</v>
      </c>
      <c r="L909">
        <v>2</v>
      </c>
      <c r="M909">
        <v>2</v>
      </c>
    </row>
    <row r="910" spans="1:13">
      <c r="A910" t="s">
        <v>1269</v>
      </c>
      <c r="H910">
        <v>0</v>
      </c>
      <c r="I910">
        <v>0</v>
      </c>
      <c r="J910">
        <v>0</v>
      </c>
      <c r="K910">
        <v>0</v>
      </c>
      <c r="L910">
        <v>2</v>
      </c>
      <c r="M910">
        <v>2</v>
      </c>
    </row>
    <row r="911" spans="1:13">
      <c r="A911" t="s">
        <v>1270</v>
      </c>
      <c r="H911">
        <v>1</v>
      </c>
      <c r="I911">
        <v>0</v>
      </c>
      <c r="J911">
        <v>0</v>
      </c>
      <c r="K911">
        <v>0</v>
      </c>
      <c r="L911">
        <v>2</v>
      </c>
      <c r="M911">
        <v>2</v>
      </c>
    </row>
    <row r="913" spans="1:14">
      <c r="A913" s="10" t="s">
        <v>1229</v>
      </c>
    </row>
    <row r="914" spans="1:14">
      <c r="A914" s="11" t="s">
        <v>1232</v>
      </c>
      <c r="E914">
        <v>2</v>
      </c>
      <c r="F914">
        <v>1</v>
      </c>
    </row>
    <row r="915" spans="1:14">
      <c r="A915" s="11" t="s">
        <v>1233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2</v>
      </c>
    </row>
    <row r="916" spans="1:14">
      <c r="A916" s="11" t="s">
        <v>1234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2</v>
      </c>
    </row>
    <row r="917" spans="1:14">
      <c r="A917" s="11" t="s">
        <v>1235</v>
      </c>
      <c r="H917">
        <v>0</v>
      </c>
      <c r="I917">
        <v>0</v>
      </c>
      <c r="J917">
        <v>0</v>
      </c>
      <c r="K917">
        <v>0</v>
      </c>
      <c r="L917">
        <v>2</v>
      </c>
      <c r="M917">
        <v>2</v>
      </c>
    </row>
    <row r="918" spans="1:14">
      <c r="A918" s="11" t="s">
        <v>1236</v>
      </c>
      <c r="H918">
        <v>0</v>
      </c>
      <c r="I918">
        <v>0</v>
      </c>
      <c r="J918">
        <v>0</v>
      </c>
      <c r="K918">
        <v>0</v>
      </c>
      <c r="L918">
        <v>2</v>
      </c>
      <c r="M918">
        <v>2</v>
      </c>
    </row>
    <row r="919" spans="1:14">
      <c r="A919" t="s">
        <v>1237</v>
      </c>
      <c r="E919">
        <v>0</v>
      </c>
      <c r="F919">
        <v>0</v>
      </c>
    </row>
    <row r="920" spans="1:14">
      <c r="A920" t="s">
        <v>1238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2</v>
      </c>
    </row>
    <row r="921" spans="1:14">
      <c r="A921" t="s">
        <v>1239</v>
      </c>
      <c r="H921">
        <v>0</v>
      </c>
      <c r="I921">
        <v>0</v>
      </c>
      <c r="J921">
        <v>0</v>
      </c>
      <c r="K921">
        <v>0</v>
      </c>
      <c r="L921">
        <v>2</v>
      </c>
      <c r="M921">
        <v>2</v>
      </c>
    </row>
    <row r="922" spans="1:14">
      <c r="A922" t="s">
        <v>1240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2</v>
      </c>
    </row>
    <row r="923" spans="1:14">
      <c r="A923" t="s">
        <v>1241</v>
      </c>
    </row>
    <row r="924" spans="1:14">
      <c r="A924" t="s">
        <v>1242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2</v>
      </c>
    </row>
    <row r="925" spans="1:14">
      <c r="A925" t="s">
        <v>1243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2</v>
      </c>
    </row>
    <row r="927" spans="1:14">
      <c r="A927" s="10" t="s">
        <v>1230</v>
      </c>
    </row>
    <row r="928" spans="1:14">
      <c r="A928" s="11" t="s">
        <v>1244</v>
      </c>
      <c r="H928">
        <v>1</v>
      </c>
      <c r="I928">
        <v>0</v>
      </c>
      <c r="J928">
        <v>2</v>
      </c>
      <c r="K928">
        <v>0</v>
      </c>
      <c r="L928">
        <v>2</v>
      </c>
      <c r="M928">
        <v>2</v>
      </c>
      <c r="N928" t="s">
        <v>1271</v>
      </c>
    </row>
    <row r="929" spans="1:13">
      <c r="A929" s="11" t="s">
        <v>1245</v>
      </c>
      <c r="H929">
        <v>0</v>
      </c>
      <c r="I929">
        <v>0</v>
      </c>
      <c r="J929">
        <v>2</v>
      </c>
      <c r="K929">
        <v>0</v>
      </c>
      <c r="L929">
        <v>2</v>
      </c>
      <c r="M929">
        <v>2</v>
      </c>
    </row>
    <row r="930" spans="1:13">
      <c r="A930" s="11" t="s">
        <v>1246</v>
      </c>
      <c r="B930" t="s">
        <v>24</v>
      </c>
    </row>
    <row r="931" spans="1:13">
      <c r="A931" s="11" t="s">
        <v>1247</v>
      </c>
      <c r="E931">
        <v>0</v>
      </c>
      <c r="F931">
        <v>0</v>
      </c>
    </row>
    <row r="932" spans="1:13">
      <c r="A932" s="11" t="s">
        <v>1248</v>
      </c>
      <c r="H932">
        <v>2</v>
      </c>
      <c r="I932">
        <v>0</v>
      </c>
      <c r="J932">
        <v>0</v>
      </c>
      <c r="K932">
        <v>0</v>
      </c>
      <c r="L932">
        <v>2</v>
      </c>
      <c r="M932">
        <v>2</v>
      </c>
    </row>
    <row r="933" spans="1:13">
      <c r="A933" s="10" t="s">
        <v>1249</v>
      </c>
      <c r="H933">
        <v>2</v>
      </c>
      <c r="I933">
        <v>0</v>
      </c>
      <c r="J933">
        <v>2</v>
      </c>
      <c r="K933">
        <v>0</v>
      </c>
      <c r="L933">
        <v>2</v>
      </c>
      <c r="M933">
        <v>2</v>
      </c>
    </row>
    <row r="934" spans="1:13">
      <c r="A934" s="11" t="s">
        <v>1250</v>
      </c>
      <c r="H934">
        <v>2</v>
      </c>
      <c r="I934">
        <v>0</v>
      </c>
      <c r="J934">
        <v>2</v>
      </c>
      <c r="K934">
        <v>0</v>
      </c>
      <c r="L934">
        <v>2</v>
      </c>
      <c r="M934">
        <v>2</v>
      </c>
    </row>
    <row r="935" spans="1:13">
      <c r="A935" s="11" t="s">
        <v>1251</v>
      </c>
      <c r="E935">
        <v>2</v>
      </c>
      <c r="F935">
        <v>0</v>
      </c>
    </row>
    <row r="936" spans="1:13">
      <c r="A936" s="11" t="s">
        <v>1252</v>
      </c>
      <c r="H936">
        <v>1</v>
      </c>
      <c r="I936">
        <v>0</v>
      </c>
      <c r="J936">
        <v>2</v>
      </c>
      <c r="K936">
        <v>0</v>
      </c>
      <c r="L936">
        <v>2</v>
      </c>
      <c r="M936">
        <v>2</v>
      </c>
    </row>
    <row r="937" spans="1:13">
      <c r="A937" s="11" t="s">
        <v>1253</v>
      </c>
      <c r="H937">
        <v>1</v>
      </c>
      <c r="I937">
        <v>0</v>
      </c>
      <c r="J937">
        <v>0</v>
      </c>
      <c r="K937">
        <v>0</v>
      </c>
      <c r="L937">
        <v>2</v>
      </c>
      <c r="M937">
        <v>2</v>
      </c>
    </row>
    <row r="938" spans="1:13">
      <c r="A938" s="11" t="s">
        <v>1254</v>
      </c>
      <c r="H938">
        <v>0</v>
      </c>
      <c r="I938">
        <v>0</v>
      </c>
      <c r="J938">
        <v>2</v>
      </c>
      <c r="K938">
        <v>0</v>
      </c>
      <c r="L938">
        <v>2</v>
      </c>
      <c r="M938">
        <v>2</v>
      </c>
    </row>
    <row r="940" spans="1:13">
      <c r="A940" s="10" t="s">
        <v>1231</v>
      </c>
    </row>
    <row r="941" spans="1:13">
      <c r="A941" t="s">
        <v>1255</v>
      </c>
      <c r="E941">
        <v>0</v>
      </c>
      <c r="F941">
        <v>2</v>
      </c>
    </row>
    <row r="942" spans="1:13">
      <c r="A942" t="s">
        <v>1256</v>
      </c>
      <c r="H942">
        <v>0</v>
      </c>
      <c r="I942">
        <v>0</v>
      </c>
      <c r="J942">
        <v>2</v>
      </c>
      <c r="K942">
        <v>0</v>
      </c>
      <c r="L942">
        <v>2</v>
      </c>
      <c r="M942">
        <v>2</v>
      </c>
    </row>
    <row r="943" spans="1:13">
      <c r="A943" t="s">
        <v>1257</v>
      </c>
      <c r="H943">
        <v>0</v>
      </c>
      <c r="I943">
        <v>0</v>
      </c>
      <c r="J943">
        <v>2</v>
      </c>
      <c r="K943">
        <v>0</v>
      </c>
      <c r="L943">
        <v>2</v>
      </c>
      <c r="M943">
        <v>2</v>
      </c>
    </row>
    <row r="944" spans="1:13">
      <c r="A944" t="s">
        <v>1258</v>
      </c>
      <c r="H944">
        <v>0</v>
      </c>
      <c r="I944">
        <v>0</v>
      </c>
      <c r="J944">
        <v>0</v>
      </c>
      <c r="K944">
        <v>0</v>
      </c>
      <c r="L944">
        <v>2</v>
      </c>
      <c r="M944">
        <v>2</v>
      </c>
    </row>
    <row r="945" spans="1:13">
      <c r="A945" t="s">
        <v>1259</v>
      </c>
      <c r="H945">
        <v>0</v>
      </c>
      <c r="I945">
        <v>0</v>
      </c>
      <c r="J945">
        <v>1</v>
      </c>
      <c r="K945">
        <v>0</v>
      </c>
      <c r="L945">
        <v>2</v>
      </c>
      <c r="M945">
        <v>2</v>
      </c>
    </row>
    <row r="946" spans="1:13">
      <c r="A946" t="s">
        <v>1260</v>
      </c>
      <c r="H946">
        <v>0</v>
      </c>
      <c r="I946">
        <v>0</v>
      </c>
      <c r="J946">
        <v>0</v>
      </c>
      <c r="K946">
        <v>0</v>
      </c>
      <c r="L946">
        <v>2</v>
      </c>
      <c r="M946">
        <v>2</v>
      </c>
    </row>
    <row r="947" spans="1:13">
      <c r="A947" t="s">
        <v>1261</v>
      </c>
      <c r="H947">
        <v>0</v>
      </c>
      <c r="I947">
        <v>0</v>
      </c>
      <c r="J947">
        <v>1</v>
      </c>
      <c r="K947">
        <v>0</v>
      </c>
      <c r="L947">
        <v>2</v>
      </c>
      <c r="M947">
        <v>2</v>
      </c>
    </row>
  </sheetData>
  <mergeCells count="4">
    <mergeCell ref="J1:K1"/>
    <mergeCell ref="H1:I1"/>
    <mergeCell ref="E1:F1"/>
    <mergeCell ref="C1:D1"/>
  </mergeCells>
  <phoneticPr fontId="14" type="noConversion"/>
  <hyperlinks>
    <hyperlink ref="N12" r:id="rId1"/>
  </hyperlinks>
  <pageMargins left="0.75" right="0.75" top="1" bottom="1" header="0.51180555555555496" footer="0.51180555555555496"/>
  <pageSetup paperSize="34" firstPageNumber="0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4"/>
  <sheetViews>
    <sheetView topLeftCell="C1" zoomScale="90" zoomScaleNormal="90" zoomScalePageLayoutView="90" workbookViewId="0">
      <pane ySplit="2" topLeftCell="A182" activePane="bottomLeft" state="frozen"/>
      <selection pane="bottomLeft" activeCell="F183" sqref="F183"/>
    </sheetView>
  </sheetViews>
  <sheetFormatPr baseColWidth="10" defaultColWidth="8.83203125" defaultRowHeight="15" x14ac:dyDescent="0"/>
  <cols>
    <col min="1" max="1" width="30.1640625" bestFit="1" customWidth="1"/>
    <col min="2" max="2" width="20.1640625" bestFit="1" customWidth="1"/>
    <col min="3" max="3" width="12.33203125" bestFit="1" customWidth="1"/>
    <col min="4" max="4" width="21.83203125" bestFit="1" customWidth="1"/>
    <col min="5" max="5" width="13.5" bestFit="1" customWidth="1"/>
    <col min="6" max="6" width="22.1640625" bestFit="1" customWidth="1"/>
    <col min="7" max="7" width="15.33203125" bestFit="1" customWidth="1"/>
    <col min="8" max="8" width="21.33203125" bestFit="1" customWidth="1"/>
    <col min="9" max="9" width="17.5" bestFit="1" customWidth="1"/>
    <col min="10" max="10" width="8.83203125" customWidth="1"/>
    <col min="11" max="11" width="10.1640625" bestFit="1" customWidth="1"/>
  </cols>
  <sheetData>
    <row r="1" spans="1:13">
      <c r="B1" s="10" t="s">
        <v>453</v>
      </c>
      <c r="C1" s="10" t="s">
        <v>454</v>
      </c>
      <c r="D1" s="2" t="s">
        <v>455</v>
      </c>
      <c r="E1" s="2" t="s">
        <v>456</v>
      </c>
      <c r="F1" s="2" t="s">
        <v>457</v>
      </c>
      <c r="G1" s="2" t="s">
        <v>458</v>
      </c>
      <c r="H1" s="2" t="s">
        <v>459</v>
      </c>
      <c r="I1" s="2" t="s">
        <v>460</v>
      </c>
    </row>
    <row r="2" spans="1:13">
      <c r="A2" s="10"/>
      <c r="B2" s="10"/>
      <c r="C2" s="10"/>
      <c r="D2" s="14" t="s">
        <v>461</v>
      </c>
      <c r="E2" s="14" t="s">
        <v>462</v>
      </c>
      <c r="F2" s="14" t="s">
        <v>463</v>
      </c>
      <c r="G2" s="14" t="s">
        <v>461</v>
      </c>
      <c r="H2" s="14" t="s">
        <v>461</v>
      </c>
      <c r="I2" s="14" t="s">
        <v>463</v>
      </c>
    </row>
    <row r="4" spans="1:13">
      <c r="A4" s="10" t="s">
        <v>464</v>
      </c>
    </row>
    <row r="5" spans="1:13">
      <c r="A5" t="s">
        <v>465</v>
      </c>
      <c r="B5">
        <v>15821856</v>
      </c>
      <c r="C5">
        <f>3.188*50*0.35</f>
        <v>55.79</v>
      </c>
      <c r="D5">
        <v>810470332</v>
      </c>
      <c r="E5">
        <v>2733.0029599999998</v>
      </c>
      <c r="F5">
        <f>'stimulated vs non-stim'!B5/'stimulated vs non-stim'!C5</f>
        <v>283596.63022046961</v>
      </c>
      <c r="G5">
        <f>'stimulated vs non-stim'!E5*'stimulated vs non-stim'!F5</f>
        <v>775070429.83856881</v>
      </c>
      <c r="H5">
        <f>'stimulated vs non-stim'!D5-'stimulated vs non-stim'!G5</f>
        <v>35399902.161431193</v>
      </c>
      <c r="I5">
        <f>('stimulated vs non-stim'!D5/'stimulated vs non-stim'!E5)-'stimulated vs non-stim'!F5</f>
        <v>12952.749294289504</v>
      </c>
      <c r="K5" t="s">
        <v>466</v>
      </c>
      <c r="L5" t="s">
        <v>467</v>
      </c>
      <c r="M5" t="s">
        <v>468</v>
      </c>
    </row>
    <row r="6" spans="1:13">
      <c r="A6" t="s">
        <v>469</v>
      </c>
      <c r="B6">
        <v>8078180.3333333302</v>
      </c>
      <c r="C6">
        <f>2.763*29*0.35</f>
        <v>28.044449999999998</v>
      </c>
      <c r="D6">
        <v>387134000</v>
      </c>
      <c r="E6">
        <v>1289.71</v>
      </c>
      <c r="F6">
        <f>'stimulated vs non-stim'!B6/'stimulated vs non-stim'!C6</f>
        <v>288049.16243083146</v>
      </c>
      <c r="G6">
        <f>'stimulated vs non-stim'!E6*'stimulated vs non-stim'!F6</f>
        <v>371499885.27866763</v>
      </c>
      <c r="H6">
        <f>'stimulated vs non-stim'!D6-'stimulated vs non-stim'!G6</f>
        <v>15634114.721332371</v>
      </c>
      <c r="I6">
        <f>('stimulated vs non-stim'!D6/'stimulated vs non-stim'!E6)-'stimulated vs non-stim'!F6</f>
        <v>12122.193920596386</v>
      </c>
      <c r="K6" t="s">
        <v>470</v>
      </c>
      <c r="L6">
        <v>211135.92542849999</v>
      </c>
      <c r="M6">
        <v>484520.53903332999</v>
      </c>
    </row>
    <row r="7" spans="1:13">
      <c r="A7" t="s">
        <v>471</v>
      </c>
      <c r="B7">
        <v>12738466</v>
      </c>
      <c r="C7">
        <f>3.768*34*0.35</f>
        <v>44.839199999999998</v>
      </c>
      <c r="D7">
        <v>959207857</v>
      </c>
      <c r="E7">
        <v>3213.6308496000001</v>
      </c>
      <c r="F7">
        <f>'stimulated vs non-stim'!B7/'stimulated vs non-stim'!C7</f>
        <v>284092.17827258294</v>
      </c>
      <c r="G7">
        <f>'stimulated vs non-stim'!E7*'stimulated vs non-stim'!F7</f>
        <v>912967388.22683537</v>
      </c>
      <c r="H7">
        <f>'stimulated vs non-stim'!D7-'stimulated vs non-stim'!G7</f>
        <v>46240468.77316463</v>
      </c>
      <c r="I7">
        <f>('stimulated vs non-stim'!D7/'stimulated vs non-stim'!E7)-'stimulated vs non-stim'!F7</f>
        <v>14388.855141504551</v>
      </c>
      <c r="K7" t="s">
        <v>472</v>
      </c>
      <c r="L7">
        <v>295825.3674624</v>
      </c>
      <c r="M7">
        <v>400580.64288480999</v>
      </c>
    </row>
    <row r="8" spans="1:13">
      <c r="A8" t="s">
        <v>473</v>
      </c>
      <c r="B8">
        <v>11048177.6666667</v>
      </c>
      <c r="C8">
        <f>2.338*47*0.35</f>
        <v>38.460100000000004</v>
      </c>
      <c r="D8">
        <v>1531281714</v>
      </c>
      <c r="E8" s="15">
        <v>5137.5516992000003</v>
      </c>
      <c r="F8">
        <f>'stimulated vs non-stim'!B8/'stimulated vs non-stim'!C8</f>
        <v>287263.36298310972</v>
      </c>
      <c r="G8">
        <f>'stimulated vs non-stim'!E8*'stimulated vs non-stim'!F8</f>
        <v>1475830378.6117818</v>
      </c>
      <c r="H8">
        <f>'stimulated vs non-stim'!D8-'stimulated vs non-stim'!G8</f>
        <v>55451335.388218164</v>
      </c>
      <c r="I8">
        <f>('stimulated vs non-stim'!D8/'stimulated vs non-stim'!E8)-'stimulated vs non-stim'!F8</f>
        <v>10793.338663015864</v>
      </c>
      <c r="K8" t="s">
        <v>474</v>
      </c>
      <c r="L8">
        <v>93548.195083750004</v>
      </c>
      <c r="M8">
        <v>133526.88096159999</v>
      </c>
    </row>
    <row r="9" spans="1:13">
      <c r="A9" t="s">
        <v>475</v>
      </c>
      <c r="B9">
        <v>13992862</v>
      </c>
      <c r="C9">
        <f>4.637*26*0.35</f>
        <v>42.196699999999993</v>
      </c>
      <c r="D9">
        <v>420974072</v>
      </c>
      <c r="E9">
        <v>1017.8024435</v>
      </c>
      <c r="F9">
        <f>'stimulated vs non-stim'!B9/'stimulated vs non-stim'!C9</f>
        <v>331610.33919714106</v>
      </c>
      <c r="G9">
        <f>'stimulated vs non-stim'!E9*'stimulated vs non-stim'!F9</f>
        <v>337513813.52471399</v>
      </c>
      <c r="H9">
        <f>'stimulated vs non-stim'!D9-'stimulated vs non-stim'!G9</f>
        <v>83460258.475286007</v>
      </c>
      <c r="I9">
        <f>('stimulated vs non-stim'!D9/'stimulated vs non-stim'!E9)-'stimulated vs non-stim'!F9</f>
        <v>82000.450095486536</v>
      </c>
      <c r="K9" t="s">
        <v>476</v>
      </c>
      <c r="L9">
        <v>10</v>
      </c>
      <c r="M9">
        <v>9</v>
      </c>
    </row>
    <row r="10" spans="1:13">
      <c r="A10" t="s">
        <v>477</v>
      </c>
      <c r="B10">
        <v>12259721</v>
      </c>
      <c r="C10">
        <f>4.598*22*0.35</f>
        <v>35.404599999999995</v>
      </c>
      <c r="D10">
        <v>581266522</v>
      </c>
      <c r="E10">
        <v>1101.0264041999999</v>
      </c>
      <c r="F10">
        <f>'stimulated vs non-stim'!B10/'stimulated vs non-stim'!C10</f>
        <v>346274.80609864258</v>
      </c>
      <c r="G10">
        <f>'stimulated vs non-stim'!E10*'stimulated vs non-stim'!F10</f>
        <v>381257704.62384063</v>
      </c>
      <c r="H10">
        <f>'stimulated vs non-stim'!D10-'stimulated vs non-stim'!G10</f>
        <v>200008817.37615937</v>
      </c>
      <c r="I10">
        <f>('stimulated vs non-stim'!D10/'stimulated vs non-stim'!E10)-'stimulated vs non-stim'!F10</f>
        <v>181656.69471068197</v>
      </c>
    </row>
    <row r="11" spans="1:13">
      <c r="A11" t="s">
        <v>478</v>
      </c>
      <c r="B11">
        <v>23150980</v>
      </c>
      <c r="C11">
        <f>3.768*49*0.35</f>
        <v>64.621199999999988</v>
      </c>
      <c r="D11">
        <v>1218996360</v>
      </c>
      <c r="E11">
        <v>1660.2260000000001</v>
      </c>
      <c r="F11">
        <f>'stimulated vs non-stim'!B11/'stimulated vs non-stim'!C11</f>
        <v>358256.73308449867</v>
      </c>
      <c r="G11">
        <f>'stimulated vs non-stim'!E11*'stimulated vs non-stim'!F11</f>
        <v>594787142.94194496</v>
      </c>
      <c r="H11">
        <f>'stimulated vs non-stim'!D11-'stimulated vs non-stim'!G11</f>
        <v>624209217.05805504</v>
      </c>
      <c r="I11">
        <f>('stimulated vs non-stim'!D11/'stimulated vs non-stim'!E11)-'stimulated vs non-stim'!F11</f>
        <v>375978.46140107128</v>
      </c>
      <c r="K11" t="s">
        <v>479</v>
      </c>
    </row>
    <row r="12" spans="1:13">
      <c r="A12" t="s">
        <v>480</v>
      </c>
      <c r="B12">
        <v>28070895</v>
      </c>
      <c r="C12">
        <f>5.41*41*0.35</f>
        <v>77.633499999999998</v>
      </c>
      <c r="D12">
        <v>808979282</v>
      </c>
      <c r="E12">
        <v>877.57435699999996</v>
      </c>
      <c r="F12">
        <f>'stimulated vs non-stim'!B12/'stimulated vs non-stim'!C12</f>
        <v>361582.24220214214</v>
      </c>
      <c r="G12">
        <f>'stimulated vs non-stim'!E12*'stimulated vs non-stim'!F12</f>
        <v>317315303.70316315</v>
      </c>
      <c r="H12">
        <f>'stimulated vs non-stim'!D12-'stimulated vs non-stim'!G12</f>
        <v>491663978.29683685</v>
      </c>
      <c r="I12">
        <f>('stimulated vs non-stim'!D12/'stimulated vs non-stim'!E12)-'stimulated vs non-stim'!F12</f>
        <v>560253.3555989454</v>
      </c>
      <c r="K12" t="s">
        <v>481</v>
      </c>
    </row>
    <row r="13" spans="1:13">
      <c r="A13" t="s">
        <v>482</v>
      </c>
      <c r="B13">
        <v>592971.33333333302</v>
      </c>
      <c r="C13">
        <f>4.946*0.35*34</f>
        <v>58.857399999999998</v>
      </c>
      <c r="D13">
        <v>742292956</v>
      </c>
      <c r="E13">
        <v>854.17225919999998</v>
      </c>
      <c r="F13">
        <f>'stimulated vs non-stim'!B13/'stimulated vs non-stim'!C13</f>
        <v>10074.711647699916</v>
      </c>
      <c r="G13">
        <f>'stimulated vs non-stim'!E13*'stimulated vs non-stim'!F13</f>
        <v>8605539.2089043912</v>
      </c>
      <c r="H13">
        <f>'stimulated vs non-stim'!D13-'stimulated vs non-stim'!G13</f>
        <v>733687416.79109561</v>
      </c>
      <c r="I13">
        <f>('stimulated vs non-stim'!D13/'stimulated vs non-stim'!E13)-'stimulated vs non-stim'!F13</f>
        <v>858945.49827484682</v>
      </c>
    </row>
    <row r="14" spans="1:13">
      <c r="A14" t="s">
        <v>483</v>
      </c>
      <c r="B14">
        <v>6715426</v>
      </c>
      <c r="C14">
        <f>1.391*0.35*41</f>
        <v>19.960849999999997</v>
      </c>
      <c r="D14">
        <v>564232171</v>
      </c>
      <c r="E14">
        <v>1665.8881154000001</v>
      </c>
      <c r="F14">
        <f>'stimulated vs non-stim'!B14/'stimulated vs non-stim'!C14</f>
        <v>336429.86145379586</v>
      </c>
      <c r="G14">
        <f>'stimulated vs non-stim'!E14*'stimulated vs non-stim'!F14</f>
        <v>560454507.86154711</v>
      </c>
      <c r="H14">
        <f>'stimulated vs non-stim'!D14-'stimulated vs non-stim'!G14</f>
        <v>3777663.1384528875</v>
      </c>
      <c r="I14">
        <f>('stimulated vs non-stim'!D14/'stimulated vs non-stim'!E14)-'stimulated vs non-stim'!F14</f>
        <v>2267.657175491564</v>
      </c>
    </row>
    <row r="16" spans="1:13">
      <c r="A16" t="s">
        <v>484</v>
      </c>
      <c r="B16">
        <v>347828</v>
      </c>
      <c r="C16">
        <f>3.516*0.35*38</f>
        <v>46.762799999999999</v>
      </c>
      <c r="D16">
        <v>647415915</v>
      </c>
      <c r="E16">
        <v>2219.471665</v>
      </c>
      <c r="F16">
        <f>'stimulated vs non-stim'!B16/'stimulated vs non-stim'!C16</f>
        <v>7438.1345856107846</v>
      </c>
      <c r="G16">
        <f>'stimulated vs non-stim'!E16*'stimulated vs non-stim'!F16</f>
        <v>16508728.953219654</v>
      </c>
      <c r="H16">
        <f>'stimulated vs non-stim'!D16-'stimulated vs non-stim'!G16</f>
        <v>630907186.04678035</v>
      </c>
      <c r="I16">
        <f>('stimulated vs non-stim'!D16/'stimulated vs non-stim'!E16)-'stimulated vs non-stim'!F16</f>
        <v>284260.07684436033</v>
      </c>
    </row>
    <row r="17" spans="1:13">
      <c r="A17" t="s">
        <v>485</v>
      </c>
      <c r="B17">
        <v>18596783</v>
      </c>
      <c r="C17">
        <f>4.057*0.35*46</f>
        <v>65.317700000000002</v>
      </c>
      <c r="D17">
        <v>812289221</v>
      </c>
      <c r="E17">
        <v>1390.3061066</v>
      </c>
      <c r="F17">
        <f>'stimulated vs non-stim'!B17/'stimulated vs non-stim'!C17</f>
        <v>284712.76545254962</v>
      </c>
      <c r="G17">
        <f>'stimulated vs non-stim'!E17*'stimulated vs non-stim'!F17</f>
        <v>395837896.43565327</v>
      </c>
      <c r="H17">
        <f>'stimulated vs non-stim'!D17-'stimulated vs non-stim'!G17</f>
        <v>416451324.56434673</v>
      </c>
      <c r="I17">
        <f>('stimulated vs non-stim'!D17/'stimulated vs non-stim'!E17)-'stimulated vs non-stim'!F17</f>
        <v>299539.30475266365</v>
      </c>
    </row>
    <row r="18" spans="1:13">
      <c r="A18" t="s">
        <v>486</v>
      </c>
      <c r="B18">
        <v>41267326.333333299</v>
      </c>
      <c r="C18">
        <f>8.1157*51*0.35</f>
        <v>144.86524499999999</v>
      </c>
      <c r="D18">
        <v>977162527</v>
      </c>
      <c r="E18">
        <v>561.14054820000001</v>
      </c>
      <c r="F18">
        <f>'stimulated vs non-stim'!B18/'stimulated vs non-stim'!C18</f>
        <v>284866.99023864075</v>
      </c>
      <c r="G18">
        <f>'stimulated vs non-stim'!E18*'stimulated vs non-stim'!F18</f>
        <v>159850419.06659493</v>
      </c>
      <c r="H18">
        <f>'stimulated vs non-stim'!D18-'stimulated vs non-stim'!G18</f>
        <v>817312107.93340504</v>
      </c>
      <c r="I18">
        <f>('stimulated vs non-stim'!D18/'stimulated vs non-stim'!E18)-'stimulated vs non-stim'!F18</f>
        <v>1456519.4237970149</v>
      </c>
    </row>
    <row r="19" spans="1:13">
      <c r="A19" t="s">
        <v>487</v>
      </c>
      <c r="B19">
        <v>30244377.333333299</v>
      </c>
      <c r="C19">
        <f>5.874*0.35*42</f>
        <v>86.347799999999992</v>
      </c>
      <c r="D19">
        <v>581217642</v>
      </c>
      <c r="E19">
        <v>1249.9360222</v>
      </c>
      <c r="F19">
        <f>'stimulated vs non-stim'!B19/'stimulated vs non-stim'!C19</f>
        <v>350262.28037463955</v>
      </c>
      <c r="G19">
        <f>'stimulated vs non-stim'!E19*'stimulated vs non-stim'!F19</f>
        <v>437805441.4581781</v>
      </c>
      <c r="H19">
        <f>'stimulated vs non-stim'!D19-'stimulated vs non-stim'!G19</f>
        <v>143412200.5418219</v>
      </c>
      <c r="I19">
        <f>('stimulated vs non-stim'!D19/'stimulated vs non-stim'!E19)-'stimulated vs non-stim'!F19</f>
        <v>114735.63286015514</v>
      </c>
    </row>
    <row r="20" spans="1:13">
      <c r="A20" t="s">
        <v>488</v>
      </c>
      <c r="B20">
        <v>48048733.666666701</v>
      </c>
      <c r="C20">
        <f>11.998*0.35*37</f>
        <v>155.37409999999997</v>
      </c>
      <c r="D20">
        <v>1160078890</v>
      </c>
      <c r="E20">
        <v>1518.3994700000001</v>
      </c>
      <c r="F20">
        <f>'stimulated vs non-stim'!B20/'stimulated vs non-stim'!C20</f>
        <v>309245.45124745189</v>
      </c>
      <c r="G20">
        <f>'stimulated vs non-stim'!E20*'stimulated vs non-stim'!F20</f>
        <v>469558129.27404177</v>
      </c>
      <c r="H20">
        <f>'stimulated vs non-stim'!D20-'stimulated vs non-stim'!G20</f>
        <v>690520760.72595823</v>
      </c>
      <c r="I20">
        <f>('stimulated vs non-stim'!D20/'stimulated vs non-stim'!E20)-'stimulated vs non-stim'!F20</f>
        <v>454768.836771234</v>
      </c>
    </row>
    <row r="21" spans="1:13">
      <c r="A21" t="s">
        <v>489</v>
      </c>
      <c r="B21">
        <v>1029596</v>
      </c>
      <c r="C21">
        <f>9.545*0.35*34</f>
        <v>113.5855</v>
      </c>
      <c r="D21">
        <v>582142482</v>
      </c>
      <c r="E21">
        <v>1369.2562413999999</v>
      </c>
      <c r="F21">
        <f>'stimulated vs non-stim'!B21/'stimulated vs non-stim'!C21</f>
        <v>9064.5020711270372</v>
      </c>
      <c r="G21">
        <f>'stimulated vs non-stim'!E21*'stimulated vs non-stim'!F21</f>
        <v>12411626.036073921</v>
      </c>
      <c r="H21">
        <f>'stimulated vs non-stim'!D21-'stimulated vs non-stim'!G21</f>
        <v>569730855.96392608</v>
      </c>
      <c r="I21">
        <f>('stimulated vs non-stim'!D21/'stimulated vs non-stim'!E21)-'stimulated vs non-stim'!F21</f>
        <v>416087.82836834335</v>
      </c>
    </row>
    <row r="22" spans="1:13">
      <c r="A22" t="s">
        <v>490</v>
      </c>
      <c r="B22">
        <v>29313349</v>
      </c>
      <c r="C22">
        <f>6.569*0.35*42</f>
        <v>96.564300000000003</v>
      </c>
      <c r="D22">
        <v>493128846</v>
      </c>
      <c r="E22">
        <v>1050.3060395</v>
      </c>
      <c r="F22">
        <f>'stimulated vs non-stim'!B22/'stimulated vs non-stim'!C22</f>
        <v>303563.00413299736</v>
      </c>
      <c r="G22">
        <f>'stimulated vs non-stim'!E22*'stimulated vs non-stim'!F22</f>
        <v>318834056.60965061</v>
      </c>
      <c r="H22">
        <f>'stimulated vs non-stim'!D22-'stimulated vs non-stim'!G22</f>
        <v>174294789.39034939</v>
      </c>
      <c r="I22">
        <f>('stimulated vs non-stim'!D22/'stimulated vs non-stim'!E22)-'stimulated vs non-stim'!F22</f>
        <v>165946.66967098729</v>
      </c>
    </row>
    <row r="23" spans="1:13">
      <c r="A23" t="s">
        <v>491</v>
      </c>
      <c r="B23">
        <v>24444678.666666701</v>
      </c>
      <c r="C23">
        <f>4.869*0.35*41</f>
        <v>69.870149999999995</v>
      </c>
      <c r="D23">
        <v>890343114</v>
      </c>
      <c r="E23">
        <v>932.29906400000004</v>
      </c>
      <c r="F23">
        <f>'stimulated vs non-stim'!B23/'stimulated vs non-stim'!C23</f>
        <v>349858.68309523741</v>
      </c>
      <c r="G23">
        <f>'stimulated vs non-stim'!E23*'stimulated vs non-stim'!F23</f>
        <v>326172922.78196245</v>
      </c>
      <c r="H23">
        <f>'stimulated vs non-stim'!D23-'stimulated vs non-stim'!G23</f>
        <v>564170191.21803761</v>
      </c>
      <c r="I23">
        <f>('stimulated vs non-stim'!D23/'stimulated vs non-stim'!E23)-'stimulated vs non-stim'!F23</f>
        <v>605138.64381401706</v>
      </c>
    </row>
    <row r="24" spans="1:13">
      <c r="A24" t="s">
        <v>492</v>
      </c>
      <c r="B24">
        <v>28786970</v>
      </c>
      <c r="C24">
        <f>8.501*0.35*28</f>
        <v>83.309799999999996</v>
      </c>
      <c r="D24">
        <v>1028598694</v>
      </c>
      <c r="E24">
        <v>1131.2859060000001</v>
      </c>
      <c r="F24">
        <f>'stimulated vs non-stim'!B24/'stimulated vs non-stim'!C24</f>
        <v>345541.22084076545</v>
      </c>
      <c r="G24">
        <f>'stimulated vs non-stim'!E24*'stimulated vs non-stim'!F24</f>
        <v>390905913.07919145</v>
      </c>
      <c r="H24">
        <f>'stimulated vs non-stim'!D24-'stimulated vs non-stim'!G24</f>
        <v>637692780.92080855</v>
      </c>
      <c r="I24">
        <f>('stimulated vs non-stim'!D24/'stimulated vs non-stim'!E24)-'stimulated vs non-stim'!F24</f>
        <v>563688.4341426671</v>
      </c>
    </row>
    <row r="26" spans="1:13">
      <c r="A26" s="10" t="s">
        <v>493</v>
      </c>
    </row>
    <row r="27" spans="1:13">
      <c r="A27" t="s">
        <v>494</v>
      </c>
      <c r="B27">
        <v>510317</v>
      </c>
      <c r="C27">
        <f>4.598*0.35*39</f>
        <v>62.762699999999995</v>
      </c>
      <c r="D27">
        <v>1674903084</v>
      </c>
      <c r="E27">
        <v>4038.7116162000002</v>
      </c>
      <c r="F27">
        <f>'stimulated vs non-stim'!B27/'stimulated vs non-stim'!C27</f>
        <v>8130.8962170206196</v>
      </c>
      <c r="G27">
        <f>'stimulated vs non-stim'!E27*'stimulated vs non-stim'!F27</f>
        <v>32838345.001797814</v>
      </c>
      <c r="H27">
        <f>'stimulated vs non-stim'!D27-'stimulated vs non-stim'!G27</f>
        <v>1642064738.9982021</v>
      </c>
      <c r="I27">
        <f>('stimulated vs non-stim'!D27/'stimulated vs non-stim'!E27)-'stimulated vs non-stim'!F27</f>
        <v>406581.32965265075</v>
      </c>
      <c r="K27" t="s">
        <v>638</v>
      </c>
      <c r="L27" t="s">
        <v>640</v>
      </c>
      <c r="M27" t="s">
        <v>639</v>
      </c>
    </row>
    <row r="28" spans="1:13">
      <c r="A28" t="s">
        <v>495</v>
      </c>
      <c r="B28">
        <f>1087264/2</f>
        <v>543632</v>
      </c>
      <c r="C28">
        <f>4.946*0.35*37</f>
        <v>64.050699999999992</v>
      </c>
      <c r="D28">
        <v>727626906</v>
      </c>
      <c r="E28">
        <v>1584.087207</v>
      </c>
      <c r="F28">
        <f>'stimulated vs non-stim'!B28/'stimulated vs non-stim'!C28</f>
        <v>8487.5262877689092</v>
      </c>
      <c r="G28">
        <f>'stimulated vs non-stim'!E28*'stimulated vs non-stim'!F28</f>
        <v>13444981.811530931</v>
      </c>
      <c r="H28">
        <f>'stimulated vs non-stim'!D28-'stimulated vs non-stim'!G28</f>
        <v>714181924.18846905</v>
      </c>
      <c r="I28">
        <f>('stimulated vs non-stim'!D28/'stimulated vs non-stim'!E28)-'stimulated vs non-stim'!F28</f>
        <v>450847.60550589376</v>
      </c>
      <c r="K28" t="s">
        <v>470</v>
      </c>
      <c r="L28">
        <v>177519.56565110001</v>
      </c>
      <c r="M28">
        <v>125088.13524731</v>
      </c>
    </row>
    <row r="29" spans="1:13">
      <c r="A29" t="s">
        <v>496</v>
      </c>
      <c r="B29">
        <v>367141</v>
      </c>
      <c r="C29">
        <f>3.246*0.35*33</f>
        <v>37.491299999999995</v>
      </c>
      <c r="D29">
        <v>2749399593</v>
      </c>
      <c r="E29">
        <v>6686.6614090000003</v>
      </c>
      <c r="F29">
        <f>'stimulated vs non-stim'!B29/'stimulated vs non-stim'!C29</f>
        <v>9792.6985727355423</v>
      </c>
      <c r="G29">
        <f>'stimulated vs non-stim'!E29*'stimulated vs non-stim'!F29</f>
        <v>65480459.636280134</v>
      </c>
      <c r="H29">
        <f>'stimulated vs non-stim'!D29-'stimulated vs non-stim'!G29</f>
        <v>2683919133.3637199</v>
      </c>
      <c r="I29">
        <f>('stimulated vs non-stim'!D29/'stimulated vs non-stim'!E29)-'stimulated vs non-stim'!F29</f>
        <v>401384.03445271857</v>
      </c>
      <c r="K29" t="s">
        <v>472</v>
      </c>
      <c r="L29">
        <v>250331.67290105001</v>
      </c>
      <c r="M29">
        <v>217373.53035705999</v>
      </c>
    </row>
    <row r="30" spans="1:13">
      <c r="A30" t="s">
        <v>497</v>
      </c>
      <c r="B30">
        <v>1424877</v>
      </c>
      <c r="C30">
        <f>12.056*36*0.35</f>
        <v>151.90559999999996</v>
      </c>
      <c r="D30">
        <v>1463659912</v>
      </c>
      <c r="E30">
        <v>3129.2583871000002</v>
      </c>
      <c r="F30">
        <f>'stimulated vs non-stim'!B30/'stimulated vs non-stim'!C30</f>
        <v>9380.0162732644512</v>
      </c>
      <c r="G30">
        <f>'stimulated vs non-stim'!E30*'stimulated vs non-stim'!F30</f>
        <v>29352494.59424727</v>
      </c>
      <c r="H30">
        <f>'stimulated vs non-stim'!D30-'stimulated vs non-stim'!G30</f>
        <v>1434307417.4057527</v>
      </c>
      <c r="I30">
        <f>('stimulated vs non-stim'!D30/'stimulated vs non-stim'!E30)-'stimulated vs non-stim'!F30</f>
        <v>458353.78226308076</v>
      </c>
      <c r="K30" t="s">
        <v>474</v>
      </c>
      <c r="L30">
        <v>69429.514039799993</v>
      </c>
      <c r="M30">
        <v>68739.545896009993</v>
      </c>
    </row>
    <row r="31" spans="1:13">
      <c r="A31" t="s">
        <v>498</v>
      </c>
      <c r="B31">
        <v>13887733.6666667</v>
      </c>
      <c r="C31">
        <f>46*0.35*3.014</f>
        <v>48.525399999999991</v>
      </c>
      <c r="D31">
        <v>618047345</v>
      </c>
      <c r="E31">
        <v>2098.8177657000001</v>
      </c>
      <c r="F31">
        <f>'stimulated vs non-stim'!B31/'stimulated vs non-stim'!C31</f>
        <v>286195.14041443664</v>
      </c>
      <c r="G31">
        <f>'stimulated vs non-stim'!E31*'stimulated vs non-stim'!F31</f>
        <v>600671445.15882576</v>
      </c>
      <c r="H31">
        <f>'stimulated vs non-stim'!D31-'stimulated vs non-stim'!G31</f>
        <v>17375899.841174245</v>
      </c>
      <c r="I31">
        <f>('stimulated vs non-stim'!D31/'stimulated vs non-stim'!E31)-'stimulated vs non-stim'!F31</f>
        <v>8278.8987806090154</v>
      </c>
      <c r="K31" t="s">
        <v>476</v>
      </c>
      <c r="L31">
        <v>13</v>
      </c>
      <c r="M31">
        <v>10</v>
      </c>
    </row>
    <row r="32" spans="1:13">
      <c r="A32" t="s">
        <v>499</v>
      </c>
      <c r="B32">
        <v>6213532.3333333302</v>
      </c>
      <c r="C32">
        <f>2.705*23*0.35</f>
        <v>21.77525</v>
      </c>
      <c r="D32">
        <v>383351128</v>
      </c>
      <c r="E32">
        <v>1293.687694</v>
      </c>
      <c r="F32">
        <f>'stimulated vs non-stim'!B32/'stimulated vs non-stim'!C32</f>
        <v>285348.38099830452</v>
      </c>
      <c r="G32">
        <f>'stimulated vs non-stim'!E32*'stimulated vs non-stim'!F32</f>
        <v>369151689.00032997</v>
      </c>
      <c r="H32">
        <f>'stimulated vs non-stim'!D32-'stimulated vs non-stim'!G32</f>
        <v>14199438.999670029</v>
      </c>
      <c r="I32">
        <f>('stimulated vs non-stim'!D32/'stimulated vs non-stim'!E32)-'stimulated vs non-stim'!F32</f>
        <v>10975.94037998945</v>
      </c>
    </row>
    <row r="33" spans="1:22">
      <c r="A33" t="s">
        <v>500</v>
      </c>
      <c r="B33">
        <v>8641845.3333333302</v>
      </c>
      <c r="C33">
        <f>35*0.35*2.473</f>
        <v>30.294249999999998</v>
      </c>
      <c r="D33">
        <v>462282243</v>
      </c>
      <c r="E33">
        <v>1594.1242540000001</v>
      </c>
      <c r="F33">
        <f>'stimulated vs non-stim'!B33/'stimulated vs non-stim'!C33</f>
        <v>285263.55111393519</v>
      </c>
      <c r="G33">
        <f>'stimulated vs non-stim'!E33*'stimulated vs non-stim'!F33</f>
        <v>454745545.61289281</v>
      </c>
      <c r="H33">
        <f>'stimulated vs non-stim'!D33-'stimulated vs non-stim'!G33</f>
        <v>7536697.3871071935</v>
      </c>
      <c r="I33">
        <f>('stimulated vs non-stim'!D33/'stimulated vs non-stim'!E33)-'stimulated vs non-stim'!F33</f>
        <v>4727.7979543915717</v>
      </c>
      <c r="K33" t="s">
        <v>641</v>
      </c>
    </row>
    <row r="34" spans="1:22">
      <c r="A34" t="s">
        <v>501</v>
      </c>
      <c r="B34">
        <v>15690197</v>
      </c>
      <c r="C34">
        <f>57*0.35*2.782</f>
        <v>55.500900000000001</v>
      </c>
      <c r="D34">
        <v>598554645</v>
      </c>
      <c r="E34">
        <v>2064.4892060000002</v>
      </c>
      <c r="F34">
        <f>'stimulated vs non-stim'!B34/'stimulated vs non-stim'!C34</f>
        <v>282701.66790088086</v>
      </c>
      <c r="G34">
        <f>'stimulated vs non-stim'!E34*'stimulated vs non-stim'!F34</f>
        <v>583634541.89956522</v>
      </c>
      <c r="H34">
        <f>'stimulated vs non-stim'!D34-'stimulated vs non-stim'!G34</f>
        <v>14920103.10043478</v>
      </c>
      <c r="I34">
        <f>('stimulated vs non-stim'!D34/'stimulated vs non-stim'!E34)-'stimulated vs non-stim'!F34</f>
        <v>7227.0191857010359</v>
      </c>
      <c r="K34" t="s">
        <v>642</v>
      </c>
    </row>
    <row r="35" spans="1:22">
      <c r="A35" t="s">
        <v>502</v>
      </c>
      <c r="B35">
        <v>5979549.6666666698</v>
      </c>
      <c r="C35">
        <f>43*0.35*1.391</f>
        <v>20.934549999999998</v>
      </c>
      <c r="D35">
        <v>839370402</v>
      </c>
      <c r="E35">
        <v>2812.5389175999999</v>
      </c>
      <c r="F35">
        <f>'stimulated vs non-stim'!B35/'stimulated vs non-stim'!C35</f>
        <v>285630.67592409055</v>
      </c>
      <c r="G35">
        <f>'stimulated vs non-stim'!E35*'stimulated vs non-stim'!F35</f>
        <v>803347392.09689796</v>
      </c>
      <c r="H35">
        <f>'stimulated vs non-stim'!D35-'stimulated vs non-stim'!G35</f>
        <v>36023009.90310204</v>
      </c>
      <c r="I35">
        <f>('stimulated vs non-stim'!D35/'stimulated vs non-stim'!E35)-'stimulated vs non-stim'!F35</f>
        <v>12808.00406980369</v>
      </c>
      <c r="K35" t="s">
        <v>643</v>
      </c>
    </row>
    <row r="36" spans="1:22">
      <c r="A36" t="s">
        <v>503</v>
      </c>
      <c r="B36">
        <v>14307478</v>
      </c>
      <c r="C36">
        <f>32*0.35*4.521</f>
        <v>50.635199999999998</v>
      </c>
      <c r="D36">
        <v>220411052</v>
      </c>
      <c r="E36">
        <v>743.19785450999996</v>
      </c>
      <c r="F36">
        <f>'stimulated vs non-stim'!B36/'stimulated vs non-stim'!C36</f>
        <v>282559.91879167064</v>
      </c>
      <c r="G36">
        <f>'stimulated vs non-stim'!E36*'stimulated vs non-stim'!F36</f>
        <v>209997925.41648945</v>
      </c>
      <c r="H36">
        <f>'stimulated vs non-stim'!D36-'stimulated vs non-stim'!G36</f>
        <v>10413126.583510548</v>
      </c>
      <c r="I36">
        <f>('stimulated vs non-stim'!D36/'stimulated vs non-stim'!E36)-'stimulated vs non-stim'!F36</f>
        <v>14011.244139524701</v>
      </c>
    </row>
    <row r="38" spans="1:22">
      <c r="A38" s="8" t="s">
        <v>504</v>
      </c>
      <c r="B38" s="16">
        <v>11409411</v>
      </c>
      <c r="C38" s="17">
        <f>0.35*54*2.125</f>
        <v>40.162499999999994</v>
      </c>
      <c r="D38" s="16">
        <v>372703644</v>
      </c>
      <c r="E38" s="16">
        <v>1295.3471728</v>
      </c>
      <c r="F38" s="16">
        <f>'stimulated vs non-stim'!B38/'stimulated vs non-stim'!C38</f>
        <v>284081.19514472462</v>
      </c>
      <c r="G38" s="16">
        <f>'stimulated vs non-stim'!E38*'stimulated vs non-stim'!F38</f>
        <v>367983772.97636414</v>
      </c>
      <c r="H38" s="16">
        <f>'stimulated vs non-stim'!D38-'stimulated vs non-stim'!G38</f>
        <v>4719871.0236358643</v>
      </c>
      <c r="I38" s="16">
        <f>('stimulated vs non-stim'!D38/'stimulated vs non-stim'!E38)-'stimulated vs non-stim'!F38</f>
        <v>3643.7112171507324</v>
      </c>
      <c r="U38" s="18"/>
      <c r="V38" s="19"/>
    </row>
    <row r="39" spans="1:22">
      <c r="A39" t="s">
        <v>505</v>
      </c>
      <c r="B39">
        <v>281794</v>
      </c>
      <c r="C39">
        <f>2.512*0.35*31</f>
        <v>27.255199999999999</v>
      </c>
      <c r="D39">
        <v>457139603</v>
      </c>
      <c r="E39">
        <v>1256.7724030300001</v>
      </c>
      <c r="F39">
        <f>'stimulated vs non-stim'!B39/'stimulated vs non-stim'!C39</f>
        <v>10339.091255980511</v>
      </c>
      <c r="G39">
        <f>'stimulated vs non-stim'!E39*'stimulated vs non-stim'!F39</f>
        <v>12993884.562925089</v>
      </c>
      <c r="H39">
        <f>'stimulated vs non-stim'!D39-'stimulated vs non-stim'!G39</f>
        <v>444145718.4370749</v>
      </c>
      <c r="I39">
        <f>('stimulated vs non-stim'!D39/'stimulated vs non-stim'!E39)-'stimulated vs non-stim'!F39</f>
        <v>353401.8708290119</v>
      </c>
    </row>
    <row r="40" spans="1:22">
      <c r="A40" t="s">
        <v>506</v>
      </c>
      <c r="B40">
        <v>455845</v>
      </c>
      <c r="C40">
        <f>4.347*0.35*49</f>
        <v>74.551050000000004</v>
      </c>
      <c r="D40">
        <v>1433934064</v>
      </c>
      <c r="E40">
        <v>4002.8234109999999</v>
      </c>
      <c r="F40">
        <f>'stimulated vs non-stim'!B40/'stimulated vs non-stim'!C40</f>
        <v>6114.5349394810664</v>
      </c>
      <c r="G40">
        <f>'stimulated vs non-stim'!E40*'stimulated vs non-stim'!F40</f>
        <v>24475403.603132281</v>
      </c>
      <c r="H40">
        <f>'stimulated vs non-stim'!D40-'stimulated vs non-stim'!G40</f>
        <v>1409458660.3968678</v>
      </c>
      <c r="I40">
        <f>('stimulated vs non-stim'!D40/'stimulated vs non-stim'!E40)-'stimulated vs non-stim'!F40</f>
        <v>352116.12296550244</v>
      </c>
    </row>
    <row r="41" spans="1:22">
      <c r="A41" t="s">
        <v>507</v>
      </c>
      <c r="B41">
        <v>742043</v>
      </c>
      <c r="C41">
        <f>6.086*0.35*33</f>
        <v>70.293300000000002</v>
      </c>
      <c r="D41">
        <v>1443209497</v>
      </c>
      <c r="E41">
        <v>1696.5586481</v>
      </c>
      <c r="F41">
        <f>'stimulated vs non-stim'!B41/'stimulated vs non-stim'!C41</f>
        <v>10556.383040773444</v>
      </c>
      <c r="G41">
        <f>'stimulated vs non-stim'!E41*'stimulated vs non-stim'!F41</f>
        <v>17909522.940480363</v>
      </c>
      <c r="H41">
        <f>'stimulated vs non-stim'!D41-'stimulated vs non-stim'!G41</f>
        <v>1425299974.0595195</v>
      </c>
      <c r="I41">
        <f>('stimulated vs non-stim'!D41/'stimulated vs non-stim'!E41)-'stimulated vs non-stim'!F41</f>
        <v>840112.40970404015</v>
      </c>
    </row>
    <row r="42" spans="1:22">
      <c r="A42" t="s">
        <v>508</v>
      </c>
      <c r="B42">
        <v>17390381</v>
      </c>
      <c r="C42">
        <f>50*0.35*3.188</f>
        <v>55.790000000000006</v>
      </c>
      <c r="D42">
        <v>343023965</v>
      </c>
      <c r="E42">
        <v>1072.025439</v>
      </c>
      <c r="F42">
        <f>'stimulated vs non-stim'!B42/'stimulated vs non-stim'!C42</f>
        <v>311711.43574117223</v>
      </c>
      <c r="G42">
        <f>'stimulated vs non-stim'!E42*'stimulated vs non-stim'!F42</f>
        <v>334162588.74175048</v>
      </c>
      <c r="H42">
        <f>'stimulated vs non-stim'!D42-'stimulated vs non-stim'!G42</f>
        <v>8861376.2582495213</v>
      </c>
      <c r="I42">
        <f>('stimulated vs non-stim'!D42/'stimulated vs non-stim'!E42)-'stimulated vs non-stim'!F42</f>
        <v>8266.0130402460927</v>
      </c>
    </row>
    <row r="43" spans="1:22">
      <c r="A43" t="s">
        <v>509</v>
      </c>
      <c r="B43">
        <v>12197756.6666667</v>
      </c>
      <c r="C43">
        <f>35*0.35*3.4</f>
        <v>41.65</v>
      </c>
      <c r="D43">
        <v>264056169</v>
      </c>
      <c r="E43">
        <v>873.67756659999998</v>
      </c>
      <c r="F43">
        <f>'stimulated vs non-stim'!B43/'stimulated vs non-stim'!C43</f>
        <v>292863.30532212963</v>
      </c>
      <c r="G43">
        <f>'stimulated vs non-stim'!E43*'stimulated vs non-stim'!F43</f>
        <v>255868099.94027105</v>
      </c>
      <c r="H43">
        <f>'stimulated vs non-stim'!D43-'stimulated vs non-stim'!G43</f>
        <v>8188069.0597289503</v>
      </c>
      <c r="I43">
        <f>('stimulated vs non-stim'!D43/'stimulated vs non-stim'!E43)-'stimulated vs non-stim'!F43</f>
        <v>9371.9575421784539</v>
      </c>
    </row>
    <row r="44" spans="1:22">
      <c r="A44" t="s">
        <v>510</v>
      </c>
      <c r="B44">
        <v>11339002.3333333</v>
      </c>
      <c r="C44">
        <f>33*0.35*3.246</f>
        <v>37.491299999999995</v>
      </c>
      <c r="D44">
        <v>565448434</v>
      </c>
      <c r="E44">
        <v>1831.3373630999999</v>
      </c>
      <c r="F44">
        <f>'stimulated vs non-stim'!B44/'stimulated vs non-stim'!C44</f>
        <v>302443.56246204593</v>
      </c>
      <c r="G44">
        <f>'stimulated vs non-stim'!E44*'stimulated vs non-stim'!F44</f>
        <v>553876196.16581333</v>
      </c>
      <c r="H44">
        <f>'stimulated vs non-stim'!D44-'stimulated vs non-stim'!G44</f>
        <v>11572237.834186673</v>
      </c>
      <c r="I44">
        <f>('stimulated vs non-stim'!D44/'stimulated vs non-stim'!E44)-'stimulated vs non-stim'!F44</f>
        <v>6319.0093029051204</v>
      </c>
    </row>
    <row r="45" spans="1:22">
      <c r="A45" t="s">
        <v>511</v>
      </c>
      <c r="B45">
        <v>17119923</v>
      </c>
      <c r="C45">
        <f>37*0.35*4.598</f>
        <v>59.544099999999993</v>
      </c>
      <c r="D45">
        <v>1002049052</v>
      </c>
      <c r="E45">
        <v>3409.0913089999999</v>
      </c>
      <c r="F45">
        <f>'stimulated vs non-stim'!B45/'stimulated vs non-stim'!C45</f>
        <v>287516.6977080853</v>
      </c>
      <c r="G45">
        <f>'stimulated vs non-stim'!E45*'stimulated vs non-stim'!F45</f>
        <v>980170675.34901381</v>
      </c>
      <c r="H45">
        <f>'stimulated vs non-stim'!D45-'stimulated vs non-stim'!G45</f>
        <v>21878376.650986195</v>
      </c>
      <c r="I45">
        <f>('stimulated vs non-stim'!D45/'stimulated vs non-stim'!E45)-'stimulated vs non-stim'!F45</f>
        <v>6417.6563981220825</v>
      </c>
    </row>
    <row r="46" spans="1:22">
      <c r="A46" t="s">
        <v>512</v>
      </c>
      <c r="B46">
        <v>36864721.333333299</v>
      </c>
      <c r="C46">
        <f>37*0.35*9.912</f>
        <v>128.3604</v>
      </c>
      <c r="D46">
        <v>1264971256</v>
      </c>
      <c r="E46">
        <v>4288.5928695000002</v>
      </c>
      <c r="F46">
        <f>'stimulated vs non-stim'!B46/'stimulated vs non-stim'!C46</f>
        <v>287196.99637375155</v>
      </c>
      <c r="G46">
        <f>'stimulated vs non-stim'!E46*'stimulated vs non-stim'!F46</f>
        <v>1231670990.7902882</v>
      </c>
      <c r="H46">
        <f>'stimulated vs non-stim'!D46-'stimulated vs non-stim'!G46</f>
        <v>33300265.20971179</v>
      </c>
      <c r="I46">
        <f>('stimulated vs non-stim'!D46/'stimulated vs non-stim'!E46)-'stimulated vs non-stim'!F46</f>
        <v>7764.8464713308495</v>
      </c>
    </row>
    <row r="47" spans="1:22">
      <c r="A47" t="s">
        <v>513</v>
      </c>
      <c r="B47">
        <v>10796893.6666667</v>
      </c>
      <c r="C47">
        <f>31*0.35*3.478</f>
        <v>37.7363</v>
      </c>
      <c r="D47">
        <v>410100167</v>
      </c>
      <c r="E47">
        <v>1395.9268460000001</v>
      </c>
      <c r="F47">
        <f>'stimulated vs non-stim'!B47/'stimulated vs non-stim'!C47</f>
        <v>286114.26310122351</v>
      </c>
      <c r="G47">
        <f>'stimulated vs non-stim'!E47*'stimulated vs non-stim'!F47</f>
        <v>399394580.88650513</v>
      </c>
      <c r="H47">
        <f>'stimulated vs non-stim'!D47-'stimulated vs non-stim'!G47</f>
        <v>10705586.113494873</v>
      </c>
      <c r="I47">
        <f>('stimulated vs non-stim'!D47/'stimulated vs non-stim'!E47)-'stimulated vs non-stim'!F47</f>
        <v>7669.1598447092692</v>
      </c>
    </row>
    <row r="48" spans="1:22">
      <c r="A48" t="s">
        <v>514</v>
      </c>
      <c r="B48">
        <v>18342406.666666701</v>
      </c>
      <c r="C48">
        <f>27*0.35*6.801</f>
        <v>64.269449999999992</v>
      </c>
      <c r="D48">
        <v>301775784</v>
      </c>
      <c r="E48">
        <v>1037.929494</v>
      </c>
      <c r="F48">
        <f>'stimulated vs non-stim'!B48/'stimulated vs non-stim'!C48</f>
        <v>285398.53175446036</v>
      </c>
      <c r="G48">
        <f>'stimulated vs non-stim'!E48*'stimulated vs non-stim'!F48</f>
        <v>296223553.65224999</v>
      </c>
      <c r="H48">
        <f>'stimulated vs non-stim'!D48-'stimulated vs non-stim'!G48</f>
        <v>5552230.3477500081</v>
      </c>
      <c r="I48">
        <f>('stimulated vs non-stim'!D48/'stimulated vs non-stim'!E48)-'stimulated vs non-stim'!F48</f>
        <v>5349.3328591643367</v>
      </c>
    </row>
    <row r="49" spans="1:22">
      <c r="A49" t="s">
        <v>515</v>
      </c>
      <c r="B49">
        <v>14205405</v>
      </c>
      <c r="C49">
        <f>51*0.35*2.782</f>
        <v>49.658699999999996</v>
      </c>
      <c r="D49">
        <v>182134394</v>
      </c>
      <c r="E49">
        <v>613.01494630000002</v>
      </c>
      <c r="F49">
        <f>'stimulated vs non-stim'!B49/'stimulated vs non-stim'!C49</f>
        <v>286060.75068417017</v>
      </c>
      <c r="G49">
        <f>'stimulated vs non-stim'!E49*'stimulated vs non-stim'!F49</f>
        <v>175359515.71919426</v>
      </c>
      <c r="H49">
        <f>'stimulated vs non-stim'!D49-'stimulated vs non-stim'!G49</f>
        <v>6774878.2808057368</v>
      </c>
      <c r="I49">
        <f>('stimulated vs non-stim'!D49/'stimulated vs non-stim'!E49)-'stimulated vs non-stim'!F49</f>
        <v>11051.734254926676</v>
      </c>
    </row>
    <row r="50" spans="1:22">
      <c r="A50" t="s">
        <v>516</v>
      </c>
      <c r="B50">
        <v>15506569</v>
      </c>
      <c r="C50">
        <f>21*0.35*7.342</f>
        <v>53.963699999999996</v>
      </c>
      <c r="D50">
        <v>397608603</v>
      </c>
      <c r="E50">
        <v>1316.524692</v>
      </c>
      <c r="F50">
        <f>'stimulated vs non-stim'!B50/'stimulated vs non-stim'!C50</f>
        <v>287351.84948400501</v>
      </c>
      <c r="G50">
        <f>'stimulated vs non-stim'!E50*'stimulated vs non-stim'!F50</f>
        <v>378305805.13756007</v>
      </c>
      <c r="H50">
        <f>'stimulated vs non-stim'!D50-'stimulated vs non-stim'!G50</f>
        <v>19302797.86243993</v>
      </c>
      <c r="I50">
        <f>('stimulated vs non-stim'!D50/'stimulated vs non-stim'!E50)-'stimulated vs non-stim'!F50</f>
        <v>14661.933786533133</v>
      </c>
    </row>
    <row r="51" spans="1:22">
      <c r="U51" s="9"/>
      <c r="V51" s="6"/>
    </row>
    <row r="52" spans="1:22">
      <c r="A52" s="10" t="s">
        <v>517</v>
      </c>
    </row>
    <row r="53" spans="1:22">
      <c r="A53" t="s">
        <v>518</v>
      </c>
      <c r="B53">
        <v>10021664.3333333</v>
      </c>
      <c r="C53">
        <f>2.512*37*0.35</f>
        <v>32.5304</v>
      </c>
      <c r="D53">
        <v>430977542</v>
      </c>
      <c r="E53">
        <v>1304.7821831000001</v>
      </c>
      <c r="F53">
        <f>'stimulated vs non-stim'!B53/'stimulated vs non-stim'!C53</f>
        <v>308070.7379353866</v>
      </c>
      <c r="G53">
        <f>'stimulated vs non-stim'!E53*'stimulated vs non-stim'!F53</f>
        <v>401965209.99256176</v>
      </c>
      <c r="H53">
        <f>'stimulated vs non-stim'!D53-'stimulated vs non-stim'!G53</f>
        <v>29012332.007438242</v>
      </c>
      <c r="I53">
        <f>('stimulated vs non-stim'!D53/'stimulated vs non-stim'!E53)-'stimulated vs non-stim'!F53</f>
        <v>22235.383333108213</v>
      </c>
      <c r="K53" t="s">
        <v>466</v>
      </c>
      <c r="L53" t="s">
        <v>468</v>
      </c>
      <c r="M53" t="s">
        <v>467</v>
      </c>
    </row>
    <row r="54" spans="1:22">
      <c r="A54" t="s">
        <v>519</v>
      </c>
      <c r="B54">
        <v>5608476</v>
      </c>
      <c r="C54">
        <f>1.391*38*0.35</f>
        <v>18.500299999999999</v>
      </c>
      <c r="D54">
        <v>178907684</v>
      </c>
      <c r="E54">
        <v>526.12644999999998</v>
      </c>
      <c r="F54">
        <f>'stimulated vs non-stim'!B54/'stimulated vs non-stim'!C54</f>
        <v>303155.94882245152</v>
      </c>
      <c r="G54">
        <f>'stimulated vs non-stim'!E54*'stimulated vs non-stim'!F54</f>
        <v>159498363.15033808</v>
      </c>
      <c r="H54">
        <f>'stimulated vs non-stim'!D54-'stimulated vs non-stim'!G54</f>
        <v>19409320.849661916</v>
      </c>
      <c r="I54">
        <f>('stimulated vs non-stim'!D54/'stimulated vs non-stim'!E54)-'stimulated vs non-stim'!F54</f>
        <v>36890.980960303161</v>
      </c>
      <c r="K54" t="s">
        <v>470</v>
      </c>
      <c r="L54">
        <v>20908.903045380001</v>
      </c>
      <c r="M54">
        <v>61970.001443749999</v>
      </c>
    </row>
    <row r="55" spans="1:22">
      <c r="A55" t="s">
        <v>520</v>
      </c>
      <c r="B55">
        <v>3910794</v>
      </c>
      <c r="C55">
        <f>19*0.35*1.739</f>
        <v>11.564349999999999</v>
      </c>
      <c r="D55">
        <v>443869000</v>
      </c>
      <c r="E55">
        <v>1161.72</v>
      </c>
      <c r="F55">
        <f>'stimulated vs non-stim'!B55/'stimulated vs non-stim'!C55</f>
        <v>338176.72415656742</v>
      </c>
      <c r="G55">
        <f>'stimulated vs non-stim'!E55*'stimulated vs non-stim'!F55</f>
        <v>392866663.98716754</v>
      </c>
      <c r="H55">
        <f>'stimulated vs non-stim'!D55-'stimulated vs non-stim'!G55</f>
        <v>51002336.012832463</v>
      </c>
      <c r="I55">
        <f>('stimulated vs non-stim'!D55/'stimulated vs non-stim'!E55)-'stimulated vs non-stim'!F55</f>
        <v>43902.434332569363</v>
      </c>
      <c r="K55" t="s">
        <v>472</v>
      </c>
      <c r="L55">
        <v>18585.516451669999</v>
      </c>
      <c r="M55">
        <v>86738.898460990007</v>
      </c>
    </row>
    <row r="56" spans="1:22">
      <c r="A56" t="s">
        <v>521</v>
      </c>
      <c r="B56">
        <v>21436127</v>
      </c>
      <c r="C56">
        <f>4.019*0.35*49</f>
        <v>68.925849999999997</v>
      </c>
      <c r="D56">
        <v>911844000</v>
      </c>
      <c r="E56">
        <v>1555.9</v>
      </c>
      <c r="F56">
        <f>'stimulated vs non-stim'!B56/'stimulated vs non-stim'!C56</f>
        <v>311002.72249090869</v>
      </c>
      <c r="G56">
        <f>'stimulated vs non-stim'!E56*'stimulated vs non-stim'!F56</f>
        <v>483889135.92360485</v>
      </c>
      <c r="H56">
        <f>'stimulated vs non-stim'!D56-'stimulated vs non-stim'!G56</f>
        <v>427954864.07639515</v>
      </c>
      <c r="I56">
        <f>('stimulated vs non-stim'!D56/'stimulated vs non-stim'!E56)-'stimulated vs non-stim'!F56</f>
        <v>275052.9366131468</v>
      </c>
      <c r="K56" t="s">
        <v>474</v>
      </c>
      <c r="L56">
        <v>6570.9723574099999</v>
      </c>
      <c r="M56">
        <v>30666.831647210001</v>
      </c>
    </row>
    <row r="57" spans="1:22">
      <c r="A57" t="s">
        <v>522</v>
      </c>
      <c r="B57">
        <v>1978783</v>
      </c>
      <c r="C57">
        <f>0.811*21*0.35</f>
        <v>5.9608500000000006</v>
      </c>
      <c r="D57">
        <v>328791859</v>
      </c>
      <c r="E57">
        <v>877.13264430000004</v>
      </c>
      <c r="F57">
        <f>'stimulated vs non-stim'!B57/'stimulated vs non-stim'!C57</f>
        <v>331963.22672102129</v>
      </c>
      <c r="G57">
        <f>'stimulated vs non-stim'!E57*'stimulated vs non-stim'!F57</f>
        <v>291175782.86416984</v>
      </c>
      <c r="H57">
        <f>'stimulated vs non-stim'!D57-'stimulated vs non-stim'!G57</f>
        <v>37616076.135830164</v>
      </c>
      <c r="I57">
        <f>('stimulated vs non-stim'!D57/'stimulated vs non-stim'!E57)-'stimulated vs non-stim'!F57</f>
        <v>42885.276679959672</v>
      </c>
      <c r="K57" t="s">
        <v>476</v>
      </c>
      <c r="L57">
        <v>8</v>
      </c>
      <c r="M57">
        <v>8</v>
      </c>
    </row>
    <row r="58" spans="1:22">
      <c r="A58" t="s">
        <v>523</v>
      </c>
      <c r="B58">
        <v>936699</v>
      </c>
      <c r="C58">
        <f>0.232*0.35*36</f>
        <v>2.9231999999999996</v>
      </c>
      <c r="D58">
        <v>405856508</v>
      </c>
      <c r="E58">
        <v>1134.5483919000001</v>
      </c>
      <c r="F58">
        <f>'stimulated vs non-stim'!B58/'stimulated vs non-stim'!C58</f>
        <v>320436.16584564868</v>
      </c>
      <c r="G58">
        <f>'stimulated vs non-stim'!E58*'stimulated vs non-stim'!F58</f>
        <v>363550336.66678244</v>
      </c>
      <c r="H58">
        <f>'stimulated vs non-stim'!D58-'stimulated vs non-stim'!G58</f>
        <v>42306171.333217561</v>
      </c>
      <c r="I58">
        <f>('stimulated vs non-stim'!D58/'stimulated vs non-stim'!E58)-'stimulated vs non-stim'!F58</f>
        <v>37288.996780797024</v>
      </c>
    </row>
    <row r="59" spans="1:22">
      <c r="A59" t="s">
        <v>524</v>
      </c>
      <c r="B59">
        <v>2613446.5</v>
      </c>
      <c r="C59">
        <f>33*0.35*0.696</f>
        <v>8.0387999999999984</v>
      </c>
      <c r="D59">
        <v>736388000</v>
      </c>
      <c r="E59">
        <v>2123.08</v>
      </c>
      <c r="F59">
        <f>'stimulated vs non-stim'!B59/'stimulated vs non-stim'!C59</f>
        <v>325104.05781957513</v>
      </c>
      <c r="G59">
        <f>'stimulated vs non-stim'!E59*'stimulated vs non-stim'!F59</f>
        <v>690221923.07558358</v>
      </c>
      <c r="H59">
        <f>'stimulated vs non-stim'!D59-'stimulated vs non-stim'!G59</f>
        <v>46166076.924416423</v>
      </c>
      <c r="I59">
        <f>('stimulated vs non-stim'!D59/'stimulated vs non-stim'!E59)-'stimulated vs non-stim'!F59</f>
        <v>21744.859790689196</v>
      </c>
      <c r="K59" t="s">
        <v>525</v>
      </c>
    </row>
    <row r="60" spans="1:22">
      <c r="A60" t="s">
        <v>526</v>
      </c>
      <c r="B60">
        <v>11081148</v>
      </c>
      <c r="C60">
        <f>2.782*36*0.35</f>
        <v>35.053199999999997</v>
      </c>
      <c r="D60">
        <v>975157858</v>
      </c>
      <c r="E60">
        <v>2938.2591419</v>
      </c>
      <c r="F60">
        <f>'stimulated vs non-stim'!B60/'stimulated vs non-stim'!C60</f>
        <v>316123.72051624389</v>
      </c>
      <c r="G60">
        <f>'stimulated vs non-stim'!E60*'stimulated vs non-stim'!F60</f>
        <v>928853411.77829421</v>
      </c>
      <c r="H60">
        <f>'stimulated vs non-stim'!D60-'stimulated vs non-stim'!G60</f>
        <v>46304446.221705794</v>
      </c>
      <c r="I60">
        <f>('stimulated vs non-stim'!D60/'stimulated vs non-stim'!E60)-'stimulated vs non-stim'!F60</f>
        <v>15759.143079450587</v>
      </c>
      <c r="K60" t="s">
        <v>527</v>
      </c>
    </row>
    <row r="62" spans="1:22">
      <c r="A62" t="s">
        <v>528</v>
      </c>
      <c r="B62">
        <v>19505573</v>
      </c>
      <c r="C62">
        <f>4.772*0.35*38</f>
        <v>63.467599999999997</v>
      </c>
      <c r="D62">
        <v>810710530</v>
      </c>
      <c r="E62">
        <v>2502.1216824799999</v>
      </c>
      <c r="F62">
        <f>'stimulated vs non-stim'!B62/'stimulated vs non-stim'!C62</f>
        <v>307331.18945729791</v>
      </c>
      <c r="G62">
        <f>'stimulated vs non-stim'!E62*'stimulated vs non-stim'!F62</f>
        <v>768980032.84347379</v>
      </c>
      <c r="H62">
        <f>'stimulated vs non-stim'!D62-'stimulated vs non-stim'!G62</f>
        <v>41730497.156526208</v>
      </c>
      <c r="I62">
        <f>('stimulated vs non-stim'!D62/'stimulated vs non-stim'!E62)-'stimulated vs non-stim'!F62</f>
        <v>16678.044656551094</v>
      </c>
    </row>
    <row r="63" spans="1:22">
      <c r="A63" t="s">
        <v>529</v>
      </c>
      <c r="B63">
        <v>11011394.5</v>
      </c>
      <c r="C63">
        <f>48*0.35*2.087</f>
        <v>35.061599999999999</v>
      </c>
      <c r="F63">
        <f>'stimulated vs non-stim'!B63/'stimulated vs non-stim'!C63</f>
        <v>314058.52841855481</v>
      </c>
    </row>
    <row r="64" spans="1:22">
      <c r="A64" t="s">
        <v>530</v>
      </c>
      <c r="B64">
        <v>6950286.3333333302</v>
      </c>
      <c r="C64">
        <f>1.913*35*0.35</f>
        <v>23.434249999999999</v>
      </c>
      <c r="D64">
        <v>364948166</v>
      </c>
      <c r="E64">
        <v>1183.285087</v>
      </c>
      <c r="F64">
        <f>'stimulated vs non-stim'!B64/'stimulated vs non-stim'!C64</f>
        <v>296586.67690808669</v>
      </c>
      <c r="G64">
        <f>'stimulated vs non-stim'!E64*'stimulated vs non-stim'!F64</f>
        <v>350946591.78822625</v>
      </c>
      <c r="H64">
        <f>'stimulated vs non-stim'!D64-'stimulated vs non-stim'!G64</f>
        <v>14001574.211773753</v>
      </c>
      <c r="I64">
        <f>('stimulated vs non-stim'!D64/'stimulated vs non-stim'!E64)-'stimulated vs non-stim'!F64</f>
        <v>11832.798676836304</v>
      </c>
    </row>
    <row r="65" spans="1:9">
      <c r="A65" t="s">
        <v>531</v>
      </c>
      <c r="B65">
        <v>19647561.333333299</v>
      </c>
      <c r="C65">
        <f>24*0.35*7.728</f>
        <v>64.915199999999984</v>
      </c>
      <c r="D65">
        <v>372970506</v>
      </c>
      <c r="E65">
        <v>1010.6747381</v>
      </c>
      <c r="F65">
        <f>'stimulated vs non-stim'!B65/'stimulated vs non-stim'!C65</f>
        <v>302665.03582109127</v>
      </c>
      <c r="G65">
        <f>'stimulated vs non-stim'!E65*'stimulated vs non-stim'!F65</f>
        <v>305895905.81050855</v>
      </c>
      <c r="H65">
        <f>'stimulated vs non-stim'!D65-'stimulated vs non-stim'!G65</f>
        <v>67074600.189491451</v>
      </c>
      <c r="I65">
        <f>('stimulated vs non-stim'!D65/'stimulated vs non-stim'!E65)-'stimulated vs non-stim'!F65</f>
        <v>66366.158825328108</v>
      </c>
    </row>
    <row r="66" spans="1:9">
      <c r="A66" t="s">
        <v>532</v>
      </c>
      <c r="B66">
        <v>3828751</v>
      </c>
      <c r="C66">
        <f>0.947*0.35*39</f>
        <v>12.926549999999999</v>
      </c>
      <c r="D66">
        <v>358008721</v>
      </c>
      <c r="E66">
        <v>1151.698228</v>
      </c>
      <c r="F66">
        <f>'stimulated vs non-stim'!B66/'stimulated vs non-stim'!C66</f>
        <v>296192.79699533136</v>
      </c>
      <c r="G66">
        <f>'stimulated vs non-stim'!E66*'stimulated vs non-stim'!F66</f>
        <v>341124719.44588685</v>
      </c>
      <c r="H66">
        <f>'stimulated vs non-stim'!D66-'stimulated vs non-stim'!G66</f>
        <v>16884001.55411315</v>
      </c>
      <c r="I66">
        <f>('stimulated vs non-stim'!D66/'stimulated vs non-stim'!E66)-'stimulated vs non-stim'!F66</f>
        <v>14660.091631323739</v>
      </c>
    </row>
    <row r="67" spans="1:9">
      <c r="A67" t="s">
        <v>533</v>
      </c>
      <c r="B67">
        <v>12450272</v>
      </c>
      <c r="C67">
        <f>43*0.35*2.763</f>
        <v>41.583149999999996</v>
      </c>
      <c r="D67">
        <v>568039530</v>
      </c>
      <c r="E67">
        <v>1790.3171629999999</v>
      </c>
      <c r="F67">
        <f>'stimulated vs non-stim'!B67/'stimulated vs non-stim'!C67</f>
        <v>299406.65870671178</v>
      </c>
      <c r="G67">
        <f>'stimulated vs non-stim'!E67*'stimulated vs non-stim'!F67</f>
        <v>536032879.79910946</v>
      </c>
      <c r="H67">
        <f>'stimulated vs non-stim'!D67-'stimulated vs non-stim'!G67</f>
        <v>32006650.200890541</v>
      </c>
      <c r="I67">
        <f>('stimulated vs non-stim'!D67/'stimulated vs non-stim'!E67)-'stimulated vs non-stim'!F67</f>
        <v>17877.642499532085</v>
      </c>
    </row>
    <row r="68" spans="1:9">
      <c r="A68" t="s">
        <v>534</v>
      </c>
      <c r="B68">
        <v>7503743</v>
      </c>
      <c r="C68">
        <f>1.488*48*0.35</f>
        <v>24.9984</v>
      </c>
      <c r="D68">
        <v>485698050</v>
      </c>
      <c r="E68">
        <v>1529.323326</v>
      </c>
      <c r="F68">
        <f>'stimulated vs non-stim'!B68/'stimulated vs non-stim'!C68</f>
        <v>300168.93081157195</v>
      </c>
      <c r="G68">
        <f>'stimulated vs non-stim'!E68*'stimulated vs non-stim'!F68</f>
        <v>459055347.63061708</v>
      </c>
      <c r="H68">
        <f>'stimulated vs non-stim'!D68-'stimulated vs non-stim'!G68</f>
        <v>26642702.369382918</v>
      </c>
      <c r="I68">
        <f>('stimulated vs non-stim'!D68/'stimulated vs non-stim'!E68)-'stimulated vs non-stim'!F68</f>
        <v>17421.235860612884</v>
      </c>
    </row>
    <row r="69" spans="1:9">
      <c r="A69" t="s">
        <v>535</v>
      </c>
      <c r="B69">
        <v>6387970.6666666698</v>
      </c>
      <c r="C69">
        <f>36*0.35*1.7</f>
        <v>21.419999999999998</v>
      </c>
      <c r="D69">
        <v>562293258</v>
      </c>
      <c r="E69">
        <v>1824.4238167000001</v>
      </c>
      <c r="F69">
        <f>'stimulated vs non-stim'!B69/'stimulated vs non-stim'!C69</f>
        <v>298224.58761282306</v>
      </c>
      <c r="G69">
        <f>'stimulated vs non-stim'!E69*'stimulated vs non-stim'!F69</f>
        <v>544088040.3663702</v>
      </c>
      <c r="H69">
        <f>'stimulated vs non-stim'!D69-'stimulated vs non-stim'!G69</f>
        <v>18205217.633629799</v>
      </c>
      <c r="I69">
        <f>('stimulated vs non-stim'!D69/'stimulated vs non-stim'!E69)-'stimulated vs non-stim'!F69</f>
        <v>9978.6121333140763</v>
      </c>
    </row>
    <row r="70" spans="1:9">
      <c r="A70" t="s">
        <v>536</v>
      </c>
      <c r="B70">
        <v>12411397.3333333</v>
      </c>
      <c r="C70">
        <f>3.246*0.35*37</f>
        <v>42.035699999999999</v>
      </c>
      <c r="D70">
        <v>374238822</v>
      </c>
      <c r="E70">
        <v>1216.1859612999999</v>
      </c>
      <c r="F70">
        <f>'stimulated vs non-stim'!B70/'stimulated vs non-stim'!C70</f>
        <v>295258.49060044915</v>
      </c>
      <c r="G70">
        <f>'stimulated vs non-stim'!E70*'stimulated vs non-stim'!F70</f>
        <v>359089231.22289425</v>
      </c>
      <c r="H70">
        <f>'stimulated vs non-stim'!D70-'stimulated vs non-stim'!G70</f>
        <v>15149590.777105749</v>
      </c>
      <c r="I70">
        <f>('stimulated vs non-stim'!D70/'stimulated vs non-stim'!E70)-'stimulated vs non-stim'!F70</f>
        <v>12456.640069181623</v>
      </c>
    </row>
    <row r="72" spans="1:9">
      <c r="A72" s="10" t="s">
        <v>537</v>
      </c>
    </row>
    <row r="73" spans="1:9">
      <c r="A73" t="s">
        <v>538</v>
      </c>
      <c r="B73">
        <v>18318360.333333299</v>
      </c>
      <c r="C73">
        <f>3.768*48*0.35</f>
        <v>63.302399999999984</v>
      </c>
      <c r="D73">
        <v>225317949</v>
      </c>
      <c r="E73">
        <v>712.00616328000001</v>
      </c>
      <c r="F73">
        <f>'stimulated vs non-stim'!B73/'stimulated vs non-stim'!C73</f>
        <v>289378.60702490434</v>
      </c>
      <c r="G73">
        <f>'stimulated vs non-stim'!E73*'stimulated vs non-stim'!F73</f>
        <v>206039351.723113</v>
      </c>
      <c r="H73">
        <f>'stimulated vs non-stim'!D73-'stimulated vs non-stim'!G73</f>
        <v>19278597.276887</v>
      </c>
      <c r="I73">
        <f>('stimulated vs non-stim'!D73/'stimulated vs non-stim'!E73)-'stimulated vs non-stim'!F73</f>
        <v>27076.447187024693</v>
      </c>
    </row>
    <row r="74" spans="1:9">
      <c r="A74" t="s">
        <v>539</v>
      </c>
      <c r="B74">
        <v>16349891</v>
      </c>
      <c r="C74">
        <f>38*4.27*0.35</f>
        <v>56.79099999999999</v>
      </c>
      <c r="D74">
        <v>173437580</v>
      </c>
      <c r="E74">
        <v>450.196774</v>
      </c>
      <c r="F74">
        <f>'stimulated vs non-stim'!B74/'stimulated vs non-stim'!C74</f>
        <v>287895.81095596141</v>
      </c>
      <c r="G74">
        <f>'stimulated vs non-stim'!E74*'stimulated vs non-stim'!F74</f>
        <v>129609765.34048769</v>
      </c>
      <c r="H74">
        <f>'stimulated vs non-stim'!D74-'stimulated vs non-stim'!G74</f>
        <v>43827814.659512311</v>
      </c>
      <c r="I74">
        <f>('stimulated vs non-stim'!D74/'stimulated vs non-stim'!E74)-'stimulated vs non-stim'!F74</f>
        <v>97352.573787017667</v>
      </c>
    </row>
    <row r="75" spans="1:9">
      <c r="A75" t="s">
        <v>540</v>
      </c>
      <c r="B75">
        <v>9659849</v>
      </c>
      <c r="C75">
        <f>34*0.35*2.705</f>
        <v>32.189499999999995</v>
      </c>
      <c r="D75">
        <v>391311460</v>
      </c>
      <c r="E75">
        <v>1101.9838886</v>
      </c>
      <c r="F75">
        <f>'stimulated vs non-stim'!B75/'stimulated vs non-stim'!C75</f>
        <v>300093.16702651489</v>
      </c>
      <c r="G75">
        <f>'stimulated vs non-stim'!E75*'stimulated vs non-stim'!F75</f>
        <v>330697835.14216816</v>
      </c>
      <c r="H75">
        <f>'stimulated vs non-stim'!D75-'stimulated vs non-stim'!G75</f>
        <v>60613624.857831836</v>
      </c>
      <c r="I75">
        <f>('stimulated vs non-stim'!D75/'stimulated vs non-stim'!E75)-'stimulated vs non-stim'!F75</f>
        <v>55004.093512508203</v>
      </c>
    </row>
    <row r="76" spans="1:9">
      <c r="A76" t="s">
        <v>541</v>
      </c>
      <c r="B76">
        <v>9329979.6666666698</v>
      </c>
      <c r="C76">
        <f>30*0.35*3.091</f>
        <v>32.455500000000001</v>
      </c>
      <c r="D76">
        <v>305657316</v>
      </c>
      <c r="E76">
        <v>1009.2283698</v>
      </c>
      <c r="F76">
        <f>'stimulated vs non-stim'!B76/'stimulated vs non-stim'!C76</f>
        <v>287469.9100820098</v>
      </c>
      <c r="G76">
        <f>'stimulated vs non-stim'!E76*'stimulated vs non-stim'!F76</f>
        <v>290122788.71861935</v>
      </c>
      <c r="H76">
        <f>'stimulated vs non-stim'!D76-'stimulated vs non-stim'!G76</f>
        <v>15534527.281380653</v>
      </c>
      <c r="I76">
        <f>('stimulated vs non-stim'!D76/'stimulated vs non-stim'!E76)-'stimulated vs non-stim'!F76</f>
        <v>15392.479785778502</v>
      </c>
    </row>
    <row r="77" spans="1:9">
      <c r="A77" t="s">
        <v>542</v>
      </c>
      <c r="B77">
        <v>18803890</v>
      </c>
      <c r="C77">
        <f>3.768*49*0.35</f>
        <v>64.621199999999988</v>
      </c>
      <c r="D77">
        <v>985355413</v>
      </c>
      <c r="E77">
        <v>3197.4644782</v>
      </c>
      <c r="F77">
        <f>'stimulated vs non-stim'!B77/'stimulated vs non-stim'!C77</f>
        <v>290986.39455782319</v>
      </c>
      <c r="G77">
        <f>'stimulated vs non-stim'!E77*'stimulated vs non-stim'!F77</f>
        <v>930418660.2381295</v>
      </c>
      <c r="H77">
        <f>'stimulated vs non-stim'!D77-'stimulated vs non-stim'!G77</f>
        <v>54936752.761870503</v>
      </c>
      <c r="I77">
        <f>('stimulated vs non-stim'!D77/'stimulated vs non-stim'!E77)-'stimulated vs non-stim'!F77</f>
        <v>17181.348889541696</v>
      </c>
    </row>
    <row r="78" spans="1:9">
      <c r="A78" t="s">
        <v>543</v>
      </c>
      <c r="B78">
        <v>15822332.6666667</v>
      </c>
      <c r="C78">
        <f>43*0.35*3.71</f>
        <v>55.835499999999996</v>
      </c>
      <c r="D78">
        <v>520760451</v>
      </c>
      <c r="E78">
        <v>1806.088702</v>
      </c>
      <c r="F78">
        <f>'stimulated vs non-stim'!B78/'stimulated vs non-stim'!C78</f>
        <v>283374.06608101836</v>
      </c>
      <c r="G78">
        <f>'stimulated vs non-stim'!E78*'stimulated vs non-stim'!F78</f>
        <v>511798699.18872869</v>
      </c>
      <c r="H78">
        <f>'stimulated vs non-stim'!D78-'stimulated vs non-stim'!G78</f>
        <v>8961751.8112713099</v>
      </c>
      <c r="I78">
        <f>('stimulated vs non-stim'!D78/'stimulated vs non-stim'!E78)-'stimulated vs non-stim'!F78</f>
        <v>4961.966597403225</v>
      </c>
    </row>
    <row r="79" spans="1:9">
      <c r="A79" t="s">
        <v>544</v>
      </c>
      <c r="B79">
        <v>7521991</v>
      </c>
      <c r="C79">
        <f>1.913*39*0.35</f>
        <v>26.112449999999999</v>
      </c>
      <c r="D79">
        <v>292813748</v>
      </c>
      <c r="E79">
        <v>959.17730970000002</v>
      </c>
      <c r="F79">
        <f>'stimulated vs non-stim'!B79/'stimulated vs non-stim'!C79</f>
        <v>288061.48025175731</v>
      </c>
      <c r="G79">
        <f>'stimulated vs non-stim'!E79*'stimulated vs non-stim'!F79</f>
        <v>276302035.65608025</v>
      </c>
      <c r="H79">
        <f>'stimulated vs non-stim'!D79-'stimulated vs non-stim'!G79</f>
        <v>16511712.343919754</v>
      </c>
      <c r="I79">
        <f>('stimulated vs non-stim'!D79/'stimulated vs non-stim'!E79)-'stimulated vs non-stim'!F79</f>
        <v>17214.452611565706</v>
      </c>
    </row>
    <row r="81" spans="1:9">
      <c r="A81" t="s">
        <v>545</v>
      </c>
      <c r="B81">
        <v>5923619.6666666698</v>
      </c>
      <c r="C81">
        <f>33*0.35*1.739</f>
        <v>20.085449999999998</v>
      </c>
      <c r="D81">
        <v>197949172</v>
      </c>
      <c r="E81">
        <v>640.09706000000006</v>
      </c>
      <c r="F81">
        <f>'stimulated vs non-stim'!B81/'stimulated vs non-stim'!C81</f>
        <v>294920.9336443381</v>
      </c>
      <c r="G81">
        <f>'stimulated vs non-stim'!E81*'stimulated vs non-stim'!F81</f>
        <v>188778022.55819592</v>
      </c>
      <c r="H81">
        <f>'stimulated vs non-stim'!D81-'stimulated vs non-stim'!G81</f>
        <v>9171149.4418040812</v>
      </c>
      <c r="I81">
        <f>('stimulated vs non-stim'!D81/'stimulated vs non-stim'!E81)-'stimulated vs non-stim'!F81</f>
        <v>14327.748110269546</v>
      </c>
    </row>
    <row r="82" spans="1:9">
      <c r="A82" t="s">
        <v>546</v>
      </c>
      <c r="B82">
        <v>13596366.6666667</v>
      </c>
      <c r="C82">
        <f>35*0.35*3.787</f>
        <v>46.390749999999997</v>
      </c>
      <c r="D82">
        <v>184332235</v>
      </c>
      <c r="E82">
        <v>577.38860563000003</v>
      </c>
      <c r="F82">
        <f>'stimulated vs non-stim'!B82/'stimulated vs non-stim'!C82</f>
        <v>293083.5708986533</v>
      </c>
      <c r="G82">
        <f>'stimulated vs non-stim'!E82*'stimulated vs non-stim'!F82</f>
        <v>169223114.33423468</v>
      </c>
      <c r="H82">
        <f>'stimulated vs non-stim'!D82-'stimulated vs non-stim'!G82</f>
        <v>15109120.665765315</v>
      </c>
      <c r="I82">
        <f>('stimulated vs non-stim'!D82/'stimulated vs non-stim'!E82)-'stimulated vs non-stim'!F82</f>
        <v>26168.027076460014</v>
      </c>
    </row>
    <row r="83" spans="1:9">
      <c r="A83" t="s">
        <v>547</v>
      </c>
      <c r="B83">
        <v>2786159</v>
      </c>
      <c r="C83">
        <f>48*0.58*0.35</f>
        <v>9.743999999999998</v>
      </c>
      <c r="D83">
        <v>172079862</v>
      </c>
      <c r="E83">
        <v>580.98269660000005</v>
      </c>
      <c r="F83">
        <f>'stimulated vs non-stim'!B83/'stimulated vs non-stim'!C83</f>
        <v>285935.85796387529</v>
      </c>
      <c r="G83">
        <f>'stimulated vs non-stim'!E83*'stimulated vs non-stim'!F83</f>
        <v>166123785.81448686</v>
      </c>
      <c r="H83">
        <f>'stimulated vs non-stim'!D83-'stimulated vs non-stim'!G83</f>
        <v>5956076.1855131388</v>
      </c>
      <c r="I83">
        <f>('stimulated vs non-stim'!D83/'stimulated vs non-stim'!E83)-'stimulated vs non-stim'!F83</f>
        <v>10251.727324013249</v>
      </c>
    </row>
    <row r="84" spans="1:9">
      <c r="A84" t="s">
        <v>548</v>
      </c>
      <c r="B84">
        <v>17213140.666666701</v>
      </c>
      <c r="C84">
        <f>31*5.506*0.35</f>
        <v>59.740099999999998</v>
      </c>
      <c r="D84">
        <v>171270054</v>
      </c>
      <c r="E84">
        <v>571.60258499999998</v>
      </c>
      <c r="F84">
        <f>'stimulated vs non-stim'!B84/'stimulated vs non-stim'!C84</f>
        <v>288133.77725626004</v>
      </c>
      <c r="G84">
        <f>'stimulated vs non-stim'!E84*'stimulated vs non-stim'!F84</f>
        <v>164698011.90549245</v>
      </c>
      <c r="H84">
        <f>'stimulated vs non-stim'!D84-'stimulated vs non-stim'!G84</f>
        <v>6572042.0945075452</v>
      </c>
      <c r="I84">
        <f>('stimulated vs non-stim'!D84/'stimulated vs non-stim'!E84)-'stimulated vs non-stim'!F84</f>
        <v>11497.572381530714</v>
      </c>
    </row>
    <row r="85" spans="1:9">
      <c r="A85" t="s">
        <v>549</v>
      </c>
      <c r="B85">
        <v>18705359.333333299</v>
      </c>
      <c r="C85">
        <f>48*0.35*3.768</f>
        <v>63.302399999999984</v>
      </c>
      <c r="D85">
        <v>682458581</v>
      </c>
      <c r="E85">
        <v>2146.8033872000001</v>
      </c>
      <c r="F85">
        <f>'stimulated vs non-stim'!B85/'stimulated vs non-stim'!C85</f>
        <v>295492.10351160943</v>
      </c>
      <c r="G85">
        <f>'stimulated vs non-stim'!E85*'stimulated vs non-stim'!F85</f>
        <v>634363448.70957613</v>
      </c>
      <c r="H85">
        <f>'stimulated vs non-stim'!D85-'stimulated vs non-stim'!G85</f>
        <v>48095132.29042387</v>
      </c>
      <c r="I85">
        <f>('stimulated vs non-stim'!D85/'stimulated vs non-stim'!E85)-'stimulated vs non-stim'!F85</f>
        <v>22403.137882669631</v>
      </c>
    </row>
    <row r="86" spans="1:9">
      <c r="A86" t="s">
        <v>550</v>
      </c>
      <c r="B86">
        <v>22714074</v>
      </c>
      <c r="C86">
        <f>53*0.35*4.173</f>
        <v>77.409149999999983</v>
      </c>
      <c r="D86">
        <v>240828090</v>
      </c>
      <c r="E86">
        <v>770.95453120000002</v>
      </c>
      <c r="F86">
        <f>'stimulated vs non-stim'!B86/'stimulated vs non-stim'!C86</f>
        <v>293428.8000837111</v>
      </c>
      <c r="G86">
        <f>'stimulated vs non-stim'!E86*'stimulated vs non-stim'!F86</f>
        <v>226220263.00911602</v>
      </c>
      <c r="H86">
        <f>'stimulated vs non-stim'!D86-'stimulated vs non-stim'!G86</f>
        <v>14607826.990883976</v>
      </c>
      <c r="I86">
        <f>('stimulated vs non-stim'!D86/'stimulated vs non-stim'!E86)-'stimulated vs non-stim'!F86</f>
        <v>18947.715331728745</v>
      </c>
    </row>
    <row r="87" spans="1:9">
      <c r="A87" t="s">
        <v>551</v>
      </c>
      <c r="B87">
        <v>6664649.3333333302</v>
      </c>
      <c r="C87">
        <f>46*0.35*1.391</f>
        <v>22.395099999999996</v>
      </c>
      <c r="D87">
        <v>415502163</v>
      </c>
      <c r="E87">
        <v>1359.1868032</v>
      </c>
      <c r="F87">
        <f>'stimulated vs non-stim'!B87/'stimulated vs non-stim'!C87</f>
        <v>297594.08680172591</v>
      </c>
      <c r="G87">
        <f>'stimulated vs non-stim'!E87*'stimulated vs non-stim'!F87</f>
        <v>404485955.49126112</v>
      </c>
      <c r="H87">
        <f>'stimulated vs non-stim'!D87-'stimulated vs non-stim'!G87</f>
        <v>11016207.508738875</v>
      </c>
      <c r="I87">
        <f>('stimulated vs non-stim'!D87/'stimulated vs non-stim'!E87)-'stimulated vs non-stim'!F87</f>
        <v>8104.9988734461367</v>
      </c>
    </row>
    <row r="88" spans="1:9">
      <c r="A88" t="s">
        <v>552</v>
      </c>
      <c r="B88">
        <v>8768747</v>
      </c>
      <c r="C88">
        <f>24*0.35*3.516</f>
        <v>29.534399999999994</v>
      </c>
      <c r="D88">
        <v>594458711</v>
      </c>
      <c r="E88">
        <v>1880.4033224</v>
      </c>
      <c r="F88">
        <f>'stimulated vs non-stim'!B88/'stimulated vs non-stim'!C88</f>
        <v>296899.44606966799</v>
      </c>
      <c r="G88">
        <f>'stimulated vs non-stim'!E88*'stimulated vs non-stim'!F88</f>
        <v>558290704.80812335</v>
      </c>
      <c r="H88">
        <f>'stimulated vs non-stim'!D88-'stimulated vs non-stim'!G88</f>
        <v>36168006.19187665</v>
      </c>
      <c r="I88">
        <f>('stimulated vs non-stim'!D88/'stimulated vs non-stim'!E88)-'stimulated vs non-stim'!F88</f>
        <v>19234.174796986976</v>
      </c>
    </row>
    <row r="89" spans="1:9">
      <c r="A89" t="s">
        <v>553</v>
      </c>
      <c r="B89">
        <v>18143980</v>
      </c>
      <c r="C89">
        <f>32*0.35*5.526</f>
        <v>61.891199999999991</v>
      </c>
      <c r="D89">
        <v>340115769</v>
      </c>
      <c r="E89">
        <v>1096.7743972999999</v>
      </c>
      <c r="F89">
        <f>'stimulated vs non-stim'!B89/'stimulated vs non-stim'!C89</f>
        <v>293159.28597280395</v>
      </c>
      <c r="G89">
        <f>'stimulated vs non-stim'!E89*'stimulated vs non-stim'!F89</f>
        <v>321529599.18572038</v>
      </c>
      <c r="H89">
        <f>'stimulated vs non-stim'!D89-'stimulated vs non-stim'!G89</f>
        <v>18586169.814279616</v>
      </c>
      <c r="I89">
        <f>('stimulated vs non-stim'!D89/'stimulated vs non-stim'!E89)-'stimulated vs non-stim'!F89</f>
        <v>16946.210506038798</v>
      </c>
    </row>
    <row r="90" spans="1:9" ht="18.25" customHeight="1">
      <c r="A90" t="s">
        <v>554</v>
      </c>
      <c r="B90">
        <v>11352718.3333333</v>
      </c>
      <c r="C90">
        <f>47*0.35*2.338</f>
        <v>38.460099999999997</v>
      </c>
      <c r="D90">
        <v>721943968</v>
      </c>
      <c r="E90">
        <v>2357.857782</v>
      </c>
      <c r="F90">
        <f>'stimulated vs non-stim'!B90/'stimulated vs non-stim'!C90</f>
        <v>295181.71646286157</v>
      </c>
      <c r="G90">
        <f>'stimulated vs non-stim'!E90*'stimulated vs non-stim'!F90</f>
        <v>695996507.26607573</v>
      </c>
      <c r="H90">
        <f>'stimulated vs non-stim'!D90-'stimulated vs non-stim'!G90</f>
        <v>25947460.73392427</v>
      </c>
      <c r="I90">
        <f>('stimulated vs non-stim'!D90/'stimulated vs non-stim'!E90)-'stimulated vs non-stim'!F90</f>
        <v>11004.675910484686</v>
      </c>
    </row>
    <row r="91" spans="1:9">
      <c r="A91" t="s">
        <v>555</v>
      </c>
      <c r="B91">
        <v>8299380.3333333302</v>
      </c>
      <c r="C91">
        <f>33*0.35*2.434</f>
        <v>28.1127</v>
      </c>
      <c r="D91">
        <v>680708052</v>
      </c>
      <c r="E91">
        <v>2188.2185844999999</v>
      </c>
      <c r="F91">
        <f>'stimulated vs non-stim'!B91/'stimulated vs non-stim'!C91</f>
        <v>295218.18727241887</v>
      </c>
      <c r="G91">
        <f>'stimulated vs non-stim'!E91*'stimulated vs non-stim'!F91</f>
        <v>646001923.87190831</v>
      </c>
      <c r="H91">
        <f>'stimulated vs non-stim'!D91-'stimulated vs non-stim'!G91</f>
        <v>34706128.128091693</v>
      </c>
      <c r="I91">
        <f>('stimulated vs non-stim'!D91/'stimulated vs non-stim'!E91)-'stimulated vs non-stim'!F91</f>
        <v>15860.448482582404</v>
      </c>
    </row>
    <row r="92" spans="1:9">
      <c r="A92" t="s">
        <v>556</v>
      </c>
      <c r="B92">
        <v>15490704.3333333</v>
      </c>
      <c r="C92">
        <f>54*0.35*2.782</f>
        <v>52.579799999999999</v>
      </c>
      <c r="D92">
        <v>690589727</v>
      </c>
      <c r="E92">
        <v>2185.1702982000002</v>
      </c>
      <c r="F92">
        <f>'stimulated vs non-stim'!B92/'stimulated vs non-stim'!C92</f>
        <v>294613.22282194492</v>
      </c>
      <c r="G92">
        <f>'stimulated vs non-stim'!E92*'stimulated vs non-stim'!F92</f>
        <v>643780063.96749246</v>
      </c>
      <c r="H92">
        <f>'stimulated vs non-stim'!D92-'stimulated vs non-stim'!G92</f>
        <v>46809663.032507539</v>
      </c>
      <c r="I92">
        <f>('stimulated vs non-stim'!D92/'stimulated vs non-stim'!E92)-'stimulated vs non-stim'!F92</f>
        <v>21421.517156381917</v>
      </c>
    </row>
    <row r="94" spans="1:9">
      <c r="A94" s="10" t="s">
        <v>557</v>
      </c>
    </row>
    <row r="95" spans="1:9">
      <c r="A95" s="11" t="s">
        <v>558</v>
      </c>
      <c r="B95">
        <v>25224755.333333299</v>
      </c>
      <c r="C95">
        <f>40*0.35*5.951</f>
        <v>83.313999999999993</v>
      </c>
      <c r="D95">
        <v>234901460</v>
      </c>
      <c r="E95">
        <v>636.90756120000003</v>
      </c>
      <c r="F95">
        <f>'stimulated vs non-stim'!B95/'stimulated vs non-stim'!C95</f>
        <v>302767.30601499509</v>
      </c>
      <c r="G95">
        <f>'stimulated vs non-stim'!E95*'stimulated vs non-stim'!F95</f>
        <v>192834786.48510462</v>
      </c>
      <c r="H95">
        <f>'stimulated vs non-stim'!D95-'stimulated vs non-stim'!G95</f>
        <v>42066673.51489538</v>
      </c>
      <c r="I95">
        <f>('stimulated vs non-stim'!D95/'stimulated vs non-stim'!E95)-'stimulated vs non-stim'!F95</f>
        <v>66048.318590593233</v>
      </c>
    </row>
    <row r="96" spans="1:9">
      <c r="A96" s="11" t="s">
        <v>559</v>
      </c>
      <c r="B96">
        <v>11387616.3333333</v>
      </c>
      <c r="C96">
        <f>52*0.35*2.125</f>
        <v>38.674999999999997</v>
      </c>
      <c r="D96">
        <v>150529628</v>
      </c>
      <c r="E96">
        <v>443.31721800000003</v>
      </c>
      <c r="F96">
        <f>'stimulated vs non-stim'!B96/'stimulated vs non-stim'!C96</f>
        <v>294443.8612368016</v>
      </c>
      <c r="G96">
        <f>'stimulated vs non-stim'!E96*'stimulated vs non-stim'!F96</f>
        <v>130532033.42067693</v>
      </c>
      <c r="H96">
        <f>'stimulated vs non-stim'!D96-'stimulated vs non-stim'!G96</f>
        <v>19997594.579323068</v>
      </c>
      <c r="I96">
        <f>('stimulated vs non-stim'!D96/'stimulated vs non-stim'!E96)-'stimulated vs non-stim'!F96</f>
        <v>45108.995922921866</v>
      </c>
    </row>
    <row r="97" spans="1:9">
      <c r="A97" s="11" t="s">
        <v>560</v>
      </c>
      <c r="B97">
        <v>11077436.3333333</v>
      </c>
      <c r="C97">
        <f>54*0.35*1.913</f>
        <v>36.155699999999996</v>
      </c>
      <c r="D97">
        <v>367706657</v>
      </c>
      <c r="E97">
        <v>945.71699230000002</v>
      </c>
      <c r="F97">
        <f>'stimulated vs non-stim'!B97/'stimulated vs non-stim'!C97</f>
        <v>306381.46497878071</v>
      </c>
      <c r="G97">
        <f>'stimulated vs non-stim'!E97*'stimulated vs non-stim'!F97</f>
        <v>289750157.55620027</v>
      </c>
      <c r="H97">
        <f>'stimulated vs non-stim'!D97-'stimulated vs non-stim'!G97</f>
        <v>77956499.443799734</v>
      </c>
      <c r="I97">
        <f>('stimulated vs non-stim'!D97/'stimulated vs non-stim'!E97)-'stimulated vs non-stim'!F97</f>
        <v>82431.107909151702</v>
      </c>
    </row>
    <row r="98" spans="1:9">
      <c r="A98" s="11" t="s">
        <v>561</v>
      </c>
      <c r="B98">
        <v>11601066</v>
      </c>
      <c r="C98">
        <f>51*0.35*2.125</f>
        <v>37.931249999999999</v>
      </c>
      <c r="D98">
        <v>358075895</v>
      </c>
      <c r="E98">
        <v>1098.6339426699999</v>
      </c>
      <c r="F98">
        <f>'stimulated vs non-stim'!B98/'stimulated vs non-stim'!C98</f>
        <v>305844.54770143353</v>
      </c>
      <c r="G98">
        <f>'stimulated vs non-stim'!E98*'stimulated vs non-stim'!F98</f>
        <v>336011201.28534877</v>
      </c>
      <c r="H98">
        <f>'stimulated vs non-stim'!D98-'stimulated vs non-stim'!G98</f>
        <v>22064693.714651227</v>
      </c>
      <c r="I98">
        <f>('stimulated vs non-stim'!D98/'stimulated vs non-stim'!E98)-'stimulated vs non-stim'!F98</f>
        <v>20083.753885327431</v>
      </c>
    </row>
    <row r="99" spans="1:9">
      <c r="A99" s="11" t="s">
        <v>562</v>
      </c>
      <c r="B99">
        <v>449472.33333333302</v>
      </c>
      <c r="C99">
        <f>41*0.35*3.787</f>
        <v>54.343449999999997</v>
      </c>
      <c r="D99">
        <v>915969005</v>
      </c>
      <c r="E99">
        <v>2008.9867869100001</v>
      </c>
      <c r="F99">
        <f>'stimulated vs non-stim'!B99/'stimulated vs non-stim'!C99</f>
        <v>8270.9569107837851</v>
      </c>
      <c r="G99">
        <f>'stimulated vs non-stim'!E99*'stimulated vs non-stim'!F99</f>
        <v>16616243.148866577</v>
      </c>
      <c r="H99">
        <f>'stimulated vs non-stim'!D99-'stimulated vs non-stim'!G99</f>
        <v>899352761.85113347</v>
      </c>
      <c r="I99">
        <f>('stimulated vs non-stim'!D99/'stimulated vs non-stim'!E99)-'stimulated vs non-stim'!F99</f>
        <v>447664.8466336694</v>
      </c>
    </row>
    <row r="100" spans="1:9">
      <c r="A100" s="11"/>
    </row>
    <row r="101" spans="1:9">
      <c r="A101" t="s">
        <v>563</v>
      </c>
      <c r="B101">
        <v>9309081</v>
      </c>
      <c r="C101">
        <f>44*0.35*1.739</f>
        <v>26.7806</v>
      </c>
      <c r="D101">
        <v>802081433</v>
      </c>
      <c r="E101">
        <v>2015.7069747999999</v>
      </c>
      <c r="F101">
        <f>'stimulated vs non-stim'!B101/'stimulated vs non-stim'!C101</f>
        <v>347605.3934564573</v>
      </c>
      <c r="G101">
        <f>'stimulated vs non-stim'!E101*'stimulated vs non-stim'!F101</f>
        <v>700670616.06827927</v>
      </c>
      <c r="H101">
        <f>'stimulated vs non-stim'!D101-'stimulated vs non-stim'!G101</f>
        <v>101410816.93172073</v>
      </c>
      <c r="I101">
        <f>('stimulated vs non-stim'!D101/'stimulated vs non-stim'!E101)-'stimulated vs non-stim'!F101</f>
        <v>50310.297180860245</v>
      </c>
    </row>
    <row r="102" spans="1:9">
      <c r="A102" t="s">
        <v>564</v>
      </c>
      <c r="B102">
        <v>11214953.3333333</v>
      </c>
      <c r="C102">
        <f>46*0.35*2.087</f>
        <v>33.600699999999996</v>
      </c>
      <c r="D102">
        <v>538842813</v>
      </c>
      <c r="E102">
        <v>1453.9750391</v>
      </c>
      <c r="F102">
        <f>'stimulated vs non-stim'!B102/'stimulated vs non-stim'!C102</f>
        <v>333771.41944463365</v>
      </c>
      <c r="G102">
        <f>'stimulated vs non-stim'!E102*'stimulated vs non-stim'!F102</f>
        <v>485295312.6374737</v>
      </c>
      <c r="H102">
        <f>'stimulated vs non-stim'!D102-'stimulated vs non-stim'!G102</f>
        <v>53547500.362526298</v>
      </c>
      <c r="I102">
        <f>('stimulated vs non-stim'!D102/'stimulated vs non-stim'!E102)-'stimulated vs non-stim'!F102</f>
        <v>36828.349127418187</v>
      </c>
    </row>
    <row r="103" spans="1:9">
      <c r="A103" t="s">
        <v>565</v>
      </c>
      <c r="B103">
        <v>10593678</v>
      </c>
      <c r="C103">
        <f>56*1.565*0.35</f>
        <v>30.673999999999999</v>
      </c>
      <c r="D103">
        <v>729751415</v>
      </c>
      <c r="E103">
        <v>1582.6472699999999</v>
      </c>
      <c r="F103">
        <f>'stimulated vs non-stim'!B103/'stimulated vs non-stim'!C103</f>
        <v>345363.43483080133</v>
      </c>
      <c r="G103">
        <f>'stimulated vs non-stim'!E103*'stimulated vs non-stim'!F103</f>
        <v>546588497.29279065</v>
      </c>
      <c r="H103">
        <f>'stimulated vs non-stim'!D103-'stimulated vs non-stim'!G103</f>
        <v>183162917.70720935</v>
      </c>
      <c r="I103">
        <f>('stimulated vs non-stim'!D103/'stimulated vs non-stim'!E103)-'stimulated vs non-stim'!F103</f>
        <v>115731.98979909741</v>
      </c>
    </row>
    <row r="104" spans="1:9">
      <c r="A104" t="s">
        <v>566</v>
      </c>
      <c r="B104">
        <v>7426852</v>
      </c>
      <c r="C104">
        <f>27*0.35*1.913</f>
        <v>18.077849999999998</v>
      </c>
      <c r="D104">
        <v>281423506</v>
      </c>
      <c r="E104">
        <v>460.31174199999998</v>
      </c>
      <c r="F104">
        <f>'stimulated vs non-stim'!B104/'stimulated vs non-stim'!C104</f>
        <v>410826.06615277816</v>
      </c>
      <c r="G104">
        <f>'stimulated vs non-stim'!E104*'stimulated vs non-stim'!F104</f>
        <v>189108062.16979253</v>
      </c>
      <c r="H104">
        <f>'stimulated vs non-stim'!D104-'stimulated vs non-stim'!G104</f>
        <v>92315443.830207467</v>
      </c>
      <c r="I104">
        <f>('stimulated vs non-stim'!D104/'stimulated vs non-stim'!E104)-'stimulated vs non-stim'!F104</f>
        <v>200549.83483390574</v>
      </c>
    </row>
    <row r="105" spans="1:9">
      <c r="A105" t="s">
        <v>567</v>
      </c>
      <c r="B105">
        <v>12738438</v>
      </c>
      <c r="C105">
        <f>52*0.35*2.338</f>
        <v>42.551600000000001</v>
      </c>
      <c r="D105">
        <v>303984029</v>
      </c>
      <c r="E105">
        <v>877.30786490000003</v>
      </c>
      <c r="F105">
        <f>'stimulated vs non-stim'!B105/'stimulated vs non-stim'!C105</f>
        <v>299364.48923189729</v>
      </c>
      <c r="G105">
        <f>'stimulated vs non-stim'!E105*'stimulated vs non-stim'!F105</f>
        <v>262634820.87491485</v>
      </c>
      <c r="H105">
        <f>'stimulated vs non-stim'!D105-'stimulated vs non-stim'!G105</f>
        <v>41349208.125085145</v>
      </c>
      <c r="I105">
        <f>('stimulated vs non-stim'!D105/'stimulated vs non-stim'!E105)-'stimulated vs non-stim'!F105</f>
        <v>47131.924583621905</v>
      </c>
    </row>
    <row r="106" spans="1:9">
      <c r="A106" t="s">
        <v>568</v>
      </c>
      <c r="B106">
        <v>4686600</v>
      </c>
      <c r="C106">
        <f>33*0.35*1.082</f>
        <v>12.4971</v>
      </c>
      <c r="D106">
        <v>815906463</v>
      </c>
      <c r="E106">
        <v>1898.0124943999999</v>
      </c>
      <c r="F106">
        <f>'stimulated vs non-stim'!B106/'stimulated vs non-stim'!C106</f>
        <v>375015.00348080753</v>
      </c>
      <c r="G106">
        <f>'stimulated vs non-stim'!E106*'stimulated vs non-stim'!F106</f>
        <v>711783162.19403219</v>
      </c>
      <c r="H106">
        <f>'stimulated vs non-stim'!D106-'stimulated vs non-stim'!G106</f>
        <v>104123300.80596781</v>
      </c>
      <c r="I106">
        <f>('stimulated vs non-stim'!D106/'stimulated vs non-stim'!E106)-'stimulated vs non-stim'!F106</f>
        <v>54859.122957925196</v>
      </c>
    </row>
    <row r="107" spans="1:9">
      <c r="A107" t="s">
        <v>569</v>
      </c>
      <c r="B107">
        <v>5974831.3333333302</v>
      </c>
      <c r="C107">
        <f>34*0.35*1.391</f>
        <v>16.552899999999998</v>
      </c>
      <c r="D107">
        <v>615739846</v>
      </c>
      <c r="E107">
        <v>1393.1483326</v>
      </c>
      <c r="F107">
        <f>'stimulated vs non-stim'!B107/'stimulated vs non-stim'!C107</f>
        <v>360953.75029954454</v>
      </c>
      <c r="G107">
        <f>'stimulated vs non-stim'!E107*'stimulated vs non-stim'!F107</f>
        <v>502862115.3755272</v>
      </c>
      <c r="H107">
        <f>'stimulated vs non-stim'!D107-'stimulated vs non-stim'!G107</f>
        <v>112877730.6244728</v>
      </c>
      <c r="I107">
        <f>('stimulated vs non-stim'!D107/'stimulated vs non-stim'!E107)-'stimulated vs non-stim'!F107</f>
        <v>81023.483273896389</v>
      </c>
    </row>
    <row r="108" spans="1:9">
      <c r="A108" t="s">
        <v>570</v>
      </c>
      <c r="B108">
        <v>9035659.6666666698</v>
      </c>
      <c r="C108">
        <f>29*0.35*2.782</f>
        <v>28.237299999999998</v>
      </c>
      <c r="D108">
        <v>109834300</v>
      </c>
      <c r="E108">
        <v>324.95600000000002</v>
      </c>
      <c r="F108">
        <f>'stimulated vs non-stim'!B108/'stimulated vs non-stim'!C108</f>
        <v>319990.21388966619</v>
      </c>
      <c r="G108">
        <f>'stimulated vs non-stim'!E108*'stimulated vs non-stim'!F108</f>
        <v>103982739.94473037</v>
      </c>
      <c r="H108">
        <f>'stimulated vs non-stim'!D108-'stimulated vs non-stim'!G108</f>
        <v>5851560.0552696288</v>
      </c>
      <c r="I108">
        <f>('stimulated vs non-stim'!D108/'stimulated vs non-stim'!E108)-'stimulated vs non-stim'!F108</f>
        <v>18007.238073061046</v>
      </c>
    </row>
    <row r="109" spans="1:9">
      <c r="A109" t="s">
        <v>571</v>
      </c>
      <c r="B109">
        <v>26924837</v>
      </c>
      <c r="C109">
        <f>49*0.35*4.869</f>
        <v>83.503349999999983</v>
      </c>
      <c r="D109">
        <v>482049617</v>
      </c>
      <c r="E109">
        <v>1231.9564150000001</v>
      </c>
      <c r="F109">
        <f>'stimulated vs non-stim'!B109/'stimulated vs non-stim'!C109</f>
        <v>322440.20150089794</v>
      </c>
      <c r="G109">
        <f>'stimulated vs non-stim'!E109*'stimulated vs non-stim'!F109</f>
        <v>397232274.6929239</v>
      </c>
      <c r="H109">
        <f>'stimulated vs non-stim'!D109-'stimulated vs non-stim'!G109</f>
        <v>84817342.307076097</v>
      </c>
      <c r="I109">
        <f>('stimulated vs non-stim'!D109/'stimulated vs non-stim'!E109)-'stimulated vs non-stim'!F109</f>
        <v>68847.681033485336</v>
      </c>
    </row>
    <row r="110" spans="1:9">
      <c r="A110" t="s">
        <v>572</v>
      </c>
      <c r="B110">
        <v>10821498.5</v>
      </c>
      <c r="C110">
        <f>52*0.35*1.7</f>
        <v>30.939999999999998</v>
      </c>
      <c r="D110">
        <v>1114481485</v>
      </c>
      <c r="E110">
        <v>1429.070383</v>
      </c>
      <c r="F110">
        <f>'stimulated vs non-stim'!B110/'stimulated vs non-stim'!C110</f>
        <v>349757.54686489981</v>
      </c>
      <c r="G110">
        <f>'stimulated vs non-stim'!E110*'stimulated vs non-stim'!F110</f>
        <v>499828151.4553628</v>
      </c>
      <c r="H110">
        <f>'stimulated vs non-stim'!D110-'stimulated vs non-stim'!G110</f>
        <v>614653333.5446372</v>
      </c>
      <c r="I110">
        <f>('stimulated vs non-stim'!D110/'stimulated vs non-stim'!E110)-'stimulated vs non-stim'!F110</f>
        <v>430107.11078786466</v>
      </c>
    </row>
    <row r="111" spans="1:9">
      <c r="A111" t="s">
        <v>573</v>
      </c>
      <c r="B111">
        <v>37050757</v>
      </c>
      <c r="C111">
        <f>61*0.35*4.347</f>
        <v>92.808449999999993</v>
      </c>
      <c r="D111">
        <v>1127855260</v>
      </c>
      <c r="E111">
        <v>2198.6190357</v>
      </c>
      <c r="F111">
        <f>'stimulated vs non-stim'!B111/'stimulated vs non-stim'!C111</f>
        <v>399217.49582069309</v>
      </c>
      <c r="G111">
        <f>'stimulated vs non-stim'!E111*'stimulated vs non-stim'!F111</f>
        <v>877727185.69586098</v>
      </c>
      <c r="H111">
        <f>'stimulated vs non-stim'!D111-'stimulated vs non-stim'!G111</f>
        <v>250128074.30413902</v>
      </c>
      <c r="I111">
        <f>('stimulated vs non-stim'!D111/'stimulated vs non-stim'!E111)-'stimulated vs non-stim'!F111</f>
        <v>113765.99139855203</v>
      </c>
    </row>
    <row r="112" spans="1:9">
      <c r="A112" t="s">
        <v>574</v>
      </c>
      <c r="B112">
        <v>9450111.3333333302</v>
      </c>
      <c r="C112">
        <f>50*0.35*1.739</f>
        <v>30.432500000000001</v>
      </c>
      <c r="D112">
        <v>315986004</v>
      </c>
      <c r="E112">
        <v>891.83952980000004</v>
      </c>
      <c r="F112">
        <f>'stimulated vs non-stim'!B112/'stimulated vs non-stim'!C112</f>
        <v>310526.94761630922</v>
      </c>
      <c r="G112">
        <f>'stimulated vs non-stim'!E112*'stimulated vs non-stim'!F112</f>
        <v>276940206.95235848</v>
      </c>
      <c r="H112">
        <f>'stimulated vs non-stim'!D112-'stimulated vs non-stim'!G112</f>
        <v>39045797.047641516</v>
      </c>
      <c r="I112">
        <f>('stimulated vs non-stim'!D112/'stimulated vs non-stim'!E112)-'stimulated vs non-stim'!F112</f>
        <v>43781.191282693879</v>
      </c>
    </row>
    <row r="113" spans="1:13">
      <c r="A113" t="s">
        <v>575</v>
      </c>
      <c r="B113">
        <v>8553228</v>
      </c>
      <c r="C113" s="11">
        <f>39*0.35*1.739</f>
        <v>23.737349999999999</v>
      </c>
      <c r="D113">
        <v>668874168</v>
      </c>
      <c r="E113">
        <v>1624.4636599999999</v>
      </c>
      <c r="F113">
        <f>'stimulated vs non-stim'!B113/'stimulated vs non-stim'!C113</f>
        <v>360327.83777464629</v>
      </c>
      <c r="G113">
        <f>'stimulated vs non-stim'!E113*'stimulated vs non-stim'!F113</f>
        <v>585339478.15128815</v>
      </c>
      <c r="H113">
        <f>'stimulated vs non-stim'!D113-'stimulated vs non-stim'!G113</f>
        <v>83534689.848711848</v>
      </c>
      <c r="I113">
        <f>('stimulated vs non-stim'!D113/'stimulated vs non-stim'!E113)-'stimulated vs non-stim'!F113</f>
        <v>51422.935400544375</v>
      </c>
    </row>
    <row r="115" spans="1:13">
      <c r="A115" s="10" t="s">
        <v>576</v>
      </c>
    </row>
    <row r="116" spans="1:13">
      <c r="A116" t="s">
        <v>577</v>
      </c>
      <c r="B116">
        <v>6648800.5</v>
      </c>
      <c r="C116">
        <f>31*0.35*2.125</f>
        <v>23.056249999999999</v>
      </c>
      <c r="D116">
        <v>530427489</v>
      </c>
      <c r="E116">
        <v>1800.8776346</v>
      </c>
      <c r="F116">
        <f>'stimulated vs non-stim'!B116/'stimulated vs non-stim'!C116</f>
        <v>288373.02249932231</v>
      </c>
      <c r="G116">
        <f>'stimulated vs non-stim'!E116*'stimulated vs non-stim'!F116</f>
        <v>519324526.64103216</v>
      </c>
      <c r="H116">
        <f>'stimulated vs non-stim'!D116-'stimulated vs non-stim'!G116</f>
        <v>11102962.358967841</v>
      </c>
      <c r="I116">
        <f>('stimulated vs non-stim'!D116/'stimulated vs non-stim'!E116)-'stimulated vs non-stim'!F116</f>
        <v>6165.3063737637131</v>
      </c>
      <c r="K116" t="s">
        <v>466</v>
      </c>
      <c r="L116" t="s">
        <v>468</v>
      </c>
      <c r="M116" t="s">
        <v>467</v>
      </c>
    </row>
    <row r="117" spans="1:13">
      <c r="A117" t="s">
        <v>578</v>
      </c>
      <c r="B117">
        <v>5544167</v>
      </c>
      <c r="C117">
        <f>1.1403*0.35*48</f>
        <v>19.157039999999999</v>
      </c>
      <c r="D117">
        <v>678025538</v>
      </c>
      <c r="E117">
        <v>2290.1594163999998</v>
      </c>
      <c r="F117">
        <f>'stimulated vs non-stim'!B117/'stimulated vs non-stim'!C117</f>
        <v>289406.24438848591</v>
      </c>
      <c r="G117">
        <f>'stimulated vs non-stim'!E117*'stimulated vs non-stim'!F117</f>
        <v>662786435.75125062</v>
      </c>
      <c r="H117">
        <f>'stimulated vs non-stim'!D117-'stimulated vs non-stim'!G117</f>
        <v>15239102.248749375</v>
      </c>
      <c r="I117">
        <f>('stimulated vs non-stim'!D117/'stimulated vs non-stim'!E117)-'stimulated vs non-stim'!F117</f>
        <v>6654.1665788071696</v>
      </c>
      <c r="K117" t="s">
        <v>470</v>
      </c>
      <c r="L117">
        <v>12095.074769569999</v>
      </c>
      <c r="M117">
        <v>14713.372185669999</v>
      </c>
    </row>
    <row r="118" spans="1:13">
      <c r="A118" t="s">
        <v>579</v>
      </c>
      <c r="B118">
        <v>5708746.6666666698</v>
      </c>
      <c r="C118">
        <f>23*0.35*2.434</f>
        <v>19.593699999999998</v>
      </c>
      <c r="D118">
        <v>138249126</v>
      </c>
      <c r="E118">
        <v>429.7453514</v>
      </c>
      <c r="F118">
        <f>'stimulated vs non-stim'!B118/'stimulated vs non-stim'!C118</f>
        <v>291356.23525248782</v>
      </c>
      <c r="G118">
        <f>'stimulated vs non-stim'!E118*'stimulated vs non-stim'!F118</f>
        <v>125208987.70116144</v>
      </c>
      <c r="H118">
        <f>'stimulated vs non-stim'!D118-'stimulated vs non-stim'!G118</f>
        <v>13040138.298838556</v>
      </c>
      <c r="I118">
        <f>('stimulated vs non-stim'!D118/'stimulated vs non-stim'!E118)-'stimulated vs non-stim'!F118</f>
        <v>30343.872845528473</v>
      </c>
      <c r="K118" t="s">
        <v>472</v>
      </c>
      <c r="L118">
        <v>10352.34600333</v>
      </c>
      <c r="M118">
        <v>10118.039110440001</v>
      </c>
    </row>
    <row r="119" spans="1:13">
      <c r="A119" t="s">
        <v>580</v>
      </c>
      <c r="B119">
        <v>11342191</v>
      </c>
      <c r="C119">
        <f>35*0.35*3.188</f>
        <v>39.053000000000004</v>
      </c>
      <c r="D119">
        <v>283001070</v>
      </c>
      <c r="E119">
        <v>908.72394459999998</v>
      </c>
      <c r="F119">
        <f>'stimulated vs non-stim'!B119/'stimulated vs non-stim'!C119</f>
        <v>290430.72235167591</v>
      </c>
      <c r="G119">
        <f>'stimulated vs non-stim'!E119*'stimulated vs non-stim'!F119</f>
        <v>263921351.64844233</v>
      </c>
      <c r="H119">
        <f>'stimulated vs non-stim'!D119-'stimulated vs non-stim'!G119</f>
        <v>19079718.351557672</v>
      </c>
      <c r="I119">
        <f>('stimulated vs non-stim'!D119/'stimulated vs non-stim'!E119)-'stimulated vs non-stim'!F119</f>
        <v>20996.165518623078</v>
      </c>
      <c r="K119" t="s">
        <v>474</v>
      </c>
      <c r="L119">
        <v>3912.8190015599998</v>
      </c>
      <c r="M119">
        <v>3372.6797034800002</v>
      </c>
    </row>
    <row r="120" spans="1:13">
      <c r="A120" t="s">
        <v>581</v>
      </c>
      <c r="B120">
        <v>26152201.666666701</v>
      </c>
      <c r="C120">
        <f>5.364*48*0.35</f>
        <v>90.115199999999987</v>
      </c>
      <c r="D120">
        <v>537027106</v>
      </c>
      <c r="E120">
        <v>1817.7277586</v>
      </c>
      <c r="F120">
        <f>'stimulated vs non-stim'!B120/'stimulated vs non-stim'!C120</f>
        <v>290208.55157250614</v>
      </c>
      <c r="G120">
        <f>'stimulated vs non-stim'!E120*'stimulated vs non-stim'!F120</f>
        <v>527520139.97644413</v>
      </c>
      <c r="H120">
        <f>'stimulated vs non-stim'!D120-'stimulated vs non-stim'!G120</f>
        <v>9506966.0235558748</v>
      </c>
      <c r="I120">
        <f>('stimulated vs non-stim'!D120/'stimulated vs non-stim'!E120)-'stimulated vs non-stim'!F120</f>
        <v>5230.1374496685457</v>
      </c>
      <c r="K120" t="s">
        <v>476</v>
      </c>
      <c r="L120">
        <v>7</v>
      </c>
      <c r="M120">
        <v>9</v>
      </c>
    </row>
    <row r="121" spans="1:13">
      <c r="A121" t="s">
        <v>582</v>
      </c>
      <c r="B121">
        <v>12332806.3333333</v>
      </c>
      <c r="C121">
        <f>33*0.35*3.71</f>
        <v>42.850499999999997</v>
      </c>
      <c r="D121">
        <v>257178586</v>
      </c>
      <c r="E121">
        <v>854.25810300000001</v>
      </c>
      <c r="F121">
        <f>'stimulated vs non-stim'!B121/'stimulated vs non-stim'!C121</f>
        <v>287810.09167532006</v>
      </c>
      <c r="G121">
        <f>'stimulated vs non-stim'!E121*'stimulated vs non-stim'!F121</f>
        <v>245864102.938815</v>
      </c>
      <c r="H121">
        <f>'stimulated vs non-stim'!D121-'stimulated vs non-stim'!G121</f>
        <v>11314483.061185002</v>
      </c>
      <c r="I121">
        <f>('stimulated vs non-stim'!D121/'stimulated vs non-stim'!E121)-'stimulated vs non-stim'!F121</f>
        <v>13244.806249364861</v>
      </c>
    </row>
    <row r="122" spans="1:13">
      <c r="A122" t="s">
        <v>583</v>
      </c>
      <c r="B122">
        <v>14934438.3333333</v>
      </c>
      <c r="C122">
        <f>30*0.35*4.927</f>
        <v>51.733499999999992</v>
      </c>
      <c r="D122">
        <v>482226600</v>
      </c>
      <c r="E122">
        <v>1632.6225790000001</v>
      </c>
      <c r="F122">
        <f>'stimulated vs non-stim'!B122/'stimulated vs non-stim'!C122</f>
        <v>288680.2233240222</v>
      </c>
      <c r="G122">
        <f>'stimulated vs non-stim'!E122*'stimulated vs non-stim'!F122</f>
        <v>471305850.70956111</v>
      </c>
      <c r="H122">
        <f>'stimulated vs non-stim'!D122-'stimulated vs non-stim'!G122</f>
        <v>10920749.29043889</v>
      </c>
      <c r="I122">
        <f>('stimulated vs non-stim'!D122/'stimulated vs non-stim'!E122)-'stimulated vs non-stim'!F122</f>
        <v>6689.0838280136813</v>
      </c>
      <c r="K122" t="s">
        <v>584</v>
      </c>
    </row>
    <row r="123" spans="1:13">
      <c r="A123" t="s">
        <v>585</v>
      </c>
      <c r="B123">
        <v>10800787</v>
      </c>
      <c r="C123">
        <f>33*0.35*3.246</f>
        <v>37.491299999999995</v>
      </c>
      <c r="D123">
        <v>257178586</v>
      </c>
      <c r="E123">
        <v>854.25810300000001</v>
      </c>
      <c r="F123">
        <f>'stimulated vs non-stim'!B123/'stimulated vs non-stim'!C123</f>
        <v>288087.82304161234</v>
      </c>
      <c r="G123">
        <f>'stimulated vs non-stim'!E123*'stimulated vs non-stim'!F123</f>
        <v>246101357.20892745</v>
      </c>
      <c r="H123">
        <f>'stimulated vs non-stim'!D123-'stimulated vs non-stim'!G123</f>
        <v>11077228.791072547</v>
      </c>
      <c r="I123">
        <f>('stimulated vs non-stim'!D123/'stimulated vs non-stim'!E123)-'stimulated vs non-stim'!F123</f>
        <v>12967.074883072579</v>
      </c>
      <c r="K123" t="s">
        <v>586</v>
      </c>
    </row>
    <row r="124" spans="1:13">
      <c r="A124" t="s">
        <v>587</v>
      </c>
      <c r="B124">
        <v>5727841</v>
      </c>
      <c r="C124">
        <f>24*0.35*2.338</f>
        <v>19.639199999999999</v>
      </c>
      <c r="D124">
        <v>359170923</v>
      </c>
      <c r="E124">
        <v>1116.1891192400001</v>
      </c>
      <c r="F124">
        <f>'stimulated vs non-stim'!B124/'stimulated vs non-stim'!C124</f>
        <v>291653.47875677218</v>
      </c>
      <c r="G124">
        <f>'stimulated vs non-stim'!E124*'stimulated vs non-stim'!F124</f>
        <v>325540439.57680362</v>
      </c>
      <c r="H124">
        <f>'stimulated vs non-stim'!D124-'stimulated vs non-stim'!G124</f>
        <v>33630483.423196375</v>
      </c>
      <c r="I124">
        <f>('stimulated vs non-stim'!D124/'stimulated vs non-stim'!E124)-'stimulated vs non-stim'!F124</f>
        <v>30129.735941248888</v>
      </c>
      <c r="K124" t="s">
        <v>588</v>
      </c>
    </row>
    <row r="125" spans="1:13">
      <c r="K125" t="s">
        <v>589</v>
      </c>
    </row>
    <row r="126" spans="1:13">
      <c r="A126" t="s">
        <v>590</v>
      </c>
      <c r="B126">
        <v>19199519</v>
      </c>
      <c r="C126">
        <f>47*0.35*4.057</f>
        <v>66.737650000000002</v>
      </c>
      <c r="D126">
        <v>560899243</v>
      </c>
      <c r="E126">
        <v>1870.7965460999999</v>
      </c>
      <c r="F126">
        <f>'stimulated vs non-stim'!B126/'stimulated vs non-stim'!C126</f>
        <v>287686.47083018353</v>
      </c>
      <c r="G126">
        <f>'stimulated vs non-stim'!E126*'stimulated vs non-stim'!F126</f>
        <v>538202855.98880577</v>
      </c>
      <c r="H126">
        <f>'stimulated vs non-stim'!D126-'stimulated vs non-stim'!G126</f>
        <v>22696387.011194229</v>
      </c>
      <c r="I126">
        <f>('stimulated vs non-stim'!D126/'stimulated vs non-stim'!E126)-'stimulated vs non-stim'!F126</f>
        <v>12131.937627589097</v>
      </c>
    </row>
    <row r="127" spans="1:13">
      <c r="A127" t="s">
        <v>591</v>
      </c>
      <c r="B127">
        <v>17558155.666666701</v>
      </c>
      <c r="C127">
        <f>42*0.35*4.173</f>
        <v>61.3431</v>
      </c>
      <c r="D127">
        <v>641697097</v>
      </c>
      <c r="E127">
        <v>2196.9323316999998</v>
      </c>
      <c r="F127">
        <f>'stimulated vs non-stim'!B127/'stimulated vs non-stim'!C127</f>
        <v>286228.69836488052</v>
      </c>
      <c r="G127">
        <f>'stimulated vs non-stim'!E127*'stimulated vs non-stim'!F127</f>
        <v>628825081.69821286</v>
      </c>
      <c r="H127">
        <f>'stimulated vs non-stim'!D127-'stimulated vs non-stim'!G127</f>
        <v>12872015.301787138</v>
      </c>
      <c r="I127">
        <f>('stimulated vs non-stim'!D127/'stimulated vs non-stim'!E127)-'stimulated vs non-stim'!F127</f>
        <v>5859.0859245203319</v>
      </c>
    </row>
    <row r="128" spans="1:13">
      <c r="A128" t="s">
        <v>592</v>
      </c>
      <c r="B128">
        <v>10106229.5</v>
      </c>
      <c r="C128">
        <f>31*0.35*3.246</f>
        <v>35.219099999999997</v>
      </c>
      <c r="D128">
        <v>235347372</v>
      </c>
      <c r="E128">
        <v>802.88032129999999</v>
      </c>
      <c r="F128">
        <f>'stimulated vs non-stim'!B128/'stimulated vs non-stim'!C128</f>
        <v>286953.0879551153</v>
      </c>
      <c r="G128">
        <f>'stimulated vs non-stim'!E128*'stimulated vs non-stim'!F128</f>
        <v>230388987.45543012</v>
      </c>
      <c r="H128">
        <f>'stimulated vs non-stim'!D128-'stimulated vs non-stim'!G128</f>
        <v>4958384.5445698798</v>
      </c>
      <c r="I128">
        <f>('stimulated vs non-stim'!D128/'stimulated vs non-stim'!E128)-'stimulated vs non-stim'!F128</f>
        <v>6175.7455165190622</v>
      </c>
    </row>
    <row r="129" spans="1:9">
      <c r="A129" t="s">
        <v>593</v>
      </c>
      <c r="B129">
        <v>17719904.666666701</v>
      </c>
      <c r="C129">
        <f>61*0.35*2.898</f>
        <v>61.872299999999996</v>
      </c>
      <c r="D129">
        <v>104817899</v>
      </c>
      <c r="E129">
        <v>358.30745250000001</v>
      </c>
      <c r="F129">
        <f>'stimulated vs non-stim'!B129/'stimulated vs non-stim'!C129</f>
        <v>286394.79487051076</v>
      </c>
      <c r="G129">
        <f>'stimulated vs non-stim'!E129*'stimulated vs non-stim'!F129</f>
        <v>102617389.35931277</v>
      </c>
      <c r="H129">
        <f>'stimulated vs non-stim'!D129-'stimulated vs non-stim'!G129</f>
        <v>2200509.6406872272</v>
      </c>
      <c r="I129">
        <f>('stimulated vs non-stim'!D129/'stimulated vs non-stim'!E129)-'stimulated vs non-stim'!F129</f>
        <v>6141.4007030379144</v>
      </c>
    </row>
    <row r="130" spans="1:9">
      <c r="A130" t="s">
        <v>594</v>
      </c>
      <c r="B130">
        <v>10474195.6666667</v>
      </c>
      <c r="C130">
        <f>41*0.35*2.55</f>
        <v>36.592499999999994</v>
      </c>
      <c r="D130">
        <v>593998370</v>
      </c>
      <c r="E130">
        <v>2024.6460268000001</v>
      </c>
      <c r="F130">
        <f>'stimulated vs non-stim'!B130/'stimulated vs non-stim'!C130</f>
        <v>286238.86497688602</v>
      </c>
      <c r="G130">
        <f>'stimulated vs non-stim'!E130*'stimulated vs non-stim'!F130</f>
        <v>579532380.69119394</v>
      </c>
      <c r="H130">
        <f>'stimulated vs non-stim'!D130-'stimulated vs non-stim'!G130</f>
        <v>14465989.308806062</v>
      </c>
      <c r="I130">
        <f>('stimulated vs non-stim'!D130/'stimulated vs non-stim'!E130)-'stimulated vs non-stim'!F130</f>
        <v>7144.9473721931572</v>
      </c>
    </row>
    <row r="131" spans="1:9">
      <c r="A131" t="s">
        <v>595</v>
      </c>
      <c r="B131">
        <v>2407782</v>
      </c>
      <c r="C131">
        <f>23*0.35*0.985</f>
        <v>7.9292499999999988</v>
      </c>
      <c r="D131">
        <v>282482752</v>
      </c>
      <c r="E131">
        <v>834.9748439</v>
      </c>
      <c r="F131">
        <f>'stimulated vs non-stim'!B131/'stimulated vs non-stim'!C131</f>
        <v>303658.22744900215</v>
      </c>
      <c r="G131">
        <f>'stimulated vs non-stim'!E131*'stimulated vs non-stim'!F131</f>
        <v>253546981.06318125</v>
      </c>
      <c r="H131">
        <f>'stimulated vs non-stim'!D131-'stimulated vs non-stim'!G131</f>
        <v>28935770.936818749</v>
      </c>
      <c r="I131">
        <f>('stimulated vs non-stim'!D131/'stimulated vs non-stim'!E131)-'stimulated vs non-stim'!F131</f>
        <v>34654.661931688315</v>
      </c>
    </row>
    <row r="132" spans="1:9">
      <c r="A132" t="s">
        <v>596</v>
      </c>
      <c r="B132">
        <v>9904907.6666666698</v>
      </c>
      <c r="C132">
        <f>39*0.35*2.512</f>
        <v>34.288799999999995</v>
      </c>
      <c r="D132">
        <v>403273945</v>
      </c>
      <c r="E132">
        <v>1337.8920023000001</v>
      </c>
      <c r="F132">
        <f>'stimulated vs non-stim'!B132/'stimulated vs non-stim'!C132</f>
        <v>288867.14223497675</v>
      </c>
      <c r="G132">
        <f>'stimulated vs non-stim'!E132*'stimulated vs non-stim'!F132</f>
        <v>386473039.32343197</v>
      </c>
      <c r="H132">
        <f>'stimulated vs non-stim'!D132-'stimulated vs non-stim'!G132</f>
        <v>16800905.676568031</v>
      </c>
      <c r="I132">
        <f>('stimulated vs non-stim'!D132/'stimulated vs non-stim'!E132)-'stimulated vs non-stim'!F132</f>
        <v>12557.744307974936</v>
      </c>
    </row>
    <row r="134" spans="1:9">
      <c r="A134" s="10" t="s">
        <v>597</v>
      </c>
    </row>
    <row r="135" spans="1:9">
      <c r="A135" t="s">
        <v>598</v>
      </c>
      <c r="B135">
        <v>11865658</v>
      </c>
      <c r="C135">
        <f>51*0.35*2.087</f>
        <v>37.252949999999998</v>
      </c>
      <c r="D135">
        <v>321358339</v>
      </c>
      <c r="E135">
        <v>966.35532957999999</v>
      </c>
      <c r="F135">
        <f>'stimulated vs non-stim'!B135/'stimulated vs non-stim'!C135</f>
        <v>318515.9296109436</v>
      </c>
      <c r="G135">
        <f>'stimulated vs non-stim'!E135*'stimulated vs non-stim'!F135</f>
        <v>307799566.13566345</v>
      </c>
      <c r="H135">
        <f>'stimulated vs non-stim'!D135-'stimulated vs non-stim'!G135</f>
        <v>13558772.86433655</v>
      </c>
      <c r="I135">
        <f>('stimulated vs non-stim'!D135/'stimulated vs non-stim'!E135)-'stimulated vs non-stim'!F135</f>
        <v>14030.835707430204</v>
      </c>
    </row>
    <row r="136" spans="1:9">
      <c r="A136" t="s">
        <v>599</v>
      </c>
      <c r="B136">
        <v>11840966</v>
      </c>
      <c r="C136">
        <f>49*0.35*2.319</f>
        <v>39.770849999999996</v>
      </c>
      <c r="D136">
        <v>172413958</v>
      </c>
      <c r="E136">
        <v>545.12182089999999</v>
      </c>
      <c r="F136">
        <f>'stimulated vs non-stim'!B136/'stimulated vs non-stim'!C136</f>
        <v>297729.76941654505</v>
      </c>
      <c r="G136">
        <f>'stimulated vs non-stim'!E136*'stimulated vs non-stim'!F136</f>
        <v>162298994.04048416</v>
      </c>
      <c r="H136">
        <f>'stimulated vs non-stim'!D136-'stimulated vs non-stim'!G136</f>
        <v>10114963.95951584</v>
      </c>
      <c r="I136">
        <f>('stimulated vs non-stim'!D136/'stimulated vs non-stim'!E136)-'stimulated vs non-stim'!F136</f>
        <v>18555.41930575436</v>
      </c>
    </row>
    <row r="137" spans="1:9">
      <c r="A137" t="s">
        <v>600</v>
      </c>
      <c r="B137">
        <v>328617.66666666698</v>
      </c>
      <c r="C137">
        <f>39*0.35*2.975</f>
        <v>40.608749999999993</v>
      </c>
      <c r="D137">
        <v>157700406</v>
      </c>
      <c r="E137">
        <v>502.51814739999998</v>
      </c>
      <c r="F137">
        <f>'stimulated vs non-stim'!B137/'stimulated vs non-stim'!C137</f>
        <v>8092.2871712787764</v>
      </c>
      <c r="G137">
        <f>'stimulated vs non-stim'!E137*'stimulated vs non-stim'!F137</f>
        <v>4066521.157539797</v>
      </c>
      <c r="H137">
        <f>'stimulated vs non-stim'!D137-'stimulated vs non-stim'!G137</f>
        <v>153633884.84246022</v>
      </c>
      <c r="I137">
        <f>('stimulated vs non-stim'!D137/'stimulated vs non-stim'!E137)-'stimulated vs non-stim'!F137</f>
        <v>305728.03318119573</v>
      </c>
    </row>
    <row r="138" spans="1:9">
      <c r="A138" t="s">
        <v>601</v>
      </c>
      <c r="B138">
        <v>438242.66666666698</v>
      </c>
      <c r="C138">
        <f>33*0.35*3.787</f>
        <v>43.739849999999997</v>
      </c>
      <c r="D138">
        <v>212569496</v>
      </c>
      <c r="E138">
        <v>689.70109049999996</v>
      </c>
      <c r="F138">
        <f>'stimulated vs non-stim'!B138/'stimulated vs non-stim'!C138</f>
        <v>10019.299715629271</v>
      </c>
      <c r="G138">
        <f>'stimulated vs non-stim'!E138*'stimulated vs non-stim'!F138</f>
        <v>6910321.939915848</v>
      </c>
      <c r="H138">
        <f>'stimulated vs non-stim'!D138-'stimulated vs non-stim'!G138</f>
        <v>205659174.06008416</v>
      </c>
      <c r="I138">
        <f>('stimulated vs non-stim'!D138/'stimulated vs non-stim'!E138)-'stimulated vs non-stim'!F138</f>
        <v>298185.94880137307</v>
      </c>
    </row>
    <row r="139" spans="1:9">
      <c r="A139" t="s">
        <v>602</v>
      </c>
      <c r="B139">
        <v>10386586.6666667</v>
      </c>
      <c r="C139">
        <f>47*0.35*2.125</f>
        <v>34.956249999999997</v>
      </c>
      <c r="D139">
        <v>334873015</v>
      </c>
      <c r="E139">
        <v>1102.1169202000001</v>
      </c>
      <c r="F139">
        <f>'stimulated vs non-stim'!B139/'stimulated vs non-stim'!C139</f>
        <v>297131.03283866832</v>
      </c>
      <c r="G139">
        <f>'stimulated vs non-stim'!E139*'stimulated vs non-stim'!F139</f>
        <v>327473138.80799824</v>
      </c>
      <c r="H139">
        <f>'stimulated vs non-stim'!D139-'stimulated vs non-stim'!G139</f>
        <v>7399876.19200176</v>
      </c>
      <c r="I139">
        <f>('stimulated vs non-stim'!D139/'stimulated vs non-stim'!E139)-'stimulated vs non-stim'!F139</f>
        <v>6714.2388038638746</v>
      </c>
    </row>
    <row r="141" spans="1:9">
      <c r="A141" t="s">
        <v>603</v>
      </c>
      <c r="B141">
        <v>399126</v>
      </c>
      <c r="C141">
        <f>73*0.35*3.613</f>
        <v>92.312149999999988</v>
      </c>
      <c r="D141">
        <v>121065244</v>
      </c>
      <c r="E141">
        <v>401.99855530000002</v>
      </c>
      <c r="F141">
        <f>'stimulated vs non-stim'!B141/'stimulated vs non-stim'!C141</f>
        <v>4323.6562034358431</v>
      </c>
      <c r="G141">
        <f>'stimulated vs non-stim'!E141*'stimulated vs non-stim'!F141</f>
        <v>1738103.547395092</v>
      </c>
      <c r="H141">
        <f>'stimulated vs non-stim'!D141-'stimulated vs non-stim'!G141</f>
        <v>119327140.4526049</v>
      </c>
      <c r="I141">
        <f>('stimulated vs non-stim'!D141/'stimulated vs non-stim'!E141)-'stimulated vs non-stim'!F141</f>
        <v>296834.7494770335</v>
      </c>
    </row>
    <row r="142" spans="1:9">
      <c r="A142" t="s">
        <v>604</v>
      </c>
      <c r="B142">
        <v>21954562</v>
      </c>
      <c r="C142">
        <f>49*0.35*4.328</f>
        <v>74.225200000000001</v>
      </c>
      <c r="D142">
        <v>139043994</v>
      </c>
      <c r="E142">
        <v>451.76781949999997</v>
      </c>
      <c r="F142">
        <f>'stimulated vs non-stim'!B142/'stimulated vs non-stim'!C142</f>
        <v>295783.13025764836</v>
      </c>
      <c r="G142">
        <f>'stimulated vs non-stim'!E142*'stimulated vs non-stim'!F142</f>
        <v>133625299.80138226</v>
      </c>
      <c r="H142">
        <f>'stimulated vs non-stim'!D142-'stimulated vs non-stim'!G142</f>
        <v>5418694.1986177415</v>
      </c>
      <c r="I142">
        <f>('stimulated vs non-stim'!D142/'stimulated vs non-stim'!E142)-'stimulated vs non-stim'!F142</f>
        <v>11994.422720535833</v>
      </c>
    </row>
    <row r="143" spans="1:9">
      <c r="A143" t="s">
        <v>605</v>
      </c>
      <c r="B143">
        <v>24863519</v>
      </c>
      <c r="C143">
        <f>54*0.35*4.521</f>
        <v>85.446899999999985</v>
      </c>
      <c r="D143">
        <v>226056688</v>
      </c>
      <c r="E143">
        <v>749.62073169999996</v>
      </c>
      <c r="F143">
        <f>'stimulated vs non-stim'!B143/'stimulated vs non-stim'!C143</f>
        <v>290982.10701617034</v>
      </c>
      <c r="G143">
        <f>'stimulated vs non-stim'!E143*'stimulated vs non-stim'!F143</f>
        <v>218126219.97306931</v>
      </c>
      <c r="H143">
        <f>'stimulated vs non-stim'!D143-'stimulated vs non-stim'!G143</f>
        <v>7930468.0269306898</v>
      </c>
      <c r="I143">
        <f>('stimulated vs non-stim'!D143/'stimulated vs non-stim'!E143)-'stimulated vs non-stim'!F143</f>
        <v>10579.307230398874</v>
      </c>
    </row>
    <row r="144" spans="1:9">
      <c r="A144" t="s">
        <v>606</v>
      </c>
      <c r="B144">
        <v>399303</v>
      </c>
      <c r="C144">
        <f>66*0.35*3.4</f>
        <v>78.539999999999992</v>
      </c>
      <c r="D144">
        <v>797823003</v>
      </c>
      <c r="E144">
        <v>2497.3208321000002</v>
      </c>
      <c r="F144">
        <f>'stimulated vs non-stim'!B144/'stimulated vs non-stim'!C144</f>
        <v>5084.0718105423994</v>
      </c>
      <c r="G144">
        <f>'stimulated vs non-stim'!E144*'stimulated vs non-stim'!F144</f>
        <v>12696558.444359899</v>
      </c>
      <c r="H144">
        <f>'stimulated vs non-stim'!D144-'stimulated vs non-stim'!G144</f>
        <v>785126444.5556401</v>
      </c>
      <c r="I144">
        <f>('stimulated vs non-stim'!D144/'stimulated vs non-stim'!E144)-'stimulated vs non-stim'!F144</f>
        <v>314387.49657785316</v>
      </c>
    </row>
    <row r="146" spans="1:9">
      <c r="A146" s="10" t="s">
        <v>607</v>
      </c>
    </row>
    <row r="147" spans="1:9">
      <c r="A147" t="s">
        <v>608</v>
      </c>
      <c r="B147">
        <v>18581252</v>
      </c>
      <c r="C147">
        <f>50*0.35*3.516</f>
        <v>61.53</v>
      </c>
      <c r="D147">
        <v>458509430</v>
      </c>
      <c r="E147">
        <v>1390.0718512999999</v>
      </c>
      <c r="F147">
        <f>'stimulated vs non-stim'!B147/'stimulated vs non-stim'!C147</f>
        <v>301986.8681943767</v>
      </c>
      <c r="G147">
        <f>'stimulated vs non-stim'!E147*'stimulated vs non-stim'!F147</f>
        <v>419783444.9392463</v>
      </c>
      <c r="H147">
        <f>'stimulated vs non-stim'!D147-'stimulated vs non-stim'!G147</f>
        <v>38725985.060753703</v>
      </c>
      <c r="I147">
        <f>('stimulated vs non-stim'!D147/'stimulated vs non-stim'!E147)-'stimulated vs non-stim'!F147</f>
        <v>27858.980832204514</v>
      </c>
    </row>
    <row r="148" spans="1:9">
      <c r="A148" t="s">
        <v>609</v>
      </c>
      <c r="B148">
        <v>123329143</v>
      </c>
      <c r="C148">
        <f>17.969*0.35*67</f>
        <v>421.37305000000003</v>
      </c>
      <c r="D148">
        <v>520235725</v>
      </c>
      <c r="E148">
        <v>1712.0922688000001</v>
      </c>
      <c r="F148">
        <f>'stimulated vs non-stim'!B148/'stimulated vs non-stim'!C148</f>
        <v>292683.98394249461</v>
      </c>
      <c r="G148">
        <f>'stimulated vs non-stim'!E148*'stimulated vs non-stim'!F148</f>
        <v>501101986.10952836</v>
      </c>
      <c r="H148">
        <f>'stimulated vs non-stim'!D148-'stimulated vs non-stim'!G148</f>
        <v>19133738.890471637</v>
      </c>
      <c r="I148">
        <f>('stimulated vs non-stim'!D148/'stimulated vs non-stim'!E148)-'stimulated vs non-stim'!F148</f>
        <v>11175.647036758368</v>
      </c>
    </row>
    <row r="149" spans="1:9">
      <c r="A149" t="s">
        <v>610</v>
      </c>
      <c r="B149">
        <v>401023.33333333302</v>
      </c>
      <c r="C149">
        <f>61*0.35*3.478</f>
        <v>74.255299999999991</v>
      </c>
      <c r="D149">
        <v>681870713</v>
      </c>
      <c r="E149">
        <v>2291.0437919000001</v>
      </c>
      <c r="F149">
        <f>'stimulated vs non-stim'!B149/'stimulated vs non-stim'!C149</f>
        <v>5400.6021567932939</v>
      </c>
      <c r="G149">
        <f>'stimulated vs non-stim'!E149*'stimulated vs non-stim'!F149</f>
        <v>12373016.043843027</v>
      </c>
      <c r="H149">
        <f>'stimulated vs non-stim'!D149-'stimulated vs non-stim'!G149</f>
        <v>669497696.95615697</v>
      </c>
      <c r="I149">
        <f>('stimulated vs non-stim'!D149/'stimulated vs non-stim'!E149)-'stimulated vs non-stim'!F149</f>
        <v>292223.87600061175</v>
      </c>
    </row>
    <row r="150" spans="1:9">
      <c r="A150" t="s">
        <v>611</v>
      </c>
      <c r="B150">
        <v>7476856</v>
      </c>
      <c r="C150">
        <f>26*0.35*2.782</f>
        <v>25.316199999999998</v>
      </c>
      <c r="D150">
        <v>434933200</v>
      </c>
      <c r="E150">
        <v>1371.8487411999999</v>
      </c>
      <c r="F150">
        <f>'stimulated vs non-stim'!B150/'stimulated vs non-stim'!C150</f>
        <v>295338.79492182872</v>
      </c>
      <c r="G150">
        <f>'stimulated vs non-stim'!E150*'stimulated vs non-stim'!F150</f>
        <v>405160154.04103565</v>
      </c>
      <c r="H150">
        <f>'stimulated vs non-stim'!D150-'stimulated vs non-stim'!G150</f>
        <v>29773045.958964348</v>
      </c>
      <c r="I150">
        <f>('stimulated vs non-stim'!D150/'stimulated vs non-stim'!E150)-'stimulated vs non-stim'!F150</f>
        <v>21702.863489834068</v>
      </c>
    </row>
    <row r="151" spans="1:9">
      <c r="A151" t="s">
        <v>612</v>
      </c>
      <c r="B151">
        <v>49845917</v>
      </c>
      <c r="C151">
        <f>78*0.35*6.241</f>
        <v>170.37929999999997</v>
      </c>
      <c r="D151">
        <v>295075564</v>
      </c>
      <c r="E151">
        <v>968.65799179999999</v>
      </c>
      <c r="F151">
        <f>'stimulated vs non-stim'!B151/'stimulated vs non-stim'!C151</f>
        <v>292558.52676939045</v>
      </c>
      <c r="G151">
        <f>'stimulated vs non-stim'!E151*'stimulated vs non-stim'!F151</f>
        <v>283389155.02440429</v>
      </c>
      <c r="H151">
        <f>'stimulated vs non-stim'!D151-'stimulated vs non-stim'!G151</f>
        <v>11686408.975595713</v>
      </c>
      <c r="I151">
        <f>('stimulated vs non-stim'!D151/'stimulated vs non-stim'!E151)-'stimulated vs non-stim'!F151</f>
        <v>12064.535754130862</v>
      </c>
    </row>
    <row r="152" spans="1:9">
      <c r="A152" t="s">
        <v>613</v>
      </c>
      <c r="B152">
        <v>10763950.3333333</v>
      </c>
      <c r="C152">
        <f>30*0.35*3.516</f>
        <v>36.917999999999999</v>
      </c>
      <c r="D152">
        <v>512548683</v>
      </c>
      <c r="E152">
        <v>1698.3937599999999</v>
      </c>
      <c r="F152">
        <f>'stimulated vs non-stim'!B152/'stimulated vs non-stim'!C152</f>
        <v>291563.74487603066</v>
      </c>
      <c r="G152">
        <f>'stimulated vs non-stim'!E152*'stimulated vs non-stim'!F152</f>
        <v>495190044.93968242</v>
      </c>
      <c r="H152">
        <f>'stimulated vs non-stim'!D152-'stimulated vs non-stim'!G152</f>
        <v>17358638.060317576</v>
      </c>
      <c r="I152">
        <f>('stimulated vs non-stim'!D152/'stimulated vs non-stim'!E152)-'stimulated vs non-stim'!F152</f>
        <v>10220.62048810022</v>
      </c>
    </row>
    <row r="154" spans="1:9">
      <c r="A154" t="s">
        <v>614</v>
      </c>
      <c r="B154">
        <v>11255357.3333333</v>
      </c>
      <c r="C154">
        <f>31*0.35*3.516</f>
        <v>38.148600000000002</v>
      </c>
      <c r="D154">
        <v>255429881</v>
      </c>
      <c r="E154">
        <v>832.433222</v>
      </c>
      <c r="F154">
        <f>'stimulated vs non-stim'!B154/'stimulated vs non-stim'!C154</f>
        <v>295039.852926013</v>
      </c>
      <c r="G154">
        <f>'stimulated vs non-stim'!E154*'stimulated vs non-stim'!F154</f>
        <v>245600975.38960713</v>
      </c>
      <c r="H154">
        <f>'stimulated vs non-stim'!D154-'stimulated vs non-stim'!G154</f>
        <v>9828905.6103928685</v>
      </c>
      <c r="I154">
        <f>('stimulated vs non-stim'!D154/'stimulated vs non-stim'!E154)-'stimulated vs non-stim'!F154</f>
        <v>11807.44034551864</v>
      </c>
    </row>
    <row r="155" spans="1:9">
      <c r="A155" t="s">
        <v>615</v>
      </c>
      <c r="B155">
        <v>9052129.3333333302</v>
      </c>
      <c r="C155">
        <f>36*0.35*2.434</f>
        <v>30.668400000000002</v>
      </c>
      <c r="D155">
        <v>401826704</v>
      </c>
      <c r="E155">
        <v>1328.0852222000001</v>
      </c>
      <c r="F155">
        <f>'stimulated vs non-stim'!B155/'stimulated vs non-stim'!C155</f>
        <v>295161.44739645137</v>
      </c>
      <c r="G155">
        <f>'stimulated vs non-stim'!E155*'stimulated vs non-stim'!F155</f>
        <v>391999556.45038974</v>
      </c>
      <c r="H155">
        <f>'stimulated vs non-stim'!D155-'stimulated vs non-stim'!G155</f>
        <v>9827147.5496102571</v>
      </c>
      <c r="I155">
        <f>('stimulated vs non-stim'!D155/'stimulated vs non-stim'!E155)-'stimulated vs non-stim'!F155</f>
        <v>7399.4856544908835</v>
      </c>
    </row>
    <row r="156" spans="1:9">
      <c r="A156" t="s">
        <v>616</v>
      </c>
      <c r="B156">
        <v>29714869.333333299</v>
      </c>
      <c r="C156">
        <f>63*0.35*4.637</f>
        <v>102.24584999999998</v>
      </c>
      <c r="D156">
        <v>1055878843</v>
      </c>
      <c r="E156">
        <v>3531.6709660000001</v>
      </c>
      <c r="F156">
        <f>'stimulated vs non-stim'!B156/'stimulated vs non-stim'!C156</f>
        <v>290621.76443673077</v>
      </c>
      <c r="G156">
        <f>'stimulated vs non-stim'!E156*'stimulated vs non-stim'!F156</f>
        <v>1026380447.5488935</v>
      </c>
      <c r="H156">
        <f>'stimulated vs non-stim'!D156-'stimulated vs non-stim'!G156</f>
        <v>29498395.451106548</v>
      </c>
      <c r="I156">
        <f>('stimulated vs non-stim'!D156/'stimulated vs non-stim'!E156)-'stimulated vs non-stim'!F156</f>
        <v>8352.5321965417243</v>
      </c>
    </row>
    <row r="157" spans="1:9">
      <c r="A157" t="s">
        <v>617</v>
      </c>
      <c r="B157">
        <v>19285715</v>
      </c>
      <c r="C157">
        <f>40*0.35*4.27</f>
        <v>59.779999999999994</v>
      </c>
      <c r="D157">
        <v>795687952</v>
      </c>
      <c r="E157">
        <v>2370.2323669000002</v>
      </c>
      <c r="F157">
        <f>'stimulated vs non-stim'!B157/'stimulated vs non-stim'!C157</f>
        <v>322611.4921378388</v>
      </c>
      <c r="G157">
        <f>'stimulated vs non-stim'!E157*'stimulated vs non-stim'!F157</f>
        <v>764664200.59901047</v>
      </c>
      <c r="H157">
        <f>'stimulated vs non-stim'!D157-'stimulated vs non-stim'!G157</f>
        <v>31023751.400989532</v>
      </c>
      <c r="I157">
        <f>('stimulated vs non-stim'!D157/'stimulated vs non-stim'!E157)-'stimulated vs non-stim'!F157</f>
        <v>13088.907161269221</v>
      </c>
    </row>
    <row r="158" spans="1:9">
      <c r="A158" t="s">
        <v>618</v>
      </c>
      <c r="B158">
        <v>38706276</v>
      </c>
      <c r="C158">
        <f>35*0.35*10.511</f>
        <v>128.75975</v>
      </c>
      <c r="D158">
        <v>157893520</v>
      </c>
      <c r="E158">
        <v>495.9222499</v>
      </c>
      <c r="F158">
        <f>'stimulated vs non-stim'!B158/'stimulated vs non-stim'!C158</f>
        <v>300608.50537532108</v>
      </c>
      <c r="G158">
        <f>'stimulated vs non-stim'!E158*'stimulated vs non-stim'!F158</f>
        <v>149078446.32480547</v>
      </c>
      <c r="H158">
        <f>'stimulated vs non-stim'!D158-'stimulated vs non-stim'!G158</f>
        <v>8815073.6751945317</v>
      </c>
      <c r="I158">
        <f>('stimulated vs non-stim'!D158/'stimulated vs non-stim'!E158)-'stimulated vs non-stim'!F158</f>
        <v>17775.112282161252</v>
      </c>
    </row>
    <row r="160" spans="1:9">
      <c r="A160" s="10" t="s">
        <v>836</v>
      </c>
    </row>
    <row r="161" spans="1:13">
      <c r="A161" s="11" t="s">
        <v>837</v>
      </c>
      <c r="B161">
        <v>21280921</v>
      </c>
      <c r="C161">
        <f>37*0.35*5.41</f>
        <v>70.0595</v>
      </c>
      <c r="D161">
        <v>266343070</v>
      </c>
      <c r="E161">
        <v>729.03608480000003</v>
      </c>
      <c r="F161">
        <f>'stimulated vs non-stim'!B161/'stimulated vs non-stim'!C161</f>
        <v>303754.96542224823</v>
      </c>
      <c r="G161">
        <f>'stimulated vs non-stim'!E161*'stimulated vs non-stim'!F161</f>
        <v>221448330.72999525</v>
      </c>
      <c r="H161">
        <f>'stimulated vs non-stim'!D161-'stimulated vs non-stim'!G161</f>
        <v>44894739.270004749</v>
      </c>
      <c r="I161">
        <f>('stimulated vs non-stim'!D161/'stimulated vs non-stim'!E161)-'stimulated vs non-stim'!F161</f>
        <v>61580.956287398236</v>
      </c>
      <c r="K161" t="s">
        <v>466</v>
      </c>
      <c r="L161" t="s">
        <v>640</v>
      </c>
      <c r="M161" t="s">
        <v>846</v>
      </c>
    </row>
    <row r="162" spans="1:13">
      <c r="A162" t="s">
        <v>838</v>
      </c>
      <c r="B162">
        <v>11630521.666666666</v>
      </c>
      <c r="C162">
        <f>16*0.35*6.956</f>
        <v>38.953600000000002</v>
      </c>
      <c r="D162">
        <v>323028802</v>
      </c>
      <c r="E162">
        <v>888.08203230000004</v>
      </c>
      <c r="F162">
        <f>'stimulated vs non-stim'!B162/'stimulated vs non-stim'!C162</f>
        <v>298573.73045537935</v>
      </c>
      <c r="G162">
        <f>'stimulated vs non-stim'!E162*'stimulated vs non-stim'!F162</f>
        <v>265157965.33420572</v>
      </c>
      <c r="H162">
        <f>'stimulated vs non-stim'!D162-'stimulated vs non-stim'!G162</f>
        <v>57870836.665794283</v>
      </c>
      <c r="I162">
        <f>('stimulated vs non-stim'!D162/'stimulated vs non-stim'!E162)-'stimulated vs non-stim'!F162</f>
        <v>65163.84135812032</v>
      </c>
      <c r="K162" t="s">
        <v>470</v>
      </c>
      <c r="L162">
        <v>56189.953083300003</v>
      </c>
      <c r="M162">
        <v>39344.939153300002</v>
      </c>
    </row>
    <row r="163" spans="1:13">
      <c r="A163" t="s">
        <v>839</v>
      </c>
      <c r="B163">
        <v>47090003.666666664</v>
      </c>
      <c r="C163">
        <f>56*0.35*8.115</f>
        <v>159.05399999999997</v>
      </c>
      <c r="D163">
        <v>666353520</v>
      </c>
      <c r="E163">
        <v>1972.1132672000001</v>
      </c>
      <c r="F163">
        <f>'stimulated vs non-stim'!B163/'stimulated vs non-stim'!C163</f>
        <v>296062.9953768322</v>
      </c>
      <c r="G163">
        <f>'stimulated vs non-stim'!E163*'stimulated vs non-stim'!F163</f>
        <v>583869761.10962307</v>
      </c>
      <c r="H163">
        <f>'stimulated vs non-stim'!D163-'stimulated vs non-stim'!G163</f>
        <v>82483758.890376925</v>
      </c>
      <c r="I163">
        <f>('stimulated vs non-stim'!D163/'stimulated vs non-stim'!E163)-'stimulated vs non-stim'!F163</f>
        <v>41825.061603833281</v>
      </c>
      <c r="K163" t="s">
        <v>472</v>
      </c>
      <c r="L163">
        <v>12568.685168</v>
      </c>
      <c r="M163">
        <v>13659.5834997</v>
      </c>
    </row>
    <row r="164" spans="1:13">
      <c r="K164" t="s">
        <v>474</v>
      </c>
      <c r="L164">
        <v>7256.5337651</v>
      </c>
      <c r="M164">
        <v>5576.5016121999997</v>
      </c>
    </row>
    <row r="165" spans="1:13">
      <c r="A165" t="s">
        <v>840</v>
      </c>
      <c r="B165">
        <v>8791345</v>
      </c>
      <c r="C165">
        <f>40*0.35*2.164</f>
        <v>30.296000000000003</v>
      </c>
      <c r="D165">
        <v>223438820</v>
      </c>
      <c r="E165">
        <v>710.45172830000001</v>
      </c>
      <c r="F165">
        <f>'stimulated vs non-stim'!B165/'stimulated vs non-stim'!C165</f>
        <v>290181.70715606021</v>
      </c>
      <c r="G165">
        <f>'stimulated vs non-stim'!E165*'stimulated vs non-stim'!F165</f>
        <v>206160095.37006745</v>
      </c>
      <c r="H165">
        <f>'stimulated vs non-stim'!D165-'stimulated vs non-stim'!G165</f>
        <v>17278724.629932553</v>
      </c>
      <c r="I165">
        <f>('stimulated vs non-stim'!D165/'stimulated vs non-stim'!E165)-'stimulated vs non-stim'!F165</f>
        <v>24320.758105941757</v>
      </c>
      <c r="K165" t="s">
        <v>476</v>
      </c>
      <c r="L165">
        <v>3</v>
      </c>
      <c r="M165">
        <v>6</v>
      </c>
    </row>
    <row r="166" spans="1:13">
      <c r="A166" t="s">
        <v>841</v>
      </c>
      <c r="B166">
        <v>4021663</v>
      </c>
      <c r="C166">
        <f>27*0.35*1.391</f>
        <v>13.14495</v>
      </c>
      <c r="D166">
        <v>347256990</v>
      </c>
      <c r="E166">
        <v>980.51288</v>
      </c>
      <c r="F166">
        <f>'stimulated vs non-stim'!B166/'stimulated vs non-stim'!C166</f>
        <v>305947.37903149117</v>
      </c>
      <c r="G166">
        <f>'stimulated vs non-stim'!E166*'stimulated vs non-stim'!F166</f>
        <v>299985345.74261904</v>
      </c>
      <c r="H166">
        <f>'stimulated vs non-stim'!D166-'stimulated vs non-stim'!G166</f>
        <v>47271644.257380962</v>
      </c>
      <c r="I166">
        <f>('stimulated vs non-stim'!D166/'stimulated vs non-stim'!E166)-'stimulated vs non-stim'!F166</f>
        <v>48211.140538389445</v>
      </c>
    </row>
    <row r="167" spans="1:13">
      <c r="A167" t="s">
        <v>842</v>
      </c>
      <c r="B167">
        <v>2722217</v>
      </c>
      <c r="C167">
        <f>27*0.35*0.947</f>
        <v>8.9491499999999995</v>
      </c>
      <c r="D167">
        <v>327915866</v>
      </c>
      <c r="E167">
        <v>1003.7210601</v>
      </c>
      <c r="F167">
        <f>'stimulated vs non-stim'!B167/'stimulated vs non-stim'!C167</f>
        <v>304187.21331076138</v>
      </c>
      <c r="G167">
        <f>'stimulated vs non-stim'!E167*'stimulated vs non-stim'!F167</f>
        <v>305319112.21314228</v>
      </c>
      <c r="H167">
        <f>'stimulated vs non-stim'!D167-'stimulated vs non-stim'!G167</f>
        <v>22596753.786857724</v>
      </c>
      <c r="I167">
        <f>('stimulated vs non-stim'!D167/'stimulated vs non-stim'!E167)-'stimulated vs non-stim'!F167</f>
        <v>22512.981629185379</v>
      </c>
      <c r="K167" t="s">
        <v>847</v>
      </c>
    </row>
    <row r="168" spans="1:13">
      <c r="A168" t="s">
        <v>843</v>
      </c>
      <c r="B168">
        <v>5361592</v>
      </c>
      <c r="C168">
        <f>36*0.35*1.391</f>
        <v>17.526599999999998</v>
      </c>
      <c r="D168">
        <v>213465471</v>
      </c>
      <c r="E168">
        <v>598.36704599999996</v>
      </c>
      <c r="F168">
        <f>'stimulated vs non-stim'!B168/'stimulated vs non-stim'!C168</f>
        <v>305911.69993039157</v>
      </c>
      <c r="G168">
        <f>'stimulated vs non-stim'!E168*'stimulated vs non-stim'!F168</f>
        <v>183047480.22418681</v>
      </c>
      <c r="H168">
        <f>'stimulated vs non-stim'!D168-'stimulated vs non-stim'!G168</f>
        <v>30417990.775813192</v>
      </c>
      <c r="I168">
        <f>('stimulated vs non-stim'!D168/'stimulated vs non-stim'!E168)-'stimulated vs non-stim'!F168</f>
        <v>50835.003329734202</v>
      </c>
      <c r="K168" t="s">
        <v>848</v>
      </c>
    </row>
    <row r="169" spans="1:13">
      <c r="A169" t="s">
        <v>844</v>
      </c>
      <c r="B169">
        <v>9899825</v>
      </c>
      <c r="C169">
        <f>35*0.35*2.705</f>
        <v>33.136250000000004</v>
      </c>
      <c r="D169">
        <v>86690035</v>
      </c>
      <c r="E169">
        <v>245.97597999999999</v>
      </c>
      <c r="F169">
        <f>'stimulated vs non-stim'!B169/'stimulated vs non-stim'!C169</f>
        <v>298761.17544984719</v>
      </c>
      <c r="G169">
        <f>'stimulated vs non-stim'!E169*'stimulated vs non-stim'!F169</f>
        <v>73488072.917228103</v>
      </c>
      <c r="H169">
        <f>'stimulated vs non-stim'!D169-'stimulated vs non-stim'!G169</f>
        <v>13201962.082771897</v>
      </c>
      <c r="I169">
        <f>('stimulated vs non-stim'!D169/'stimulated vs non-stim'!E169)-'stimulated vs non-stim'!F169</f>
        <v>53671.753163751622</v>
      </c>
      <c r="K169" t="s">
        <v>849</v>
      </c>
    </row>
    <row r="170" spans="1:13">
      <c r="A170" t="s">
        <v>845</v>
      </c>
      <c r="B170">
        <v>11940832</v>
      </c>
      <c r="C170">
        <f>43*0.35*2.628</f>
        <v>39.551400000000001</v>
      </c>
      <c r="D170">
        <v>483703144</v>
      </c>
      <c r="E170">
        <v>1429.2785670999999</v>
      </c>
      <c r="F170">
        <f>'stimulated vs non-stim'!B170/'stimulated vs non-stim'!C170</f>
        <v>301906.6834549472</v>
      </c>
      <c r="G170">
        <f>'stimulated vs non-stim'!E170*'stimulated vs non-stim'!F170</f>
        <v>431508751.92640018</v>
      </c>
      <c r="H170">
        <f>'stimulated vs non-stim'!D170-'stimulated vs non-stim'!G170</f>
        <v>52194392.073599815</v>
      </c>
      <c r="I170">
        <f>('stimulated vs non-stim'!D170/'stimulated vs non-stim'!E170)-'stimulated vs non-stim'!F170</f>
        <v>36517.998153083608</v>
      </c>
    </row>
    <row r="171" spans="1:13">
      <c r="K171" t="s">
        <v>850</v>
      </c>
    </row>
    <row r="172" spans="1:13">
      <c r="A172" t="s">
        <v>922</v>
      </c>
      <c r="B172">
        <v>21441717.333333332</v>
      </c>
      <c r="C172">
        <f>36*0.35*5.564</f>
        <v>70.106399999999994</v>
      </c>
      <c r="D172">
        <v>411831985</v>
      </c>
      <c r="E172">
        <v>1244.305971</v>
      </c>
      <c r="F172">
        <f>'stimulated vs non-stim'!B172/'stimulated vs non-stim'!C172</f>
        <v>305845.36266779259</v>
      </c>
      <c r="G172">
        <f>'stimulated vs non-stim'!E172*'stimulated vs non-stim'!F172</f>
        <v>380565210.97019482</v>
      </c>
      <c r="H172">
        <f>'stimulated vs non-stim'!D172-'stimulated vs non-stim'!G172</f>
        <v>31266774.029805183</v>
      </c>
      <c r="I172">
        <f>('stimulated vs non-stim'!D172/'stimulated vs non-stim'!E172)-'stimulated vs non-stim'!F172</f>
        <v>25127.882336429902</v>
      </c>
    </row>
    <row r="173" spans="1:13">
      <c r="A173" t="s">
        <v>923</v>
      </c>
      <c r="B173">
        <v>19887783.666666668</v>
      </c>
      <c r="C173">
        <f>3.265*0.35*59</f>
        <v>67.422249999999991</v>
      </c>
      <c r="D173">
        <v>418785840</v>
      </c>
      <c r="E173">
        <v>1176.460583</v>
      </c>
      <c r="F173">
        <f>'stimulated vs non-stim'!B173/'stimulated vs non-stim'!C173</f>
        <v>294973.59798385057</v>
      </c>
      <c r="G173">
        <f>'stimulated vs non-stim'!E173*'stimulated vs non-stim'!F173</f>
        <v>347024811.05368847</v>
      </c>
      <c r="H173">
        <f>'stimulated vs non-stim'!D173-'stimulated vs non-stim'!G173</f>
        <v>71761028.946311533</v>
      </c>
      <c r="I173">
        <f>('stimulated vs non-stim'!D173/'stimulated vs non-stim'!E173)-'stimulated vs non-stim'!F173</f>
        <v>60997.393353646679</v>
      </c>
    </row>
    <row r="174" spans="1:13">
      <c r="A174" t="s">
        <v>924</v>
      </c>
      <c r="B174">
        <v>6006041</v>
      </c>
      <c r="C174">
        <f>40*0.35*1.352</f>
        <v>18.928000000000001</v>
      </c>
      <c r="D174">
        <v>378639572</v>
      </c>
      <c r="E174">
        <v>1117.250775</v>
      </c>
      <c r="F174">
        <f>'stimulated vs non-stim'!B174/'stimulated vs non-stim'!C174</f>
        <v>317309.85841081996</v>
      </c>
      <c r="G174">
        <f>'stimulated vs non-stim'!E174*'stimulated vs non-stim'!F174</f>
        <v>354514685.22462887</v>
      </c>
      <c r="H174">
        <f>'stimulated vs non-stim'!D174-'stimulated vs non-stim'!G174</f>
        <v>24124886.775371134</v>
      </c>
      <c r="I174">
        <f>('stimulated vs non-stim'!D174/'stimulated vs non-stim'!E174)-'stimulated vs non-stim'!F174</f>
        <v>21593.081262683496</v>
      </c>
    </row>
    <row r="175" spans="1:13">
      <c r="A175" t="s">
        <v>925</v>
      </c>
      <c r="B175">
        <v>11621540.333333334</v>
      </c>
      <c r="C175">
        <f>30*0.35*3.478</f>
        <v>36.519000000000005</v>
      </c>
      <c r="D175">
        <v>749308378</v>
      </c>
      <c r="E175">
        <v>2075.8128360000001</v>
      </c>
      <c r="F175">
        <f>'stimulated vs non-stim'!B175/'stimulated vs non-stim'!C175</f>
        <v>318232.70991356095</v>
      </c>
      <c r="G175">
        <f>'stimulated vs non-stim'!E175*'stimulated vs non-stim'!F175</f>
        <v>660591544.07363427</v>
      </c>
      <c r="H175">
        <f>'stimulated vs non-stim'!D175-'stimulated vs non-stim'!G175</f>
        <v>88716833.926365733</v>
      </c>
      <c r="I175">
        <f>('stimulated vs non-stim'!D175/'stimulated vs non-stim'!E175)-'stimulated vs non-stim'!F175</f>
        <v>42738.358867324074</v>
      </c>
    </row>
    <row r="176" spans="1:13">
      <c r="A176" t="s">
        <v>926</v>
      </c>
      <c r="B176">
        <v>7781495</v>
      </c>
      <c r="C176">
        <f>35*0.35*2.125</f>
        <v>26.03125</v>
      </c>
      <c r="D176">
        <v>385177317</v>
      </c>
      <c r="E176">
        <v>1144.1400020000001</v>
      </c>
      <c r="F176">
        <f>'stimulated vs non-stim'!B176/'stimulated vs non-stim'!C176</f>
        <v>298928.97959183675</v>
      </c>
      <c r="G176">
        <f>'stimulated vs non-stim'!E176*'stimulated vs non-stim'!F176</f>
        <v>342016603.30806208</v>
      </c>
      <c r="H176">
        <f>'stimulated vs non-stim'!D176-'stimulated vs non-stim'!G176</f>
        <v>43160713.691937923</v>
      </c>
      <c r="I176">
        <f>('stimulated vs non-stim'!D176/'stimulated vs non-stim'!E176)-'stimulated vs non-stim'!F176</f>
        <v>37723.280032593349</v>
      </c>
    </row>
    <row r="177" spans="1:13">
      <c r="A177" t="s">
        <v>927</v>
      </c>
      <c r="B177">
        <v>4380508.666666667</v>
      </c>
      <c r="C177">
        <f>31*0.35*1.32</f>
        <v>14.322000000000001</v>
      </c>
      <c r="D177">
        <v>585737158</v>
      </c>
      <c r="E177">
        <v>1777.3023889999999</v>
      </c>
      <c r="F177">
        <f>'stimulated vs non-stim'!B177/'stimulated vs non-stim'!C177</f>
        <v>305858.72550388682</v>
      </c>
      <c r="G177">
        <f>'stimulated vs non-stim'!E177*'stimulated vs non-stim'!F177</f>
        <v>543603443.53455329</v>
      </c>
      <c r="H177">
        <f>'stimulated vs non-stim'!D177-'stimulated vs non-stim'!G177</f>
        <v>42133714.465446711</v>
      </c>
      <c r="I177">
        <f>('stimulated vs non-stim'!D177/'stimulated vs non-stim'!E177)-'stimulated vs non-stim'!F177</f>
        <v>23706.553665948391</v>
      </c>
    </row>
    <row r="179" spans="1:13">
      <c r="A179" t="s">
        <v>928</v>
      </c>
      <c r="B179">
        <v>4172662</v>
      </c>
      <c r="C179">
        <f>24*0.35*1.488</f>
        <v>12.499199999999998</v>
      </c>
      <c r="D179">
        <v>132399517</v>
      </c>
      <c r="E179">
        <v>351.57890209999999</v>
      </c>
      <c r="F179">
        <f>'stimulated vs non-stim'!B179/'stimulated vs non-stim'!C179</f>
        <v>333834.32539682544</v>
      </c>
      <c r="G179">
        <f>'stimulated vs non-stim'!E179*'stimulated vs non-stim'!F179</f>
        <v>117369105.60631004</v>
      </c>
      <c r="H179">
        <f>'stimulated vs non-stim'!D179-'stimulated vs non-stim'!G179</f>
        <v>15030411.39368996</v>
      </c>
      <c r="I179">
        <f>('stimulated vs non-stim'!D179/'stimulated vs non-stim'!E179)-'stimulated vs non-stim'!F179</f>
        <v>42751.175636286731</v>
      </c>
      <c r="K179" t="s">
        <v>466</v>
      </c>
      <c r="L179" t="s">
        <v>934</v>
      </c>
      <c r="M179" t="s">
        <v>935</v>
      </c>
    </row>
    <row r="180" spans="1:13">
      <c r="A180" t="s">
        <v>929</v>
      </c>
      <c r="B180">
        <v>11500905</v>
      </c>
      <c r="C180">
        <f>35*0.35*3.188</f>
        <v>39.053000000000004</v>
      </c>
      <c r="D180">
        <v>763640158</v>
      </c>
      <c r="E180">
        <v>2415.9747470000002</v>
      </c>
      <c r="F180">
        <f>'stimulated vs non-stim'!B180/'stimulated vs non-stim'!C180</f>
        <v>294494.78913271707</v>
      </c>
      <c r="G180">
        <f>'stimulated vs non-stim'!E180*'stimulated vs non-stim'!F180</f>
        <v>711491973.6677345</v>
      </c>
      <c r="H180">
        <f>'stimulated vs non-stim'!D180-'stimulated vs non-stim'!G180</f>
        <v>52148184.332265496</v>
      </c>
      <c r="I180">
        <f>('stimulated vs non-stim'!D180/'stimulated vs non-stim'!E180)-'stimulated vs non-stim'!F180</f>
        <v>21584.73899490037</v>
      </c>
      <c r="K180" t="s">
        <v>470</v>
      </c>
      <c r="L180">
        <v>35314.424919999998</v>
      </c>
      <c r="M180">
        <v>49978.422158300004</v>
      </c>
    </row>
    <row r="181" spans="1:13">
      <c r="A181" t="s">
        <v>930</v>
      </c>
      <c r="B181">
        <v>17899789.333333332</v>
      </c>
      <c r="C181">
        <f>33*0.35*5.255</f>
        <v>60.695249999999994</v>
      </c>
      <c r="D181">
        <v>422572569</v>
      </c>
      <c r="E181">
        <v>1264.7109909999999</v>
      </c>
      <c r="F181">
        <f>'stimulated vs non-stim'!B181/'stimulated vs non-stim'!C181</f>
        <v>294912.52335781354</v>
      </c>
      <c r="G181">
        <f>'stimulated vs non-stim'!E181*'stimulated vs non-stim'!F181</f>
        <v>372979109.67417097</v>
      </c>
      <c r="H181">
        <f>'stimulated vs non-stim'!D181-'stimulated vs non-stim'!G181</f>
        <v>49593459.325829029</v>
      </c>
      <c r="I181">
        <f>('stimulated vs non-stim'!D181/'stimulated vs non-stim'!E181)-'stimulated vs non-stim'!F181</f>
        <v>39213.274557387806</v>
      </c>
      <c r="K181" t="s">
        <v>472</v>
      </c>
      <c r="L181">
        <v>15148.041735700001</v>
      </c>
      <c r="M181">
        <v>44900.658311699997</v>
      </c>
    </row>
    <row r="182" spans="1:13">
      <c r="A182" t="s">
        <v>931</v>
      </c>
      <c r="B182">
        <v>7709196</v>
      </c>
      <c r="C182">
        <f>32*0.35*2.319</f>
        <v>25.972799999999999</v>
      </c>
      <c r="D182">
        <v>402863451</v>
      </c>
      <c r="E182">
        <v>1227.803095</v>
      </c>
      <c r="F182">
        <f>'stimulated vs non-stim'!B182/'stimulated vs non-stim'!C182</f>
        <v>296818.05581223435</v>
      </c>
      <c r="G182">
        <f>'stimulated vs non-stim'!E182*'stimulated vs non-stim'!F182</f>
        <v>364434127.57814407</v>
      </c>
      <c r="H182">
        <f>'stimulated vs non-stim'!D182-'stimulated vs non-stim'!G182</f>
        <v>38429323.421855927</v>
      </c>
      <c r="I182">
        <f>('stimulated vs non-stim'!D182/'stimulated vs non-stim'!E182)-'stimulated vs non-stim'!F182</f>
        <v>31299.256027576572</v>
      </c>
      <c r="K182" t="s">
        <v>474</v>
      </c>
      <c r="L182">
        <v>6184.1621425000003</v>
      </c>
      <c r="M182">
        <v>18330.6169964</v>
      </c>
    </row>
    <row r="183" spans="1:13">
      <c r="A183" t="s">
        <v>932</v>
      </c>
      <c r="B183">
        <v>4722802</v>
      </c>
      <c r="C183">
        <f>16*0.35*2.512</f>
        <v>14.0672</v>
      </c>
      <c r="D183">
        <v>68074477</v>
      </c>
      <c r="E183">
        <v>143.0546081</v>
      </c>
      <c r="F183">
        <f>'stimulated vs non-stim'!B183/'stimulated vs non-stim'!C183</f>
        <v>335731.48885350319</v>
      </c>
      <c r="G183">
        <f>'stimulated vs non-stim'!E183*'stimulated vs non-stim'!F183</f>
        <v>48027936.564767413</v>
      </c>
      <c r="H183">
        <f>'stimulated vs non-stim'!D183-'stimulated vs non-stim'!G183</f>
        <v>20046540.435232587</v>
      </c>
      <c r="I183">
        <f>('stimulated vs non-stim'!D183/'stimulated vs non-stim'!E183)-'stimulated vs non-stim'!F183</f>
        <v>140132.08453389612</v>
      </c>
      <c r="K183" t="s">
        <v>476</v>
      </c>
      <c r="L183">
        <v>6</v>
      </c>
      <c r="M183">
        <v>6</v>
      </c>
    </row>
    <row r="184" spans="1:13">
      <c r="A184" t="s">
        <v>933</v>
      </c>
      <c r="B184">
        <v>13504137</v>
      </c>
      <c r="C184">
        <f>32*0.35*4.057</f>
        <v>45.438400000000001</v>
      </c>
      <c r="D184">
        <v>386322859</v>
      </c>
      <c r="E184">
        <v>1199.437919</v>
      </c>
      <c r="F184">
        <f>'stimulated vs non-stim'!B184/'stimulated vs non-stim'!C184</f>
        <v>297196.57822458539</v>
      </c>
      <c r="G184">
        <f>'stimulated vs non-stim'!E184*'stimulated vs non-stim'!F184</f>
        <v>356468845.31961739</v>
      </c>
      <c r="H184">
        <f>'stimulated vs non-stim'!D184-'stimulated vs non-stim'!G184</f>
        <v>29854013.680382609</v>
      </c>
      <c r="I184">
        <f>('stimulated vs non-stim'!D184/'stimulated vs non-stim'!E184)-'stimulated vs non-stim'!F184</f>
        <v>24890.003231907671</v>
      </c>
    </row>
  </sheetData>
  <pageMargins left="0.75" right="0.75" top="1" bottom="1" header="0.51180555555555496" footer="0.51180555555555496"/>
  <pageSetup paperSize="34" firstPageNumber="0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3"/>
  <sheetViews>
    <sheetView zoomScale="90" zoomScaleNormal="90" zoomScalePageLayoutView="90" workbookViewId="0">
      <pane ySplit="2" topLeftCell="A48" activePane="bottomLeft" state="frozen"/>
      <selection pane="bottomLeft" activeCell="A148" sqref="A148"/>
    </sheetView>
  </sheetViews>
  <sheetFormatPr baseColWidth="10" defaultColWidth="8.83203125" defaultRowHeight="15" x14ac:dyDescent="0"/>
  <cols>
    <col min="1" max="1" width="30.1640625" bestFit="1" customWidth="1"/>
    <col min="2" max="2" width="8" bestFit="1" customWidth="1"/>
    <col min="3" max="3" width="20.1640625" bestFit="1" customWidth="1"/>
    <col min="4" max="4" width="12.5" bestFit="1" customWidth="1"/>
    <col min="5" max="5" width="21.5" bestFit="1" customWidth="1"/>
    <col min="6" max="6" width="22.1640625" bestFit="1" customWidth="1"/>
    <col min="7" max="7" width="17.5" bestFit="1" customWidth="1"/>
    <col min="11" max="12" width="11.33203125" bestFit="1" customWidth="1"/>
    <col min="14" max="14" width="10.1640625" bestFit="1" customWidth="1"/>
  </cols>
  <sheetData>
    <row r="1" spans="1:11">
      <c r="A1" s="20"/>
      <c r="B1" s="2" t="s">
        <v>619</v>
      </c>
      <c r="C1" s="2" t="s">
        <v>453</v>
      </c>
      <c r="D1" s="2" t="s">
        <v>620</v>
      </c>
      <c r="E1" s="2" t="s">
        <v>621</v>
      </c>
      <c r="F1" s="2" t="s">
        <v>457</v>
      </c>
      <c r="G1" s="2" t="s">
        <v>622</v>
      </c>
    </row>
    <row r="2" spans="1:11">
      <c r="A2" s="20"/>
      <c r="B2" s="20"/>
      <c r="C2" s="20"/>
      <c r="D2" s="20"/>
      <c r="E2" s="20" t="s">
        <v>463</v>
      </c>
      <c r="F2" s="20" t="s">
        <v>463</v>
      </c>
      <c r="G2" s="20" t="s">
        <v>463</v>
      </c>
      <c r="H2" s="2"/>
      <c r="I2" s="2"/>
      <c r="J2" s="2"/>
    </row>
    <row r="3" spans="1:11">
      <c r="A3" s="10"/>
      <c r="E3" s="2"/>
      <c r="F3" s="2"/>
      <c r="G3" s="2"/>
      <c r="H3" s="2"/>
      <c r="I3" s="2"/>
      <c r="J3" s="2"/>
    </row>
    <row r="4" spans="1:11">
      <c r="A4" s="10" t="s">
        <v>623</v>
      </c>
      <c r="E4" s="2"/>
      <c r="F4" s="2"/>
      <c r="G4" s="2"/>
      <c r="H4" s="2"/>
      <c r="I4" s="2"/>
      <c r="J4" s="2"/>
    </row>
    <row r="5" spans="1:11">
      <c r="A5" t="s">
        <v>518</v>
      </c>
      <c r="B5">
        <v>4</v>
      </c>
      <c r="C5">
        <v>6522811</v>
      </c>
      <c r="D5">
        <f>37*0.35*1.2075</f>
        <v>15.637124999999999</v>
      </c>
      <c r="E5">
        <f>'ghost boutons'!C5/'ghost boutons'!D5</f>
        <v>417136.2063039082</v>
      </c>
      <c r="F5">
        <v>308070.73793538701</v>
      </c>
      <c r="G5">
        <f>E5-F5</f>
        <v>109065.46836852119</v>
      </c>
      <c r="I5" t="s">
        <v>466</v>
      </c>
      <c r="J5" t="s">
        <v>468</v>
      </c>
      <c r="K5" t="s">
        <v>467</v>
      </c>
    </row>
    <row r="6" spans="1:11">
      <c r="A6" s="11" t="s">
        <v>519</v>
      </c>
      <c r="B6" s="11">
        <v>2</v>
      </c>
      <c r="C6" s="11">
        <v>3194052.5</v>
      </c>
      <c r="D6" s="11">
        <f>38*0.35*0.7535</f>
        <v>10.021549999999998</v>
      </c>
      <c r="E6">
        <f>'ghost boutons'!C6/'ghost boutons'!D6</f>
        <v>318718.41182252252</v>
      </c>
      <c r="F6" s="14">
        <v>303155.94882245199</v>
      </c>
      <c r="G6">
        <f>E6-F6</f>
        <v>15562.463000070537</v>
      </c>
      <c r="H6" s="14"/>
      <c r="I6" s="14" t="s">
        <v>470</v>
      </c>
      <c r="J6" s="14">
        <v>9367.7454564399995</v>
      </c>
      <c r="K6">
        <v>33117.14522667</v>
      </c>
    </row>
    <row r="7" spans="1:11">
      <c r="A7" t="s">
        <v>520</v>
      </c>
      <c r="B7">
        <v>0</v>
      </c>
      <c r="I7" t="s">
        <v>472</v>
      </c>
      <c r="J7">
        <v>6454.0578970799997</v>
      </c>
      <c r="K7">
        <v>37497.108307330003</v>
      </c>
    </row>
    <row r="8" spans="1:11">
      <c r="A8" t="s">
        <v>521</v>
      </c>
      <c r="B8">
        <v>1</v>
      </c>
      <c r="C8">
        <v>16614869</v>
      </c>
      <c r="D8">
        <f>49*0.35*2.898</f>
        <v>49.700699999999998</v>
      </c>
      <c r="E8">
        <f>'ghost boutons'!C8/'ghost boutons'!D8</f>
        <v>334298.49076572363</v>
      </c>
      <c r="F8">
        <v>311002.72249090899</v>
      </c>
      <c r="G8">
        <f>E8-F8</f>
        <v>23295.768274814647</v>
      </c>
      <c r="I8" t="s">
        <v>474</v>
      </c>
      <c r="J8">
        <v>2151.3526323599999</v>
      </c>
      <c r="K8">
        <v>15308.13036381</v>
      </c>
    </row>
    <row r="9" spans="1:11">
      <c r="A9" t="s">
        <v>522</v>
      </c>
      <c r="B9">
        <v>1</v>
      </c>
      <c r="C9">
        <v>4552191</v>
      </c>
      <c r="D9">
        <f>21*0.35*1.778</f>
        <v>13.068299999999999</v>
      </c>
      <c r="E9">
        <f>'ghost boutons'!C9/'ghost boutons'!D9</f>
        <v>348338.42198296642</v>
      </c>
      <c r="F9">
        <v>331963.226721021</v>
      </c>
      <c r="G9">
        <f>E9-F9</f>
        <v>16375.195261945424</v>
      </c>
      <c r="I9" t="s">
        <v>476</v>
      </c>
      <c r="J9">
        <v>9</v>
      </c>
      <c r="K9">
        <v>6</v>
      </c>
    </row>
    <row r="10" spans="1:11">
      <c r="A10" t="s">
        <v>523</v>
      </c>
      <c r="B10">
        <v>3</v>
      </c>
      <c r="C10">
        <v>19379993</v>
      </c>
      <c r="D10">
        <f>36*0.35*4.637</f>
        <v>58.426199999999994</v>
      </c>
      <c r="E10">
        <f>'ghost boutons'!C10/'ghost boutons'!D10</f>
        <v>331700.38441658026</v>
      </c>
      <c r="F10">
        <v>320436.16584564903</v>
      </c>
      <c r="G10">
        <f>E10-F10</f>
        <v>11264.218570931233</v>
      </c>
    </row>
    <row r="11" spans="1:11">
      <c r="A11" t="s">
        <v>524</v>
      </c>
      <c r="B11">
        <v>0</v>
      </c>
      <c r="I11" t="s">
        <v>624</v>
      </c>
    </row>
    <row r="12" spans="1:11">
      <c r="A12" t="s">
        <v>526</v>
      </c>
      <c r="B12">
        <v>2</v>
      </c>
      <c r="C12">
        <v>2479337.5</v>
      </c>
      <c r="D12">
        <f>36*0.35*0.58</f>
        <v>7.3079999999999989</v>
      </c>
      <c r="E12">
        <f>'ghost boutons'!C12/'ghost boutons'!D12</f>
        <v>339263.47837985773</v>
      </c>
      <c r="F12">
        <v>316123.72051624401</v>
      </c>
      <c r="G12">
        <f>E12-F12</f>
        <v>23139.757863613719</v>
      </c>
      <c r="I12" t="s">
        <v>625</v>
      </c>
    </row>
    <row r="13" spans="1:11">
      <c r="I13" t="s">
        <v>626</v>
      </c>
    </row>
    <row r="14" spans="1:11">
      <c r="A14" t="s">
        <v>528</v>
      </c>
      <c r="B14">
        <v>8</v>
      </c>
      <c r="C14">
        <v>115425748</v>
      </c>
      <c r="D14">
        <f>38*0.35*27.784</f>
        <v>369.52719999999994</v>
      </c>
      <c r="E14">
        <f>'ghost boutons'!C14/'ghost boutons'!D14</f>
        <v>312360.62730970822</v>
      </c>
      <c r="F14">
        <v>307331.18945729802</v>
      </c>
      <c r="G14">
        <f t="shared" ref="G14:G43" si="0">E14-F14</f>
        <v>5029.4378524101921</v>
      </c>
      <c r="I14" t="s">
        <v>627</v>
      </c>
    </row>
    <row r="15" spans="1:11">
      <c r="A15" t="s">
        <v>529</v>
      </c>
      <c r="B15">
        <v>7</v>
      </c>
      <c r="C15">
        <v>8696799.8571428601</v>
      </c>
      <c r="D15">
        <f>1.612*48*0.35</f>
        <v>27.081600000000002</v>
      </c>
      <c r="E15">
        <f>'ghost boutons'!C15/'ghost boutons'!D15</f>
        <v>321133.16263229866</v>
      </c>
      <c r="F15">
        <v>314058.52841855498</v>
      </c>
      <c r="G15">
        <f t="shared" si="0"/>
        <v>7074.6342137436732</v>
      </c>
    </row>
    <row r="16" spans="1:11">
      <c r="A16" t="s">
        <v>530</v>
      </c>
      <c r="B16">
        <v>6</v>
      </c>
      <c r="C16">
        <v>17630509</v>
      </c>
      <c r="D16">
        <f>4.7755*0.35*35</f>
        <v>58.499874999999996</v>
      </c>
      <c r="E16">
        <f>'ghost boutons'!C16/'ghost boutons'!D16</f>
        <v>301376.86618988507</v>
      </c>
      <c r="F16">
        <v>296586.67690808699</v>
      </c>
      <c r="G16">
        <f t="shared" si="0"/>
        <v>4790.1892817980843</v>
      </c>
    </row>
    <row r="17" spans="1:7">
      <c r="A17" t="s">
        <v>531</v>
      </c>
      <c r="B17">
        <v>6</v>
      </c>
      <c r="C17">
        <v>5028856.3333333302</v>
      </c>
      <c r="D17">
        <f>24*0.35*1.826</f>
        <v>15.338399999999998</v>
      </c>
      <c r="E17">
        <f>'ghost boutons'!C17/'ghost boutons'!D17</f>
        <v>327860.55477320519</v>
      </c>
      <c r="F17">
        <v>302665.03582109202</v>
      </c>
      <c r="G17">
        <f t="shared" si="0"/>
        <v>25195.518952113169</v>
      </c>
    </row>
    <row r="18" spans="1:7">
      <c r="A18" t="s">
        <v>532</v>
      </c>
      <c r="B18">
        <v>4</v>
      </c>
      <c r="C18">
        <v>5564682.25</v>
      </c>
      <c r="D18">
        <f>39*0.35*1.35725</f>
        <v>18.526462499999997</v>
      </c>
      <c r="E18">
        <f>'ghost boutons'!C18/'ghost boutons'!D18</f>
        <v>300363.99285616458</v>
      </c>
      <c r="F18">
        <v>296192.79699533101</v>
      </c>
      <c r="G18">
        <f t="shared" si="0"/>
        <v>4171.1958608335699</v>
      </c>
    </row>
    <row r="19" spans="1:7">
      <c r="A19" t="s">
        <v>533</v>
      </c>
      <c r="B19">
        <v>2</v>
      </c>
      <c r="C19">
        <v>7507529</v>
      </c>
      <c r="D19">
        <v>24.275649999999999</v>
      </c>
      <c r="E19">
        <f>'ghost boutons'!C19/'ghost boutons'!D19</f>
        <v>309261.70874930231</v>
      </c>
      <c r="F19">
        <v>299406.65870671201</v>
      </c>
      <c r="G19">
        <f t="shared" si="0"/>
        <v>9855.050042590301</v>
      </c>
    </row>
    <row r="20" spans="1:7">
      <c r="A20" s="16" t="s">
        <v>534</v>
      </c>
      <c r="B20">
        <v>12</v>
      </c>
      <c r="C20">
        <v>25331025</v>
      </c>
      <c r="D20">
        <f>48*0.35*4.83333333333333</f>
        <v>81.199999999999932</v>
      </c>
      <c r="E20">
        <f>'ghost boutons'!C20/'ghost boutons'!D20</f>
        <v>311958.43596059142</v>
      </c>
      <c r="F20">
        <v>300168.93081157201</v>
      </c>
      <c r="G20">
        <f t="shared" si="0"/>
        <v>11789.505149019416</v>
      </c>
    </row>
    <row r="21" spans="1:7">
      <c r="A21" t="s">
        <v>535</v>
      </c>
      <c r="B21">
        <v>5</v>
      </c>
      <c r="C21">
        <v>5447955.2000000002</v>
      </c>
      <c r="D21">
        <f>36*0.35*1.4066</f>
        <v>17.72316</v>
      </c>
      <c r="E21">
        <f>'ghost boutons'!C21/'ghost boutons'!D21</f>
        <v>307391.86465618998</v>
      </c>
      <c r="F21">
        <v>298224.587612823</v>
      </c>
      <c r="G21">
        <f t="shared" si="0"/>
        <v>9167.2770433669793</v>
      </c>
    </row>
    <row r="22" spans="1:7">
      <c r="A22" t="s">
        <v>536</v>
      </c>
      <c r="B22">
        <v>6</v>
      </c>
      <c r="C22">
        <v>80379393</v>
      </c>
      <c r="D22">
        <f>37*0.35*20.519</f>
        <v>265.72104999999999</v>
      </c>
      <c r="E22">
        <f>'ghost boutons'!C22/'ghost boutons'!D22</f>
        <v>302495.39131355984</v>
      </c>
      <c r="F22">
        <v>295258.49060045002</v>
      </c>
      <c r="G22">
        <f t="shared" si="0"/>
        <v>7236.9007131098188</v>
      </c>
    </row>
    <row r="24" spans="1:7">
      <c r="A24" s="10" t="s">
        <v>493</v>
      </c>
    </row>
    <row r="25" spans="1:7">
      <c r="A25" t="s">
        <v>494</v>
      </c>
      <c r="F25">
        <v>8130.8962170206196</v>
      </c>
    </row>
    <row r="26" spans="1:7">
      <c r="A26" t="s">
        <v>495</v>
      </c>
      <c r="F26">
        <v>8487.5262877689092</v>
      </c>
    </row>
    <row r="27" spans="1:7">
      <c r="A27" t="s">
        <v>496</v>
      </c>
      <c r="F27">
        <v>9792.6985727355423</v>
      </c>
    </row>
    <row r="28" spans="1:7">
      <c r="A28" t="s">
        <v>497</v>
      </c>
      <c r="F28">
        <v>9380.0162732644512</v>
      </c>
    </row>
    <row r="29" spans="1:7">
      <c r="A29" t="s">
        <v>498</v>
      </c>
      <c r="F29">
        <v>286195.14041443664</v>
      </c>
    </row>
    <row r="30" spans="1:7">
      <c r="A30" t="s">
        <v>499</v>
      </c>
      <c r="B30">
        <v>2</v>
      </c>
      <c r="C30">
        <v>7953153</v>
      </c>
      <c r="D30">
        <f>3.42*23*0.35</f>
        <v>27.530999999999999</v>
      </c>
      <c r="E30">
        <f>'ghost boutons'!C30/'ghost boutons'!D30</f>
        <v>288879.91718426504</v>
      </c>
      <c r="F30">
        <v>285348.38099830452</v>
      </c>
      <c r="G30">
        <f t="shared" si="0"/>
        <v>3531.5361859605182</v>
      </c>
    </row>
    <row r="31" spans="1:7">
      <c r="A31" t="s">
        <v>500</v>
      </c>
      <c r="B31">
        <v>3</v>
      </c>
      <c r="C31">
        <v>32394328</v>
      </c>
      <c r="D31">
        <f>9.429*0.35*34</f>
        <v>112.2051</v>
      </c>
      <c r="E31">
        <f>'ghost boutons'!C31/'ghost boutons'!D31</f>
        <v>288706.37787408952</v>
      </c>
      <c r="F31">
        <v>285263.55111393519</v>
      </c>
      <c r="G31">
        <f t="shared" si="0"/>
        <v>3442.8267601543339</v>
      </c>
    </row>
    <row r="32" spans="1:7">
      <c r="A32" t="s">
        <v>501</v>
      </c>
      <c r="B32">
        <v>4</v>
      </c>
      <c r="C32">
        <v>80660520</v>
      </c>
      <c r="D32">
        <f>57*0.35*14.182</f>
        <v>282.93090000000001</v>
      </c>
      <c r="E32">
        <f>'ghost boutons'!C32/'ghost boutons'!D32</f>
        <v>285089.11539884825</v>
      </c>
      <c r="F32">
        <v>282701.66790088086</v>
      </c>
      <c r="G32">
        <f t="shared" si="0"/>
        <v>2387.4474979673978</v>
      </c>
    </row>
    <row r="33" spans="1:7">
      <c r="A33" t="s">
        <v>502</v>
      </c>
      <c r="B33">
        <v>3</v>
      </c>
      <c r="C33">
        <v>1039835</v>
      </c>
      <c r="D33">
        <f>7.15*0.35*43</f>
        <v>107.6075</v>
      </c>
      <c r="E33">
        <f>'ghost boutons'!C33/'ghost boutons'!D33</f>
        <v>9663.220500429803</v>
      </c>
      <c r="F33">
        <v>285630.67592409055</v>
      </c>
      <c r="G33">
        <f t="shared" si="0"/>
        <v>-275967.45542366075</v>
      </c>
    </row>
    <row r="35" spans="1:7">
      <c r="A35" t="s">
        <v>506</v>
      </c>
      <c r="F35">
        <v>6114.5349394810664</v>
      </c>
    </row>
    <row r="36" spans="1:7">
      <c r="A36" t="s">
        <v>507</v>
      </c>
      <c r="F36">
        <v>10556.383040773444</v>
      </c>
    </row>
    <row r="37" spans="1:7">
      <c r="A37" t="s">
        <v>508</v>
      </c>
      <c r="B37">
        <v>6</v>
      </c>
      <c r="C37">
        <v>186991074</v>
      </c>
      <c r="D37">
        <f>34.255*50*0.35</f>
        <v>599.46250000000009</v>
      </c>
      <c r="E37">
        <f>'ghost boutons'!C37/'ghost boutons'!D37</f>
        <v>311931.22839210118</v>
      </c>
      <c r="F37">
        <v>311711.43574117223</v>
      </c>
      <c r="G37">
        <f t="shared" si="0"/>
        <v>219.79265092895366</v>
      </c>
    </row>
    <row r="38" spans="1:7">
      <c r="A38" t="s">
        <v>510</v>
      </c>
      <c r="B38">
        <v>3</v>
      </c>
      <c r="C38">
        <v>98460424</v>
      </c>
      <c r="D38">
        <f>33*0.35*27.899</f>
        <v>322.23345</v>
      </c>
      <c r="E38">
        <f>'ghost boutons'!C38/'ghost boutons'!D38</f>
        <v>305556.18605082744</v>
      </c>
      <c r="F38">
        <v>302443.56246204593</v>
      </c>
      <c r="G38">
        <f t="shared" si="0"/>
        <v>3112.6235887815128</v>
      </c>
    </row>
    <row r="39" spans="1:7">
      <c r="A39" t="s">
        <v>511</v>
      </c>
      <c r="B39">
        <v>4</v>
      </c>
      <c r="C39">
        <v>158838938</v>
      </c>
      <c r="D39">
        <f>42.41*0.35*37</f>
        <v>549.20949999999993</v>
      </c>
      <c r="E39">
        <f>'ghost boutons'!C39/'ghost boutons'!D39</f>
        <v>289213.74812343926</v>
      </c>
      <c r="F39">
        <v>287516.6977080853</v>
      </c>
      <c r="G39">
        <f t="shared" si="0"/>
        <v>1697.0504153539659</v>
      </c>
    </row>
    <row r="40" spans="1:7">
      <c r="A40" t="s">
        <v>512</v>
      </c>
      <c r="B40">
        <v>0</v>
      </c>
    </row>
    <row r="41" spans="1:7">
      <c r="A41" t="s">
        <v>513</v>
      </c>
      <c r="B41">
        <v>0</v>
      </c>
    </row>
    <row r="42" spans="1:7">
      <c r="A42" t="s">
        <v>514</v>
      </c>
      <c r="B42">
        <v>7</v>
      </c>
      <c r="C42">
        <v>228212012</v>
      </c>
      <c r="D42">
        <f>27*0.35*83.737</f>
        <v>791.31464999999992</v>
      </c>
      <c r="E42">
        <f>'ghost boutons'!C42/'ghost boutons'!D42</f>
        <v>288396.04069000873</v>
      </c>
      <c r="F42">
        <v>285398.53175446036</v>
      </c>
      <c r="G42">
        <f t="shared" si="0"/>
        <v>2997.5089355483651</v>
      </c>
    </row>
    <row r="43" spans="1:7">
      <c r="A43" t="s">
        <v>515</v>
      </c>
      <c r="B43">
        <v>2</v>
      </c>
      <c r="C43">
        <v>51045446</v>
      </c>
      <c r="D43">
        <f>51*9.912*0.35</f>
        <v>176.92920000000001</v>
      </c>
      <c r="E43">
        <f>'ghost boutons'!C43/'ghost boutons'!D43</f>
        <v>288507.75338383939</v>
      </c>
      <c r="F43">
        <v>286060.75068417017</v>
      </c>
      <c r="G43">
        <f t="shared" si="0"/>
        <v>2447.0026996692177</v>
      </c>
    </row>
    <row r="46" spans="1:7">
      <c r="A46" s="10" t="s">
        <v>693</v>
      </c>
    </row>
    <row r="47" spans="1:7">
      <c r="A47" t="s">
        <v>538</v>
      </c>
      <c r="B47">
        <v>4</v>
      </c>
      <c r="C47">
        <v>31240100</v>
      </c>
      <c r="D47">
        <f>48*0.35*6.415</f>
        <v>107.77199999999998</v>
      </c>
      <c r="E47">
        <f>'ghost boutons'!C47/'ghost boutons'!D47</f>
        <v>289872.13747541112</v>
      </c>
      <c r="F47">
        <v>289378.60702490498</v>
      </c>
      <c r="G47">
        <f>E47-F47</f>
        <v>493.53045050613582</v>
      </c>
    </row>
    <row r="48" spans="1:7">
      <c r="A48" t="s">
        <v>539</v>
      </c>
      <c r="B48">
        <v>2</v>
      </c>
      <c r="C48">
        <v>43619470</v>
      </c>
      <c r="D48">
        <f>38*0.35*11.071</f>
        <v>147.24429999999998</v>
      </c>
      <c r="E48">
        <f>'ghost boutons'!C48/'ghost boutons'!D48</f>
        <v>296238.7678164792</v>
      </c>
      <c r="F48">
        <v>287895.810955961</v>
      </c>
      <c r="G48">
        <f>E48-F48</f>
        <v>8342.9568605181994</v>
      </c>
    </row>
    <row r="49" spans="1:8">
      <c r="A49" t="s">
        <v>540</v>
      </c>
      <c r="B49">
        <v>0</v>
      </c>
    </row>
    <row r="50" spans="1:8">
      <c r="A50" t="s">
        <v>541</v>
      </c>
      <c r="B50">
        <v>0</v>
      </c>
    </row>
    <row r="51" spans="1:8">
      <c r="A51" t="s">
        <v>542</v>
      </c>
      <c r="B51">
        <v>1</v>
      </c>
      <c r="C51">
        <v>12703993</v>
      </c>
      <c r="D51">
        <f>49*0.35*2.492</f>
        <v>42.737799999999993</v>
      </c>
      <c r="E51">
        <f>'ghost boutons'!C51/'ghost boutons'!D51</f>
        <v>297254.25735531549</v>
      </c>
      <c r="F51">
        <v>290986.39455782302</v>
      </c>
      <c r="G51">
        <f>E51-F51</f>
        <v>6267.8627974924748</v>
      </c>
    </row>
    <row r="52" spans="1:8">
      <c r="A52" t="s">
        <v>543</v>
      </c>
      <c r="B52">
        <v>2</v>
      </c>
      <c r="C52">
        <v>21038353</v>
      </c>
      <c r="D52">
        <f>43*0.35*4.869</f>
        <v>73.278449999999992</v>
      </c>
      <c r="E52">
        <f>'ghost boutons'!C52/'ghost boutons'!D52</f>
        <v>287101.50119168736</v>
      </c>
      <c r="F52">
        <v>283374.06608101801</v>
      </c>
      <c r="G52">
        <f>E52-F52</f>
        <v>3727.4351106693503</v>
      </c>
    </row>
    <row r="53" spans="1:8">
      <c r="A53" t="s">
        <v>544</v>
      </c>
      <c r="B53">
        <v>1</v>
      </c>
      <c r="C53">
        <v>27447942</v>
      </c>
      <c r="D53">
        <f>39*0.35*6.82</f>
        <v>93.092999999999989</v>
      </c>
      <c r="E53">
        <f>'ghost boutons'!C53/'ghost boutons'!D53</f>
        <v>294844.31697334925</v>
      </c>
      <c r="F53">
        <v>288061.48025175702</v>
      </c>
      <c r="G53">
        <f>E53-F53</f>
        <v>6782.8367215922335</v>
      </c>
    </row>
    <row r="55" spans="1:8">
      <c r="A55" t="s">
        <v>545</v>
      </c>
      <c r="B55">
        <v>1</v>
      </c>
      <c r="C55">
        <v>3384777</v>
      </c>
      <c r="D55">
        <f>40*0.35*0.831</f>
        <v>11.634</v>
      </c>
      <c r="E55">
        <f>'ghost boutons'!C55/'ghost boutons'!D55</f>
        <v>290938.37029396597</v>
      </c>
      <c r="F55">
        <v>294920.93364433799</v>
      </c>
      <c r="G55">
        <f>E55-F55</f>
        <v>-3982.5633503720164</v>
      </c>
      <c r="H55" s="14" t="s">
        <v>628</v>
      </c>
    </row>
    <row r="56" spans="1:8">
      <c r="A56" t="s">
        <v>546</v>
      </c>
      <c r="B56">
        <v>4</v>
      </c>
      <c r="C56">
        <v>32377543</v>
      </c>
      <c r="D56">
        <f>35*0.35*8.887</f>
        <v>108.86575000000001</v>
      </c>
      <c r="E56">
        <f>'ghost boutons'!C56/'ghost boutons'!D56</f>
        <v>297407.98184920417</v>
      </c>
      <c r="F56">
        <v>293083.57089865301</v>
      </c>
      <c r="G56">
        <f>E56-F56</f>
        <v>4324.4109505511587</v>
      </c>
    </row>
    <row r="58" spans="1:8">
      <c r="A58" s="10" t="s">
        <v>694</v>
      </c>
    </row>
    <row r="59" spans="1:8">
      <c r="A59" s="11" t="s">
        <v>558</v>
      </c>
      <c r="F59">
        <v>302767.30601499509</v>
      </c>
    </row>
    <row r="60" spans="1:8">
      <c r="A60" s="11" t="s">
        <v>559</v>
      </c>
      <c r="F60">
        <v>294443.8612368016</v>
      </c>
    </row>
    <row r="61" spans="1:8">
      <c r="A61" s="11" t="s">
        <v>560</v>
      </c>
      <c r="F61">
        <v>306381.46497878071</v>
      </c>
    </row>
    <row r="62" spans="1:8">
      <c r="A62" s="11" t="s">
        <v>561</v>
      </c>
      <c r="F62">
        <v>305844.54770143353</v>
      </c>
    </row>
    <row r="63" spans="1:8" ht="14.25" customHeight="1">
      <c r="A63" s="11" t="s">
        <v>562</v>
      </c>
      <c r="F63">
        <v>8270.9569107837851</v>
      </c>
    </row>
    <row r="64" spans="1:8">
      <c r="A64" s="10"/>
    </row>
    <row r="65" spans="1:12">
      <c r="A65" t="s">
        <v>563</v>
      </c>
      <c r="B65">
        <v>7</v>
      </c>
      <c r="C65">
        <v>70542511</v>
      </c>
      <c r="D65">
        <f>44*0.35*12.251</f>
        <v>188.66539999999998</v>
      </c>
      <c r="E65">
        <f>'ghost boutons'!C65/'ghost boutons'!D65</f>
        <v>373902.74528344895</v>
      </c>
      <c r="F65">
        <v>347605.39345645701</v>
      </c>
      <c r="G65">
        <f t="shared" ref="G65:G75" si="1">E65-F65</f>
        <v>26297.351826991944</v>
      </c>
    </row>
    <row r="66" spans="1:12">
      <c r="A66" t="s">
        <v>564</v>
      </c>
      <c r="B66">
        <v>4</v>
      </c>
      <c r="C66">
        <v>42941658</v>
      </c>
      <c r="D66">
        <f>46*0.35*7.361</f>
        <v>118.51209999999998</v>
      </c>
      <c r="E66">
        <f>'ghost boutons'!C66/'ghost boutons'!D66</f>
        <v>362339.8623431701</v>
      </c>
      <c r="F66">
        <v>333771.41944463499</v>
      </c>
      <c r="G66">
        <f t="shared" si="1"/>
        <v>28568.442898535111</v>
      </c>
    </row>
    <row r="67" spans="1:12">
      <c r="A67" t="s">
        <v>565</v>
      </c>
      <c r="B67">
        <v>2</v>
      </c>
      <c r="C67">
        <v>19785337</v>
      </c>
      <c r="D67">
        <f>56*0.35*2.802</f>
        <v>54.919199999999996</v>
      </c>
      <c r="E67">
        <f>'ghost boutons'!C67/'ghost boutons'!D67</f>
        <v>360262.65859662928</v>
      </c>
      <c r="F67">
        <v>345363.43483080098</v>
      </c>
      <c r="G67">
        <f t="shared" si="1"/>
        <v>14899.223765828297</v>
      </c>
    </row>
    <row r="68" spans="1:12">
      <c r="A68" t="s">
        <v>566</v>
      </c>
      <c r="B68">
        <v>1</v>
      </c>
      <c r="C68">
        <v>3115587</v>
      </c>
      <c r="D68">
        <f>27*0.35*0.715</f>
        <v>6.7567499999999994</v>
      </c>
      <c r="E68">
        <f>'ghost boutons'!C68/'ghost boutons'!D68</f>
        <v>461107.33710733714</v>
      </c>
      <c r="F68">
        <v>410826.06615277799</v>
      </c>
      <c r="G68">
        <f t="shared" si="1"/>
        <v>50281.27095455915</v>
      </c>
    </row>
    <row r="69" spans="1:12">
      <c r="A69" t="s">
        <v>567</v>
      </c>
      <c r="B69">
        <v>4</v>
      </c>
      <c r="C69">
        <v>30525806</v>
      </c>
      <c r="D69">
        <f>52*0.35*5.507</f>
        <v>100.22739999999999</v>
      </c>
      <c r="E69">
        <f>'ghost boutons'!C69/'ghost boutons'!D69</f>
        <v>304565.47810279427</v>
      </c>
      <c r="F69">
        <v>299364.48923189699</v>
      </c>
      <c r="G69">
        <f t="shared" si="1"/>
        <v>5200.9888708972721</v>
      </c>
    </row>
    <row r="70" spans="1:12">
      <c r="A70" s="21" t="s">
        <v>568</v>
      </c>
      <c r="B70">
        <v>5</v>
      </c>
      <c r="C70">
        <v>283435970</v>
      </c>
      <c r="D70">
        <f>59.836*0.35*33</f>
        <v>691.10579999999993</v>
      </c>
      <c r="E70">
        <f>'ghost boutons'!C70/'ghost boutons'!D70</f>
        <v>410119.50702772284</v>
      </c>
      <c r="F70">
        <v>375015.00348080799</v>
      </c>
      <c r="G70">
        <f t="shared" si="1"/>
        <v>35104.503546914842</v>
      </c>
    </row>
    <row r="71" spans="1:12">
      <c r="A71" t="s">
        <v>569</v>
      </c>
      <c r="B71">
        <v>2</v>
      </c>
      <c r="C71">
        <v>22122440</v>
      </c>
      <c r="D71">
        <f>35*0.35*4.657</f>
        <v>57.048250000000003</v>
      </c>
      <c r="E71">
        <f>'ghost boutons'!C71/'ghost boutons'!D71</f>
        <v>387784.72608712799</v>
      </c>
      <c r="F71">
        <v>360953.750299545</v>
      </c>
      <c r="G71">
        <f t="shared" si="1"/>
        <v>26830.975787582982</v>
      </c>
    </row>
    <row r="72" spans="1:12">
      <c r="A72" t="s">
        <v>629</v>
      </c>
      <c r="B72">
        <v>4</v>
      </c>
      <c r="C72">
        <v>76211596</v>
      </c>
      <c r="D72">
        <f>49*0.35*11.438</f>
        <v>196.1617</v>
      </c>
      <c r="E72">
        <f>'ghost boutons'!C72/'ghost boutons'!D72</f>
        <v>388514.14929621835</v>
      </c>
      <c r="F72">
        <v>322440.20150089799</v>
      </c>
      <c r="G72">
        <f t="shared" si="1"/>
        <v>66073.94779532036</v>
      </c>
    </row>
    <row r="73" spans="1:12">
      <c r="A73" t="s">
        <v>630</v>
      </c>
      <c r="B73">
        <v>2</v>
      </c>
      <c r="C73">
        <v>42880077</v>
      </c>
      <c r="D73">
        <f>52*0.35*6.434</f>
        <v>117.0988</v>
      </c>
      <c r="E73">
        <f>'ghost boutons'!C73/'ghost boutons'!D73</f>
        <v>366187.15990257799</v>
      </c>
      <c r="F73">
        <v>349757.54686489998</v>
      </c>
      <c r="G73">
        <f t="shared" si="1"/>
        <v>16429.613037678006</v>
      </c>
    </row>
    <row r="74" spans="1:12">
      <c r="A74" t="s">
        <v>631</v>
      </c>
      <c r="B74">
        <v>3</v>
      </c>
      <c r="C74">
        <v>161908165</v>
      </c>
      <c r="D74">
        <f>14.413*0.35*61</f>
        <v>307.71755000000002</v>
      </c>
      <c r="E74">
        <f>'ghost boutons'!C74/'ghost boutons'!D74</f>
        <v>526158.37153259537</v>
      </c>
      <c r="F74">
        <v>399217.49582069297</v>
      </c>
      <c r="G74">
        <f t="shared" si="1"/>
        <v>126940.87571190239</v>
      </c>
    </row>
    <row r="75" spans="1:12">
      <c r="A75" t="s">
        <v>632</v>
      </c>
      <c r="B75">
        <v>3</v>
      </c>
      <c r="C75">
        <v>27152851</v>
      </c>
      <c r="D75">
        <f>50*0.35*4.773</f>
        <v>83.527499999999989</v>
      </c>
      <c r="E75">
        <f>'ghost boutons'!C75/'ghost boutons'!D75</f>
        <v>325076.7830953878</v>
      </c>
      <c r="F75">
        <v>310526.94761630899</v>
      </c>
      <c r="G75">
        <f t="shared" si="1"/>
        <v>14549.835479078814</v>
      </c>
    </row>
    <row r="76" spans="1:12">
      <c r="A76" t="s">
        <v>633</v>
      </c>
      <c r="B76">
        <v>0</v>
      </c>
    </row>
    <row r="78" spans="1:12">
      <c r="A78" s="10" t="s">
        <v>695</v>
      </c>
    </row>
    <row r="79" spans="1:12">
      <c r="A79" t="s">
        <v>577</v>
      </c>
      <c r="B79">
        <v>2</v>
      </c>
      <c r="C79">
        <v>26437514</v>
      </c>
      <c r="D79">
        <f>31*0.35*8.386</f>
        <v>90.988099999999989</v>
      </c>
      <c r="E79">
        <f>'ghost boutons'!C79/'ghost boutons'!D79</f>
        <v>290560.12819258787</v>
      </c>
      <c r="F79">
        <v>288373.02249932202</v>
      </c>
      <c r="G79">
        <f>E79-F79</f>
        <v>2187.1056932658539</v>
      </c>
      <c r="J79" t="s">
        <v>466</v>
      </c>
      <c r="K79" t="s">
        <v>468</v>
      </c>
      <c r="L79" t="s">
        <v>467</v>
      </c>
    </row>
    <row r="80" spans="1:12">
      <c r="A80" t="s">
        <v>578</v>
      </c>
      <c r="B80">
        <v>5</v>
      </c>
      <c r="C80">
        <v>70797403</v>
      </c>
      <c r="D80">
        <f>48*0.35*14.471</f>
        <v>243.11279999999996</v>
      </c>
      <c r="E80">
        <f>'ghost boutons'!C80/'ghost boutons'!D80</f>
        <v>291212.15748409793</v>
      </c>
      <c r="F80">
        <v>289406.24438848603</v>
      </c>
      <c r="G80">
        <f>E80-F80</f>
        <v>1805.9130956119043</v>
      </c>
      <c r="J80" t="s">
        <v>470</v>
      </c>
      <c r="K80">
        <v>3175.6480731430001</v>
      </c>
      <c r="L80">
        <v>3303.3886632859999</v>
      </c>
    </row>
    <row r="81" spans="1:12">
      <c r="A81" t="s">
        <v>579</v>
      </c>
      <c r="B81">
        <v>2</v>
      </c>
      <c r="C81">
        <v>12938571</v>
      </c>
      <c r="D81">
        <f>23*0.35*5.487</f>
        <v>44.170349999999992</v>
      </c>
      <c r="E81">
        <f>'ghost boutons'!C81/'ghost boutons'!D81</f>
        <v>292924.34857319453</v>
      </c>
      <c r="F81">
        <v>291356.235252488</v>
      </c>
      <c r="G81">
        <f>E81-F81</f>
        <v>1568.1133207065286</v>
      </c>
      <c r="J81" t="s">
        <v>472</v>
      </c>
      <c r="K81">
        <v>2476.099689918</v>
      </c>
      <c r="L81">
        <v>2823.1410004099998</v>
      </c>
    </row>
    <row r="82" spans="1:12">
      <c r="A82" t="s">
        <v>580</v>
      </c>
      <c r="B82">
        <v>0</v>
      </c>
      <c r="F82">
        <v>290430.72235167603</v>
      </c>
      <c r="J82" t="s">
        <v>474</v>
      </c>
      <c r="K82">
        <v>935.87771441799998</v>
      </c>
      <c r="L82">
        <v>1067.047000451</v>
      </c>
    </row>
    <row r="83" spans="1:12">
      <c r="A83" s="22" t="s">
        <v>581</v>
      </c>
      <c r="B83">
        <v>1</v>
      </c>
      <c r="C83">
        <v>47211250</v>
      </c>
      <c r="D83">
        <v>157.75200000000001</v>
      </c>
      <c r="E83">
        <f>C83/D83</f>
        <v>299275.12804908969</v>
      </c>
      <c r="F83">
        <v>290208.55157250602</v>
      </c>
      <c r="G83">
        <f>E83-F83</f>
        <v>9066.5764765836648</v>
      </c>
      <c r="J83" t="s">
        <v>476</v>
      </c>
      <c r="K83">
        <v>7</v>
      </c>
      <c r="L83">
        <v>7</v>
      </c>
    </row>
    <row r="84" spans="1:12">
      <c r="A84" t="s">
        <v>582</v>
      </c>
      <c r="B84">
        <v>1</v>
      </c>
      <c r="C84">
        <v>8579045</v>
      </c>
      <c r="D84">
        <v>29.683499999999999</v>
      </c>
      <c r="E84">
        <f>C84/D84</f>
        <v>289017.29917294119</v>
      </c>
      <c r="F84">
        <v>287810.09167532099</v>
      </c>
      <c r="G84">
        <f>E84-F84</f>
        <v>1207.2074976201984</v>
      </c>
      <c r="J84" t="s">
        <v>634</v>
      </c>
    </row>
    <row r="85" spans="1:12">
      <c r="A85" t="s">
        <v>583</v>
      </c>
      <c r="B85">
        <v>4</v>
      </c>
      <c r="C85">
        <v>29650509</v>
      </c>
      <c r="D85">
        <f>33*0.35*9.718</f>
        <v>112.24289999999999</v>
      </c>
      <c r="E85">
        <f>C85/D85</f>
        <v>264163.78229714307</v>
      </c>
      <c r="F85">
        <v>288680.22332402301</v>
      </c>
      <c r="G85">
        <f>E85-F85</f>
        <v>-24516.44102687994</v>
      </c>
      <c r="H85" s="14" t="s">
        <v>628</v>
      </c>
      <c r="J85" t="s">
        <v>635</v>
      </c>
    </row>
    <row r="86" spans="1:12">
      <c r="A86" t="s">
        <v>585</v>
      </c>
      <c r="B86">
        <v>2</v>
      </c>
      <c r="C86">
        <v>26700000</v>
      </c>
      <c r="D86">
        <f>33*0.35*7.96</f>
        <v>91.937999999999988</v>
      </c>
      <c r="E86">
        <f>C86/D86</f>
        <v>290413.10448345629</v>
      </c>
      <c r="F86">
        <v>288087.82304161199</v>
      </c>
      <c r="G86">
        <f>E86-F86</f>
        <v>2325.2814418443013</v>
      </c>
      <c r="J86" t="s">
        <v>636</v>
      </c>
    </row>
    <row r="87" spans="1:12">
      <c r="A87" t="s">
        <v>587</v>
      </c>
      <c r="B87">
        <v>1</v>
      </c>
      <c r="C87">
        <v>12034345</v>
      </c>
      <c r="D87">
        <f>24*0.35*4.83</f>
        <v>40.571999999999996</v>
      </c>
      <c r="E87">
        <f>C87/D87</f>
        <v>296617.0018732131</v>
      </c>
      <c r="F87">
        <v>291653.478756772</v>
      </c>
      <c r="G87">
        <f>E87-F87</f>
        <v>4963.5231164410943</v>
      </c>
      <c r="J87" t="s">
        <v>637</v>
      </c>
    </row>
    <row r="89" spans="1:12">
      <c r="A89" t="s">
        <v>590</v>
      </c>
      <c r="B89">
        <v>2</v>
      </c>
      <c r="C89">
        <v>34922849</v>
      </c>
      <c r="D89">
        <f>47*0.35*7.361</f>
        <v>121.08844999999999</v>
      </c>
      <c r="E89">
        <f t="shared" ref="E89:E95" si="2">C89/D89</f>
        <v>288407.76308557921</v>
      </c>
      <c r="F89">
        <v>287686.470830184</v>
      </c>
      <c r="G89">
        <f t="shared" ref="G89:G95" si="3">E89-F89</f>
        <v>721.29225539520849</v>
      </c>
    </row>
    <row r="90" spans="1:12">
      <c r="A90" t="s">
        <v>591</v>
      </c>
      <c r="B90">
        <v>4</v>
      </c>
      <c r="C90">
        <v>35188820</v>
      </c>
      <c r="D90">
        <f>42*0.35*8.288</f>
        <v>121.8336</v>
      </c>
      <c r="E90">
        <f t="shared" si="2"/>
        <v>288826.89176056522</v>
      </c>
      <c r="F90">
        <v>286228.69836487999</v>
      </c>
      <c r="G90">
        <f t="shared" si="3"/>
        <v>2598.1933956852299</v>
      </c>
    </row>
    <row r="91" spans="1:12">
      <c r="A91" t="s">
        <v>592</v>
      </c>
      <c r="B91">
        <v>4</v>
      </c>
      <c r="C91">
        <v>51718553</v>
      </c>
      <c r="D91">
        <f>31*0.35*16.501</f>
        <v>179.03585000000001</v>
      </c>
      <c r="E91">
        <f t="shared" si="2"/>
        <v>288872.60847478313</v>
      </c>
      <c r="F91">
        <v>286953.08795511501</v>
      </c>
      <c r="G91">
        <f t="shared" si="3"/>
        <v>1919.52051966812</v>
      </c>
    </row>
    <row r="92" spans="1:12">
      <c r="A92" t="s">
        <v>593</v>
      </c>
      <c r="B92">
        <v>7</v>
      </c>
      <c r="C92">
        <v>142615898</v>
      </c>
      <c r="D92">
        <f>61*0.35*23.3</f>
        <v>497.45499999999998</v>
      </c>
      <c r="E92">
        <f t="shared" si="2"/>
        <v>286691.05346212222</v>
      </c>
      <c r="F92">
        <v>286394.79487051</v>
      </c>
      <c r="G92">
        <f t="shared" si="3"/>
        <v>296.25859161221888</v>
      </c>
    </row>
    <row r="93" spans="1:12">
      <c r="A93" t="s">
        <v>594</v>
      </c>
      <c r="B93">
        <v>1</v>
      </c>
      <c r="C93">
        <v>5991953</v>
      </c>
      <c r="D93">
        <f>41*1.43*0.35</f>
        <v>20.520499999999998</v>
      </c>
      <c r="E93">
        <f t="shared" si="2"/>
        <v>291998.39185205044</v>
      </c>
      <c r="F93">
        <v>286238.86497688497</v>
      </c>
      <c r="G93">
        <f t="shared" si="3"/>
        <v>5759.5268751654658</v>
      </c>
    </row>
    <row r="94" spans="1:12">
      <c r="A94" t="s">
        <v>595</v>
      </c>
      <c r="B94">
        <v>3</v>
      </c>
      <c r="C94">
        <v>50033221</v>
      </c>
      <c r="D94">
        <f>23*20.191*0.35</f>
        <v>162.53754999999998</v>
      </c>
      <c r="E94">
        <f t="shared" si="2"/>
        <v>307825.61321983754</v>
      </c>
      <c r="F94">
        <v>303658.22744900198</v>
      </c>
      <c r="G94">
        <f t="shared" si="3"/>
        <v>4167.3857708355645</v>
      </c>
    </row>
    <row r="95" spans="1:12">
      <c r="A95" t="s">
        <v>596</v>
      </c>
      <c r="B95">
        <v>7</v>
      </c>
      <c r="C95">
        <v>77734121</v>
      </c>
      <c r="D95">
        <f>39*0.35*19.263</f>
        <v>262.93995000000001</v>
      </c>
      <c r="E95">
        <f t="shared" si="2"/>
        <v>295634.5013376628</v>
      </c>
      <c r="F95">
        <v>288867.14223497699</v>
      </c>
      <c r="G95">
        <f t="shared" si="3"/>
        <v>6767.3591026858194</v>
      </c>
    </row>
    <row r="97" spans="1:1">
      <c r="A97" s="10" t="s">
        <v>696</v>
      </c>
    </row>
    <row r="98" spans="1:1">
      <c r="A98" t="s">
        <v>598</v>
      </c>
    </row>
    <row r="99" spans="1:1">
      <c r="A99" t="s">
        <v>599</v>
      </c>
    </row>
    <row r="100" spans="1:1">
      <c r="A100" t="s">
        <v>600</v>
      </c>
    </row>
    <row r="101" spans="1:1">
      <c r="A101" t="s">
        <v>601</v>
      </c>
    </row>
    <row r="102" spans="1:1">
      <c r="A102" t="s">
        <v>602</v>
      </c>
    </row>
    <row r="104" spans="1:1">
      <c r="A104" t="s">
        <v>603</v>
      </c>
    </row>
    <row r="105" spans="1:1">
      <c r="A105" t="s">
        <v>604</v>
      </c>
    </row>
    <row r="106" spans="1:1">
      <c r="A106" t="s">
        <v>605</v>
      </c>
    </row>
    <row r="107" spans="1:1">
      <c r="A107" t="s">
        <v>606</v>
      </c>
    </row>
    <row r="109" spans="1:1">
      <c r="A109" s="10" t="s">
        <v>697</v>
      </c>
    </row>
    <row r="110" spans="1:1">
      <c r="A110" t="s">
        <v>608</v>
      </c>
    </row>
    <row r="111" spans="1:1">
      <c r="A111" t="s">
        <v>609</v>
      </c>
    </row>
    <row r="112" spans="1:1">
      <c r="A112" t="s">
        <v>610</v>
      </c>
    </row>
    <row r="113" spans="1:6">
      <c r="A113" t="s">
        <v>611</v>
      </c>
    </row>
    <row r="114" spans="1:6">
      <c r="A114" t="s">
        <v>612</v>
      </c>
    </row>
    <row r="115" spans="1:6">
      <c r="A115" t="s">
        <v>613</v>
      </c>
    </row>
    <row r="117" spans="1:6">
      <c r="A117" t="s">
        <v>614</v>
      </c>
    </row>
    <row r="118" spans="1:6">
      <c r="A118" t="s">
        <v>615</v>
      </c>
    </row>
    <row r="119" spans="1:6">
      <c r="A119" t="s">
        <v>616</v>
      </c>
    </row>
    <row r="120" spans="1:6">
      <c r="A120" t="s">
        <v>617</v>
      </c>
    </row>
    <row r="121" spans="1:6">
      <c r="A121" t="s">
        <v>618</v>
      </c>
    </row>
    <row r="123" spans="1:6">
      <c r="A123" s="10" t="s">
        <v>698</v>
      </c>
    </row>
    <row r="124" spans="1:6">
      <c r="A124" t="s">
        <v>465</v>
      </c>
      <c r="F124">
        <v>283596.63022046961</v>
      </c>
    </row>
    <row r="125" spans="1:6">
      <c r="A125" t="s">
        <v>469</v>
      </c>
      <c r="F125">
        <v>288049.16243083146</v>
      </c>
    </row>
    <row r="126" spans="1:6">
      <c r="A126" t="s">
        <v>471</v>
      </c>
      <c r="F126">
        <v>284092.17827258294</v>
      </c>
    </row>
    <row r="127" spans="1:6">
      <c r="A127" t="s">
        <v>473</v>
      </c>
      <c r="F127">
        <v>287263.36298310972</v>
      </c>
    </row>
    <row r="128" spans="1:6">
      <c r="A128" t="s">
        <v>475</v>
      </c>
      <c r="B128">
        <v>0</v>
      </c>
      <c r="F128">
        <v>331610.33919714106</v>
      </c>
    </row>
    <row r="129" spans="1:7">
      <c r="A129" t="s">
        <v>477</v>
      </c>
      <c r="B129">
        <v>0</v>
      </c>
      <c r="F129">
        <v>346274.80609864258</v>
      </c>
    </row>
    <row r="130" spans="1:7">
      <c r="A130" t="s">
        <v>478</v>
      </c>
      <c r="B130">
        <v>2</v>
      </c>
      <c r="C130">
        <v>32488936</v>
      </c>
      <c r="D130">
        <f>49*0.35*6.589</f>
        <v>113.00135</v>
      </c>
      <c r="E130">
        <f>C130/D130</f>
        <v>287509.27311930346</v>
      </c>
      <c r="F130">
        <v>358256.73308449867</v>
      </c>
      <c r="G130">
        <f>E130-F130</f>
        <v>-70747.459965195216</v>
      </c>
    </row>
    <row r="131" spans="1:7">
      <c r="A131" t="s">
        <v>480</v>
      </c>
      <c r="B131">
        <v>3</v>
      </c>
      <c r="C131">
        <v>48154499</v>
      </c>
      <c r="D131">
        <f>41*0.35*10.858</f>
        <v>155.81229999999999</v>
      </c>
      <c r="E131">
        <f>C131/D131</f>
        <v>309054.54190715367</v>
      </c>
      <c r="F131">
        <v>361582.24220214214</v>
      </c>
      <c r="G131">
        <f>E131-F131</f>
        <v>-52527.700294988463</v>
      </c>
    </row>
    <row r="132" spans="1:7">
      <c r="A132" t="s">
        <v>482</v>
      </c>
      <c r="F132">
        <v>10074.711647699916</v>
      </c>
    </row>
    <row r="133" spans="1:7">
      <c r="A133" t="s">
        <v>483</v>
      </c>
      <c r="F133">
        <v>336429.86145379586</v>
      </c>
    </row>
    <row r="135" spans="1:7">
      <c r="A135" t="s">
        <v>484</v>
      </c>
      <c r="F135">
        <v>7438.1345856107846</v>
      </c>
    </row>
    <row r="136" spans="1:7">
      <c r="A136" t="s">
        <v>485</v>
      </c>
      <c r="F136">
        <v>284712.76545254962</v>
      </c>
    </row>
    <row r="137" spans="1:7">
      <c r="A137" t="s">
        <v>486</v>
      </c>
      <c r="F137">
        <v>284866.99023864075</v>
      </c>
    </row>
    <row r="138" spans="1:7">
      <c r="A138" t="s">
        <v>487</v>
      </c>
      <c r="F138">
        <v>350262.28037463955</v>
      </c>
    </row>
    <row r="139" spans="1:7">
      <c r="A139" t="s">
        <v>488</v>
      </c>
      <c r="F139">
        <v>309245.45124745189</v>
      </c>
    </row>
    <row r="140" spans="1:7">
      <c r="A140" t="s">
        <v>489</v>
      </c>
      <c r="F140">
        <v>9064.5020711270372</v>
      </c>
    </row>
    <row r="141" spans="1:7">
      <c r="A141" t="s">
        <v>490</v>
      </c>
      <c r="F141">
        <v>303563.00413299736</v>
      </c>
    </row>
    <row r="142" spans="1:7">
      <c r="A142" t="s">
        <v>491</v>
      </c>
      <c r="B142">
        <v>3</v>
      </c>
      <c r="C142">
        <v>44239893</v>
      </c>
      <c r="D142">
        <f>18.161*0.35*24</f>
        <v>152.55240000000001</v>
      </c>
      <c r="E142">
        <f>C142/D142</f>
        <v>289998.01379722636</v>
      </c>
      <c r="F142">
        <v>349858.68309523741</v>
      </c>
      <c r="G142">
        <f>E142-F142</f>
        <v>-59860.669298011053</v>
      </c>
    </row>
    <row r="143" spans="1:7">
      <c r="A143" t="s">
        <v>492</v>
      </c>
      <c r="F143">
        <v>345541.22084076545</v>
      </c>
    </row>
  </sheetData>
  <pageMargins left="0.75" right="0.75" top="1" bottom="1" header="0.51180555555555496" footer="0.51180555555555496"/>
  <pageSetup paperSize="34" firstPageNumber="0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3"/>
  <sheetViews>
    <sheetView workbookViewId="0">
      <pane ySplit="2" topLeftCell="A3" activePane="bottomLeft" state="frozen"/>
      <selection pane="bottomLeft" activeCell="J3" sqref="J3"/>
    </sheetView>
  </sheetViews>
  <sheetFormatPr baseColWidth="10" defaultRowHeight="15" x14ac:dyDescent="0"/>
  <cols>
    <col min="1" max="1" width="13.83203125" customWidth="1"/>
    <col min="2" max="2" width="24.33203125" customWidth="1"/>
    <col min="3" max="3" width="12.5" customWidth="1"/>
    <col min="4" max="6" width="12.1640625" customWidth="1"/>
    <col min="8" max="8" width="12.83203125" customWidth="1"/>
    <col min="10" max="10" width="14.1640625" customWidth="1"/>
    <col min="11" max="12" width="13.5" customWidth="1"/>
  </cols>
  <sheetData>
    <row r="1" spans="1:14">
      <c r="C1" s="43" t="s">
        <v>2</v>
      </c>
      <c r="D1" s="43"/>
      <c r="E1" s="32" t="s">
        <v>1408</v>
      </c>
      <c r="F1" s="32" t="s">
        <v>1408</v>
      </c>
      <c r="G1" s="43" t="s">
        <v>4</v>
      </c>
      <c r="H1" s="43"/>
      <c r="I1" s="43" t="s">
        <v>5</v>
      </c>
      <c r="J1" s="43"/>
      <c r="K1" s="44" t="s">
        <v>1394</v>
      </c>
      <c r="L1" s="44"/>
      <c r="M1" s="44" t="s">
        <v>1395</v>
      </c>
      <c r="N1" s="44"/>
    </row>
    <row r="2" spans="1:14">
      <c r="B2" s="1"/>
      <c r="C2" s="1" t="s">
        <v>8</v>
      </c>
      <c r="D2" s="1" t="s">
        <v>9</v>
      </c>
      <c r="E2" s="1" t="s">
        <v>8</v>
      </c>
      <c r="F2" s="1" t="s">
        <v>9</v>
      </c>
      <c r="G2" s="1" t="s">
        <v>8</v>
      </c>
      <c r="H2" s="1" t="s">
        <v>9</v>
      </c>
      <c r="I2" s="1" t="s">
        <v>8</v>
      </c>
      <c r="J2" s="1" t="s">
        <v>9</v>
      </c>
      <c r="K2" s="1" t="s">
        <v>8</v>
      </c>
      <c r="L2" s="1" t="s">
        <v>9</v>
      </c>
      <c r="M2" s="1" t="s">
        <v>8</v>
      </c>
      <c r="N2" s="33" t="s">
        <v>9</v>
      </c>
    </row>
    <row r="3" spans="1:14">
      <c r="A3" t="s">
        <v>1308</v>
      </c>
      <c r="B3" s="30" t="s">
        <v>1130</v>
      </c>
      <c r="C3">
        <v>0</v>
      </c>
      <c r="D3">
        <v>1</v>
      </c>
      <c r="G3">
        <v>0</v>
      </c>
      <c r="H3">
        <v>1</v>
      </c>
      <c r="I3">
        <v>0</v>
      </c>
      <c r="J3">
        <v>0</v>
      </c>
      <c r="K3">
        <v>1</v>
      </c>
      <c r="L3">
        <v>0</v>
      </c>
      <c r="M3">
        <v>1</v>
      </c>
      <c r="N3" s="28">
        <v>0</v>
      </c>
    </row>
    <row r="4" spans="1:14">
      <c r="A4" t="s">
        <v>1335</v>
      </c>
      <c r="B4" s="30" t="s">
        <v>1149</v>
      </c>
      <c r="C4">
        <v>0</v>
      </c>
      <c r="D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 s="11">
        <v>0</v>
      </c>
    </row>
    <row r="5" spans="1:14">
      <c r="A5" t="s">
        <v>1313</v>
      </c>
      <c r="B5" s="30" t="s">
        <v>1400</v>
      </c>
      <c r="C5">
        <v>1</v>
      </c>
      <c r="D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 s="11">
        <v>0</v>
      </c>
    </row>
    <row r="6" spans="1:14">
      <c r="A6" t="s">
        <v>1284</v>
      </c>
      <c r="B6" s="30" t="s">
        <v>1105</v>
      </c>
      <c r="C6">
        <v>0</v>
      </c>
      <c r="D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 s="11">
        <v>0</v>
      </c>
    </row>
    <row r="7" spans="1:14">
      <c r="A7" t="s">
        <v>1293</v>
      </c>
      <c r="B7" s="30" t="s">
        <v>1113</v>
      </c>
      <c r="C7">
        <v>0</v>
      </c>
      <c r="D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 s="11">
        <v>0</v>
      </c>
    </row>
    <row r="8" spans="1:14">
      <c r="A8" t="s">
        <v>1379</v>
      </c>
      <c r="B8" s="30" t="s">
        <v>1378</v>
      </c>
      <c r="C8">
        <v>0</v>
      </c>
      <c r="D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 s="11">
        <v>0</v>
      </c>
    </row>
    <row r="9" spans="1:14">
      <c r="A9" t="s">
        <v>1397</v>
      </c>
      <c r="B9" s="30" t="s">
        <v>1396</v>
      </c>
      <c r="C9">
        <v>0</v>
      </c>
      <c r="D9">
        <v>0</v>
      </c>
      <c r="G9">
        <v>1</v>
      </c>
      <c r="H9">
        <v>1</v>
      </c>
      <c r="I9">
        <v>0</v>
      </c>
      <c r="J9">
        <v>0</v>
      </c>
      <c r="K9">
        <v>0</v>
      </c>
      <c r="L9">
        <v>0</v>
      </c>
      <c r="M9">
        <v>1</v>
      </c>
      <c r="N9" s="11">
        <v>0</v>
      </c>
    </row>
    <row r="10" spans="1:14">
      <c r="A10" t="s">
        <v>1337</v>
      </c>
      <c r="B10" s="30" t="s">
        <v>1151</v>
      </c>
      <c r="C10">
        <v>1</v>
      </c>
      <c r="D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0</v>
      </c>
      <c r="M10">
        <v>1</v>
      </c>
      <c r="N10" s="11">
        <v>0</v>
      </c>
    </row>
    <row r="11" spans="1:14">
      <c r="A11" t="s">
        <v>1305</v>
      </c>
      <c r="B11" s="30" t="s">
        <v>1166</v>
      </c>
      <c r="C11">
        <v>1</v>
      </c>
      <c r="D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 s="11">
        <v>0</v>
      </c>
    </row>
    <row r="12" spans="1:14">
      <c r="A12" t="s">
        <v>1298</v>
      </c>
      <c r="B12" s="30" t="s">
        <v>1118</v>
      </c>
      <c r="C12" s="11">
        <v>0</v>
      </c>
      <c r="D12" s="11">
        <v>1</v>
      </c>
      <c r="E12" s="11"/>
      <c r="F12" s="11"/>
      <c r="G12" s="11">
        <v>0</v>
      </c>
      <c r="H12" s="11">
        <v>1</v>
      </c>
      <c r="I12" s="11">
        <v>0</v>
      </c>
      <c r="J12" s="11">
        <v>0</v>
      </c>
      <c r="K12" s="11">
        <v>1</v>
      </c>
      <c r="L12" s="11">
        <v>0</v>
      </c>
      <c r="M12" s="11">
        <v>1</v>
      </c>
      <c r="N12" s="11">
        <v>0</v>
      </c>
    </row>
    <row r="13" spans="1:14">
      <c r="A13" t="s">
        <v>1384</v>
      </c>
      <c r="B13" s="30" t="s">
        <v>1385</v>
      </c>
      <c r="C13">
        <v>1</v>
      </c>
      <c r="D13">
        <v>1</v>
      </c>
      <c r="G13">
        <v>1</v>
      </c>
      <c r="H13">
        <v>1</v>
      </c>
      <c r="I13">
        <v>0</v>
      </c>
      <c r="J13">
        <v>0</v>
      </c>
      <c r="K13">
        <v>1</v>
      </c>
      <c r="L13" s="11">
        <v>1</v>
      </c>
      <c r="M13">
        <v>1</v>
      </c>
      <c r="N13" s="11">
        <v>1</v>
      </c>
    </row>
    <row r="14" spans="1:14">
      <c r="A14" t="s">
        <v>1370</v>
      </c>
      <c r="B14" s="30" t="s">
        <v>1369</v>
      </c>
      <c r="C14">
        <v>0</v>
      </c>
      <c r="D14">
        <v>0</v>
      </c>
      <c r="G14">
        <v>0</v>
      </c>
      <c r="H14">
        <v>0</v>
      </c>
      <c r="I14">
        <v>0</v>
      </c>
      <c r="J14">
        <v>0</v>
      </c>
      <c r="K14">
        <v>1</v>
      </c>
      <c r="L14" s="11">
        <v>0</v>
      </c>
      <c r="M14">
        <v>1</v>
      </c>
      <c r="N14" s="11">
        <v>0</v>
      </c>
    </row>
    <row r="15" spans="1:14">
      <c r="A15" t="s">
        <v>1354</v>
      </c>
      <c r="B15" s="30" t="s">
        <v>1272</v>
      </c>
      <c r="C15">
        <v>0</v>
      </c>
      <c r="D15">
        <v>0</v>
      </c>
      <c r="G15">
        <v>0</v>
      </c>
      <c r="H15">
        <v>0</v>
      </c>
      <c r="I15">
        <v>0</v>
      </c>
      <c r="J15">
        <v>0</v>
      </c>
      <c r="K15">
        <v>0</v>
      </c>
      <c r="L15" s="11">
        <v>0</v>
      </c>
      <c r="M15">
        <v>1</v>
      </c>
      <c r="N15" s="11">
        <v>0</v>
      </c>
    </row>
    <row r="16" spans="1:14">
      <c r="A16" t="s">
        <v>1399</v>
      </c>
      <c r="B16" s="30" t="s">
        <v>1398</v>
      </c>
      <c r="C16">
        <v>1</v>
      </c>
      <c r="D16">
        <v>1</v>
      </c>
      <c r="G16">
        <v>0</v>
      </c>
      <c r="H16">
        <v>0</v>
      </c>
      <c r="I16">
        <v>1</v>
      </c>
      <c r="J16">
        <v>0</v>
      </c>
      <c r="K16">
        <v>1</v>
      </c>
      <c r="L16" s="11">
        <v>0</v>
      </c>
      <c r="M16">
        <v>1</v>
      </c>
      <c r="N16" s="11">
        <v>0</v>
      </c>
    </row>
    <row r="17" spans="1:14">
      <c r="A17" t="s">
        <v>1336</v>
      </c>
      <c r="B17" s="30" t="s">
        <v>1150</v>
      </c>
      <c r="C17">
        <v>0</v>
      </c>
      <c r="D17">
        <v>0</v>
      </c>
      <c r="G17">
        <v>0</v>
      </c>
      <c r="H17">
        <v>0</v>
      </c>
      <c r="I17">
        <v>0</v>
      </c>
      <c r="J17">
        <v>0</v>
      </c>
      <c r="K17">
        <v>1</v>
      </c>
      <c r="L17" s="11">
        <v>0</v>
      </c>
      <c r="M17">
        <v>1</v>
      </c>
      <c r="N17" s="11">
        <v>1</v>
      </c>
    </row>
    <row r="18" spans="1:14">
      <c r="A18" t="s">
        <v>1350</v>
      </c>
      <c r="B18" s="30" t="s">
        <v>1164</v>
      </c>
      <c r="C18">
        <v>1</v>
      </c>
      <c r="D18">
        <v>1</v>
      </c>
      <c r="G18">
        <v>1</v>
      </c>
      <c r="H18">
        <v>1</v>
      </c>
      <c r="I18">
        <v>0</v>
      </c>
      <c r="J18">
        <v>0</v>
      </c>
      <c r="K18">
        <v>1</v>
      </c>
      <c r="L18" s="11">
        <v>1</v>
      </c>
      <c r="M18">
        <v>1</v>
      </c>
      <c r="N18" s="11">
        <v>1</v>
      </c>
    </row>
    <row r="19" spans="1:14">
      <c r="A19" t="s">
        <v>1351</v>
      </c>
      <c r="B19" s="30" t="s">
        <v>1165</v>
      </c>
      <c r="C19">
        <v>0</v>
      </c>
      <c r="D19">
        <v>0</v>
      </c>
      <c r="G19">
        <v>0</v>
      </c>
      <c r="H19">
        <v>0</v>
      </c>
      <c r="I19">
        <v>0</v>
      </c>
      <c r="J19">
        <v>0</v>
      </c>
      <c r="K19">
        <v>0</v>
      </c>
      <c r="L19" s="11">
        <v>0</v>
      </c>
      <c r="M19">
        <v>1</v>
      </c>
      <c r="N19" s="11">
        <v>0</v>
      </c>
    </row>
    <row r="20" spans="1:14">
      <c r="A20" t="s">
        <v>1352</v>
      </c>
      <c r="B20" s="30" t="s">
        <v>1208</v>
      </c>
      <c r="C20">
        <v>0</v>
      </c>
      <c r="D20">
        <v>1</v>
      </c>
      <c r="G20">
        <v>1</v>
      </c>
      <c r="H20">
        <v>0</v>
      </c>
      <c r="I20">
        <v>1</v>
      </c>
      <c r="J20">
        <v>0</v>
      </c>
      <c r="K20">
        <v>1</v>
      </c>
      <c r="L20" s="11">
        <v>1</v>
      </c>
      <c r="M20">
        <v>1</v>
      </c>
      <c r="N20" s="11">
        <v>0</v>
      </c>
    </row>
    <row r="21" spans="1:14">
      <c r="A21" t="s">
        <v>1355</v>
      </c>
      <c r="B21" s="30" t="s">
        <v>1273</v>
      </c>
      <c r="C21">
        <v>0</v>
      </c>
      <c r="D21">
        <v>0</v>
      </c>
      <c r="G21">
        <v>1</v>
      </c>
      <c r="H21">
        <v>0</v>
      </c>
      <c r="I21">
        <v>1</v>
      </c>
      <c r="J21">
        <v>0</v>
      </c>
      <c r="K21">
        <v>0</v>
      </c>
      <c r="L21" s="11">
        <v>0</v>
      </c>
      <c r="M21">
        <v>1</v>
      </c>
      <c r="N21" s="11">
        <v>1</v>
      </c>
    </row>
    <row r="22" spans="1:14">
      <c r="A22" t="s">
        <v>1353</v>
      </c>
      <c r="B22" s="30" t="s">
        <v>1209</v>
      </c>
      <c r="C22">
        <v>0</v>
      </c>
      <c r="D22">
        <v>1</v>
      </c>
      <c r="G22">
        <v>0</v>
      </c>
      <c r="H22">
        <v>0</v>
      </c>
      <c r="I22">
        <v>0</v>
      </c>
      <c r="J22">
        <v>0</v>
      </c>
      <c r="K22">
        <v>1</v>
      </c>
      <c r="L22" s="11">
        <v>0</v>
      </c>
      <c r="M22">
        <v>1</v>
      </c>
      <c r="N22" s="11">
        <v>0</v>
      </c>
    </row>
    <row r="23" spans="1:14">
      <c r="A23" t="s">
        <v>1356</v>
      </c>
      <c r="B23" s="30" t="s">
        <v>1274</v>
      </c>
      <c r="C23">
        <v>0</v>
      </c>
      <c r="D23">
        <v>1</v>
      </c>
      <c r="G23">
        <v>0</v>
      </c>
      <c r="H23">
        <v>0</v>
      </c>
      <c r="I23">
        <v>0</v>
      </c>
      <c r="J23">
        <v>0</v>
      </c>
      <c r="K23">
        <v>0</v>
      </c>
      <c r="L23" s="11">
        <v>0</v>
      </c>
      <c r="M23">
        <v>1</v>
      </c>
      <c r="N23" s="11">
        <v>0</v>
      </c>
    </row>
    <row r="24" spans="1:14">
      <c r="A24" t="s">
        <v>1402</v>
      </c>
      <c r="B24" s="30" t="s">
        <v>1401</v>
      </c>
      <c r="C24">
        <v>0</v>
      </c>
      <c r="D24">
        <v>0</v>
      </c>
      <c r="G24">
        <v>0</v>
      </c>
      <c r="H24">
        <v>0</v>
      </c>
      <c r="I24">
        <v>0</v>
      </c>
      <c r="J24">
        <v>0</v>
      </c>
      <c r="K24">
        <v>0</v>
      </c>
      <c r="L24" s="11">
        <v>0</v>
      </c>
      <c r="M24">
        <v>1</v>
      </c>
      <c r="N24" s="11">
        <v>1</v>
      </c>
    </row>
    <row r="25" spans="1:14">
      <c r="A25" t="s">
        <v>1345</v>
      </c>
      <c r="B25" s="30" t="s">
        <v>1159</v>
      </c>
      <c r="C25">
        <v>0</v>
      </c>
      <c r="D25">
        <v>0</v>
      </c>
      <c r="G25">
        <v>0</v>
      </c>
      <c r="H25">
        <v>0</v>
      </c>
      <c r="I25">
        <v>0</v>
      </c>
      <c r="J25">
        <v>0</v>
      </c>
      <c r="K25">
        <v>0</v>
      </c>
      <c r="L25" s="11">
        <v>0</v>
      </c>
      <c r="M25">
        <v>0</v>
      </c>
      <c r="N25" s="11">
        <v>0</v>
      </c>
    </row>
    <row r="26" spans="1:14">
      <c r="A26" t="s">
        <v>1325</v>
      </c>
      <c r="B26" s="30" t="s">
        <v>1142</v>
      </c>
      <c r="C26">
        <v>1</v>
      </c>
      <c r="D26">
        <v>1</v>
      </c>
      <c r="G26">
        <v>0</v>
      </c>
      <c r="H26">
        <v>1</v>
      </c>
      <c r="I26">
        <v>1</v>
      </c>
      <c r="J26">
        <v>1</v>
      </c>
      <c r="K26">
        <v>1</v>
      </c>
      <c r="L26" s="11">
        <v>1</v>
      </c>
      <c r="M26">
        <v>1</v>
      </c>
      <c r="N26" s="11">
        <v>1</v>
      </c>
    </row>
    <row r="27" spans="1:14">
      <c r="A27" t="s">
        <v>1326</v>
      </c>
      <c r="B27" s="30" t="s">
        <v>1143</v>
      </c>
      <c r="C27">
        <v>1</v>
      </c>
      <c r="D27">
        <v>1</v>
      </c>
      <c r="G27">
        <v>0</v>
      </c>
      <c r="H27">
        <v>0</v>
      </c>
      <c r="I27">
        <v>0</v>
      </c>
      <c r="J27">
        <v>0</v>
      </c>
      <c r="K27">
        <v>1</v>
      </c>
      <c r="L27" s="11">
        <v>0</v>
      </c>
      <c r="M27">
        <v>1</v>
      </c>
      <c r="N27" s="11">
        <v>0</v>
      </c>
    </row>
    <row r="28" spans="1:14">
      <c r="A28" t="s">
        <v>1382</v>
      </c>
      <c r="B28" s="30" t="s">
        <v>1383</v>
      </c>
      <c r="C28">
        <v>1</v>
      </c>
      <c r="D28">
        <v>1</v>
      </c>
      <c r="G28">
        <v>1</v>
      </c>
      <c r="H28">
        <v>1</v>
      </c>
      <c r="I28">
        <v>0</v>
      </c>
      <c r="J28">
        <v>0</v>
      </c>
      <c r="K28">
        <v>0</v>
      </c>
      <c r="L28" s="11">
        <v>0</v>
      </c>
      <c r="M28">
        <v>1</v>
      </c>
      <c r="N28" s="11">
        <v>0</v>
      </c>
    </row>
    <row r="29" spans="1:14">
      <c r="A29" t="s">
        <v>1299</v>
      </c>
      <c r="B29" s="30" t="s">
        <v>1119</v>
      </c>
      <c r="C29" s="11">
        <v>0</v>
      </c>
      <c r="D29" s="11">
        <v>0</v>
      </c>
      <c r="E29" s="11"/>
      <c r="F29" s="11"/>
      <c r="G29" s="11">
        <v>1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</row>
    <row r="30" spans="1:14">
      <c r="A30" t="s">
        <v>1285</v>
      </c>
      <c r="B30" s="30" t="s">
        <v>1106</v>
      </c>
      <c r="C30">
        <v>1</v>
      </c>
      <c r="D30">
        <v>1</v>
      </c>
      <c r="G30">
        <v>0</v>
      </c>
      <c r="H30">
        <v>1</v>
      </c>
      <c r="I30">
        <v>0</v>
      </c>
      <c r="J30">
        <v>0</v>
      </c>
      <c r="K30">
        <v>0</v>
      </c>
      <c r="L30" s="11">
        <v>0</v>
      </c>
      <c r="M30">
        <v>0</v>
      </c>
      <c r="N30" s="11">
        <v>0</v>
      </c>
    </row>
    <row r="31" spans="1:14">
      <c r="A31" t="s">
        <v>1307</v>
      </c>
      <c r="B31" s="30" t="s">
        <v>1371</v>
      </c>
      <c r="C31">
        <v>0</v>
      </c>
      <c r="D31">
        <v>0</v>
      </c>
      <c r="G31">
        <v>0</v>
      </c>
      <c r="H31">
        <v>0</v>
      </c>
      <c r="I31">
        <v>0</v>
      </c>
      <c r="J31">
        <v>0</v>
      </c>
      <c r="K31">
        <v>0</v>
      </c>
      <c r="L31" s="11">
        <v>0</v>
      </c>
      <c r="M31">
        <v>0</v>
      </c>
      <c r="N31" s="11">
        <v>0</v>
      </c>
    </row>
    <row r="32" spans="1:14">
      <c r="A32" t="s">
        <v>1360</v>
      </c>
      <c r="B32" s="30" t="s">
        <v>1359</v>
      </c>
      <c r="C32">
        <v>0</v>
      </c>
      <c r="D32">
        <v>0</v>
      </c>
      <c r="G32">
        <v>0</v>
      </c>
      <c r="H32">
        <v>0</v>
      </c>
      <c r="I32">
        <v>0</v>
      </c>
      <c r="J32">
        <v>0</v>
      </c>
      <c r="K32">
        <v>0</v>
      </c>
      <c r="L32" s="11">
        <v>0</v>
      </c>
      <c r="M32">
        <v>1</v>
      </c>
      <c r="N32" s="11">
        <v>0</v>
      </c>
    </row>
    <row r="33" spans="1:14">
      <c r="A33" t="s">
        <v>1333</v>
      </c>
      <c r="B33" s="30" t="s">
        <v>1169</v>
      </c>
      <c r="C33">
        <v>1</v>
      </c>
      <c r="D33">
        <v>1</v>
      </c>
      <c r="G33">
        <v>0</v>
      </c>
      <c r="H33">
        <v>0</v>
      </c>
      <c r="I33">
        <v>1</v>
      </c>
      <c r="J33">
        <v>1</v>
      </c>
      <c r="K33">
        <v>1</v>
      </c>
      <c r="L33" s="11">
        <v>1</v>
      </c>
      <c r="M33">
        <v>1</v>
      </c>
      <c r="N33" s="11">
        <v>0</v>
      </c>
    </row>
    <row r="34" spans="1:14">
      <c r="A34" t="s">
        <v>1319</v>
      </c>
      <c r="B34" s="30" t="s">
        <v>1136</v>
      </c>
      <c r="C34">
        <v>0</v>
      </c>
      <c r="D34">
        <v>0</v>
      </c>
      <c r="G34">
        <v>0</v>
      </c>
      <c r="H34">
        <v>0</v>
      </c>
      <c r="I34">
        <v>0</v>
      </c>
      <c r="J34">
        <v>0</v>
      </c>
      <c r="K34">
        <v>0</v>
      </c>
      <c r="L34" s="11">
        <v>0</v>
      </c>
      <c r="M34">
        <v>0</v>
      </c>
      <c r="N34" s="11">
        <v>0</v>
      </c>
    </row>
    <row r="35" spans="1:14">
      <c r="A35" t="s">
        <v>1386</v>
      </c>
      <c r="B35" s="29" t="s">
        <v>1387</v>
      </c>
      <c r="C35" s="27">
        <v>1</v>
      </c>
      <c r="D35" s="27">
        <v>1</v>
      </c>
      <c r="E35" s="27"/>
      <c r="F35" s="27"/>
      <c r="G35" s="27">
        <v>1</v>
      </c>
      <c r="H35" s="27">
        <v>1</v>
      </c>
      <c r="I35" s="27">
        <v>0</v>
      </c>
      <c r="J35" s="27">
        <v>0</v>
      </c>
      <c r="K35" s="27">
        <v>1</v>
      </c>
      <c r="L35" s="27">
        <v>0</v>
      </c>
      <c r="M35" s="27">
        <v>1</v>
      </c>
      <c r="N35" s="27">
        <v>0</v>
      </c>
    </row>
    <row r="36" spans="1:14">
      <c r="A36" t="s">
        <v>1346</v>
      </c>
      <c r="B36" s="30" t="s">
        <v>1160</v>
      </c>
      <c r="C36">
        <v>0</v>
      </c>
      <c r="D36">
        <v>0</v>
      </c>
      <c r="G36">
        <v>0</v>
      </c>
      <c r="H36">
        <v>0</v>
      </c>
      <c r="I36">
        <v>0</v>
      </c>
      <c r="J36">
        <v>0</v>
      </c>
      <c r="K36">
        <v>0</v>
      </c>
      <c r="L36" s="27">
        <v>0</v>
      </c>
      <c r="M36">
        <v>0</v>
      </c>
      <c r="N36" s="27">
        <v>0</v>
      </c>
    </row>
    <row r="37" spans="1:14">
      <c r="A37" t="s">
        <v>1300</v>
      </c>
      <c r="B37" s="30" t="s">
        <v>1120</v>
      </c>
      <c r="C37" s="11">
        <v>1</v>
      </c>
      <c r="D37" s="11">
        <v>1</v>
      </c>
      <c r="E37" s="11"/>
      <c r="F37" s="11"/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27">
        <v>0</v>
      </c>
      <c r="M37" s="11">
        <v>0</v>
      </c>
      <c r="N37" s="27">
        <v>0</v>
      </c>
    </row>
    <row r="38" spans="1:14">
      <c r="A38" t="s">
        <v>1301</v>
      </c>
      <c r="B38" s="30" t="s">
        <v>1121</v>
      </c>
      <c r="C38" s="11">
        <v>1</v>
      </c>
      <c r="D38" s="11">
        <v>0</v>
      </c>
      <c r="E38" s="11"/>
      <c r="F38" s="11"/>
      <c r="G38" s="11">
        <v>1</v>
      </c>
      <c r="H38" s="11">
        <v>0</v>
      </c>
      <c r="I38" s="11">
        <v>0</v>
      </c>
      <c r="J38" s="11">
        <v>0</v>
      </c>
      <c r="K38" s="11">
        <v>0</v>
      </c>
      <c r="L38" s="27">
        <v>0</v>
      </c>
      <c r="M38" s="11">
        <v>1</v>
      </c>
      <c r="N38" s="27">
        <v>0</v>
      </c>
    </row>
    <row r="39" spans="1:14">
      <c r="A39" t="s">
        <v>1315</v>
      </c>
      <c r="B39" s="30" t="s">
        <v>1388</v>
      </c>
      <c r="C39">
        <v>1</v>
      </c>
      <c r="D39">
        <v>1</v>
      </c>
      <c r="G39">
        <v>0</v>
      </c>
      <c r="H39">
        <v>1</v>
      </c>
      <c r="I39">
        <v>0</v>
      </c>
      <c r="J39">
        <v>1</v>
      </c>
      <c r="K39">
        <v>1</v>
      </c>
      <c r="L39" s="27">
        <v>1</v>
      </c>
      <c r="M39">
        <v>1</v>
      </c>
      <c r="N39" s="27">
        <v>0</v>
      </c>
    </row>
    <row r="40" spans="1:14">
      <c r="A40" t="s">
        <v>1344</v>
      </c>
      <c r="B40" s="30" t="s">
        <v>1158</v>
      </c>
      <c r="C40">
        <v>1</v>
      </c>
      <c r="D40">
        <v>0</v>
      </c>
      <c r="G40">
        <v>0</v>
      </c>
      <c r="H40">
        <v>0</v>
      </c>
      <c r="I40">
        <v>0</v>
      </c>
      <c r="J40">
        <v>0</v>
      </c>
      <c r="K40">
        <v>0</v>
      </c>
      <c r="L40" s="27">
        <v>1</v>
      </c>
      <c r="M40">
        <v>0</v>
      </c>
      <c r="N40" s="27">
        <v>0</v>
      </c>
    </row>
    <row r="41" spans="1:14">
      <c r="A41" t="s">
        <v>1347</v>
      </c>
      <c r="B41" s="30" t="s">
        <v>1161</v>
      </c>
      <c r="C41">
        <v>0</v>
      </c>
      <c r="D41">
        <v>0</v>
      </c>
      <c r="G41">
        <v>0</v>
      </c>
      <c r="H41">
        <v>0</v>
      </c>
      <c r="I41">
        <v>0</v>
      </c>
      <c r="J41">
        <v>0</v>
      </c>
      <c r="K41">
        <v>0</v>
      </c>
      <c r="L41" s="27">
        <v>0</v>
      </c>
      <c r="M41">
        <v>0</v>
      </c>
      <c r="N41" s="27">
        <v>0</v>
      </c>
    </row>
    <row r="42" spans="1:14">
      <c r="A42" t="s">
        <v>1323</v>
      </c>
      <c r="B42" s="30" t="s">
        <v>1140</v>
      </c>
      <c r="C42">
        <v>1</v>
      </c>
      <c r="D42">
        <v>1</v>
      </c>
      <c r="G42">
        <v>1</v>
      </c>
      <c r="H42">
        <v>1</v>
      </c>
      <c r="I42">
        <v>0</v>
      </c>
      <c r="J42">
        <v>0</v>
      </c>
      <c r="K42">
        <v>1</v>
      </c>
      <c r="L42" s="27">
        <v>1</v>
      </c>
      <c r="M42">
        <v>1</v>
      </c>
      <c r="N42" s="27">
        <v>0</v>
      </c>
    </row>
    <row r="43" spans="1:14">
      <c r="A43" t="s">
        <v>1342</v>
      </c>
      <c r="B43" s="30" t="s">
        <v>1389</v>
      </c>
      <c r="C43">
        <v>1</v>
      </c>
      <c r="D43">
        <v>1</v>
      </c>
      <c r="G43">
        <v>1</v>
      </c>
      <c r="H43">
        <v>1</v>
      </c>
      <c r="I43">
        <v>1</v>
      </c>
      <c r="J43">
        <v>1</v>
      </c>
      <c r="K43">
        <v>1</v>
      </c>
      <c r="L43" s="27">
        <v>0</v>
      </c>
      <c r="M43">
        <v>1</v>
      </c>
      <c r="N43" s="27">
        <v>0</v>
      </c>
    </row>
    <row r="44" spans="1:14">
      <c r="A44" t="s">
        <v>1327</v>
      </c>
      <c r="B44" s="30" t="s">
        <v>1144</v>
      </c>
      <c r="C44">
        <v>0</v>
      </c>
      <c r="D44">
        <v>0</v>
      </c>
      <c r="G44">
        <v>0</v>
      </c>
      <c r="H44">
        <v>0</v>
      </c>
      <c r="I44">
        <v>0</v>
      </c>
      <c r="J44">
        <v>0</v>
      </c>
      <c r="K44">
        <v>0</v>
      </c>
      <c r="L44" s="27">
        <v>0</v>
      </c>
      <c r="M44">
        <v>0</v>
      </c>
      <c r="N44" s="27">
        <v>0</v>
      </c>
    </row>
    <row r="45" spans="1:14">
      <c r="A45" t="s">
        <v>1332</v>
      </c>
      <c r="B45" s="30" t="s">
        <v>1168</v>
      </c>
      <c r="C45">
        <v>0</v>
      </c>
      <c r="D45">
        <v>0</v>
      </c>
      <c r="G45">
        <v>0</v>
      </c>
      <c r="H45">
        <v>0</v>
      </c>
      <c r="I45">
        <v>0</v>
      </c>
      <c r="J45">
        <v>0</v>
      </c>
      <c r="K45">
        <v>0</v>
      </c>
      <c r="L45" s="27">
        <v>0</v>
      </c>
      <c r="M45">
        <v>1</v>
      </c>
      <c r="N45" s="27">
        <v>0</v>
      </c>
    </row>
    <row r="46" spans="1:14">
      <c r="A46" t="s">
        <v>1343</v>
      </c>
      <c r="B46" s="30" t="s">
        <v>1156</v>
      </c>
      <c r="C46">
        <v>0</v>
      </c>
      <c r="D46">
        <v>0</v>
      </c>
      <c r="G46">
        <v>1</v>
      </c>
      <c r="H46">
        <v>0</v>
      </c>
      <c r="I46">
        <v>0</v>
      </c>
      <c r="J46">
        <v>0</v>
      </c>
      <c r="K46">
        <v>1</v>
      </c>
      <c r="L46" s="27">
        <v>0</v>
      </c>
      <c r="M46">
        <v>1</v>
      </c>
      <c r="N46" s="27">
        <v>0</v>
      </c>
    </row>
    <row r="47" spans="1:14">
      <c r="A47" t="s">
        <v>1279</v>
      </c>
      <c r="B47" s="30" t="s">
        <v>1100</v>
      </c>
      <c r="C47" s="11">
        <v>0</v>
      </c>
      <c r="D47" s="11">
        <v>0</v>
      </c>
      <c r="E47" s="11"/>
      <c r="F47" s="11"/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27">
        <v>0</v>
      </c>
      <c r="M47" s="11">
        <v>0</v>
      </c>
      <c r="N47" s="27">
        <v>0</v>
      </c>
    </row>
    <row r="48" spans="1:14">
      <c r="A48" t="s">
        <v>1283</v>
      </c>
      <c r="B48" s="30" t="s">
        <v>1104</v>
      </c>
      <c r="C48">
        <v>0</v>
      </c>
      <c r="D48">
        <v>0</v>
      </c>
      <c r="G48">
        <v>0</v>
      </c>
      <c r="H48">
        <v>0</v>
      </c>
      <c r="I48">
        <v>0</v>
      </c>
      <c r="J48">
        <v>0</v>
      </c>
      <c r="K48">
        <v>0</v>
      </c>
      <c r="L48" s="27">
        <v>0</v>
      </c>
      <c r="M48">
        <v>0</v>
      </c>
      <c r="N48" s="27">
        <v>1</v>
      </c>
    </row>
    <row r="49" spans="1:14">
      <c r="A49" t="s">
        <v>1310</v>
      </c>
      <c r="B49" s="30" t="s">
        <v>1132</v>
      </c>
      <c r="C49">
        <v>0</v>
      </c>
      <c r="D49">
        <v>0</v>
      </c>
      <c r="G49">
        <v>0</v>
      </c>
      <c r="H49">
        <v>0</v>
      </c>
      <c r="I49">
        <v>0</v>
      </c>
      <c r="J49">
        <v>0</v>
      </c>
      <c r="K49">
        <v>0</v>
      </c>
      <c r="L49" s="27">
        <v>0</v>
      </c>
      <c r="M49">
        <v>0</v>
      </c>
      <c r="N49" s="27">
        <v>0</v>
      </c>
    </row>
    <row r="50" spans="1:14">
      <c r="A50" t="s">
        <v>1294</v>
      </c>
      <c r="B50" s="30" t="s">
        <v>1114</v>
      </c>
      <c r="C50">
        <v>0</v>
      </c>
      <c r="D50">
        <v>0</v>
      </c>
      <c r="G50">
        <v>0</v>
      </c>
      <c r="H50">
        <v>0</v>
      </c>
      <c r="I50">
        <v>0</v>
      </c>
      <c r="J50">
        <v>0</v>
      </c>
      <c r="K50">
        <v>0</v>
      </c>
      <c r="L50" s="27">
        <v>0</v>
      </c>
      <c r="M50">
        <v>0</v>
      </c>
      <c r="N50" s="27">
        <v>0</v>
      </c>
    </row>
    <row r="51" spans="1:14">
      <c r="A51" t="s">
        <v>1320</v>
      </c>
      <c r="B51" s="30" t="s">
        <v>1137</v>
      </c>
      <c r="C51">
        <v>1</v>
      </c>
      <c r="D51">
        <v>1</v>
      </c>
      <c r="G51">
        <v>0</v>
      </c>
      <c r="H51">
        <v>0</v>
      </c>
      <c r="I51">
        <v>0</v>
      </c>
      <c r="J51">
        <v>0</v>
      </c>
      <c r="K51">
        <v>0</v>
      </c>
      <c r="L51" s="27">
        <v>0</v>
      </c>
      <c r="M51">
        <v>1</v>
      </c>
      <c r="N51" s="27">
        <v>0</v>
      </c>
    </row>
    <row r="52" spans="1:14">
      <c r="A52" t="s">
        <v>1316</v>
      </c>
      <c r="B52" s="30" t="s">
        <v>1134</v>
      </c>
      <c r="C52">
        <v>1</v>
      </c>
      <c r="D52">
        <v>1</v>
      </c>
      <c r="G52">
        <v>1</v>
      </c>
      <c r="H52">
        <v>1</v>
      </c>
      <c r="I52">
        <v>1</v>
      </c>
      <c r="J52">
        <v>1</v>
      </c>
      <c r="K52">
        <v>1</v>
      </c>
      <c r="L52" s="27">
        <v>0</v>
      </c>
      <c r="M52">
        <v>1</v>
      </c>
      <c r="N52" s="27">
        <v>0</v>
      </c>
    </row>
    <row r="53" spans="1:14">
      <c r="A53" t="s">
        <v>1280</v>
      </c>
      <c r="B53" s="30" t="s">
        <v>1101</v>
      </c>
      <c r="C53" s="11">
        <v>0</v>
      </c>
      <c r="D53" s="11">
        <v>0</v>
      </c>
      <c r="E53" s="11"/>
      <c r="F53" s="11"/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27">
        <v>0</v>
      </c>
      <c r="M53" s="11">
        <v>1</v>
      </c>
      <c r="N53" s="27">
        <v>0</v>
      </c>
    </row>
    <row r="54" spans="1:14">
      <c r="A54" t="s">
        <v>1348</v>
      </c>
      <c r="B54" s="30" t="s">
        <v>1162</v>
      </c>
      <c r="C54">
        <v>0</v>
      </c>
      <c r="D54">
        <v>0</v>
      </c>
      <c r="G54">
        <v>0</v>
      </c>
      <c r="H54">
        <v>0</v>
      </c>
      <c r="I54">
        <v>0</v>
      </c>
      <c r="J54">
        <v>0</v>
      </c>
      <c r="K54">
        <v>1</v>
      </c>
      <c r="L54" s="27">
        <v>0</v>
      </c>
      <c r="M54">
        <v>1</v>
      </c>
      <c r="N54" s="27">
        <v>0</v>
      </c>
    </row>
    <row r="55" spans="1:14">
      <c r="A55" t="s">
        <v>1357</v>
      </c>
      <c r="B55" s="30" t="s">
        <v>1390</v>
      </c>
      <c r="C55">
        <v>0</v>
      </c>
      <c r="D55">
        <v>0</v>
      </c>
      <c r="G55">
        <v>0</v>
      </c>
      <c r="H55">
        <v>0</v>
      </c>
      <c r="I55">
        <v>0</v>
      </c>
      <c r="J55">
        <v>0</v>
      </c>
      <c r="K55">
        <v>0</v>
      </c>
      <c r="L55" s="27">
        <v>0</v>
      </c>
      <c r="M55">
        <v>0</v>
      </c>
      <c r="N55" s="27">
        <v>1</v>
      </c>
    </row>
    <row r="56" spans="1:14">
      <c r="A56" t="s">
        <v>1309</v>
      </c>
      <c r="B56" s="30" t="s">
        <v>1131</v>
      </c>
      <c r="C56">
        <v>0</v>
      </c>
      <c r="D56">
        <v>0</v>
      </c>
      <c r="G56">
        <v>0</v>
      </c>
      <c r="H56">
        <v>0</v>
      </c>
      <c r="I56">
        <v>0</v>
      </c>
      <c r="J56">
        <v>0</v>
      </c>
      <c r="K56">
        <v>0</v>
      </c>
      <c r="L56" s="27">
        <v>0</v>
      </c>
      <c r="M56">
        <v>1</v>
      </c>
      <c r="N56" s="27">
        <v>0</v>
      </c>
    </row>
    <row r="57" spans="1:14">
      <c r="A57" t="s">
        <v>1295</v>
      </c>
      <c r="B57" s="30" t="s">
        <v>1115</v>
      </c>
      <c r="C57">
        <v>0</v>
      </c>
      <c r="D57">
        <v>0</v>
      </c>
      <c r="G57">
        <v>0</v>
      </c>
      <c r="H57">
        <v>0</v>
      </c>
      <c r="I57">
        <v>0</v>
      </c>
      <c r="J57">
        <v>0</v>
      </c>
      <c r="K57">
        <v>0</v>
      </c>
      <c r="L57" s="27">
        <v>0</v>
      </c>
      <c r="M57">
        <v>0</v>
      </c>
      <c r="N57" s="27">
        <v>0</v>
      </c>
    </row>
    <row r="58" spans="1:14">
      <c r="A58" t="s">
        <v>1338</v>
      </c>
      <c r="B58" s="30" t="s">
        <v>1152</v>
      </c>
      <c r="C58">
        <v>0</v>
      </c>
      <c r="D58">
        <v>0</v>
      </c>
      <c r="G58">
        <v>0</v>
      </c>
      <c r="H58">
        <v>0</v>
      </c>
      <c r="I58">
        <v>0</v>
      </c>
      <c r="J58">
        <v>0</v>
      </c>
      <c r="K58">
        <v>0</v>
      </c>
      <c r="L58" s="27">
        <v>0</v>
      </c>
      <c r="M58">
        <v>1</v>
      </c>
      <c r="N58" s="27">
        <v>0</v>
      </c>
    </row>
    <row r="59" spans="1:14">
      <c r="A59" t="s">
        <v>1372</v>
      </c>
      <c r="B59" s="30" t="s">
        <v>1129</v>
      </c>
      <c r="C59">
        <v>0</v>
      </c>
      <c r="D59">
        <v>0</v>
      </c>
      <c r="G59">
        <v>0</v>
      </c>
      <c r="H59">
        <v>0</v>
      </c>
      <c r="I59">
        <v>0</v>
      </c>
      <c r="J59">
        <v>0</v>
      </c>
      <c r="K59">
        <v>0</v>
      </c>
      <c r="L59" s="27">
        <v>0</v>
      </c>
      <c r="M59">
        <v>0</v>
      </c>
      <c r="N59" s="27">
        <v>1</v>
      </c>
    </row>
    <row r="60" spans="1:14">
      <c r="A60" t="s">
        <v>1317</v>
      </c>
      <c r="B60" s="30" t="s">
        <v>1135</v>
      </c>
      <c r="C60">
        <v>1</v>
      </c>
      <c r="D60">
        <v>1</v>
      </c>
      <c r="G60">
        <v>0</v>
      </c>
      <c r="H60">
        <v>0</v>
      </c>
      <c r="I60">
        <v>0</v>
      </c>
      <c r="J60">
        <v>0</v>
      </c>
      <c r="K60">
        <v>1</v>
      </c>
      <c r="L60" s="27">
        <v>0</v>
      </c>
      <c r="M60">
        <v>1</v>
      </c>
      <c r="N60" s="27">
        <v>1</v>
      </c>
    </row>
    <row r="61" spans="1:14">
      <c r="A61" t="s">
        <v>1311</v>
      </c>
      <c r="B61" s="30" t="s">
        <v>1403</v>
      </c>
      <c r="C61">
        <v>0</v>
      </c>
      <c r="D61">
        <v>0</v>
      </c>
      <c r="G61">
        <v>1</v>
      </c>
      <c r="H61">
        <v>1</v>
      </c>
      <c r="I61">
        <v>1</v>
      </c>
      <c r="J61">
        <v>1</v>
      </c>
      <c r="K61">
        <v>1</v>
      </c>
      <c r="L61" s="27">
        <v>1</v>
      </c>
      <c r="M61">
        <v>1</v>
      </c>
      <c r="N61" s="27">
        <v>1</v>
      </c>
    </row>
    <row r="62" spans="1:14">
      <c r="A62" t="s">
        <v>1312</v>
      </c>
      <c r="B62" s="30" t="s">
        <v>1133</v>
      </c>
      <c r="C62">
        <v>0</v>
      </c>
      <c r="D62">
        <v>0</v>
      </c>
      <c r="G62">
        <v>1</v>
      </c>
      <c r="H62">
        <v>0</v>
      </c>
      <c r="I62">
        <v>0</v>
      </c>
      <c r="J62">
        <v>0</v>
      </c>
      <c r="K62">
        <v>1</v>
      </c>
      <c r="L62" s="27">
        <v>1</v>
      </c>
      <c r="M62">
        <v>1</v>
      </c>
      <c r="N62" s="27">
        <v>0</v>
      </c>
    </row>
    <row r="63" spans="1:14">
      <c r="A63" t="s">
        <v>1286</v>
      </c>
      <c r="B63" s="30" t="s">
        <v>1107</v>
      </c>
      <c r="C63">
        <v>0</v>
      </c>
      <c r="D63">
        <v>0</v>
      </c>
      <c r="G63">
        <v>0</v>
      </c>
      <c r="H63">
        <v>0</v>
      </c>
      <c r="I63">
        <v>0</v>
      </c>
      <c r="J63">
        <v>0</v>
      </c>
      <c r="K63">
        <v>0</v>
      </c>
      <c r="L63" s="27">
        <v>0</v>
      </c>
      <c r="M63">
        <v>0</v>
      </c>
      <c r="N63" s="27">
        <v>0</v>
      </c>
    </row>
    <row r="64" spans="1:14">
      <c r="A64" t="s">
        <v>1289</v>
      </c>
      <c r="B64" s="30" t="s">
        <v>476</v>
      </c>
      <c r="C64">
        <v>0</v>
      </c>
      <c r="D64">
        <v>0</v>
      </c>
      <c r="G64">
        <v>0</v>
      </c>
      <c r="H64">
        <v>0</v>
      </c>
      <c r="I64">
        <v>0</v>
      </c>
      <c r="J64">
        <v>0</v>
      </c>
      <c r="K64">
        <v>0</v>
      </c>
      <c r="L64" s="27">
        <v>0</v>
      </c>
      <c r="M64">
        <v>0</v>
      </c>
      <c r="N64" s="27">
        <v>0</v>
      </c>
    </row>
    <row r="65" spans="1:14">
      <c r="A65" t="s">
        <v>1287</v>
      </c>
      <c r="B65" s="30" t="s">
        <v>1108</v>
      </c>
      <c r="C65">
        <v>0</v>
      </c>
      <c r="D65">
        <v>0</v>
      </c>
      <c r="G65">
        <v>0</v>
      </c>
      <c r="H65">
        <v>0</v>
      </c>
      <c r="I65">
        <v>0</v>
      </c>
      <c r="J65">
        <v>0</v>
      </c>
      <c r="K65">
        <v>0</v>
      </c>
      <c r="L65" s="27">
        <v>0</v>
      </c>
      <c r="M65">
        <v>1</v>
      </c>
      <c r="N65" s="27">
        <v>1</v>
      </c>
    </row>
    <row r="66" spans="1:14">
      <c r="A66" t="s">
        <v>1302</v>
      </c>
      <c r="B66" s="30" t="s">
        <v>1122</v>
      </c>
      <c r="C66">
        <v>0</v>
      </c>
      <c r="D66">
        <v>0</v>
      </c>
      <c r="G66">
        <v>0</v>
      </c>
      <c r="H66">
        <v>0</v>
      </c>
      <c r="I66">
        <v>0</v>
      </c>
      <c r="J66">
        <v>0</v>
      </c>
      <c r="K66">
        <v>0</v>
      </c>
      <c r="L66" s="27">
        <v>0</v>
      </c>
      <c r="M66">
        <v>0</v>
      </c>
      <c r="N66" s="27">
        <v>0</v>
      </c>
    </row>
    <row r="67" spans="1:14">
      <c r="A67" t="s">
        <v>1296</v>
      </c>
      <c r="B67" s="30" t="s">
        <v>1116</v>
      </c>
      <c r="C67" s="11">
        <v>1</v>
      </c>
      <c r="D67" s="11">
        <v>1</v>
      </c>
      <c r="E67" s="11"/>
      <c r="F67" s="11"/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27">
        <v>0</v>
      </c>
      <c r="M67" s="11">
        <v>0</v>
      </c>
      <c r="N67" s="27">
        <v>0</v>
      </c>
    </row>
    <row r="68" spans="1:14">
      <c r="A68" t="s">
        <v>1324</v>
      </c>
      <c r="B68" s="30" t="s">
        <v>1141</v>
      </c>
      <c r="C68">
        <v>1</v>
      </c>
      <c r="D68">
        <v>0</v>
      </c>
      <c r="G68">
        <v>0</v>
      </c>
      <c r="H68">
        <v>0</v>
      </c>
      <c r="I68">
        <v>1</v>
      </c>
      <c r="J68">
        <v>0</v>
      </c>
      <c r="K68">
        <v>0</v>
      </c>
      <c r="L68" s="27">
        <v>0</v>
      </c>
      <c r="M68">
        <v>1</v>
      </c>
      <c r="N68" s="27">
        <v>1</v>
      </c>
    </row>
    <row r="69" spans="1:14">
      <c r="A69" t="s">
        <v>1303</v>
      </c>
      <c r="B69" s="30" t="s">
        <v>1123</v>
      </c>
      <c r="C69">
        <v>1</v>
      </c>
      <c r="D69">
        <v>1</v>
      </c>
      <c r="G69">
        <v>0</v>
      </c>
      <c r="H69">
        <v>0</v>
      </c>
      <c r="I69">
        <v>0</v>
      </c>
      <c r="J69">
        <v>0</v>
      </c>
      <c r="K69">
        <v>0</v>
      </c>
      <c r="L69" s="27">
        <v>0</v>
      </c>
      <c r="M69">
        <v>1</v>
      </c>
      <c r="N69" s="27">
        <v>0</v>
      </c>
    </row>
    <row r="70" spans="1:14">
      <c r="A70" t="s">
        <v>1374</v>
      </c>
      <c r="B70" s="30" t="s">
        <v>1126</v>
      </c>
      <c r="C70">
        <v>0</v>
      </c>
      <c r="D70">
        <v>0</v>
      </c>
      <c r="G70">
        <v>0</v>
      </c>
      <c r="H70">
        <v>0</v>
      </c>
      <c r="I70">
        <v>0</v>
      </c>
      <c r="J70">
        <v>0</v>
      </c>
      <c r="K70">
        <v>0</v>
      </c>
      <c r="L70" s="27">
        <v>0</v>
      </c>
      <c r="M70">
        <v>0</v>
      </c>
      <c r="N70" s="27">
        <v>0</v>
      </c>
    </row>
    <row r="71" spans="1:14">
      <c r="A71" t="s">
        <v>1366</v>
      </c>
      <c r="B71" s="30" t="s">
        <v>1365</v>
      </c>
      <c r="C71">
        <v>0</v>
      </c>
      <c r="D71">
        <v>0</v>
      </c>
      <c r="G71">
        <v>0</v>
      </c>
      <c r="H71">
        <v>0</v>
      </c>
      <c r="I71">
        <v>0</v>
      </c>
      <c r="J71">
        <v>0</v>
      </c>
      <c r="K71">
        <v>0</v>
      </c>
      <c r="L71" s="27">
        <v>0</v>
      </c>
      <c r="M71">
        <v>0</v>
      </c>
      <c r="N71" s="27">
        <v>0</v>
      </c>
    </row>
    <row r="72" spans="1:14">
      <c r="A72" t="s">
        <v>1341</v>
      </c>
      <c r="B72" s="30" t="s">
        <v>1155</v>
      </c>
      <c r="C72">
        <v>0</v>
      </c>
      <c r="D72">
        <v>0</v>
      </c>
      <c r="G72">
        <v>0</v>
      </c>
      <c r="H72">
        <v>0</v>
      </c>
      <c r="I72">
        <v>0</v>
      </c>
      <c r="J72">
        <v>0</v>
      </c>
      <c r="K72">
        <v>1</v>
      </c>
      <c r="L72" s="27">
        <v>0</v>
      </c>
      <c r="M72">
        <v>1</v>
      </c>
      <c r="N72" s="27">
        <v>0</v>
      </c>
    </row>
    <row r="73" spans="1:14">
      <c r="A73" t="s">
        <v>1405</v>
      </c>
      <c r="B73" s="30" t="s">
        <v>1404</v>
      </c>
      <c r="C73">
        <v>0</v>
      </c>
      <c r="D73">
        <v>1</v>
      </c>
      <c r="G73">
        <v>1</v>
      </c>
      <c r="H73">
        <v>1</v>
      </c>
      <c r="I73">
        <v>0</v>
      </c>
      <c r="J73">
        <v>0</v>
      </c>
      <c r="K73">
        <v>0</v>
      </c>
      <c r="L73" s="27">
        <v>0</v>
      </c>
      <c r="M73" s="27">
        <v>0</v>
      </c>
      <c r="N73" s="27">
        <v>0</v>
      </c>
    </row>
    <row r="74" spans="1:14">
      <c r="A74" t="s">
        <v>1306</v>
      </c>
      <c r="B74" s="30" t="s">
        <v>1127</v>
      </c>
      <c r="C74">
        <v>0</v>
      </c>
      <c r="D74">
        <v>0</v>
      </c>
      <c r="G74">
        <v>0</v>
      </c>
      <c r="H74">
        <v>0</v>
      </c>
      <c r="I74">
        <v>0</v>
      </c>
      <c r="J74">
        <v>0</v>
      </c>
      <c r="K74">
        <v>0</v>
      </c>
      <c r="L74" s="27">
        <v>0</v>
      </c>
      <c r="M74">
        <v>1</v>
      </c>
      <c r="N74" s="27">
        <v>1</v>
      </c>
    </row>
    <row r="75" spans="1:14">
      <c r="A75" t="s">
        <v>1373</v>
      </c>
      <c r="B75" s="30" t="s">
        <v>1128</v>
      </c>
      <c r="C75">
        <v>0</v>
      </c>
      <c r="D75">
        <v>0</v>
      </c>
      <c r="G75">
        <v>0</v>
      </c>
      <c r="H75">
        <v>0</v>
      </c>
      <c r="I75">
        <v>0</v>
      </c>
      <c r="J75">
        <v>0</v>
      </c>
      <c r="K75">
        <v>0</v>
      </c>
      <c r="L75" s="27">
        <v>0</v>
      </c>
      <c r="M75">
        <v>0</v>
      </c>
      <c r="N75" s="27">
        <v>0</v>
      </c>
    </row>
    <row r="76" spans="1:14">
      <c r="A76" t="s">
        <v>1363</v>
      </c>
      <c r="B76" s="30" t="s">
        <v>1364</v>
      </c>
      <c r="C76">
        <v>0</v>
      </c>
      <c r="D76">
        <v>0</v>
      </c>
      <c r="G76">
        <v>0</v>
      </c>
      <c r="H76">
        <v>0</v>
      </c>
      <c r="I76">
        <v>0</v>
      </c>
      <c r="J76">
        <v>0</v>
      </c>
      <c r="K76">
        <v>1</v>
      </c>
      <c r="L76" s="27">
        <v>0</v>
      </c>
      <c r="M76">
        <v>0</v>
      </c>
      <c r="N76" s="27">
        <v>0</v>
      </c>
    </row>
    <row r="77" spans="1:14">
      <c r="A77" t="s">
        <v>1292</v>
      </c>
      <c r="B77" s="30" t="s">
        <v>1112</v>
      </c>
      <c r="C77" s="11">
        <v>1</v>
      </c>
      <c r="D77" s="11">
        <v>1</v>
      </c>
      <c r="E77" s="11"/>
      <c r="F77" s="11"/>
      <c r="G77" s="11">
        <v>0</v>
      </c>
      <c r="H77" s="11">
        <v>1</v>
      </c>
      <c r="I77" s="11">
        <v>0</v>
      </c>
      <c r="J77" s="11">
        <v>0</v>
      </c>
      <c r="K77" s="11">
        <v>0</v>
      </c>
      <c r="L77" s="27">
        <v>0</v>
      </c>
      <c r="M77" s="11">
        <v>1</v>
      </c>
      <c r="N77" s="27">
        <v>1</v>
      </c>
    </row>
    <row r="78" spans="1:14">
      <c r="A78" t="s">
        <v>1290</v>
      </c>
      <c r="B78" s="30" t="s">
        <v>1110</v>
      </c>
      <c r="C78">
        <v>1</v>
      </c>
      <c r="D78">
        <v>1</v>
      </c>
      <c r="G78">
        <v>1</v>
      </c>
      <c r="H78">
        <v>1</v>
      </c>
      <c r="I78">
        <v>0</v>
      </c>
      <c r="J78">
        <v>0</v>
      </c>
      <c r="K78">
        <v>1</v>
      </c>
      <c r="L78" s="27">
        <v>0</v>
      </c>
      <c r="M78">
        <v>1</v>
      </c>
      <c r="N78" s="27">
        <v>0</v>
      </c>
    </row>
    <row r="79" spans="1:14">
      <c r="A79" t="s">
        <v>1328</v>
      </c>
      <c r="B79" s="30" t="s">
        <v>1145</v>
      </c>
      <c r="C79">
        <v>1</v>
      </c>
      <c r="D79">
        <v>1</v>
      </c>
      <c r="G79">
        <v>0</v>
      </c>
      <c r="H79">
        <v>0</v>
      </c>
      <c r="I79">
        <v>0</v>
      </c>
      <c r="J79">
        <v>0</v>
      </c>
      <c r="K79">
        <v>1</v>
      </c>
      <c r="L79" s="27">
        <v>0</v>
      </c>
      <c r="M79">
        <v>1</v>
      </c>
      <c r="N79" s="27">
        <v>0</v>
      </c>
    </row>
    <row r="80" spans="1:14">
      <c r="A80" t="s">
        <v>1380</v>
      </c>
      <c r="B80" s="30" t="s">
        <v>1381</v>
      </c>
      <c r="C80">
        <v>1</v>
      </c>
      <c r="D80">
        <v>1</v>
      </c>
      <c r="G80">
        <v>0</v>
      </c>
      <c r="H80">
        <v>0</v>
      </c>
      <c r="I80">
        <v>0</v>
      </c>
      <c r="J80">
        <v>0</v>
      </c>
      <c r="K80">
        <v>1</v>
      </c>
      <c r="L80" s="27">
        <v>1</v>
      </c>
      <c r="M80">
        <v>1</v>
      </c>
      <c r="N80" s="27">
        <v>1</v>
      </c>
    </row>
    <row r="81" spans="1:14">
      <c r="A81" t="s">
        <v>1367</v>
      </c>
      <c r="B81" s="30" t="s">
        <v>1368</v>
      </c>
      <c r="C81">
        <v>0</v>
      </c>
      <c r="D81">
        <v>0</v>
      </c>
      <c r="G81">
        <v>0</v>
      </c>
      <c r="H81">
        <v>0</v>
      </c>
      <c r="I81">
        <v>0</v>
      </c>
      <c r="J81">
        <v>0</v>
      </c>
      <c r="K81">
        <v>0</v>
      </c>
      <c r="L81" s="27">
        <v>0</v>
      </c>
      <c r="M81">
        <v>0</v>
      </c>
      <c r="N81" s="27">
        <v>0</v>
      </c>
    </row>
    <row r="82" spans="1:14">
      <c r="A82" t="s">
        <v>1349</v>
      </c>
      <c r="B82" s="30" t="s">
        <v>1163</v>
      </c>
      <c r="C82">
        <v>0</v>
      </c>
      <c r="D82">
        <v>0</v>
      </c>
      <c r="G82">
        <v>0</v>
      </c>
      <c r="H82">
        <v>0</v>
      </c>
      <c r="I82">
        <v>0</v>
      </c>
      <c r="J82">
        <v>0</v>
      </c>
      <c r="K82">
        <v>0</v>
      </c>
      <c r="L82" s="27">
        <v>0</v>
      </c>
      <c r="M82">
        <v>1</v>
      </c>
      <c r="N82" s="27">
        <v>0</v>
      </c>
    </row>
    <row r="83" spans="1:14">
      <c r="A83" t="s">
        <v>1361</v>
      </c>
      <c r="B83" s="30" t="s">
        <v>1362</v>
      </c>
      <c r="C83">
        <v>0</v>
      </c>
      <c r="D83">
        <v>0</v>
      </c>
      <c r="G83">
        <v>0</v>
      </c>
      <c r="H83">
        <v>0</v>
      </c>
      <c r="I83">
        <v>0</v>
      </c>
      <c r="J83">
        <v>0</v>
      </c>
      <c r="K83">
        <v>0</v>
      </c>
      <c r="L83" s="27">
        <v>0</v>
      </c>
      <c r="M83">
        <v>1</v>
      </c>
      <c r="N83" s="27">
        <v>0</v>
      </c>
    </row>
    <row r="84" spans="1:14">
      <c r="A84" t="s">
        <v>1281</v>
      </c>
      <c r="B84" s="30" t="s">
        <v>1102</v>
      </c>
      <c r="C84">
        <v>0</v>
      </c>
      <c r="D84">
        <v>0</v>
      </c>
      <c r="G84">
        <v>0</v>
      </c>
      <c r="H84">
        <v>0</v>
      </c>
      <c r="I84">
        <v>0</v>
      </c>
      <c r="J84">
        <v>0</v>
      </c>
      <c r="K84">
        <v>0</v>
      </c>
      <c r="L84" s="27">
        <v>0</v>
      </c>
      <c r="M84">
        <v>0</v>
      </c>
      <c r="N84" s="27">
        <v>0</v>
      </c>
    </row>
    <row r="85" spans="1:14">
      <c r="A85" t="s">
        <v>1288</v>
      </c>
      <c r="B85" s="30" t="s">
        <v>1109</v>
      </c>
      <c r="C85" s="11">
        <v>1</v>
      </c>
      <c r="D85" s="11">
        <v>1</v>
      </c>
      <c r="E85" s="11"/>
      <c r="F85" s="11"/>
      <c r="G85" s="11">
        <v>1</v>
      </c>
      <c r="H85" s="11">
        <v>1</v>
      </c>
      <c r="I85" s="11">
        <v>0</v>
      </c>
      <c r="J85" s="11">
        <v>0</v>
      </c>
      <c r="K85" s="11">
        <v>1</v>
      </c>
      <c r="L85" s="27">
        <v>0</v>
      </c>
      <c r="M85" s="11">
        <v>1</v>
      </c>
      <c r="N85" s="27">
        <v>0</v>
      </c>
    </row>
    <row r="86" spans="1:14">
      <c r="A86" t="s">
        <v>1282</v>
      </c>
      <c r="B86" s="30" t="s">
        <v>1103</v>
      </c>
      <c r="C86" s="11">
        <v>1</v>
      </c>
      <c r="D86" s="11">
        <v>1</v>
      </c>
      <c r="E86" s="11"/>
      <c r="F86" s="11"/>
      <c r="G86" s="11">
        <v>1</v>
      </c>
      <c r="H86" s="11">
        <v>1</v>
      </c>
      <c r="I86" s="11">
        <v>0</v>
      </c>
      <c r="J86" s="11">
        <v>0</v>
      </c>
      <c r="K86" s="11">
        <v>1</v>
      </c>
      <c r="L86" s="27">
        <v>0</v>
      </c>
      <c r="M86" s="11">
        <v>1</v>
      </c>
      <c r="N86" s="27">
        <v>0</v>
      </c>
    </row>
    <row r="87" spans="1:14">
      <c r="A87" t="s">
        <v>1339</v>
      </c>
      <c r="B87" s="30" t="s">
        <v>1153</v>
      </c>
      <c r="C87">
        <v>0</v>
      </c>
      <c r="D87">
        <v>0</v>
      </c>
      <c r="G87">
        <v>0</v>
      </c>
      <c r="H87">
        <v>0</v>
      </c>
      <c r="I87">
        <v>0</v>
      </c>
      <c r="J87">
        <v>0</v>
      </c>
      <c r="K87">
        <v>1</v>
      </c>
      <c r="L87" s="27">
        <v>0</v>
      </c>
      <c r="M87">
        <v>1</v>
      </c>
      <c r="N87" s="27">
        <v>1</v>
      </c>
    </row>
    <row r="88" spans="1:14">
      <c r="A88" t="s">
        <v>1297</v>
      </c>
      <c r="B88" s="30" t="s">
        <v>1117</v>
      </c>
      <c r="C88" s="11">
        <v>1</v>
      </c>
      <c r="D88" s="11">
        <v>0</v>
      </c>
      <c r="E88" s="11"/>
      <c r="F88" s="11"/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27">
        <v>0</v>
      </c>
      <c r="M88" s="11">
        <v>1</v>
      </c>
      <c r="N88" s="27">
        <v>0</v>
      </c>
    </row>
    <row r="89" spans="1:14">
      <c r="A89" t="s">
        <v>1329</v>
      </c>
      <c r="B89" s="30" t="s">
        <v>1146</v>
      </c>
      <c r="C89">
        <v>1</v>
      </c>
      <c r="D89">
        <v>1</v>
      </c>
      <c r="G89">
        <v>0</v>
      </c>
      <c r="H89">
        <v>0</v>
      </c>
      <c r="I89">
        <v>0</v>
      </c>
      <c r="J89">
        <v>0</v>
      </c>
      <c r="K89">
        <v>0</v>
      </c>
      <c r="L89" s="27">
        <v>0</v>
      </c>
      <c r="M89">
        <v>1</v>
      </c>
      <c r="N89" s="27">
        <v>1</v>
      </c>
    </row>
    <row r="90" spans="1:14">
      <c r="A90" t="s">
        <v>1322</v>
      </c>
      <c r="B90" s="30" t="s">
        <v>1139</v>
      </c>
      <c r="C90">
        <v>0</v>
      </c>
      <c r="D90">
        <v>0</v>
      </c>
      <c r="G90">
        <v>0</v>
      </c>
      <c r="H90">
        <v>0</v>
      </c>
      <c r="I90">
        <v>0</v>
      </c>
      <c r="J90">
        <v>0</v>
      </c>
      <c r="K90">
        <v>0</v>
      </c>
      <c r="L90" s="27">
        <v>0</v>
      </c>
      <c r="M90">
        <v>1</v>
      </c>
      <c r="N90" s="27">
        <v>0</v>
      </c>
    </row>
    <row r="91" spans="1:14">
      <c r="A91" t="s">
        <v>1376</v>
      </c>
      <c r="B91" s="30" t="s">
        <v>1377</v>
      </c>
      <c r="C91">
        <v>1</v>
      </c>
      <c r="D91">
        <v>1</v>
      </c>
      <c r="G91">
        <v>0</v>
      </c>
      <c r="H91">
        <v>0</v>
      </c>
      <c r="I91">
        <v>0</v>
      </c>
      <c r="J91">
        <v>0</v>
      </c>
      <c r="K91">
        <v>0</v>
      </c>
      <c r="L91" s="27">
        <v>0</v>
      </c>
      <c r="M91">
        <v>1</v>
      </c>
      <c r="N91" s="27">
        <v>0</v>
      </c>
    </row>
    <row r="92" spans="1:14">
      <c r="A92" t="s">
        <v>1375</v>
      </c>
      <c r="B92" s="30" t="s">
        <v>1125</v>
      </c>
      <c r="C92">
        <v>1</v>
      </c>
      <c r="D92">
        <v>1</v>
      </c>
      <c r="G92">
        <v>0</v>
      </c>
      <c r="H92">
        <v>1</v>
      </c>
      <c r="I92">
        <v>0</v>
      </c>
      <c r="J92">
        <v>0</v>
      </c>
      <c r="K92">
        <v>0</v>
      </c>
      <c r="L92" s="27">
        <v>0</v>
      </c>
      <c r="M92">
        <v>1</v>
      </c>
      <c r="N92" s="27">
        <v>0</v>
      </c>
    </row>
    <row r="93" spans="1:14">
      <c r="A93" t="s">
        <v>1330</v>
      </c>
      <c r="B93" s="30" t="s">
        <v>1147</v>
      </c>
      <c r="C93">
        <v>1</v>
      </c>
      <c r="D93">
        <v>1</v>
      </c>
      <c r="G93">
        <v>0</v>
      </c>
      <c r="H93">
        <v>0</v>
      </c>
      <c r="I93">
        <v>0</v>
      </c>
      <c r="J93">
        <v>0</v>
      </c>
      <c r="K93">
        <v>0</v>
      </c>
      <c r="L93" s="27">
        <v>0</v>
      </c>
      <c r="M93">
        <v>1</v>
      </c>
      <c r="N93" s="27">
        <v>0</v>
      </c>
    </row>
    <row r="94" spans="1:14">
      <c r="A94" t="s">
        <v>1291</v>
      </c>
      <c r="B94" s="30" t="s">
        <v>1111</v>
      </c>
      <c r="C94">
        <v>0</v>
      </c>
      <c r="D94">
        <v>0</v>
      </c>
      <c r="G94">
        <v>0</v>
      </c>
      <c r="H94">
        <v>0</v>
      </c>
      <c r="I94">
        <v>0</v>
      </c>
      <c r="J94">
        <v>0</v>
      </c>
      <c r="K94">
        <v>0</v>
      </c>
      <c r="L94" s="27">
        <v>1</v>
      </c>
      <c r="M94">
        <v>0</v>
      </c>
      <c r="N94" s="27">
        <v>0</v>
      </c>
    </row>
    <row r="95" spans="1:14">
      <c r="A95" t="s">
        <v>1304</v>
      </c>
      <c r="B95" s="30" t="s">
        <v>1124</v>
      </c>
      <c r="C95">
        <v>1</v>
      </c>
      <c r="D95">
        <v>1</v>
      </c>
      <c r="G95">
        <v>1</v>
      </c>
      <c r="H95">
        <v>0</v>
      </c>
      <c r="I95">
        <v>0</v>
      </c>
      <c r="J95">
        <v>1</v>
      </c>
      <c r="K95">
        <v>1</v>
      </c>
      <c r="L95" s="27">
        <v>1</v>
      </c>
      <c r="M95">
        <v>1</v>
      </c>
      <c r="N95" s="27">
        <v>0</v>
      </c>
    </row>
    <row r="96" spans="1:14">
      <c r="A96" t="s">
        <v>1331</v>
      </c>
      <c r="B96" s="30" t="s">
        <v>1167</v>
      </c>
      <c r="C96">
        <v>0</v>
      </c>
      <c r="D96">
        <v>0</v>
      </c>
      <c r="G96">
        <v>0</v>
      </c>
      <c r="H96">
        <v>0</v>
      </c>
      <c r="I96">
        <v>0</v>
      </c>
      <c r="J96">
        <v>0</v>
      </c>
      <c r="K96">
        <v>0</v>
      </c>
      <c r="L96" s="27">
        <v>0</v>
      </c>
      <c r="M96">
        <v>1</v>
      </c>
      <c r="N96" s="27">
        <v>0</v>
      </c>
    </row>
    <row r="97" spans="1:14">
      <c r="A97" t="s">
        <v>1314</v>
      </c>
      <c r="B97" s="30" t="s">
        <v>1406</v>
      </c>
      <c r="C97">
        <v>1</v>
      </c>
      <c r="D97">
        <v>1</v>
      </c>
      <c r="G97">
        <v>0</v>
      </c>
      <c r="H97">
        <v>0</v>
      </c>
      <c r="I97">
        <v>1</v>
      </c>
      <c r="J97">
        <v>0</v>
      </c>
      <c r="K97">
        <v>1</v>
      </c>
      <c r="L97" s="27">
        <v>1</v>
      </c>
      <c r="M97">
        <v>1</v>
      </c>
      <c r="N97" s="27">
        <v>1</v>
      </c>
    </row>
    <row r="98" spans="1:14">
      <c r="A98" t="s">
        <v>1321</v>
      </c>
      <c r="B98" s="30" t="s">
        <v>1138</v>
      </c>
      <c r="C98">
        <v>1</v>
      </c>
      <c r="D98">
        <v>1</v>
      </c>
      <c r="G98">
        <v>0</v>
      </c>
      <c r="H98">
        <v>0</v>
      </c>
      <c r="I98">
        <v>0</v>
      </c>
      <c r="J98">
        <v>0</v>
      </c>
      <c r="K98">
        <v>1</v>
      </c>
      <c r="L98" s="27">
        <v>0</v>
      </c>
      <c r="M98">
        <v>1</v>
      </c>
      <c r="N98" s="27">
        <v>0</v>
      </c>
    </row>
    <row r="99" spans="1:14">
      <c r="A99" t="s">
        <v>1318</v>
      </c>
      <c r="B99" s="30" t="s">
        <v>1187</v>
      </c>
      <c r="C99">
        <v>0</v>
      </c>
      <c r="D99">
        <v>0</v>
      </c>
      <c r="G99">
        <v>0</v>
      </c>
      <c r="H99">
        <v>0</v>
      </c>
      <c r="I99">
        <v>0</v>
      </c>
      <c r="J99">
        <v>0</v>
      </c>
      <c r="K99">
        <v>0</v>
      </c>
      <c r="L99" s="27">
        <v>0</v>
      </c>
      <c r="M99">
        <v>1</v>
      </c>
      <c r="N99" s="27">
        <v>0</v>
      </c>
    </row>
    <row r="100" spans="1:14">
      <c r="A100" t="s">
        <v>1334</v>
      </c>
      <c r="B100" s="30" t="s">
        <v>1148</v>
      </c>
      <c r="C100">
        <v>0</v>
      </c>
      <c r="D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 s="27">
        <v>0</v>
      </c>
      <c r="M100">
        <v>1</v>
      </c>
      <c r="N100" s="27">
        <v>0</v>
      </c>
    </row>
    <row r="101" spans="1:14">
      <c r="A101" t="s">
        <v>1358</v>
      </c>
      <c r="B101" s="30" t="s">
        <v>1157</v>
      </c>
      <c r="C101">
        <v>1</v>
      </c>
      <c r="D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 s="27">
        <v>0</v>
      </c>
      <c r="M101">
        <v>0</v>
      </c>
      <c r="N101" s="27">
        <v>0</v>
      </c>
    </row>
    <row r="102" spans="1:14">
      <c r="A102" t="s">
        <v>1340</v>
      </c>
      <c r="B102" s="30" t="s">
        <v>1154</v>
      </c>
      <c r="C102">
        <v>1</v>
      </c>
      <c r="D102">
        <v>1</v>
      </c>
      <c r="G102">
        <v>1</v>
      </c>
      <c r="H102">
        <v>1</v>
      </c>
      <c r="I102">
        <v>0</v>
      </c>
      <c r="J102">
        <v>0</v>
      </c>
      <c r="K102">
        <v>1</v>
      </c>
      <c r="L102" s="27">
        <v>0</v>
      </c>
      <c r="M102">
        <v>1</v>
      </c>
      <c r="N102" s="27">
        <v>0</v>
      </c>
    </row>
    <row r="103" spans="1:14">
      <c r="B103" s="30"/>
    </row>
    <row r="104" spans="1:14">
      <c r="B104" s="10" t="s">
        <v>1275</v>
      </c>
      <c r="C104">
        <f>SUM(C3:C102)</f>
        <v>40</v>
      </c>
      <c r="D104">
        <f>SUM(D3:D102)</f>
        <v>40</v>
      </c>
      <c r="G104">
        <f t="shared" ref="G104:N104" si="0">SUM(G3:G102)</f>
        <v>25</v>
      </c>
      <c r="H104">
        <f t="shared" si="0"/>
        <v>24</v>
      </c>
      <c r="I104">
        <f t="shared" si="0"/>
        <v>12</v>
      </c>
      <c r="J104">
        <f t="shared" si="0"/>
        <v>9</v>
      </c>
      <c r="K104">
        <f t="shared" si="0"/>
        <v>36</v>
      </c>
      <c r="L104">
        <f t="shared" si="0"/>
        <v>15</v>
      </c>
      <c r="M104">
        <f t="shared" si="0"/>
        <v>67</v>
      </c>
      <c r="N104">
        <f t="shared" si="0"/>
        <v>19</v>
      </c>
    </row>
    <row r="105" spans="1:14">
      <c r="B105" s="10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</row>
    <row r="110" spans="1:14">
      <c r="B110" t="s">
        <v>1276</v>
      </c>
    </row>
    <row r="111" spans="1:14">
      <c r="B111" s="30" t="s">
        <v>1142</v>
      </c>
      <c r="C111">
        <v>1</v>
      </c>
      <c r="D111">
        <v>1</v>
      </c>
      <c r="G111">
        <v>0</v>
      </c>
      <c r="H111">
        <v>1</v>
      </c>
      <c r="I111">
        <v>1</v>
      </c>
      <c r="J111">
        <v>1</v>
      </c>
      <c r="K111">
        <v>1</v>
      </c>
      <c r="M111">
        <v>1</v>
      </c>
    </row>
    <row r="112" spans="1:14">
      <c r="B112" s="30" t="s">
        <v>1150</v>
      </c>
      <c r="C112">
        <v>0</v>
      </c>
      <c r="D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M112">
        <v>0</v>
      </c>
    </row>
    <row r="113" spans="2:13">
      <c r="B113" s="30" t="s">
        <v>1164</v>
      </c>
      <c r="C113">
        <v>1</v>
      </c>
      <c r="D113">
        <v>1</v>
      </c>
      <c r="G113">
        <v>0</v>
      </c>
      <c r="H113">
        <v>1</v>
      </c>
      <c r="I113">
        <v>0</v>
      </c>
      <c r="J113">
        <v>0</v>
      </c>
      <c r="K113">
        <v>1</v>
      </c>
      <c r="M113">
        <v>1</v>
      </c>
    </row>
    <row r="114" spans="2:13">
      <c r="B114" s="30" t="s">
        <v>1165</v>
      </c>
      <c r="C114">
        <v>0</v>
      </c>
      <c r="D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M114">
        <v>1</v>
      </c>
    </row>
    <row r="115" spans="2:13">
      <c r="B115" s="30" t="s">
        <v>1150</v>
      </c>
      <c r="C115">
        <v>0</v>
      </c>
      <c r="D115">
        <v>0</v>
      </c>
      <c r="G115">
        <v>0</v>
      </c>
      <c r="H115">
        <v>0</v>
      </c>
      <c r="I115">
        <v>0</v>
      </c>
      <c r="J115">
        <v>0</v>
      </c>
      <c r="K115">
        <v>1</v>
      </c>
      <c r="M115">
        <v>1</v>
      </c>
    </row>
    <row r="116" spans="2:13">
      <c r="B116" s="30" t="s">
        <v>1208</v>
      </c>
      <c r="C116">
        <v>0</v>
      </c>
      <c r="D116">
        <v>1</v>
      </c>
      <c r="G116">
        <v>1</v>
      </c>
      <c r="H116">
        <v>0</v>
      </c>
      <c r="I116">
        <v>1</v>
      </c>
      <c r="J116">
        <v>0</v>
      </c>
      <c r="K116">
        <v>1</v>
      </c>
      <c r="M116">
        <v>1</v>
      </c>
    </row>
    <row r="117" spans="2:13">
      <c r="B117" s="30" t="s">
        <v>1209</v>
      </c>
      <c r="C117">
        <v>0</v>
      </c>
      <c r="D117">
        <v>1</v>
      </c>
      <c r="G117">
        <v>0</v>
      </c>
      <c r="H117">
        <v>0</v>
      </c>
      <c r="I117">
        <v>0</v>
      </c>
      <c r="J117">
        <v>0</v>
      </c>
      <c r="K117">
        <v>1</v>
      </c>
      <c r="M117">
        <v>1</v>
      </c>
    </row>
    <row r="118" spans="2:13">
      <c r="B118" s="30" t="s">
        <v>1272</v>
      </c>
      <c r="C118">
        <v>0</v>
      </c>
      <c r="D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M118">
        <v>0</v>
      </c>
    </row>
    <row r="119" spans="2:13">
      <c r="B119" s="30" t="s">
        <v>1273</v>
      </c>
      <c r="C119">
        <v>0</v>
      </c>
      <c r="D119">
        <v>0</v>
      </c>
      <c r="G119">
        <v>1</v>
      </c>
      <c r="H119">
        <v>0</v>
      </c>
      <c r="I119">
        <v>1</v>
      </c>
      <c r="J119">
        <v>0</v>
      </c>
      <c r="K119">
        <v>0</v>
      </c>
      <c r="M119">
        <v>1</v>
      </c>
    </row>
    <row r="120" spans="2:13">
      <c r="B120" s="30" t="s">
        <v>1274</v>
      </c>
      <c r="C120">
        <v>0</v>
      </c>
      <c r="D120">
        <v>1</v>
      </c>
      <c r="G120">
        <v>0</v>
      </c>
      <c r="H120">
        <v>0</v>
      </c>
      <c r="I120">
        <v>1</v>
      </c>
      <c r="J120">
        <v>0</v>
      </c>
      <c r="K120">
        <v>0</v>
      </c>
      <c r="M120">
        <v>1</v>
      </c>
    </row>
    <row r="121" spans="2:13">
      <c r="B121" s="30"/>
    </row>
    <row r="122" spans="2:13">
      <c r="B122" s="30" t="s">
        <v>1278</v>
      </c>
      <c r="C122">
        <f>SUM(C111:C120)</f>
        <v>2</v>
      </c>
      <c r="D122">
        <f t="shared" ref="D122:M122" si="1">SUM(D111:D120)</f>
        <v>5</v>
      </c>
      <c r="G122">
        <f t="shared" si="1"/>
        <v>2</v>
      </c>
      <c r="H122">
        <f t="shared" si="1"/>
        <v>2</v>
      </c>
      <c r="I122">
        <f t="shared" si="1"/>
        <v>4</v>
      </c>
      <c r="J122">
        <f t="shared" si="1"/>
        <v>1</v>
      </c>
      <c r="K122">
        <f t="shared" si="1"/>
        <v>5</v>
      </c>
      <c r="M122">
        <f t="shared" si="1"/>
        <v>8</v>
      </c>
    </row>
    <row r="123" spans="2:13">
      <c r="B123" s="30" t="s">
        <v>1277</v>
      </c>
      <c r="C123">
        <f>C122/10*100</f>
        <v>20</v>
      </c>
      <c r="D123">
        <f t="shared" ref="D123:M123" si="2">D122/10*100</f>
        <v>50</v>
      </c>
      <c r="G123">
        <f t="shared" si="2"/>
        <v>20</v>
      </c>
      <c r="H123">
        <f t="shared" si="2"/>
        <v>20</v>
      </c>
      <c r="I123">
        <f t="shared" si="2"/>
        <v>40</v>
      </c>
      <c r="J123">
        <f t="shared" si="2"/>
        <v>10</v>
      </c>
      <c r="K123">
        <f t="shared" si="2"/>
        <v>50</v>
      </c>
      <c r="M123">
        <f t="shared" si="2"/>
        <v>80</v>
      </c>
    </row>
  </sheetData>
  <sortState ref="A3:J100">
    <sortCondition ref="B3:B100"/>
  </sortState>
  <mergeCells count="5">
    <mergeCell ref="C1:D1"/>
    <mergeCell ref="G1:H1"/>
    <mergeCell ref="I1:J1"/>
    <mergeCell ref="K1:L1"/>
    <mergeCell ref="M1:N1"/>
  </mergeCells>
  <pageMargins left="0.75" right="0.75" top="1" bottom="1" header="0.5" footer="0.5"/>
  <pageSetup paperSize="34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N105"/>
  <sheetViews>
    <sheetView workbookViewId="0">
      <selection sqref="A1:N1048576"/>
    </sheetView>
  </sheetViews>
  <sheetFormatPr baseColWidth="10" defaultRowHeight="15" x14ac:dyDescent="0"/>
  <cols>
    <col min="1" max="2" width="14.1640625" customWidth="1"/>
    <col min="3" max="8" width="7.83203125" customWidth="1"/>
    <col min="9" max="10" width="8.83203125" customWidth="1"/>
    <col min="11" max="14" width="7.83203125" customWidth="1"/>
  </cols>
  <sheetData>
    <row r="2" spans="1:14">
      <c r="C2" s="45" t="s">
        <v>2</v>
      </c>
      <c r="D2" s="45"/>
      <c r="E2" s="51" t="s">
        <v>1409</v>
      </c>
      <c r="F2" s="52"/>
      <c r="G2" s="46" t="s">
        <v>1407</v>
      </c>
      <c r="H2" s="47"/>
      <c r="I2" s="48" t="s">
        <v>1393</v>
      </c>
      <c r="J2" s="48"/>
      <c r="K2" s="49" t="s">
        <v>1394</v>
      </c>
      <c r="L2" s="49"/>
      <c r="M2" s="50" t="s">
        <v>1395</v>
      </c>
      <c r="N2" s="50"/>
    </row>
    <row r="3" spans="1:14">
      <c r="A3" s="34" t="s">
        <v>1392</v>
      </c>
      <c r="B3" s="34" t="s">
        <v>1391</v>
      </c>
      <c r="C3" s="37" t="s">
        <v>8</v>
      </c>
      <c r="D3" s="37" t="s">
        <v>9</v>
      </c>
      <c r="E3" s="40" t="s">
        <v>8</v>
      </c>
      <c r="F3" s="40" t="s">
        <v>9</v>
      </c>
      <c r="G3" s="38" t="s">
        <v>8</v>
      </c>
      <c r="H3" s="38" t="s">
        <v>9</v>
      </c>
      <c r="I3" s="39" t="s">
        <v>8</v>
      </c>
      <c r="J3" s="39" t="s">
        <v>9</v>
      </c>
      <c r="K3" s="35" t="s">
        <v>8</v>
      </c>
      <c r="L3" s="35" t="s">
        <v>9</v>
      </c>
      <c r="M3" s="36" t="s">
        <v>8</v>
      </c>
      <c r="N3" s="36" t="s">
        <v>9</v>
      </c>
    </row>
    <row r="4" spans="1:14">
      <c r="A4" t="s">
        <v>1308</v>
      </c>
      <c r="B4" s="30" t="s">
        <v>1130</v>
      </c>
      <c r="D4">
        <v>1</v>
      </c>
      <c r="H4">
        <v>1</v>
      </c>
      <c r="K4">
        <v>1</v>
      </c>
      <c r="M4">
        <v>1</v>
      </c>
      <c r="N4" s="28"/>
    </row>
    <row r="5" spans="1:14">
      <c r="A5" t="s">
        <v>1335</v>
      </c>
      <c r="B5" s="30" t="s">
        <v>1149</v>
      </c>
      <c r="E5">
        <v>1</v>
      </c>
      <c r="N5" s="11"/>
    </row>
    <row r="6" spans="1:14">
      <c r="A6" t="s">
        <v>1313</v>
      </c>
      <c r="B6" s="30" t="s">
        <v>1400</v>
      </c>
      <c r="C6">
        <v>1</v>
      </c>
      <c r="D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 s="11"/>
    </row>
    <row r="7" spans="1:14">
      <c r="A7" t="s">
        <v>1284</v>
      </c>
      <c r="B7" s="30" t="s">
        <v>1105</v>
      </c>
      <c r="M7">
        <v>1</v>
      </c>
      <c r="N7" s="11"/>
    </row>
    <row r="8" spans="1:14">
      <c r="A8" t="s">
        <v>1293</v>
      </c>
      <c r="B8" s="30" t="s">
        <v>1113</v>
      </c>
      <c r="F8">
        <v>1</v>
      </c>
      <c r="H8">
        <v>1</v>
      </c>
      <c r="N8" s="11"/>
    </row>
    <row r="9" spans="1:14">
      <c r="A9" t="s">
        <v>1379</v>
      </c>
      <c r="B9" s="30" t="s">
        <v>1378</v>
      </c>
      <c r="G9">
        <v>1</v>
      </c>
      <c r="N9" s="11"/>
    </row>
    <row r="10" spans="1:14">
      <c r="A10" t="s">
        <v>1397</v>
      </c>
      <c r="B10" s="30" t="s">
        <v>1396</v>
      </c>
      <c r="G10">
        <v>1</v>
      </c>
      <c r="H10">
        <v>1</v>
      </c>
      <c r="M10">
        <v>1</v>
      </c>
      <c r="N10" s="11"/>
    </row>
    <row r="11" spans="1:14">
      <c r="A11" t="s">
        <v>1337</v>
      </c>
      <c r="B11" s="30" t="s">
        <v>1151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M11">
        <v>1</v>
      </c>
      <c r="N11" s="11"/>
    </row>
    <row r="12" spans="1:14">
      <c r="A12" t="s">
        <v>1305</v>
      </c>
      <c r="B12" s="30" t="s">
        <v>1166</v>
      </c>
      <c r="C12">
        <v>1</v>
      </c>
      <c r="G12">
        <v>1</v>
      </c>
      <c r="M12">
        <v>1</v>
      </c>
      <c r="N12" s="11"/>
    </row>
    <row r="13" spans="1:14">
      <c r="A13" t="s">
        <v>1298</v>
      </c>
      <c r="B13" s="30" t="s">
        <v>1118</v>
      </c>
      <c r="C13" s="11"/>
      <c r="D13" s="11">
        <v>1</v>
      </c>
      <c r="E13" s="11"/>
      <c r="F13" s="11"/>
      <c r="G13" s="11"/>
      <c r="H13" s="11">
        <v>1</v>
      </c>
      <c r="I13" s="11"/>
      <c r="J13" s="11"/>
      <c r="K13" s="11">
        <v>1</v>
      </c>
      <c r="L13" s="11"/>
      <c r="M13" s="11">
        <v>1</v>
      </c>
      <c r="N13" s="11"/>
    </row>
    <row r="14" spans="1:14">
      <c r="A14" t="s">
        <v>1384</v>
      </c>
      <c r="B14" s="30" t="s">
        <v>1385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K14">
        <v>1</v>
      </c>
      <c r="L14" s="11">
        <v>1</v>
      </c>
      <c r="M14">
        <v>1</v>
      </c>
      <c r="N14" s="11">
        <v>1</v>
      </c>
    </row>
    <row r="15" spans="1:14">
      <c r="A15" t="s">
        <v>1370</v>
      </c>
      <c r="B15" s="30" t="s">
        <v>1369</v>
      </c>
      <c r="K15">
        <v>1</v>
      </c>
      <c r="L15" s="11"/>
      <c r="M15">
        <v>1</v>
      </c>
      <c r="N15" s="11"/>
    </row>
    <row r="16" spans="1:14">
      <c r="A16" t="s">
        <v>1354</v>
      </c>
      <c r="B16" s="30" t="s">
        <v>1272</v>
      </c>
      <c r="E16">
        <v>1</v>
      </c>
      <c r="L16" s="11"/>
      <c r="M16">
        <v>1</v>
      </c>
      <c r="N16" s="11"/>
    </row>
    <row r="17" spans="1:14">
      <c r="A17" t="s">
        <v>1399</v>
      </c>
      <c r="B17" s="30" t="s">
        <v>1398</v>
      </c>
      <c r="C17">
        <v>1</v>
      </c>
      <c r="D17">
        <v>1</v>
      </c>
      <c r="E17">
        <v>1</v>
      </c>
      <c r="I17">
        <v>1</v>
      </c>
      <c r="K17">
        <v>1</v>
      </c>
      <c r="L17" s="11"/>
      <c r="M17">
        <v>1</v>
      </c>
      <c r="N17" s="11"/>
    </row>
    <row r="18" spans="1:14">
      <c r="A18" t="s">
        <v>1336</v>
      </c>
      <c r="B18" s="30" t="s">
        <v>1150</v>
      </c>
      <c r="E18">
        <v>1</v>
      </c>
      <c r="F18">
        <v>1</v>
      </c>
      <c r="K18">
        <v>1</v>
      </c>
      <c r="L18" s="11"/>
      <c r="M18">
        <v>1</v>
      </c>
      <c r="N18" s="11">
        <v>1</v>
      </c>
    </row>
    <row r="19" spans="1:14">
      <c r="A19" t="s">
        <v>1350</v>
      </c>
      <c r="B19" s="30" t="s">
        <v>1164</v>
      </c>
      <c r="C19">
        <v>1</v>
      </c>
      <c r="D19">
        <v>1</v>
      </c>
      <c r="E19">
        <v>1</v>
      </c>
      <c r="G19">
        <v>1</v>
      </c>
      <c r="H19">
        <v>1</v>
      </c>
      <c r="K19">
        <v>1</v>
      </c>
      <c r="L19" s="11">
        <v>1</v>
      </c>
      <c r="M19">
        <v>1</v>
      </c>
      <c r="N19" s="11">
        <v>1</v>
      </c>
    </row>
    <row r="20" spans="1:14">
      <c r="A20" t="s">
        <v>1351</v>
      </c>
      <c r="B20" s="30" t="s">
        <v>1165</v>
      </c>
      <c r="E20">
        <v>1</v>
      </c>
      <c r="F20">
        <v>1</v>
      </c>
      <c r="L20" s="11"/>
      <c r="M20">
        <v>1</v>
      </c>
      <c r="N20" s="11"/>
    </row>
    <row r="21" spans="1:14">
      <c r="A21" t="s">
        <v>1352</v>
      </c>
      <c r="B21" s="30" t="s">
        <v>1208</v>
      </c>
      <c r="D21">
        <v>1</v>
      </c>
      <c r="E21">
        <v>1</v>
      </c>
      <c r="F21">
        <v>1</v>
      </c>
      <c r="G21">
        <v>1</v>
      </c>
      <c r="I21">
        <v>1</v>
      </c>
      <c r="K21">
        <v>1</v>
      </c>
      <c r="L21" s="11">
        <v>1</v>
      </c>
      <c r="M21">
        <v>1</v>
      </c>
      <c r="N21" s="11"/>
    </row>
    <row r="22" spans="1:14">
      <c r="A22" t="s">
        <v>1355</v>
      </c>
      <c r="B22" s="30" t="s">
        <v>1273</v>
      </c>
      <c r="E22">
        <v>1</v>
      </c>
      <c r="F22">
        <v>1</v>
      </c>
      <c r="G22">
        <v>1</v>
      </c>
      <c r="I22">
        <v>1</v>
      </c>
      <c r="L22" s="11"/>
      <c r="M22">
        <v>1</v>
      </c>
      <c r="N22" s="11">
        <v>1</v>
      </c>
    </row>
    <row r="23" spans="1:14">
      <c r="A23" t="s">
        <v>1353</v>
      </c>
      <c r="B23" s="30" t="s">
        <v>1209</v>
      </c>
      <c r="D23">
        <v>1</v>
      </c>
      <c r="E23">
        <v>1</v>
      </c>
      <c r="F23">
        <v>1</v>
      </c>
      <c r="K23">
        <v>1</v>
      </c>
      <c r="L23" s="11"/>
      <c r="M23">
        <v>1</v>
      </c>
      <c r="N23" s="11"/>
    </row>
    <row r="24" spans="1:14">
      <c r="A24" t="s">
        <v>1356</v>
      </c>
      <c r="B24" s="30" t="s">
        <v>1274</v>
      </c>
      <c r="D24">
        <v>1</v>
      </c>
      <c r="E24">
        <v>1</v>
      </c>
      <c r="F24">
        <v>1</v>
      </c>
      <c r="L24" s="11"/>
      <c r="M24">
        <v>1</v>
      </c>
      <c r="N24" s="11"/>
    </row>
    <row r="25" spans="1:14">
      <c r="A25" t="s">
        <v>1402</v>
      </c>
      <c r="B25" s="30" t="s">
        <v>1401</v>
      </c>
      <c r="F25">
        <v>1</v>
      </c>
      <c r="L25" s="11"/>
      <c r="M25">
        <v>1</v>
      </c>
      <c r="N25" s="11">
        <v>1</v>
      </c>
    </row>
    <row r="26" spans="1:14">
      <c r="A26" t="s">
        <v>1345</v>
      </c>
      <c r="B26" s="30" t="s">
        <v>1159</v>
      </c>
      <c r="L26" s="11"/>
      <c r="N26" s="11"/>
    </row>
    <row r="27" spans="1:14">
      <c r="A27" t="s">
        <v>1325</v>
      </c>
      <c r="B27" s="30" t="s">
        <v>1142</v>
      </c>
      <c r="C27">
        <v>1</v>
      </c>
      <c r="D27">
        <v>1</v>
      </c>
      <c r="F27">
        <v>1</v>
      </c>
      <c r="H27">
        <v>1</v>
      </c>
      <c r="I27">
        <v>1</v>
      </c>
      <c r="J27">
        <v>1</v>
      </c>
      <c r="K27">
        <v>1</v>
      </c>
      <c r="L27" s="11">
        <v>1</v>
      </c>
      <c r="M27">
        <v>1</v>
      </c>
      <c r="N27" s="11">
        <v>1</v>
      </c>
    </row>
    <row r="28" spans="1:14">
      <c r="A28" t="s">
        <v>1326</v>
      </c>
      <c r="B28" s="30" t="s">
        <v>1143</v>
      </c>
      <c r="C28">
        <v>1</v>
      </c>
      <c r="D28">
        <v>1</v>
      </c>
      <c r="E28">
        <v>1</v>
      </c>
      <c r="F28">
        <v>1</v>
      </c>
      <c r="K28">
        <v>1</v>
      </c>
      <c r="L28" s="11"/>
      <c r="M28">
        <v>1</v>
      </c>
      <c r="N28" s="11"/>
    </row>
    <row r="29" spans="1:14">
      <c r="A29" t="s">
        <v>1382</v>
      </c>
      <c r="B29" s="30" t="s">
        <v>1383</v>
      </c>
      <c r="C29">
        <v>1</v>
      </c>
      <c r="D29">
        <v>1</v>
      </c>
      <c r="G29">
        <v>1</v>
      </c>
      <c r="H29">
        <v>1</v>
      </c>
      <c r="L29" s="11"/>
      <c r="M29">
        <v>1</v>
      </c>
      <c r="N29" s="11"/>
    </row>
    <row r="30" spans="1:14">
      <c r="A30" t="s">
        <v>1299</v>
      </c>
      <c r="B30" s="30" t="s">
        <v>1119</v>
      </c>
      <c r="C30" s="11"/>
      <c r="D30" s="11"/>
      <c r="E30" s="11"/>
      <c r="F30" s="11"/>
      <c r="G30" s="11">
        <v>1</v>
      </c>
      <c r="H30" s="11"/>
      <c r="I30" s="11"/>
      <c r="J30" s="11"/>
      <c r="K30" s="11"/>
      <c r="L30" s="11"/>
      <c r="M30" s="11"/>
      <c r="N30" s="11"/>
    </row>
    <row r="31" spans="1:14">
      <c r="A31" t="s">
        <v>1285</v>
      </c>
      <c r="B31" s="30" t="s">
        <v>1106</v>
      </c>
      <c r="C31">
        <v>1</v>
      </c>
      <c r="D31">
        <v>1</v>
      </c>
      <c r="H31">
        <v>1</v>
      </c>
      <c r="L31" s="11"/>
      <c r="N31" s="11"/>
    </row>
    <row r="32" spans="1:14">
      <c r="A32" t="s">
        <v>1307</v>
      </c>
      <c r="B32" s="30" t="s">
        <v>1371</v>
      </c>
      <c r="L32" s="11"/>
      <c r="N32" s="11"/>
    </row>
    <row r="33" spans="1:14">
      <c r="A33" t="s">
        <v>1360</v>
      </c>
      <c r="B33" s="30" t="s">
        <v>1359</v>
      </c>
      <c r="L33" s="11"/>
      <c r="M33">
        <v>1</v>
      </c>
      <c r="N33" s="11"/>
    </row>
    <row r="34" spans="1:14">
      <c r="A34" t="s">
        <v>1333</v>
      </c>
      <c r="B34" s="30" t="s">
        <v>1169</v>
      </c>
      <c r="E34">
        <v>1</v>
      </c>
      <c r="F34">
        <v>1</v>
      </c>
      <c r="I34">
        <v>1</v>
      </c>
      <c r="J34">
        <v>1</v>
      </c>
      <c r="K34">
        <v>1</v>
      </c>
      <c r="L34" s="11">
        <v>1</v>
      </c>
      <c r="M34">
        <v>1</v>
      </c>
      <c r="N34" s="11"/>
    </row>
    <row r="35" spans="1:14">
      <c r="A35" t="s">
        <v>1319</v>
      </c>
      <c r="B35" s="30" t="s">
        <v>1136</v>
      </c>
      <c r="L35" s="11"/>
      <c r="N35" s="11"/>
    </row>
    <row r="36" spans="1:14">
      <c r="A36" t="s">
        <v>1386</v>
      </c>
      <c r="B36" s="29" t="s">
        <v>1387</v>
      </c>
      <c r="C36" s="27">
        <v>0</v>
      </c>
      <c r="D36" s="27">
        <v>1</v>
      </c>
      <c r="E36" s="27">
        <v>1</v>
      </c>
      <c r="F36" s="27">
        <v>1</v>
      </c>
      <c r="G36" s="27">
        <v>1</v>
      </c>
      <c r="H36" s="27">
        <v>1</v>
      </c>
      <c r="I36" s="27"/>
      <c r="J36" s="27"/>
      <c r="K36" s="27">
        <v>1</v>
      </c>
      <c r="L36" s="27"/>
      <c r="M36" s="27">
        <v>1</v>
      </c>
      <c r="N36" s="27"/>
    </row>
    <row r="37" spans="1:14">
      <c r="A37" t="s">
        <v>1346</v>
      </c>
      <c r="B37" s="30" t="s">
        <v>1160</v>
      </c>
      <c r="L37" s="27"/>
      <c r="N37" s="27"/>
    </row>
    <row r="38" spans="1:14">
      <c r="A38" t="s">
        <v>1300</v>
      </c>
      <c r="B38" s="30" t="s">
        <v>1120</v>
      </c>
      <c r="C38" s="11"/>
      <c r="D38" s="11">
        <v>1</v>
      </c>
      <c r="E38" s="11"/>
      <c r="F38" s="11"/>
      <c r="G38" s="11"/>
      <c r="H38" s="11"/>
      <c r="I38" s="11"/>
      <c r="J38" s="11"/>
      <c r="K38" s="11"/>
      <c r="L38" s="27"/>
      <c r="M38" s="11"/>
      <c r="N38" s="27"/>
    </row>
    <row r="39" spans="1:14">
      <c r="A39" t="s">
        <v>1301</v>
      </c>
      <c r="B39" s="30" t="s">
        <v>1121</v>
      </c>
      <c r="C39" s="11"/>
      <c r="D39" s="11"/>
      <c r="E39" s="11"/>
      <c r="F39" s="11"/>
      <c r="G39" s="11">
        <v>1</v>
      </c>
      <c r="H39" s="11"/>
      <c r="I39" s="11"/>
      <c r="J39" s="11"/>
      <c r="K39" s="11"/>
      <c r="L39" s="27"/>
      <c r="M39" s="11">
        <v>1</v>
      </c>
      <c r="N39" s="27"/>
    </row>
    <row r="40" spans="1:14">
      <c r="A40" t="s">
        <v>1315</v>
      </c>
      <c r="B40" s="30" t="s">
        <v>1388</v>
      </c>
      <c r="D40">
        <v>1</v>
      </c>
      <c r="E40">
        <v>1</v>
      </c>
      <c r="F40">
        <v>1</v>
      </c>
      <c r="H40">
        <v>1</v>
      </c>
      <c r="J40">
        <v>1</v>
      </c>
      <c r="K40">
        <v>1</v>
      </c>
      <c r="L40" s="27">
        <v>1</v>
      </c>
      <c r="M40">
        <v>1</v>
      </c>
      <c r="N40" s="27"/>
    </row>
    <row r="41" spans="1:14">
      <c r="A41" t="s">
        <v>1344</v>
      </c>
      <c r="B41" s="30" t="s">
        <v>1158</v>
      </c>
      <c r="C41">
        <v>1</v>
      </c>
      <c r="F41">
        <v>1</v>
      </c>
      <c r="L41" s="27">
        <v>1</v>
      </c>
      <c r="N41" s="27"/>
    </row>
    <row r="42" spans="1:14">
      <c r="A42" t="s">
        <v>1347</v>
      </c>
      <c r="B42" s="30" t="s">
        <v>1161</v>
      </c>
      <c r="L42" s="27"/>
      <c r="N42" s="27"/>
    </row>
    <row r="43" spans="1:14">
      <c r="A43" t="s">
        <v>1323</v>
      </c>
      <c r="B43" s="30" t="s">
        <v>1140</v>
      </c>
      <c r="C43">
        <v>1</v>
      </c>
      <c r="D43">
        <v>1</v>
      </c>
      <c r="E43">
        <v>1</v>
      </c>
      <c r="G43">
        <v>1</v>
      </c>
      <c r="H43">
        <v>1</v>
      </c>
      <c r="K43">
        <v>1</v>
      </c>
      <c r="L43" s="27">
        <v>1</v>
      </c>
      <c r="M43">
        <v>1</v>
      </c>
      <c r="N43" s="27"/>
    </row>
    <row r="44" spans="1:14">
      <c r="A44" t="s">
        <v>1342</v>
      </c>
      <c r="B44" s="30" t="s">
        <v>1389</v>
      </c>
      <c r="C44">
        <v>1</v>
      </c>
      <c r="D44">
        <v>1</v>
      </c>
      <c r="E44">
        <v>1</v>
      </c>
      <c r="G44">
        <v>1</v>
      </c>
      <c r="H44">
        <v>1</v>
      </c>
      <c r="I44">
        <v>1</v>
      </c>
      <c r="J44">
        <v>1</v>
      </c>
      <c r="K44">
        <v>1</v>
      </c>
      <c r="L44" s="27"/>
      <c r="M44">
        <v>1</v>
      </c>
      <c r="N44" s="27"/>
    </row>
    <row r="45" spans="1:14">
      <c r="A45" t="s">
        <v>1327</v>
      </c>
      <c r="B45" s="30" t="s">
        <v>1144</v>
      </c>
      <c r="L45" s="27"/>
      <c r="N45" s="27"/>
    </row>
    <row r="46" spans="1:14">
      <c r="A46" t="s">
        <v>1332</v>
      </c>
      <c r="B46" s="30" t="s">
        <v>1168</v>
      </c>
      <c r="L46" s="27"/>
      <c r="M46">
        <v>1</v>
      </c>
      <c r="N46" s="27"/>
    </row>
    <row r="47" spans="1:14">
      <c r="A47" t="s">
        <v>1343</v>
      </c>
      <c r="B47" s="30" t="s">
        <v>1156</v>
      </c>
      <c r="E47">
        <v>1</v>
      </c>
      <c r="K47">
        <v>1</v>
      </c>
      <c r="L47" s="27"/>
      <c r="M47">
        <v>1</v>
      </c>
      <c r="N47" s="27"/>
    </row>
    <row r="48" spans="1:14">
      <c r="A48" t="s">
        <v>1279</v>
      </c>
      <c r="B48" s="30" t="s">
        <v>1100</v>
      </c>
      <c r="C48" s="11"/>
      <c r="D48" s="11"/>
      <c r="E48" s="11"/>
      <c r="F48" s="11"/>
      <c r="G48" s="11"/>
      <c r="H48" s="11"/>
      <c r="I48" s="11"/>
      <c r="J48" s="11"/>
      <c r="K48" s="11"/>
      <c r="L48" s="27"/>
      <c r="M48" s="11"/>
      <c r="N48" s="27"/>
    </row>
    <row r="49" spans="1:14">
      <c r="A49" t="s">
        <v>1283</v>
      </c>
      <c r="B49" s="30" t="s">
        <v>1104</v>
      </c>
      <c r="L49" s="27"/>
      <c r="N49" s="27">
        <v>1</v>
      </c>
    </row>
    <row r="50" spans="1:14">
      <c r="A50" t="s">
        <v>1310</v>
      </c>
      <c r="B50" s="30" t="s">
        <v>1132</v>
      </c>
      <c r="L50" s="27"/>
      <c r="N50" s="27"/>
    </row>
    <row r="51" spans="1:14">
      <c r="A51" t="s">
        <v>1294</v>
      </c>
      <c r="B51" s="30" t="s">
        <v>1114</v>
      </c>
      <c r="L51" s="27"/>
      <c r="N51" s="27"/>
    </row>
    <row r="52" spans="1:14">
      <c r="A52" t="s">
        <v>1320</v>
      </c>
      <c r="B52" s="30" t="s">
        <v>1137</v>
      </c>
      <c r="C52">
        <v>1</v>
      </c>
      <c r="E52">
        <v>1</v>
      </c>
      <c r="L52" s="27"/>
      <c r="M52">
        <v>1</v>
      </c>
      <c r="N52" s="27"/>
    </row>
    <row r="53" spans="1:14">
      <c r="A53" t="s">
        <v>1316</v>
      </c>
      <c r="B53" s="30" t="s">
        <v>1134</v>
      </c>
      <c r="C53">
        <v>1</v>
      </c>
      <c r="G53">
        <v>1</v>
      </c>
      <c r="H53">
        <v>1</v>
      </c>
      <c r="I53">
        <v>1</v>
      </c>
      <c r="J53">
        <v>1</v>
      </c>
      <c r="K53">
        <v>1</v>
      </c>
      <c r="L53" s="27"/>
      <c r="M53">
        <v>1</v>
      </c>
      <c r="N53" s="27"/>
    </row>
    <row r="54" spans="1:14">
      <c r="A54" t="s">
        <v>1280</v>
      </c>
      <c r="B54" s="30" t="s">
        <v>1101</v>
      </c>
      <c r="C54" s="11"/>
      <c r="D54" s="11"/>
      <c r="E54" s="11"/>
      <c r="F54" s="11"/>
      <c r="G54" s="11"/>
      <c r="H54" s="11"/>
      <c r="I54" s="11"/>
      <c r="J54" s="11"/>
      <c r="K54" s="11"/>
      <c r="L54" s="27"/>
      <c r="M54" s="11">
        <v>1</v>
      </c>
      <c r="N54" s="27"/>
    </row>
    <row r="55" spans="1:14">
      <c r="A55" t="s">
        <v>1348</v>
      </c>
      <c r="B55" s="30" t="s">
        <v>1162</v>
      </c>
      <c r="E55">
        <v>1</v>
      </c>
      <c r="F55">
        <v>1</v>
      </c>
      <c r="K55">
        <v>1</v>
      </c>
      <c r="L55" s="27"/>
      <c r="M55">
        <v>1</v>
      </c>
      <c r="N55" s="27"/>
    </row>
    <row r="56" spans="1:14">
      <c r="A56" t="s">
        <v>1357</v>
      </c>
      <c r="B56" s="30" t="s">
        <v>1390</v>
      </c>
      <c r="E56">
        <v>1</v>
      </c>
      <c r="F56">
        <v>1</v>
      </c>
      <c r="L56" s="27"/>
      <c r="N56" s="27">
        <v>1</v>
      </c>
    </row>
    <row r="57" spans="1:14">
      <c r="A57" t="s">
        <v>1309</v>
      </c>
      <c r="B57" s="30" t="s">
        <v>1131</v>
      </c>
      <c r="L57" s="27"/>
      <c r="M57">
        <v>1</v>
      </c>
      <c r="N57" s="27"/>
    </row>
    <row r="58" spans="1:14">
      <c r="A58" t="s">
        <v>1295</v>
      </c>
      <c r="B58" s="30" t="s">
        <v>1115</v>
      </c>
      <c r="L58" s="27"/>
      <c r="N58" s="27"/>
    </row>
    <row r="59" spans="1:14">
      <c r="A59" t="s">
        <v>1338</v>
      </c>
      <c r="B59" s="30" t="s">
        <v>1152</v>
      </c>
      <c r="L59" s="27"/>
      <c r="M59">
        <v>1</v>
      </c>
      <c r="N59" s="27"/>
    </row>
    <row r="60" spans="1:14">
      <c r="A60" t="s">
        <v>1372</v>
      </c>
      <c r="B60" s="30" t="s">
        <v>1129</v>
      </c>
      <c r="F60">
        <v>1</v>
      </c>
      <c r="L60" s="27"/>
      <c r="N60" s="27">
        <v>1</v>
      </c>
    </row>
    <row r="61" spans="1:14">
      <c r="A61" t="s">
        <v>1317</v>
      </c>
      <c r="B61" s="30" t="s">
        <v>1135</v>
      </c>
      <c r="C61">
        <v>1</v>
      </c>
      <c r="D61">
        <v>1</v>
      </c>
      <c r="K61">
        <v>1</v>
      </c>
      <c r="L61" s="27"/>
      <c r="M61">
        <v>1</v>
      </c>
      <c r="N61" s="27">
        <v>1</v>
      </c>
    </row>
    <row r="62" spans="1:14">
      <c r="A62" t="s">
        <v>1311</v>
      </c>
      <c r="B62" s="30" t="s">
        <v>1403</v>
      </c>
      <c r="G62">
        <v>1</v>
      </c>
      <c r="H62">
        <v>1</v>
      </c>
      <c r="I62">
        <v>1</v>
      </c>
      <c r="J62">
        <v>1</v>
      </c>
      <c r="K62">
        <v>1</v>
      </c>
      <c r="L62" s="27">
        <v>1</v>
      </c>
      <c r="M62">
        <v>1</v>
      </c>
      <c r="N62" s="27">
        <v>1</v>
      </c>
    </row>
    <row r="63" spans="1:14">
      <c r="A63" t="s">
        <v>1312</v>
      </c>
      <c r="B63" s="30" t="s">
        <v>1133</v>
      </c>
      <c r="G63">
        <v>1</v>
      </c>
      <c r="K63">
        <v>1</v>
      </c>
      <c r="L63" s="27">
        <v>1</v>
      </c>
      <c r="M63">
        <v>1</v>
      </c>
      <c r="N63" s="27"/>
    </row>
    <row r="64" spans="1:14">
      <c r="A64" t="s">
        <v>1286</v>
      </c>
      <c r="B64" s="30" t="s">
        <v>1107</v>
      </c>
      <c r="L64" s="27"/>
      <c r="N64" s="27"/>
    </row>
    <row r="65" spans="1:14">
      <c r="A65" t="s">
        <v>1289</v>
      </c>
      <c r="B65" s="30" t="s">
        <v>476</v>
      </c>
      <c r="L65" s="27"/>
      <c r="N65" s="27"/>
    </row>
    <row r="66" spans="1:14">
      <c r="A66" t="s">
        <v>1287</v>
      </c>
      <c r="B66" s="30" t="s">
        <v>1108</v>
      </c>
      <c r="F66">
        <v>1</v>
      </c>
      <c r="L66" s="27"/>
      <c r="M66">
        <v>1</v>
      </c>
      <c r="N66" s="27">
        <v>1</v>
      </c>
    </row>
    <row r="67" spans="1:14">
      <c r="A67" t="s">
        <v>1302</v>
      </c>
      <c r="B67" s="30" t="s">
        <v>1122</v>
      </c>
      <c r="L67" s="27"/>
      <c r="N67" s="27"/>
    </row>
    <row r="68" spans="1:14">
      <c r="A68" t="s">
        <v>1296</v>
      </c>
      <c r="B68" s="30" t="s">
        <v>1116</v>
      </c>
      <c r="C68" s="11"/>
      <c r="D68" s="11"/>
      <c r="E68" s="11"/>
      <c r="F68" s="11">
        <v>1</v>
      </c>
      <c r="G68" s="11"/>
      <c r="H68" s="11"/>
      <c r="I68" s="11"/>
      <c r="J68" s="11"/>
      <c r="K68" s="11"/>
      <c r="L68" s="27"/>
      <c r="M68" s="11"/>
      <c r="N68" s="27"/>
    </row>
    <row r="69" spans="1:14">
      <c r="A69" t="s">
        <v>1324</v>
      </c>
      <c r="B69" s="30" t="s">
        <v>1141</v>
      </c>
      <c r="I69">
        <v>1</v>
      </c>
      <c r="L69" s="27"/>
      <c r="M69">
        <v>1</v>
      </c>
      <c r="N69" s="27">
        <v>1</v>
      </c>
    </row>
    <row r="70" spans="1:14">
      <c r="A70" t="s">
        <v>1303</v>
      </c>
      <c r="B70" s="30" t="s">
        <v>1123</v>
      </c>
      <c r="L70" s="27"/>
      <c r="M70">
        <v>1</v>
      </c>
      <c r="N70" s="27"/>
    </row>
    <row r="71" spans="1:14">
      <c r="A71" t="s">
        <v>1374</v>
      </c>
      <c r="B71" s="30" t="s">
        <v>1126</v>
      </c>
      <c r="L71" s="27"/>
      <c r="N71" s="27"/>
    </row>
    <row r="72" spans="1:14">
      <c r="A72" t="s">
        <v>1366</v>
      </c>
      <c r="B72" s="30" t="s">
        <v>1365</v>
      </c>
      <c r="L72" s="27"/>
      <c r="N72" s="27"/>
    </row>
    <row r="73" spans="1:14">
      <c r="A73" t="s">
        <v>1341</v>
      </c>
      <c r="B73" s="30" t="s">
        <v>1155</v>
      </c>
      <c r="K73">
        <v>1</v>
      </c>
      <c r="L73" s="27"/>
      <c r="M73">
        <v>1</v>
      </c>
      <c r="N73" s="27"/>
    </row>
    <row r="74" spans="1:14">
      <c r="A74" t="s">
        <v>1405</v>
      </c>
      <c r="B74" s="30" t="s">
        <v>1404</v>
      </c>
      <c r="D74">
        <v>1</v>
      </c>
      <c r="E74">
        <v>1</v>
      </c>
      <c r="F74">
        <v>1</v>
      </c>
      <c r="G74">
        <v>1</v>
      </c>
      <c r="H74">
        <v>1</v>
      </c>
      <c r="L74" s="27"/>
      <c r="M74" s="27"/>
      <c r="N74" s="27"/>
    </row>
    <row r="75" spans="1:14">
      <c r="A75" t="s">
        <v>1306</v>
      </c>
      <c r="B75" s="30" t="s">
        <v>1127</v>
      </c>
      <c r="F75">
        <v>1</v>
      </c>
      <c r="L75" s="27"/>
      <c r="M75">
        <v>1</v>
      </c>
      <c r="N75" s="27">
        <v>1</v>
      </c>
    </row>
    <row r="76" spans="1:14">
      <c r="A76" t="s">
        <v>1373</v>
      </c>
      <c r="B76" s="30" t="s">
        <v>1128</v>
      </c>
      <c r="L76" s="27"/>
      <c r="N76" s="27"/>
    </row>
    <row r="77" spans="1:14">
      <c r="A77" t="s">
        <v>1363</v>
      </c>
      <c r="B77" s="30" t="s">
        <v>1364</v>
      </c>
      <c r="K77">
        <v>1</v>
      </c>
      <c r="L77" s="27"/>
      <c r="N77" s="27"/>
    </row>
    <row r="78" spans="1:14">
      <c r="A78" t="s">
        <v>1292</v>
      </c>
      <c r="B78" s="30" t="s">
        <v>1112</v>
      </c>
      <c r="C78" s="11">
        <v>1</v>
      </c>
      <c r="D78" s="11">
        <v>1</v>
      </c>
      <c r="E78" s="11"/>
      <c r="F78" s="11"/>
      <c r="G78" s="11"/>
      <c r="H78" s="11">
        <v>1</v>
      </c>
      <c r="I78" s="11"/>
      <c r="J78" s="11"/>
      <c r="K78" s="11"/>
      <c r="L78" s="27"/>
      <c r="M78" s="11">
        <v>1</v>
      </c>
      <c r="N78" s="27">
        <v>1</v>
      </c>
    </row>
    <row r="79" spans="1:14">
      <c r="A79" t="s">
        <v>1290</v>
      </c>
      <c r="B79" s="30" t="s">
        <v>1110</v>
      </c>
      <c r="C79">
        <v>1</v>
      </c>
      <c r="D79">
        <v>1</v>
      </c>
      <c r="G79">
        <v>1</v>
      </c>
      <c r="H79">
        <v>1</v>
      </c>
      <c r="K79">
        <v>1</v>
      </c>
      <c r="L79" s="27"/>
      <c r="M79">
        <v>1</v>
      </c>
      <c r="N79" s="27"/>
    </row>
    <row r="80" spans="1:14">
      <c r="A80" t="s">
        <v>1328</v>
      </c>
      <c r="B80" s="30" t="s">
        <v>1145</v>
      </c>
      <c r="E80">
        <v>1</v>
      </c>
      <c r="F80">
        <v>1</v>
      </c>
      <c r="K80">
        <v>1</v>
      </c>
      <c r="L80" s="27"/>
      <c r="M80">
        <v>1</v>
      </c>
      <c r="N80" s="27"/>
    </row>
    <row r="81" spans="1:14">
      <c r="A81" t="s">
        <v>1380</v>
      </c>
      <c r="B81" s="30" t="s">
        <v>1381</v>
      </c>
      <c r="K81">
        <v>1</v>
      </c>
      <c r="L81" s="27">
        <v>1</v>
      </c>
      <c r="M81">
        <v>1</v>
      </c>
      <c r="N81" s="27">
        <v>1</v>
      </c>
    </row>
    <row r="82" spans="1:14">
      <c r="A82" t="s">
        <v>1367</v>
      </c>
      <c r="B82" s="30" t="s">
        <v>1368</v>
      </c>
      <c r="L82" s="27"/>
      <c r="N82" s="27"/>
    </row>
    <row r="83" spans="1:14">
      <c r="A83" t="s">
        <v>1349</v>
      </c>
      <c r="B83" s="30" t="s">
        <v>1163</v>
      </c>
      <c r="L83" s="27"/>
      <c r="M83">
        <v>1</v>
      </c>
      <c r="N83" s="27"/>
    </row>
    <row r="84" spans="1:14">
      <c r="A84" t="s">
        <v>1361</v>
      </c>
      <c r="B84" s="30" t="s">
        <v>1362</v>
      </c>
      <c r="L84" s="27"/>
      <c r="M84">
        <v>1</v>
      </c>
      <c r="N84" s="27"/>
    </row>
    <row r="85" spans="1:14">
      <c r="A85" t="s">
        <v>1281</v>
      </c>
      <c r="B85" s="30" t="s">
        <v>1102</v>
      </c>
      <c r="L85" s="27"/>
      <c r="N85" s="27"/>
    </row>
    <row r="86" spans="1:14">
      <c r="A86" t="s">
        <v>1288</v>
      </c>
      <c r="B86" s="30" t="s">
        <v>1109</v>
      </c>
      <c r="C86" s="11">
        <v>1</v>
      </c>
      <c r="D86" s="11">
        <v>1</v>
      </c>
      <c r="E86" s="11">
        <v>1</v>
      </c>
      <c r="F86" s="11">
        <v>1</v>
      </c>
      <c r="G86" s="11">
        <v>1</v>
      </c>
      <c r="H86" s="11">
        <v>1</v>
      </c>
      <c r="I86" s="11"/>
      <c r="J86" s="11"/>
      <c r="K86" s="11">
        <v>1</v>
      </c>
      <c r="L86" s="27"/>
      <c r="M86" s="11">
        <v>1</v>
      </c>
      <c r="N86" s="27"/>
    </row>
    <row r="87" spans="1:14">
      <c r="A87" t="s">
        <v>1282</v>
      </c>
      <c r="B87" s="30" t="s">
        <v>1103</v>
      </c>
      <c r="C87" s="11"/>
      <c r="D87" s="11">
        <v>1</v>
      </c>
      <c r="E87" s="11">
        <v>1</v>
      </c>
      <c r="F87" s="11"/>
      <c r="G87" s="11">
        <v>1</v>
      </c>
      <c r="H87" s="11">
        <v>1</v>
      </c>
      <c r="I87" s="11"/>
      <c r="J87" s="11"/>
      <c r="K87" s="11">
        <v>1</v>
      </c>
      <c r="L87" s="27"/>
      <c r="M87" s="11">
        <v>1</v>
      </c>
      <c r="N87" s="27"/>
    </row>
    <row r="88" spans="1:14">
      <c r="A88" t="s">
        <v>1339</v>
      </c>
      <c r="B88" s="30" t="s">
        <v>1153</v>
      </c>
      <c r="K88">
        <v>1</v>
      </c>
      <c r="L88" s="27"/>
      <c r="M88">
        <v>1</v>
      </c>
      <c r="N88" s="27">
        <v>1</v>
      </c>
    </row>
    <row r="89" spans="1:14">
      <c r="A89" t="s">
        <v>1297</v>
      </c>
      <c r="B89" s="30" t="s">
        <v>1117</v>
      </c>
      <c r="C89" s="11">
        <v>1</v>
      </c>
      <c r="D89" s="11"/>
      <c r="E89" s="11"/>
      <c r="F89" s="11"/>
      <c r="G89" s="11"/>
      <c r="H89" s="11"/>
      <c r="I89" s="11"/>
      <c r="J89" s="11"/>
      <c r="K89" s="11"/>
      <c r="L89" s="27"/>
      <c r="M89" s="11">
        <v>1</v>
      </c>
      <c r="N89" s="27"/>
    </row>
    <row r="90" spans="1:14">
      <c r="A90" t="s">
        <v>1329</v>
      </c>
      <c r="B90" s="30" t="s">
        <v>1146</v>
      </c>
      <c r="C90">
        <v>1</v>
      </c>
      <c r="F90">
        <v>1</v>
      </c>
      <c r="L90" s="27"/>
      <c r="M90">
        <v>1</v>
      </c>
      <c r="N90" s="27">
        <v>1</v>
      </c>
    </row>
    <row r="91" spans="1:14">
      <c r="A91" t="s">
        <v>1322</v>
      </c>
      <c r="B91" s="30" t="s">
        <v>1139</v>
      </c>
      <c r="E91">
        <v>1</v>
      </c>
      <c r="F91">
        <v>1</v>
      </c>
      <c r="L91" s="27"/>
      <c r="M91">
        <v>1</v>
      </c>
      <c r="N91" s="27"/>
    </row>
    <row r="92" spans="1:14">
      <c r="A92" t="s">
        <v>1376</v>
      </c>
      <c r="B92" s="30" t="s">
        <v>1377</v>
      </c>
      <c r="L92" s="27"/>
      <c r="M92">
        <v>1</v>
      </c>
      <c r="N92" s="27"/>
    </row>
    <row r="93" spans="1:14">
      <c r="A93" t="s">
        <v>1375</v>
      </c>
      <c r="B93" s="30" t="s">
        <v>1125</v>
      </c>
      <c r="C93">
        <v>1</v>
      </c>
      <c r="D93">
        <v>1</v>
      </c>
      <c r="H93">
        <v>1</v>
      </c>
      <c r="L93" s="27"/>
      <c r="M93">
        <v>1</v>
      </c>
      <c r="N93" s="27"/>
    </row>
    <row r="94" spans="1:14">
      <c r="A94" t="s">
        <v>1330</v>
      </c>
      <c r="B94" s="30" t="s">
        <v>1147</v>
      </c>
      <c r="E94">
        <v>1</v>
      </c>
      <c r="F94">
        <v>1</v>
      </c>
      <c r="L94" s="27"/>
      <c r="M94">
        <v>1</v>
      </c>
      <c r="N94" s="27"/>
    </row>
    <row r="95" spans="1:14">
      <c r="A95" t="s">
        <v>1291</v>
      </c>
      <c r="B95" s="30" t="s">
        <v>1111</v>
      </c>
      <c r="E95">
        <v>1</v>
      </c>
      <c r="L95" s="27">
        <v>1</v>
      </c>
      <c r="N95" s="27"/>
    </row>
    <row r="96" spans="1:14">
      <c r="A96" t="s">
        <v>1304</v>
      </c>
      <c r="B96" s="30" t="s">
        <v>1124</v>
      </c>
      <c r="C96">
        <v>1</v>
      </c>
      <c r="D96">
        <v>1</v>
      </c>
      <c r="G96">
        <v>1</v>
      </c>
      <c r="J96">
        <v>1</v>
      </c>
      <c r="K96">
        <v>1</v>
      </c>
      <c r="L96" s="27">
        <v>1</v>
      </c>
      <c r="M96">
        <v>1</v>
      </c>
      <c r="N96" s="27"/>
    </row>
    <row r="97" spans="1:14">
      <c r="A97" t="s">
        <v>1331</v>
      </c>
      <c r="B97" s="30" t="s">
        <v>1167</v>
      </c>
      <c r="L97" s="27"/>
      <c r="M97">
        <v>1</v>
      </c>
      <c r="N97" s="27"/>
    </row>
    <row r="98" spans="1:14">
      <c r="A98" t="s">
        <v>1314</v>
      </c>
      <c r="B98" s="30" t="s">
        <v>1406</v>
      </c>
      <c r="D98">
        <v>1</v>
      </c>
      <c r="E98">
        <v>1</v>
      </c>
      <c r="I98">
        <v>1</v>
      </c>
      <c r="K98">
        <v>1</v>
      </c>
      <c r="L98" s="27">
        <v>1</v>
      </c>
      <c r="M98">
        <v>1</v>
      </c>
      <c r="N98" s="27">
        <v>1</v>
      </c>
    </row>
    <row r="99" spans="1:14">
      <c r="A99" t="s">
        <v>1321</v>
      </c>
      <c r="B99" s="30" t="s">
        <v>1138</v>
      </c>
      <c r="K99">
        <v>1</v>
      </c>
      <c r="L99" s="27"/>
      <c r="M99">
        <v>1</v>
      </c>
      <c r="N99" s="27"/>
    </row>
    <row r="100" spans="1:14">
      <c r="A100" t="s">
        <v>1318</v>
      </c>
      <c r="B100" s="30" t="s">
        <v>1187</v>
      </c>
      <c r="L100" s="27"/>
      <c r="M100">
        <v>1</v>
      </c>
      <c r="N100" s="27"/>
    </row>
    <row r="101" spans="1:14">
      <c r="A101" t="s">
        <v>1334</v>
      </c>
      <c r="B101" s="30" t="s">
        <v>1148</v>
      </c>
      <c r="E101">
        <v>1</v>
      </c>
      <c r="L101" s="27"/>
      <c r="M101">
        <v>1</v>
      </c>
      <c r="N101" s="27"/>
    </row>
    <row r="102" spans="1:14">
      <c r="A102" t="s">
        <v>1358</v>
      </c>
      <c r="B102" s="30" t="s">
        <v>1157</v>
      </c>
      <c r="L102" s="27"/>
      <c r="N102" s="27"/>
    </row>
    <row r="103" spans="1:14">
      <c r="A103" t="s">
        <v>1340</v>
      </c>
      <c r="B103" s="30" t="s">
        <v>1154</v>
      </c>
      <c r="C103">
        <v>1</v>
      </c>
      <c r="E103">
        <v>1</v>
      </c>
      <c r="F103">
        <v>1</v>
      </c>
      <c r="G103">
        <v>1</v>
      </c>
      <c r="H103">
        <v>1</v>
      </c>
      <c r="K103">
        <v>1</v>
      </c>
      <c r="L103" s="27"/>
      <c r="M103">
        <v>1</v>
      </c>
      <c r="N103" s="27"/>
    </row>
    <row r="105" spans="1:14">
      <c r="B105" t="s">
        <v>1278</v>
      </c>
      <c r="C105">
        <f>SUM(C4:C103)</f>
        <v>24</v>
      </c>
      <c r="D105">
        <f t="shared" ref="D105:N105" si="0">SUM(D4:D103)</f>
        <v>28</v>
      </c>
      <c r="E105">
        <f t="shared" si="0"/>
        <v>32</v>
      </c>
      <c r="F105">
        <f t="shared" si="0"/>
        <v>29</v>
      </c>
      <c r="G105">
        <f t="shared" si="0"/>
        <v>24</v>
      </c>
      <c r="H105">
        <f t="shared" si="0"/>
        <v>24</v>
      </c>
      <c r="I105">
        <f t="shared" si="0"/>
        <v>12</v>
      </c>
      <c r="J105">
        <f t="shared" si="0"/>
        <v>9</v>
      </c>
      <c r="K105">
        <f t="shared" si="0"/>
        <v>36</v>
      </c>
      <c r="L105">
        <f t="shared" si="0"/>
        <v>15</v>
      </c>
      <c r="M105">
        <f t="shared" si="0"/>
        <v>67</v>
      </c>
      <c r="N105">
        <f t="shared" si="0"/>
        <v>19</v>
      </c>
    </row>
  </sheetData>
  <mergeCells count="6">
    <mergeCell ref="C2:D2"/>
    <mergeCell ref="G2:H2"/>
    <mergeCell ref="I2:J2"/>
    <mergeCell ref="K2:L2"/>
    <mergeCell ref="M2:N2"/>
    <mergeCell ref="E2:F2"/>
  </mergeCells>
  <phoneticPr fontId="14" type="noConversion"/>
  <pageMargins left="0.75000000000000011" right="0.75000000000000011" top="1" bottom="1" header="0.5" footer="0.5"/>
  <pageSetup paperSize="34" scale="35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107"/>
  <sheetViews>
    <sheetView tabSelected="1" workbookViewId="0">
      <selection activeCell="S2" sqref="S2"/>
    </sheetView>
  </sheetViews>
  <sheetFormatPr baseColWidth="10" defaultRowHeight="15" x14ac:dyDescent="0"/>
  <cols>
    <col min="3" max="4" width="14.1640625" customWidth="1"/>
    <col min="5" max="10" width="7.83203125" customWidth="1"/>
    <col min="11" max="12" width="8.83203125" customWidth="1"/>
    <col min="13" max="16" width="7.83203125" customWidth="1"/>
    <col min="17" max="17" width="73.33203125" bestFit="1" customWidth="1"/>
    <col min="18" max="18" width="73.33203125" customWidth="1"/>
  </cols>
  <sheetData>
    <row r="2" spans="1:30">
      <c r="E2" s="45" t="s">
        <v>2</v>
      </c>
      <c r="F2" s="45"/>
      <c r="G2" s="51" t="s">
        <v>1409</v>
      </c>
      <c r="H2" s="52"/>
      <c r="I2" s="46" t="s">
        <v>1407</v>
      </c>
      <c r="J2" s="47"/>
      <c r="K2" s="48" t="s">
        <v>1393</v>
      </c>
      <c r="L2" s="48"/>
      <c r="M2" s="49" t="s">
        <v>1394</v>
      </c>
      <c r="N2" s="49"/>
      <c r="O2" s="50" t="s">
        <v>1395</v>
      </c>
      <c r="P2" s="50"/>
      <c r="R2" t="s">
        <v>1416</v>
      </c>
    </row>
    <row r="3" spans="1:30">
      <c r="C3" s="34" t="s">
        <v>1392</v>
      </c>
      <c r="D3" s="34" t="s">
        <v>1391</v>
      </c>
      <c r="E3" s="37" t="s">
        <v>8</v>
      </c>
      <c r="F3" s="37" t="s">
        <v>9</v>
      </c>
      <c r="G3" s="40" t="s">
        <v>8</v>
      </c>
      <c r="H3" s="40" t="s">
        <v>9</v>
      </c>
      <c r="I3" s="38" t="s">
        <v>8</v>
      </c>
      <c r="J3" s="38" t="s">
        <v>9</v>
      </c>
      <c r="K3" s="39" t="s">
        <v>8</v>
      </c>
      <c r="L3" s="39" t="s">
        <v>9</v>
      </c>
      <c r="M3" s="35" t="s">
        <v>8</v>
      </c>
      <c r="N3" s="35" t="s">
        <v>9</v>
      </c>
      <c r="O3" s="41" t="s">
        <v>8</v>
      </c>
      <c r="P3" s="41" t="s">
        <v>9</v>
      </c>
      <c r="R3" t="s">
        <v>1417</v>
      </c>
    </row>
    <row r="4" spans="1:30">
      <c r="D4" t="s">
        <v>1410</v>
      </c>
      <c r="E4">
        <f>SUM(Table62[[#All],[Column3]])</f>
        <v>24</v>
      </c>
      <c r="F4">
        <f>SUM(Table62[[#All],[Column4]])</f>
        <v>28</v>
      </c>
      <c r="G4">
        <f>SUM(Table62[[#All],[Column13]])</f>
        <v>32</v>
      </c>
      <c r="H4">
        <f>SUM(Table62[[#All],[Column14]])</f>
        <v>29</v>
      </c>
      <c r="I4">
        <f>SUM(Table62[[#All],[Column5]])</f>
        <v>24</v>
      </c>
      <c r="J4">
        <f>SUM(Table62[[#All],[Column6]])</f>
        <v>24</v>
      </c>
      <c r="K4">
        <f>SUM(Table62[[#All],[Column7]])</f>
        <v>12</v>
      </c>
      <c r="L4">
        <f>SUM(Table62[[#All],[Column8]])</f>
        <v>8</v>
      </c>
      <c r="M4">
        <f>SUM(Table62[[#All],[Column9]])</f>
        <v>36</v>
      </c>
      <c r="N4">
        <f>SUM(Table62[[#All],[Column10]])</f>
        <v>15</v>
      </c>
      <c r="O4">
        <f>SUM(Table62[[#All],[Column11]])</f>
        <v>67</v>
      </c>
      <c r="P4">
        <f>SUM(Table62[[#All],[Column12]])</f>
        <v>19</v>
      </c>
      <c r="R4" t="s">
        <v>1418</v>
      </c>
    </row>
    <row r="5" spans="1:30">
      <c r="Q5" t="s">
        <v>1422</v>
      </c>
      <c r="R5" t="s">
        <v>1423</v>
      </c>
    </row>
    <row r="6" spans="1:30">
      <c r="A6" t="s">
        <v>1424</v>
      </c>
      <c r="B6" t="e">
        <f>MATCH("*"&amp;C6&amp;"*",A$6,0)</f>
        <v>#N/A</v>
      </c>
      <c r="C6" t="s">
        <v>1313</v>
      </c>
      <c r="D6" s="30" t="s">
        <v>1400</v>
      </c>
      <c r="E6">
        <v>1</v>
      </c>
      <c r="F6">
        <v>1</v>
      </c>
      <c r="I6">
        <v>1</v>
      </c>
      <c r="J6">
        <v>1</v>
      </c>
      <c r="K6">
        <v>1</v>
      </c>
      <c r="L6" s="23">
        <v>0</v>
      </c>
      <c r="M6">
        <v>1</v>
      </c>
      <c r="N6">
        <v>1</v>
      </c>
      <c r="O6">
        <v>1</v>
      </c>
      <c r="P6" s="11"/>
      <c r="Q6" t="s">
        <v>1420</v>
      </c>
      <c r="S6" s="53">
        <v>0</v>
      </c>
      <c r="T6" s="53">
        <v>1</v>
      </c>
      <c r="U6" s="53"/>
      <c r="V6" s="53"/>
      <c r="W6" s="53"/>
      <c r="X6" s="53">
        <v>1</v>
      </c>
      <c r="Y6" s="53"/>
      <c r="Z6" s="53"/>
      <c r="AA6" s="53">
        <v>1</v>
      </c>
      <c r="AB6" s="53"/>
      <c r="AC6" s="53">
        <v>1</v>
      </c>
      <c r="AD6" s="54"/>
    </row>
    <row r="7" spans="1:30">
      <c r="A7" t="s">
        <v>1425</v>
      </c>
      <c r="B7" t="e">
        <f t="shared" ref="B7:B70" si="0">MATCH("*"&amp;C7&amp;"*",A$6,0)</f>
        <v>#N/A</v>
      </c>
      <c r="C7" t="s">
        <v>1337</v>
      </c>
      <c r="D7" s="30" t="s">
        <v>1151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O7">
        <v>1</v>
      </c>
      <c r="P7" s="11"/>
      <c r="Q7" t="s">
        <v>1412</v>
      </c>
      <c r="S7" s="55">
        <v>0</v>
      </c>
      <c r="T7" s="55">
        <v>0</v>
      </c>
      <c r="U7" s="55">
        <v>1</v>
      </c>
      <c r="V7" s="55"/>
      <c r="W7" s="55"/>
      <c r="X7" s="55"/>
      <c r="Y7" s="55"/>
      <c r="Z7" s="55"/>
      <c r="AA7" s="55"/>
      <c r="AB7" s="55"/>
      <c r="AC7" s="55"/>
      <c r="AD7" s="55"/>
    </row>
    <row r="8" spans="1:30">
      <c r="B8" t="e">
        <f t="shared" si="0"/>
        <v>#N/A</v>
      </c>
      <c r="C8" t="s">
        <v>1325</v>
      </c>
      <c r="D8" s="30" t="s">
        <v>1142</v>
      </c>
      <c r="E8">
        <v>1</v>
      </c>
      <c r="F8">
        <v>1</v>
      </c>
      <c r="H8">
        <v>1</v>
      </c>
      <c r="J8">
        <v>1</v>
      </c>
      <c r="K8">
        <v>1</v>
      </c>
      <c r="L8">
        <v>1</v>
      </c>
      <c r="M8">
        <v>1</v>
      </c>
      <c r="N8" s="11">
        <v>1</v>
      </c>
      <c r="O8">
        <v>1</v>
      </c>
      <c r="P8" s="11">
        <v>1</v>
      </c>
      <c r="Q8" t="s">
        <v>1411</v>
      </c>
      <c r="S8" s="53">
        <v>1</v>
      </c>
      <c r="T8" s="53">
        <v>1</v>
      </c>
      <c r="U8" s="53"/>
      <c r="V8" s="53"/>
      <c r="W8" s="53">
        <v>1</v>
      </c>
      <c r="X8" s="53">
        <v>1</v>
      </c>
      <c r="Y8" s="53">
        <v>1</v>
      </c>
      <c r="Z8" s="53">
        <v>1</v>
      </c>
      <c r="AA8" s="53">
        <v>1</v>
      </c>
      <c r="AB8" s="53">
        <v>1</v>
      </c>
      <c r="AC8" s="53">
        <v>1</v>
      </c>
      <c r="AD8" s="53"/>
    </row>
    <row r="9" spans="1:30">
      <c r="B9" t="e">
        <f t="shared" si="0"/>
        <v>#N/A</v>
      </c>
      <c r="C9" t="s">
        <v>1342</v>
      </c>
      <c r="D9" s="30" t="s">
        <v>1389</v>
      </c>
      <c r="E9">
        <v>1</v>
      </c>
      <c r="F9">
        <v>1</v>
      </c>
      <c r="G9">
        <v>1</v>
      </c>
      <c r="I9">
        <v>1</v>
      </c>
      <c r="J9">
        <v>1</v>
      </c>
      <c r="K9">
        <v>1</v>
      </c>
      <c r="L9">
        <v>1</v>
      </c>
      <c r="M9">
        <v>1</v>
      </c>
      <c r="N9" s="27"/>
      <c r="O9">
        <v>1</v>
      </c>
      <c r="P9" s="27"/>
      <c r="Q9" t="s">
        <v>1413</v>
      </c>
      <c r="S9" s="55">
        <v>0</v>
      </c>
      <c r="T9" s="55">
        <v>0</v>
      </c>
      <c r="U9" s="55"/>
      <c r="V9" s="55"/>
      <c r="W9" s="55"/>
      <c r="X9" s="55"/>
      <c r="Y9" s="55"/>
      <c r="Z9" s="55"/>
      <c r="AA9" s="55"/>
      <c r="AB9" s="55"/>
      <c r="AC9" s="55">
        <v>1</v>
      </c>
      <c r="AD9" s="55"/>
    </row>
    <row r="10" spans="1:30">
      <c r="B10" t="e">
        <f t="shared" si="0"/>
        <v>#N/A</v>
      </c>
      <c r="C10" t="s">
        <v>1333</v>
      </c>
      <c r="D10" s="30" t="s">
        <v>1169</v>
      </c>
      <c r="E10">
        <v>0</v>
      </c>
      <c r="F10">
        <v>0</v>
      </c>
      <c r="G10">
        <v>1</v>
      </c>
      <c r="H10">
        <v>1</v>
      </c>
      <c r="K10">
        <v>1</v>
      </c>
      <c r="L10">
        <v>1</v>
      </c>
      <c r="M10">
        <v>1</v>
      </c>
      <c r="N10" s="11">
        <v>1</v>
      </c>
      <c r="O10">
        <v>1</v>
      </c>
      <c r="P10" s="11"/>
      <c r="Q10" t="s">
        <v>1414</v>
      </c>
      <c r="S10" s="53">
        <v>0</v>
      </c>
      <c r="T10" s="53">
        <v>0</v>
      </c>
      <c r="U10" s="53"/>
      <c r="V10" s="53">
        <v>1</v>
      </c>
      <c r="W10" s="53"/>
      <c r="X10" s="53">
        <v>1</v>
      </c>
      <c r="Y10" s="53"/>
      <c r="Z10" s="53"/>
      <c r="AA10" s="53"/>
      <c r="AB10" s="53"/>
      <c r="AC10" s="53"/>
      <c r="AD10" s="53"/>
    </row>
    <row r="11" spans="1:30">
      <c r="B11" t="e">
        <f t="shared" si="0"/>
        <v>#N/A</v>
      </c>
      <c r="C11" t="s">
        <v>1316</v>
      </c>
      <c r="D11" s="30" t="s">
        <v>1134</v>
      </c>
      <c r="E11">
        <v>1</v>
      </c>
      <c r="F11">
        <v>0</v>
      </c>
      <c r="I11">
        <v>1</v>
      </c>
      <c r="J11">
        <v>1</v>
      </c>
      <c r="K11">
        <v>1</v>
      </c>
      <c r="L11">
        <v>1</v>
      </c>
      <c r="M11">
        <v>1</v>
      </c>
      <c r="N11" s="27"/>
      <c r="O11">
        <v>1</v>
      </c>
      <c r="P11" s="27"/>
      <c r="Q11" t="s">
        <v>1415</v>
      </c>
      <c r="S11" s="55">
        <v>0</v>
      </c>
      <c r="T11" s="55">
        <v>0</v>
      </c>
      <c r="U11" s="55"/>
      <c r="V11" s="55"/>
      <c r="W11" s="55">
        <v>1</v>
      </c>
      <c r="X11" s="55"/>
      <c r="Y11" s="55"/>
      <c r="Z11" s="55"/>
      <c r="AA11" s="55"/>
      <c r="AB11" s="55"/>
      <c r="AC11" s="55"/>
      <c r="AD11" s="55"/>
    </row>
    <row r="12" spans="1:30">
      <c r="B12" t="e">
        <f t="shared" si="0"/>
        <v>#N/A</v>
      </c>
      <c r="C12" t="s">
        <v>1311</v>
      </c>
      <c r="D12" s="30" t="s">
        <v>1403</v>
      </c>
      <c r="E12">
        <v>0</v>
      </c>
      <c r="F12">
        <v>0</v>
      </c>
      <c r="I12">
        <v>1</v>
      </c>
      <c r="J12">
        <v>1</v>
      </c>
      <c r="K12">
        <v>1</v>
      </c>
      <c r="L12">
        <v>1</v>
      </c>
      <c r="M12">
        <v>1</v>
      </c>
      <c r="N12" s="27">
        <v>1</v>
      </c>
      <c r="O12">
        <v>1</v>
      </c>
      <c r="P12" s="27">
        <v>1</v>
      </c>
      <c r="Q12" t="s">
        <v>1415</v>
      </c>
      <c r="S12" s="53">
        <v>0</v>
      </c>
      <c r="T12" s="53">
        <v>0</v>
      </c>
      <c r="U12" s="53"/>
      <c r="V12" s="53"/>
      <c r="W12" s="53">
        <v>1</v>
      </c>
      <c r="X12" s="53">
        <v>1</v>
      </c>
      <c r="Y12" s="53"/>
      <c r="Z12" s="53"/>
      <c r="AA12" s="53"/>
      <c r="AB12" s="53"/>
      <c r="AC12" s="53">
        <v>1</v>
      </c>
      <c r="AD12" s="53"/>
    </row>
    <row r="13" spans="1:30">
      <c r="B13" t="e">
        <f t="shared" si="0"/>
        <v>#N/A</v>
      </c>
      <c r="C13" t="s">
        <v>1315</v>
      </c>
      <c r="D13" s="30" t="s">
        <v>1388</v>
      </c>
      <c r="E13">
        <v>0</v>
      </c>
      <c r="F13">
        <v>1</v>
      </c>
      <c r="G13">
        <v>1</v>
      </c>
      <c r="H13">
        <v>1</v>
      </c>
      <c r="J13">
        <v>1</v>
      </c>
      <c r="L13">
        <v>1</v>
      </c>
      <c r="M13">
        <v>1</v>
      </c>
      <c r="N13" s="27">
        <v>1</v>
      </c>
      <c r="O13">
        <v>1</v>
      </c>
      <c r="P13" s="27"/>
      <c r="Q13" t="s">
        <v>1421</v>
      </c>
      <c r="S13" s="55">
        <v>1</v>
      </c>
      <c r="T13" s="55">
        <v>1</v>
      </c>
      <c r="U13" s="55">
        <v>1</v>
      </c>
      <c r="V13" s="55">
        <v>1</v>
      </c>
      <c r="W13" s="55">
        <v>1</v>
      </c>
      <c r="X13" s="55">
        <v>1</v>
      </c>
      <c r="Y13" s="55">
        <v>1</v>
      </c>
      <c r="Z13" s="55">
        <v>1</v>
      </c>
      <c r="AA13" s="55">
        <v>1</v>
      </c>
      <c r="AB13" s="55"/>
      <c r="AC13" s="55">
        <v>1</v>
      </c>
      <c r="AD13" s="55"/>
    </row>
    <row r="14" spans="1:30">
      <c r="B14" t="e">
        <f t="shared" si="0"/>
        <v>#N/A</v>
      </c>
      <c r="C14" t="s">
        <v>1304</v>
      </c>
      <c r="D14" s="30" t="s">
        <v>1124</v>
      </c>
      <c r="E14">
        <v>1</v>
      </c>
      <c r="F14">
        <v>1</v>
      </c>
      <c r="I14">
        <v>1</v>
      </c>
      <c r="L14">
        <v>1</v>
      </c>
      <c r="M14">
        <v>1</v>
      </c>
      <c r="N14" s="27">
        <v>1</v>
      </c>
      <c r="O14">
        <v>1</v>
      </c>
      <c r="P14" s="27"/>
      <c r="Q14" t="s">
        <v>1419</v>
      </c>
      <c r="S14" s="53">
        <v>1</v>
      </c>
      <c r="T14" s="53">
        <v>0</v>
      </c>
      <c r="U14" s="53"/>
      <c r="V14" s="53"/>
      <c r="W14" s="53">
        <v>1</v>
      </c>
      <c r="X14" s="53"/>
      <c r="Y14" s="53"/>
      <c r="Z14" s="53"/>
      <c r="AA14" s="53"/>
      <c r="AB14" s="53"/>
      <c r="AC14" s="53">
        <v>1</v>
      </c>
      <c r="AD14" s="53"/>
    </row>
    <row r="15" spans="1:30">
      <c r="B15" t="e">
        <f t="shared" si="0"/>
        <v>#N/A</v>
      </c>
      <c r="C15" t="s">
        <v>1399</v>
      </c>
      <c r="D15" s="30" t="s">
        <v>1398</v>
      </c>
      <c r="E15">
        <v>1</v>
      </c>
      <c r="F15">
        <v>1</v>
      </c>
      <c r="G15">
        <v>1</v>
      </c>
      <c r="K15">
        <v>1</v>
      </c>
      <c r="M15">
        <v>1</v>
      </c>
      <c r="N15" s="11"/>
      <c r="O15">
        <v>1</v>
      </c>
      <c r="P15" s="11"/>
      <c r="S15" s="55">
        <v>0</v>
      </c>
      <c r="T15" s="55">
        <v>1</v>
      </c>
      <c r="U15" s="55"/>
      <c r="V15" s="55"/>
      <c r="W15" s="55"/>
      <c r="X15" s="55">
        <v>1</v>
      </c>
      <c r="Y15" s="55"/>
      <c r="Z15" s="55"/>
      <c r="AA15" s="55">
        <v>1</v>
      </c>
      <c r="AB15" s="55"/>
      <c r="AC15" s="55">
        <v>1</v>
      </c>
      <c r="AD15" s="55"/>
    </row>
    <row r="16" spans="1:30">
      <c r="B16" t="e">
        <f t="shared" si="0"/>
        <v>#N/A</v>
      </c>
      <c r="C16" t="s">
        <v>1352</v>
      </c>
      <c r="D16" s="30" t="s">
        <v>1208</v>
      </c>
      <c r="E16">
        <v>0</v>
      </c>
      <c r="F16">
        <v>1</v>
      </c>
      <c r="G16">
        <v>1</v>
      </c>
      <c r="H16">
        <v>1</v>
      </c>
      <c r="I16">
        <v>1</v>
      </c>
      <c r="K16">
        <v>1</v>
      </c>
      <c r="M16">
        <v>1</v>
      </c>
      <c r="N16" s="11">
        <v>1</v>
      </c>
      <c r="O16">
        <v>1</v>
      </c>
      <c r="P16" s="11"/>
      <c r="S16" s="53">
        <v>1</v>
      </c>
      <c r="T16" s="53">
        <v>1</v>
      </c>
      <c r="U16" s="53">
        <v>1</v>
      </c>
      <c r="V16" s="53">
        <v>1</v>
      </c>
      <c r="W16" s="53">
        <v>1</v>
      </c>
      <c r="X16" s="53">
        <v>1</v>
      </c>
      <c r="Y16" s="53"/>
      <c r="Z16" s="53"/>
      <c r="AA16" s="53">
        <v>1</v>
      </c>
      <c r="AB16" s="53">
        <v>1</v>
      </c>
      <c r="AC16" s="53">
        <v>1</v>
      </c>
      <c r="AD16" s="53">
        <v>1</v>
      </c>
    </row>
    <row r="17" spans="2:30">
      <c r="B17" t="e">
        <f t="shared" si="0"/>
        <v>#N/A</v>
      </c>
      <c r="C17" t="s">
        <v>1314</v>
      </c>
      <c r="D17" s="30" t="s">
        <v>1406</v>
      </c>
      <c r="E17">
        <v>0</v>
      </c>
      <c r="F17">
        <v>1</v>
      </c>
      <c r="G17">
        <v>1</v>
      </c>
      <c r="K17">
        <v>1</v>
      </c>
      <c r="M17">
        <v>1</v>
      </c>
      <c r="N17" s="27">
        <v>1</v>
      </c>
      <c r="O17">
        <v>1</v>
      </c>
      <c r="P17" s="27">
        <v>1</v>
      </c>
      <c r="S17" s="55">
        <v>0</v>
      </c>
      <c r="T17" s="55">
        <v>0</v>
      </c>
      <c r="U17" s="55"/>
      <c r="V17" s="55"/>
      <c r="W17" s="55"/>
      <c r="X17" s="55"/>
      <c r="Y17" s="55"/>
      <c r="Z17" s="55"/>
      <c r="AA17" s="55">
        <v>1</v>
      </c>
      <c r="AB17" s="55"/>
      <c r="AC17" s="55">
        <v>1</v>
      </c>
      <c r="AD17" s="55"/>
    </row>
    <row r="18" spans="2:30">
      <c r="B18">
        <f t="shared" si="0"/>
        <v>1</v>
      </c>
      <c r="C18" t="s">
        <v>1355</v>
      </c>
      <c r="D18" s="30" t="s">
        <v>1273</v>
      </c>
      <c r="E18">
        <v>0</v>
      </c>
      <c r="F18">
        <v>0</v>
      </c>
      <c r="G18">
        <v>1</v>
      </c>
      <c r="H18">
        <v>1</v>
      </c>
      <c r="I18">
        <v>1</v>
      </c>
      <c r="K18">
        <v>1</v>
      </c>
      <c r="N18" s="11"/>
      <c r="O18">
        <v>1</v>
      </c>
      <c r="P18" s="11">
        <v>1</v>
      </c>
      <c r="S18" s="53">
        <v>0</v>
      </c>
      <c r="T18" s="53">
        <v>0</v>
      </c>
      <c r="U18" s="53">
        <v>1</v>
      </c>
      <c r="V18" s="53"/>
      <c r="W18" s="53"/>
      <c r="X18" s="53"/>
      <c r="Y18" s="53"/>
      <c r="Z18" s="53"/>
      <c r="AA18" s="53"/>
      <c r="AB18" s="53"/>
      <c r="AC18" s="53">
        <v>1</v>
      </c>
      <c r="AD18" s="53"/>
    </row>
    <row r="19" spans="2:30">
      <c r="B19">
        <f t="shared" si="0"/>
        <v>1</v>
      </c>
      <c r="C19" t="s">
        <v>1324</v>
      </c>
      <c r="D19" s="30" t="s">
        <v>1141</v>
      </c>
      <c r="E19">
        <v>0</v>
      </c>
      <c r="F19">
        <v>0</v>
      </c>
      <c r="K19">
        <v>1</v>
      </c>
      <c r="N19" s="27"/>
      <c r="O19">
        <v>1</v>
      </c>
      <c r="P19" s="27">
        <v>1</v>
      </c>
    </row>
    <row r="20" spans="2:30">
      <c r="B20" t="e">
        <f t="shared" si="0"/>
        <v>#N/A</v>
      </c>
      <c r="C20" t="s">
        <v>1308</v>
      </c>
      <c r="D20" s="30" t="s">
        <v>1130</v>
      </c>
      <c r="E20">
        <v>0</v>
      </c>
      <c r="F20">
        <v>1</v>
      </c>
      <c r="J20">
        <v>1</v>
      </c>
      <c r="M20">
        <v>1</v>
      </c>
      <c r="O20">
        <v>1</v>
      </c>
      <c r="P20" s="28"/>
    </row>
    <row r="21" spans="2:30">
      <c r="B21" t="e">
        <f t="shared" si="0"/>
        <v>#N/A</v>
      </c>
      <c r="C21" t="s">
        <v>1298</v>
      </c>
      <c r="D21" s="30" t="s">
        <v>1118</v>
      </c>
      <c r="E21" s="11">
        <v>0</v>
      </c>
      <c r="F21" s="11">
        <v>1</v>
      </c>
      <c r="G21" s="11"/>
      <c r="H21" s="11"/>
      <c r="I21" s="11"/>
      <c r="J21" s="11">
        <v>1</v>
      </c>
      <c r="K21" s="11"/>
      <c r="L21" s="11"/>
      <c r="M21" s="11">
        <v>1</v>
      </c>
      <c r="N21" s="11"/>
      <c r="O21" s="11">
        <v>1</v>
      </c>
      <c r="P21" s="11"/>
    </row>
    <row r="22" spans="2:30">
      <c r="B22" t="e">
        <f t="shared" si="0"/>
        <v>#N/A</v>
      </c>
      <c r="C22" t="s">
        <v>1384</v>
      </c>
      <c r="D22" s="30" t="s">
        <v>1385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M22">
        <v>1</v>
      </c>
      <c r="N22" s="11">
        <v>1</v>
      </c>
      <c r="O22">
        <v>1</v>
      </c>
      <c r="P22" s="11">
        <v>1</v>
      </c>
    </row>
    <row r="23" spans="2:30">
      <c r="B23" t="e">
        <f t="shared" si="0"/>
        <v>#N/A</v>
      </c>
      <c r="C23" t="s">
        <v>1350</v>
      </c>
      <c r="D23" s="30" t="s">
        <v>1164</v>
      </c>
      <c r="E23">
        <v>1</v>
      </c>
      <c r="F23">
        <v>1</v>
      </c>
      <c r="G23">
        <v>1</v>
      </c>
      <c r="I23">
        <v>1</v>
      </c>
      <c r="J23">
        <v>1</v>
      </c>
      <c r="M23">
        <v>1</v>
      </c>
      <c r="N23" s="11">
        <v>1</v>
      </c>
      <c r="O23">
        <v>1</v>
      </c>
      <c r="P23" s="11">
        <v>1</v>
      </c>
    </row>
    <row r="24" spans="2:30">
      <c r="B24" t="e">
        <f t="shared" si="0"/>
        <v>#N/A</v>
      </c>
      <c r="C24" t="s">
        <v>1353</v>
      </c>
      <c r="D24" s="30" t="s">
        <v>1209</v>
      </c>
      <c r="E24">
        <v>0</v>
      </c>
      <c r="F24">
        <v>1</v>
      </c>
      <c r="G24">
        <v>1</v>
      </c>
      <c r="H24">
        <v>1</v>
      </c>
      <c r="M24">
        <v>1</v>
      </c>
      <c r="N24" s="11"/>
      <c r="O24">
        <v>1</v>
      </c>
      <c r="P24" s="11"/>
    </row>
    <row r="25" spans="2:30">
      <c r="B25" t="e">
        <f t="shared" si="0"/>
        <v>#N/A</v>
      </c>
      <c r="C25" t="s">
        <v>1356</v>
      </c>
      <c r="D25" s="30" t="s">
        <v>1274</v>
      </c>
      <c r="E25">
        <v>0</v>
      </c>
      <c r="F25">
        <v>1</v>
      </c>
      <c r="G25">
        <v>1</v>
      </c>
      <c r="H25">
        <v>1</v>
      </c>
      <c r="N25" s="11"/>
      <c r="O25">
        <v>1</v>
      </c>
      <c r="P25" s="11"/>
    </row>
    <row r="26" spans="2:30">
      <c r="B26" t="e">
        <f t="shared" si="0"/>
        <v>#N/A</v>
      </c>
      <c r="C26" t="s">
        <v>1326</v>
      </c>
      <c r="D26" s="30" t="s">
        <v>1143</v>
      </c>
      <c r="E26">
        <v>1</v>
      </c>
      <c r="F26">
        <v>1</v>
      </c>
      <c r="G26">
        <v>1</v>
      </c>
      <c r="H26">
        <v>1</v>
      </c>
      <c r="M26">
        <v>1</v>
      </c>
      <c r="N26" s="11"/>
      <c r="O26">
        <v>1</v>
      </c>
      <c r="P26" s="11"/>
    </row>
    <row r="27" spans="2:30">
      <c r="B27" t="e">
        <f t="shared" si="0"/>
        <v>#N/A</v>
      </c>
      <c r="C27" t="s">
        <v>1382</v>
      </c>
      <c r="D27" s="30" t="s">
        <v>1383</v>
      </c>
      <c r="E27">
        <v>1</v>
      </c>
      <c r="F27">
        <v>1</v>
      </c>
      <c r="I27">
        <v>1</v>
      </c>
      <c r="J27">
        <v>1</v>
      </c>
      <c r="N27" s="11"/>
      <c r="O27">
        <v>1</v>
      </c>
      <c r="P27" s="11"/>
    </row>
    <row r="28" spans="2:30">
      <c r="B28" t="e">
        <f t="shared" si="0"/>
        <v>#N/A</v>
      </c>
      <c r="C28" t="s">
        <v>1285</v>
      </c>
      <c r="D28" s="30" t="s">
        <v>1106</v>
      </c>
      <c r="E28">
        <v>1</v>
      </c>
      <c r="F28">
        <v>1</v>
      </c>
      <c r="J28">
        <v>1</v>
      </c>
      <c r="N28" s="11"/>
      <c r="P28" s="11"/>
    </row>
    <row r="29" spans="2:30">
      <c r="B29" t="e">
        <f t="shared" si="0"/>
        <v>#N/A</v>
      </c>
      <c r="C29" t="s">
        <v>1386</v>
      </c>
      <c r="D29" s="29" t="s">
        <v>1387</v>
      </c>
      <c r="E29" s="27">
        <v>0</v>
      </c>
      <c r="F29" s="27">
        <v>1</v>
      </c>
      <c r="G29" s="27">
        <v>1</v>
      </c>
      <c r="H29" s="27">
        <v>1</v>
      </c>
      <c r="I29" s="27">
        <v>1</v>
      </c>
      <c r="J29" s="27">
        <v>1</v>
      </c>
      <c r="K29" s="27"/>
      <c r="L29" s="27"/>
      <c r="M29" s="27">
        <v>1</v>
      </c>
      <c r="N29" s="27"/>
      <c r="O29" s="27">
        <v>1</v>
      </c>
      <c r="P29" s="27"/>
    </row>
    <row r="30" spans="2:30">
      <c r="B30" t="e">
        <f t="shared" si="0"/>
        <v>#N/A</v>
      </c>
      <c r="C30" t="s">
        <v>1300</v>
      </c>
      <c r="D30" s="30" t="s">
        <v>1120</v>
      </c>
      <c r="E30" s="11">
        <v>0</v>
      </c>
      <c r="F30" s="11">
        <v>1</v>
      </c>
      <c r="G30" s="11"/>
      <c r="H30" s="11"/>
      <c r="I30" s="11"/>
      <c r="J30" s="11"/>
      <c r="K30" s="11"/>
      <c r="L30" s="11"/>
      <c r="M30" s="11"/>
      <c r="N30" s="27"/>
      <c r="O30" s="11"/>
      <c r="P30" s="27"/>
    </row>
    <row r="31" spans="2:30">
      <c r="B31" t="e">
        <f t="shared" si="0"/>
        <v>#N/A</v>
      </c>
      <c r="C31" t="s">
        <v>1323</v>
      </c>
      <c r="D31" s="30" t="s">
        <v>1140</v>
      </c>
      <c r="E31">
        <v>1</v>
      </c>
      <c r="F31">
        <v>1</v>
      </c>
      <c r="G31">
        <v>1</v>
      </c>
      <c r="I31">
        <v>1</v>
      </c>
      <c r="J31">
        <v>1</v>
      </c>
      <c r="M31">
        <v>1</v>
      </c>
      <c r="N31" s="27">
        <v>1</v>
      </c>
      <c r="O31">
        <v>1</v>
      </c>
      <c r="P31" s="27"/>
    </row>
    <row r="32" spans="2:30">
      <c r="B32" t="e">
        <f t="shared" si="0"/>
        <v>#N/A</v>
      </c>
      <c r="C32" t="s">
        <v>1317</v>
      </c>
      <c r="D32" s="30" t="s">
        <v>1135</v>
      </c>
      <c r="E32">
        <v>1</v>
      </c>
      <c r="F32">
        <v>1</v>
      </c>
      <c r="M32">
        <v>1</v>
      </c>
      <c r="N32" s="27"/>
      <c r="O32">
        <v>1</v>
      </c>
      <c r="P32" s="27">
        <v>1</v>
      </c>
    </row>
    <row r="33" spans="2:16">
      <c r="B33" t="e">
        <f t="shared" si="0"/>
        <v>#N/A</v>
      </c>
      <c r="C33" t="s">
        <v>1405</v>
      </c>
      <c r="D33" s="30" t="s">
        <v>1404</v>
      </c>
      <c r="E33">
        <v>0</v>
      </c>
      <c r="F33">
        <v>1</v>
      </c>
      <c r="G33">
        <v>1</v>
      </c>
      <c r="H33">
        <v>1</v>
      </c>
      <c r="I33">
        <v>1</v>
      </c>
      <c r="J33">
        <v>1</v>
      </c>
      <c r="N33" s="27"/>
      <c r="O33" s="27"/>
      <c r="P33" s="27"/>
    </row>
    <row r="34" spans="2:16">
      <c r="B34">
        <f t="shared" si="0"/>
        <v>1</v>
      </c>
      <c r="C34" t="s">
        <v>1292</v>
      </c>
      <c r="D34" s="30" t="s">
        <v>1112</v>
      </c>
      <c r="E34" s="11">
        <v>1</v>
      </c>
      <c r="F34" s="11">
        <v>1</v>
      </c>
      <c r="G34" s="11"/>
      <c r="H34" s="11"/>
      <c r="I34" s="11"/>
      <c r="J34" s="11">
        <v>1</v>
      </c>
      <c r="K34" s="11"/>
      <c r="L34" s="11"/>
      <c r="M34" s="11"/>
      <c r="N34" s="27"/>
      <c r="O34" s="11">
        <v>1</v>
      </c>
      <c r="P34" s="27">
        <v>1</v>
      </c>
    </row>
    <row r="35" spans="2:16">
      <c r="B35" t="e">
        <f t="shared" si="0"/>
        <v>#N/A</v>
      </c>
      <c r="C35" t="s">
        <v>1290</v>
      </c>
      <c r="D35" s="30" t="s">
        <v>1110</v>
      </c>
      <c r="E35">
        <v>1</v>
      </c>
      <c r="F35">
        <v>1</v>
      </c>
      <c r="I35">
        <v>1</v>
      </c>
      <c r="J35">
        <v>1</v>
      </c>
      <c r="M35">
        <v>1</v>
      </c>
      <c r="N35" s="27"/>
      <c r="O35">
        <v>1</v>
      </c>
      <c r="P35" s="27"/>
    </row>
    <row r="36" spans="2:16">
      <c r="B36" t="e">
        <f t="shared" si="0"/>
        <v>#N/A</v>
      </c>
      <c r="C36" t="s">
        <v>1288</v>
      </c>
      <c r="D36" s="30" t="s">
        <v>1109</v>
      </c>
      <c r="E36" s="11">
        <v>1</v>
      </c>
      <c r="F36" s="11">
        <v>1</v>
      </c>
      <c r="G36" s="11">
        <v>1</v>
      </c>
      <c r="H36" s="11">
        <v>1</v>
      </c>
      <c r="I36" s="11">
        <v>1</v>
      </c>
      <c r="J36" s="11">
        <v>1</v>
      </c>
      <c r="K36" s="11"/>
      <c r="L36" s="11"/>
      <c r="M36" s="11">
        <v>1</v>
      </c>
      <c r="N36" s="27"/>
      <c r="O36" s="11">
        <v>1</v>
      </c>
      <c r="P36" s="27"/>
    </row>
    <row r="37" spans="2:16">
      <c r="B37" t="e">
        <f t="shared" si="0"/>
        <v>#N/A</v>
      </c>
      <c r="C37" t="s">
        <v>1282</v>
      </c>
      <c r="D37" s="30" t="s">
        <v>1103</v>
      </c>
      <c r="E37" s="11">
        <v>0</v>
      </c>
      <c r="F37" s="11">
        <v>1</v>
      </c>
      <c r="G37" s="11">
        <v>1</v>
      </c>
      <c r="H37" s="11"/>
      <c r="I37" s="11">
        <v>1</v>
      </c>
      <c r="J37" s="11">
        <v>1</v>
      </c>
      <c r="K37" s="11"/>
      <c r="L37" s="11"/>
      <c r="M37" s="11">
        <v>1</v>
      </c>
      <c r="N37" s="27"/>
      <c r="O37" s="11">
        <v>1</v>
      </c>
      <c r="P37" s="27"/>
    </row>
    <row r="38" spans="2:16">
      <c r="B38" t="e">
        <f t="shared" si="0"/>
        <v>#N/A</v>
      </c>
      <c r="C38" t="s">
        <v>1375</v>
      </c>
      <c r="D38" s="30" t="s">
        <v>1125</v>
      </c>
      <c r="E38">
        <v>1</v>
      </c>
      <c r="F38">
        <v>1</v>
      </c>
      <c r="J38">
        <v>1</v>
      </c>
      <c r="N38" s="27"/>
      <c r="O38">
        <v>1</v>
      </c>
      <c r="P38" s="27"/>
    </row>
    <row r="39" spans="2:16">
      <c r="B39" t="e">
        <f t="shared" si="0"/>
        <v>#N/A</v>
      </c>
      <c r="C39" t="s">
        <v>1335</v>
      </c>
      <c r="D39" s="30" t="s">
        <v>1149</v>
      </c>
      <c r="E39">
        <v>0</v>
      </c>
      <c r="F39">
        <v>0</v>
      </c>
      <c r="G39">
        <v>1</v>
      </c>
      <c r="P39" s="11"/>
    </row>
    <row r="40" spans="2:16">
      <c r="B40" t="e">
        <f t="shared" si="0"/>
        <v>#N/A</v>
      </c>
      <c r="C40" t="s">
        <v>1284</v>
      </c>
      <c r="D40" s="30" t="s">
        <v>1105</v>
      </c>
      <c r="E40">
        <v>0</v>
      </c>
      <c r="F40">
        <v>0</v>
      </c>
      <c r="O40">
        <v>1</v>
      </c>
      <c r="P40" s="11"/>
    </row>
    <row r="41" spans="2:16">
      <c r="B41" t="e">
        <f t="shared" si="0"/>
        <v>#N/A</v>
      </c>
      <c r="C41" t="s">
        <v>1293</v>
      </c>
      <c r="D41" s="30" t="s">
        <v>1113</v>
      </c>
      <c r="E41">
        <v>0</v>
      </c>
      <c r="F41">
        <v>0</v>
      </c>
      <c r="H41">
        <v>1</v>
      </c>
      <c r="J41">
        <v>1</v>
      </c>
      <c r="P41" s="11"/>
    </row>
    <row r="42" spans="2:16">
      <c r="B42" t="e">
        <f t="shared" si="0"/>
        <v>#N/A</v>
      </c>
      <c r="C42" t="s">
        <v>1379</v>
      </c>
      <c r="D42" s="30" t="s">
        <v>1378</v>
      </c>
      <c r="E42">
        <v>0</v>
      </c>
      <c r="F42">
        <v>0</v>
      </c>
      <c r="I42">
        <v>1</v>
      </c>
      <c r="P42" s="11"/>
    </row>
    <row r="43" spans="2:16">
      <c r="B43" t="e">
        <f t="shared" si="0"/>
        <v>#N/A</v>
      </c>
      <c r="C43" t="s">
        <v>1397</v>
      </c>
      <c r="D43" s="30" t="s">
        <v>1396</v>
      </c>
      <c r="E43">
        <v>0</v>
      </c>
      <c r="F43">
        <v>0</v>
      </c>
      <c r="I43">
        <v>1</v>
      </c>
      <c r="J43">
        <v>1</v>
      </c>
      <c r="O43">
        <v>1</v>
      </c>
      <c r="P43" s="11"/>
    </row>
    <row r="44" spans="2:16">
      <c r="B44" t="e">
        <f t="shared" si="0"/>
        <v>#N/A</v>
      </c>
      <c r="C44" t="s">
        <v>1305</v>
      </c>
      <c r="D44" s="30" t="s">
        <v>1166</v>
      </c>
      <c r="E44">
        <v>1</v>
      </c>
      <c r="F44">
        <v>0</v>
      </c>
      <c r="I44">
        <v>1</v>
      </c>
      <c r="O44">
        <v>1</v>
      </c>
      <c r="P44" s="11"/>
    </row>
    <row r="45" spans="2:16">
      <c r="B45" t="e">
        <f t="shared" si="0"/>
        <v>#N/A</v>
      </c>
      <c r="C45" t="s">
        <v>1370</v>
      </c>
      <c r="D45" s="30" t="s">
        <v>1369</v>
      </c>
      <c r="E45">
        <v>0</v>
      </c>
      <c r="F45">
        <v>0</v>
      </c>
      <c r="M45">
        <v>1</v>
      </c>
      <c r="N45" s="11"/>
      <c r="O45">
        <v>1</v>
      </c>
      <c r="P45" s="11"/>
    </row>
    <row r="46" spans="2:16">
      <c r="B46" t="e">
        <f t="shared" si="0"/>
        <v>#N/A</v>
      </c>
      <c r="C46" t="s">
        <v>1354</v>
      </c>
      <c r="D46" s="30" t="s">
        <v>1272</v>
      </c>
      <c r="E46">
        <v>0</v>
      </c>
      <c r="F46">
        <v>0</v>
      </c>
      <c r="G46">
        <v>1</v>
      </c>
      <c r="N46" s="11"/>
      <c r="O46">
        <v>1</v>
      </c>
      <c r="P46" s="11"/>
    </row>
    <row r="47" spans="2:16">
      <c r="B47" t="e">
        <f t="shared" si="0"/>
        <v>#N/A</v>
      </c>
      <c r="C47" t="s">
        <v>1336</v>
      </c>
      <c r="D47" s="30" t="s">
        <v>1150</v>
      </c>
      <c r="E47">
        <v>0</v>
      </c>
      <c r="F47">
        <v>0</v>
      </c>
      <c r="G47">
        <v>1</v>
      </c>
      <c r="H47">
        <v>1</v>
      </c>
      <c r="M47">
        <v>1</v>
      </c>
      <c r="N47" s="11"/>
      <c r="O47">
        <v>1</v>
      </c>
      <c r="P47" s="11">
        <v>1</v>
      </c>
    </row>
    <row r="48" spans="2:16">
      <c r="B48" t="e">
        <f t="shared" si="0"/>
        <v>#N/A</v>
      </c>
      <c r="C48" t="s">
        <v>1351</v>
      </c>
      <c r="D48" s="30" t="s">
        <v>1165</v>
      </c>
      <c r="E48">
        <v>0</v>
      </c>
      <c r="F48">
        <v>0</v>
      </c>
      <c r="G48">
        <v>1</v>
      </c>
      <c r="H48">
        <v>1</v>
      </c>
      <c r="N48" s="11"/>
      <c r="O48">
        <v>1</v>
      </c>
      <c r="P48" s="11"/>
    </row>
    <row r="49" spans="2:16">
      <c r="B49" t="e">
        <f t="shared" si="0"/>
        <v>#N/A</v>
      </c>
      <c r="C49" t="s">
        <v>1402</v>
      </c>
      <c r="D49" s="30" t="s">
        <v>1401</v>
      </c>
      <c r="E49">
        <v>0</v>
      </c>
      <c r="F49">
        <v>0</v>
      </c>
      <c r="H49">
        <v>1</v>
      </c>
      <c r="N49" s="11"/>
      <c r="O49">
        <v>1</v>
      </c>
      <c r="P49" s="11">
        <v>1</v>
      </c>
    </row>
    <row r="50" spans="2:16">
      <c r="B50" t="e">
        <f t="shared" si="0"/>
        <v>#N/A</v>
      </c>
      <c r="C50" t="s">
        <v>1345</v>
      </c>
      <c r="D50" s="30" t="s">
        <v>1159</v>
      </c>
      <c r="E50">
        <v>0</v>
      </c>
      <c r="F50">
        <v>0</v>
      </c>
      <c r="N50" s="11"/>
      <c r="P50" s="11"/>
    </row>
    <row r="51" spans="2:16">
      <c r="B51" t="e">
        <f t="shared" si="0"/>
        <v>#N/A</v>
      </c>
      <c r="C51" t="s">
        <v>1299</v>
      </c>
      <c r="D51" s="30" t="s">
        <v>1119</v>
      </c>
      <c r="E51" s="11">
        <v>0</v>
      </c>
      <c r="F51" s="11">
        <v>0</v>
      </c>
      <c r="G51" s="11"/>
      <c r="H51" s="11"/>
      <c r="I51" s="11">
        <v>1</v>
      </c>
      <c r="J51" s="11"/>
      <c r="K51" s="11"/>
      <c r="L51" s="11"/>
      <c r="M51" s="11"/>
      <c r="N51" s="11"/>
      <c r="O51" s="11"/>
      <c r="P51" s="11"/>
    </row>
    <row r="52" spans="2:16">
      <c r="B52" t="e">
        <f t="shared" si="0"/>
        <v>#N/A</v>
      </c>
      <c r="C52" t="s">
        <v>1307</v>
      </c>
      <c r="D52" s="30" t="s">
        <v>1371</v>
      </c>
      <c r="E52">
        <v>0</v>
      </c>
      <c r="F52">
        <v>0</v>
      </c>
      <c r="N52" s="11"/>
      <c r="P52" s="11"/>
    </row>
    <row r="53" spans="2:16">
      <c r="B53" t="e">
        <f t="shared" si="0"/>
        <v>#N/A</v>
      </c>
      <c r="C53" t="s">
        <v>1360</v>
      </c>
      <c r="D53" s="30" t="s">
        <v>1359</v>
      </c>
      <c r="E53">
        <v>0</v>
      </c>
      <c r="F53">
        <v>0</v>
      </c>
      <c r="N53" s="11"/>
      <c r="O53">
        <v>1</v>
      </c>
      <c r="P53" s="11"/>
    </row>
    <row r="54" spans="2:16">
      <c r="B54" t="e">
        <f t="shared" si="0"/>
        <v>#N/A</v>
      </c>
      <c r="C54" t="s">
        <v>1319</v>
      </c>
      <c r="D54" s="30" t="s">
        <v>1136</v>
      </c>
      <c r="E54">
        <v>0</v>
      </c>
      <c r="F54">
        <v>0</v>
      </c>
      <c r="N54" s="11"/>
      <c r="P54" s="11"/>
    </row>
    <row r="55" spans="2:16">
      <c r="B55" t="e">
        <f t="shared" si="0"/>
        <v>#N/A</v>
      </c>
      <c r="C55" t="s">
        <v>1346</v>
      </c>
      <c r="D55" s="30" t="s">
        <v>1160</v>
      </c>
      <c r="E55">
        <v>0</v>
      </c>
      <c r="F55">
        <v>0</v>
      </c>
      <c r="N55" s="27"/>
      <c r="P55" s="27"/>
    </row>
    <row r="56" spans="2:16">
      <c r="B56" t="e">
        <f t="shared" si="0"/>
        <v>#N/A</v>
      </c>
      <c r="C56" t="s">
        <v>1301</v>
      </c>
      <c r="D56" s="30" t="s">
        <v>1121</v>
      </c>
      <c r="E56" s="11">
        <v>0</v>
      </c>
      <c r="F56" s="11">
        <v>0</v>
      </c>
      <c r="G56" s="11"/>
      <c r="H56" s="11"/>
      <c r="I56" s="11">
        <v>1</v>
      </c>
      <c r="J56" s="11"/>
      <c r="K56" s="11"/>
      <c r="L56" s="11"/>
      <c r="M56" s="11"/>
      <c r="N56" s="27"/>
      <c r="O56" s="11">
        <v>1</v>
      </c>
      <c r="P56" s="27"/>
    </row>
    <row r="57" spans="2:16">
      <c r="B57" t="e">
        <f t="shared" si="0"/>
        <v>#N/A</v>
      </c>
      <c r="C57" t="s">
        <v>1344</v>
      </c>
      <c r="D57" s="30" t="s">
        <v>1158</v>
      </c>
      <c r="E57">
        <v>1</v>
      </c>
      <c r="F57">
        <v>0</v>
      </c>
      <c r="H57">
        <v>1</v>
      </c>
      <c r="N57" s="27">
        <v>1</v>
      </c>
      <c r="P57" s="27"/>
    </row>
    <row r="58" spans="2:16">
      <c r="B58" t="e">
        <f t="shared" si="0"/>
        <v>#N/A</v>
      </c>
      <c r="C58" t="s">
        <v>1347</v>
      </c>
      <c r="D58" s="30" t="s">
        <v>1161</v>
      </c>
      <c r="E58">
        <v>0</v>
      </c>
      <c r="F58">
        <v>0</v>
      </c>
      <c r="N58" s="27"/>
      <c r="P58" s="27"/>
    </row>
    <row r="59" spans="2:16">
      <c r="B59" t="e">
        <f t="shared" si="0"/>
        <v>#N/A</v>
      </c>
      <c r="C59" t="s">
        <v>1327</v>
      </c>
      <c r="D59" s="30" t="s">
        <v>1144</v>
      </c>
      <c r="E59">
        <v>0</v>
      </c>
      <c r="F59">
        <v>0</v>
      </c>
      <c r="N59" s="27"/>
      <c r="P59" s="27"/>
    </row>
    <row r="60" spans="2:16">
      <c r="B60" t="e">
        <f t="shared" si="0"/>
        <v>#N/A</v>
      </c>
      <c r="C60" t="s">
        <v>1332</v>
      </c>
      <c r="D60" s="30" t="s">
        <v>1168</v>
      </c>
      <c r="E60">
        <v>0</v>
      </c>
      <c r="F60">
        <v>0</v>
      </c>
      <c r="N60" s="27"/>
      <c r="O60">
        <v>1</v>
      </c>
      <c r="P60" s="27"/>
    </row>
    <row r="61" spans="2:16">
      <c r="B61" t="e">
        <f t="shared" si="0"/>
        <v>#N/A</v>
      </c>
      <c r="C61" t="s">
        <v>1343</v>
      </c>
      <c r="D61" s="30" t="s">
        <v>1156</v>
      </c>
      <c r="E61">
        <v>0</v>
      </c>
      <c r="F61">
        <v>0</v>
      </c>
      <c r="G61">
        <v>1</v>
      </c>
      <c r="M61">
        <v>1</v>
      </c>
      <c r="N61" s="27"/>
      <c r="O61">
        <v>1</v>
      </c>
      <c r="P61" s="27"/>
    </row>
    <row r="62" spans="2:16">
      <c r="B62">
        <f t="shared" si="0"/>
        <v>1</v>
      </c>
      <c r="C62" t="s">
        <v>1279</v>
      </c>
      <c r="D62" s="30" t="s">
        <v>1100</v>
      </c>
      <c r="E62" s="11">
        <v>0</v>
      </c>
      <c r="F62" s="11">
        <v>0</v>
      </c>
      <c r="G62" s="11"/>
      <c r="H62" s="11"/>
      <c r="I62" s="11"/>
      <c r="J62" s="11"/>
      <c r="K62" s="11"/>
      <c r="L62" s="11"/>
      <c r="M62" s="11"/>
      <c r="N62" s="27"/>
      <c r="O62" s="11"/>
      <c r="P62" s="27"/>
    </row>
    <row r="63" spans="2:16">
      <c r="B63" t="e">
        <f t="shared" si="0"/>
        <v>#N/A</v>
      </c>
      <c r="C63" t="s">
        <v>1283</v>
      </c>
      <c r="D63" s="30" t="s">
        <v>1104</v>
      </c>
      <c r="E63">
        <v>0</v>
      </c>
      <c r="F63">
        <v>0</v>
      </c>
      <c r="N63" s="27"/>
      <c r="P63" s="27">
        <v>1</v>
      </c>
    </row>
    <row r="64" spans="2:16">
      <c r="B64" t="e">
        <f t="shared" si="0"/>
        <v>#N/A</v>
      </c>
      <c r="C64" t="s">
        <v>1310</v>
      </c>
      <c r="D64" s="30" t="s">
        <v>1132</v>
      </c>
      <c r="E64">
        <v>0</v>
      </c>
      <c r="F64">
        <v>0</v>
      </c>
      <c r="N64" s="27"/>
      <c r="P64" s="27"/>
    </row>
    <row r="65" spans="2:16">
      <c r="B65" t="e">
        <f t="shared" si="0"/>
        <v>#N/A</v>
      </c>
      <c r="C65" t="s">
        <v>1294</v>
      </c>
      <c r="D65" s="30" t="s">
        <v>1114</v>
      </c>
      <c r="E65">
        <v>0</v>
      </c>
      <c r="F65">
        <v>0</v>
      </c>
      <c r="N65" s="27"/>
      <c r="P65" s="27"/>
    </row>
    <row r="66" spans="2:16">
      <c r="B66" t="e">
        <f t="shared" si="0"/>
        <v>#N/A</v>
      </c>
      <c r="C66" t="s">
        <v>1320</v>
      </c>
      <c r="D66" s="30" t="s">
        <v>1137</v>
      </c>
      <c r="E66">
        <v>1</v>
      </c>
      <c r="F66">
        <v>0</v>
      </c>
      <c r="G66">
        <v>1</v>
      </c>
      <c r="N66" s="27"/>
      <c r="O66">
        <v>1</v>
      </c>
      <c r="P66" s="27"/>
    </row>
    <row r="67" spans="2:16">
      <c r="B67" t="e">
        <f t="shared" si="0"/>
        <v>#N/A</v>
      </c>
      <c r="C67" t="s">
        <v>1280</v>
      </c>
      <c r="D67" s="30" t="s">
        <v>1101</v>
      </c>
      <c r="E67" s="11">
        <v>0</v>
      </c>
      <c r="F67" s="11">
        <v>0</v>
      </c>
      <c r="G67" s="11"/>
      <c r="H67" s="11"/>
      <c r="I67" s="11"/>
      <c r="J67" s="11"/>
      <c r="K67" s="11"/>
      <c r="L67" s="11"/>
      <c r="M67" s="11"/>
      <c r="N67" s="27"/>
      <c r="O67" s="11">
        <v>1</v>
      </c>
      <c r="P67" s="27"/>
    </row>
    <row r="68" spans="2:16">
      <c r="B68" t="e">
        <f t="shared" si="0"/>
        <v>#N/A</v>
      </c>
      <c r="C68" t="s">
        <v>1348</v>
      </c>
      <c r="D68" s="30" t="s">
        <v>1162</v>
      </c>
      <c r="E68">
        <v>0</v>
      </c>
      <c r="F68">
        <v>0</v>
      </c>
      <c r="G68">
        <v>1</v>
      </c>
      <c r="H68">
        <v>1</v>
      </c>
      <c r="M68">
        <v>1</v>
      </c>
      <c r="N68" s="27"/>
      <c r="O68">
        <v>1</v>
      </c>
      <c r="P68" s="27"/>
    </row>
    <row r="69" spans="2:16">
      <c r="B69" t="e">
        <f t="shared" si="0"/>
        <v>#N/A</v>
      </c>
      <c r="C69" t="s">
        <v>1357</v>
      </c>
      <c r="D69" s="30" t="s">
        <v>1390</v>
      </c>
      <c r="E69">
        <v>0</v>
      </c>
      <c r="F69">
        <v>0</v>
      </c>
      <c r="G69">
        <v>1</v>
      </c>
      <c r="H69">
        <v>1</v>
      </c>
      <c r="N69" s="27"/>
      <c r="P69" s="27">
        <v>1</v>
      </c>
    </row>
    <row r="70" spans="2:16">
      <c r="B70" t="e">
        <f t="shared" si="0"/>
        <v>#N/A</v>
      </c>
      <c r="C70" t="s">
        <v>1309</v>
      </c>
      <c r="D70" s="30" t="s">
        <v>1131</v>
      </c>
      <c r="E70">
        <v>0</v>
      </c>
      <c r="F70">
        <v>0</v>
      </c>
      <c r="N70" s="27"/>
      <c r="O70">
        <v>1</v>
      </c>
      <c r="P70" s="27"/>
    </row>
    <row r="71" spans="2:16">
      <c r="B71" t="e">
        <f t="shared" ref="B71:B105" si="1">MATCH("*"&amp;C71&amp;"*",A$6,0)</f>
        <v>#N/A</v>
      </c>
      <c r="C71" t="s">
        <v>1295</v>
      </c>
      <c r="D71" s="30" t="s">
        <v>1115</v>
      </c>
      <c r="E71">
        <v>0</v>
      </c>
      <c r="F71">
        <v>0</v>
      </c>
      <c r="N71" s="27"/>
      <c r="P71" s="27"/>
    </row>
    <row r="72" spans="2:16">
      <c r="B72" t="e">
        <f t="shared" si="1"/>
        <v>#N/A</v>
      </c>
      <c r="C72" t="s">
        <v>1338</v>
      </c>
      <c r="D72" s="30" t="s">
        <v>1152</v>
      </c>
      <c r="E72">
        <v>0</v>
      </c>
      <c r="F72">
        <v>0</v>
      </c>
      <c r="N72" s="27"/>
      <c r="O72">
        <v>1</v>
      </c>
      <c r="P72" s="27"/>
    </row>
    <row r="73" spans="2:16">
      <c r="B73" t="e">
        <f t="shared" si="1"/>
        <v>#N/A</v>
      </c>
      <c r="C73" t="s">
        <v>1372</v>
      </c>
      <c r="D73" s="30" t="s">
        <v>1129</v>
      </c>
      <c r="E73">
        <v>0</v>
      </c>
      <c r="F73">
        <v>0</v>
      </c>
      <c r="H73">
        <v>1</v>
      </c>
      <c r="N73" s="27"/>
      <c r="P73" s="27">
        <v>1</v>
      </c>
    </row>
    <row r="74" spans="2:16">
      <c r="B74" t="e">
        <f t="shared" si="1"/>
        <v>#N/A</v>
      </c>
      <c r="C74" t="s">
        <v>1312</v>
      </c>
      <c r="D74" s="30" t="s">
        <v>1133</v>
      </c>
      <c r="E74">
        <v>0</v>
      </c>
      <c r="F74">
        <v>0</v>
      </c>
      <c r="I74">
        <v>1</v>
      </c>
      <c r="M74">
        <v>1</v>
      </c>
      <c r="N74" s="27">
        <v>1</v>
      </c>
      <c r="O74">
        <v>1</v>
      </c>
      <c r="P74" s="27"/>
    </row>
    <row r="75" spans="2:16">
      <c r="B75" t="e">
        <f t="shared" si="1"/>
        <v>#N/A</v>
      </c>
      <c r="C75" t="s">
        <v>1286</v>
      </c>
      <c r="D75" s="30" t="s">
        <v>1107</v>
      </c>
      <c r="E75">
        <v>0</v>
      </c>
      <c r="F75">
        <v>0</v>
      </c>
      <c r="N75" s="27"/>
      <c r="P75" s="27"/>
    </row>
    <row r="76" spans="2:16">
      <c r="B76" t="e">
        <f t="shared" si="1"/>
        <v>#N/A</v>
      </c>
      <c r="C76" t="s">
        <v>1289</v>
      </c>
      <c r="D76" s="30" t="s">
        <v>476</v>
      </c>
      <c r="E76">
        <v>0</v>
      </c>
      <c r="F76">
        <v>0</v>
      </c>
      <c r="N76" s="27"/>
      <c r="P76" s="27"/>
    </row>
    <row r="77" spans="2:16">
      <c r="B77" t="e">
        <f t="shared" si="1"/>
        <v>#N/A</v>
      </c>
      <c r="C77" t="s">
        <v>1287</v>
      </c>
      <c r="D77" s="30" t="s">
        <v>1108</v>
      </c>
      <c r="E77">
        <v>0</v>
      </c>
      <c r="F77">
        <v>0</v>
      </c>
      <c r="H77">
        <v>1</v>
      </c>
      <c r="N77" s="27"/>
      <c r="O77">
        <v>1</v>
      </c>
      <c r="P77" s="27">
        <v>1</v>
      </c>
    </row>
    <row r="78" spans="2:16">
      <c r="B78" t="e">
        <f t="shared" si="1"/>
        <v>#N/A</v>
      </c>
      <c r="C78" t="s">
        <v>1302</v>
      </c>
      <c r="D78" s="30" t="s">
        <v>1122</v>
      </c>
      <c r="E78">
        <v>0</v>
      </c>
      <c r="F78">
        <v>0</v>
      </c>
      <c r="N78" s="27"/>
      <c r="P78" s="27"/>
    </row>
    <row r="79" spans="2:16">
      <c r="B79" t="e">
        <f t="shared" si="1"/>
        <v>#N/A</v>
      </c>
      <c r="C79" t="s">
        <v>1296</v>
      </c>
      <c r="D79" s="30" t="s">
        <v>1116</v>
      </c>
      <c r="E79" s="11">
        <v>0</v>
      </c>
      <c r="F79" s="11">
        <v>0</v>
      </c>
      <c r="G79" s="11"/>
      <c r="H79" s="11">
        <v>1</v>
      </c>
      <c r="I79" s="11"/>
      <c r="J79" s="11"/>
      <c r="K79" s="11"/>
      <c r="L79" s="11"/>
      <c r="M79" s="11"/>
      <c r="N79" s="27"/>
      <c r="O79" s="11"/>
      <c r="P79" s="27"/>
    </row>
    <row r="80" spans="2:16">
      <c r="B80" t="e">
        <f t="shared" si="1"/>
        <v>#N/A</v>
      </c>
      <c r="C80" t="s">
        <v>1303</v>
      </c>
      <c r="D80" s="30" t="s">
        <v>1123</v>
      </c>
      <c r="E80">
        <v>0</v>
      </c>
      <c r="F80">
        <v>0</v>
      </c>
      <c r="N80" s="27"/>
      <c r="O80">
        <v>1</v>
      </c>
      <c r="P80" s="27"/>
    </row>
    <row r="81" spans="2:16">
      <c r="B81" t="e">
        <f t="shared" si="1"/>
        <v>#N/A</v>
      </c>
      <c r="C81" t="s">
        <v>1374</v>
      </c>
      <c r="D81" s="30" t="s">
        <v>1126</v>
      </c>
      <c r="E81">
        <v>0</v>
      </c>
      <c r="F81">
        <v>0</v>
      </c>
      <c r="N81" s="27"/>
      <c r="P81" s="27"/>
    </row>
    <row r="82" spans="2:16">
      <c r="B82" t="e">
        <f t="shared" si="1"/>
        <v>#N/A</v>
      </c>
      <c r="C82" t="s">
        <v>1366</v>
      </c>
      <c r="D82" s="30" t="s">
        <v>1365</v>
      </c>
      <c r="E82">
        <v>0</v>
      </c>
      <c r="F82">
        <v>0</v>
      </c>
      <c r="N82" s="27"/>
      <c r="P82" s="27"/>
    </row>
    <row r="83" spans="2:16">
      <c r="B83" t="e">
        <f t="shared" si="1"/>
        <v>#N/A</v>
      </c>
      <c r="C83" t="s">
        <v>1341</v>
      </c>
      <c r="D83" s="30" t="s">
        <v>1155</v>
      </c>
      <c r="E83">
        <v>0</v>
      </c>
      <c r="F83">
        <v>0</v>
      </c>
      <c r="M83">
        <v>1</v>
      </c>
      <c r="N83" s="27"/>
      <c r="O83">
        <v>1</v>
      </c>
      <c r="P83" s="27"/>
    </row>
    <row r="84" spans="2:16">
      <c r="B84" t="e">
        <f t="shared" si="1"/>
        <v>#N/A</v>
      </c>
      <c r="C84" t="s">
        <v>1306</v>
      </c>
      <c r="D84" s="30" t="s">
        <v>1127</v>
      </c>
      <c r="E84">
        <v>0</v>
      </c>
      <c r="F84">
        <v>0</v>
      </c>
      <c r="H84">
        <v>1</v>
      </c>
      <c r="N84" s="27"/>
      <c r="O84">
        <v>1</v>
      </c>
      <c r="P84" s="27">
        <v>1</v>
      </c>
    </row>
    <row r="85" spans="2:16">
      <c r="B85" t="e">
        <f t="shared" si="1"/>
        <v>#N/A</v>
      </c>
      <c r="C85" t="s">
        <v>1373</v>
      </c>
      <c r="D85" s="30" t="s">
        <v>1128</v>
      </c>
      <c r="E85">
        <v>0</v>
      </c>
      <c r="F85">
        <v>0</v>
      </c>
      <c r="N85" s="27"/>
      <c r="P85" s="27"/>
    </row>
    <row r="86" spans="2:16">
      <c r="B86" t="e">
        <f t="shared" si="1"/>
        <v>#N/A</v>
      </c>
      <c r="C86" t="s">
        <v>1363</v>
      </c>
      <c r="D86" s="30" t="s">
        <v>1364</v>
      </c>
      <c r="E86">
        <v>0</v>
      </c>
      <c r="F86">
        <v>0</v>
      </c>
      <c r="M86">
        <v>1</v>
      </c>
      <c r="N86" s="27"/>
      <c r="P86" s="27"/>
    </row>
    <row r="87" spans="2:16">
      <c r="B87" t="e">
        <f t="shared" si="1"/>
        <v>#N/A</v>
      </c>
      <c r="C87" t="s">
        <v>1328</v>
      </c>
      <c r="D87" s="30" t="s">
        <v>1145</v>
      </c>
      <c r="E87">
        <v>0</v>
      </c>
      <c r="F87">
        <v>0</v>
      </c>
      <c r="G87">
        <v>1</v>
      </c>
      <c r="H87">
        <v>1</v>
      </c>
      <c r="M87">
        <v>1</v>
      </c>
      <c r="N87" s="27"/>
      <c r="O87">
        <v>1</v>
      </c>
      <c r="P87" s="27"/>
    </row>
    <row r="88" spans="2:16">
      <c r="B88" t="e">
        <f t="shared" si="1"/>
        <v>#N/A</v>
      </c>
      <c r="C88" t="s">
        <v>1380</v>
      </c>
      <c r="D88" s="30" t="s">
        <v>1381</v>
      </c>
      <c r="E88">
        <v>0</v>
      </c>
      <c r="F88">
        <v>0</v>
      </c>
      <c r="M88">
        <v>1</v>
      </c>
      <c r="N88" s="27">
        <v>1</v>
      </c>
      <c r="O88">
        <v>1</v>
      </c>
      <c r="P88" s="27">
        <v>1</v>
      </c>
    </row>
    <row r="89" spans="2:16">
      <c r="B89" t="e">
        <f t="shared" si="1"/>
        <v>#N/A</v>
      </c>
      <c r="C89" t="s">
        <v>1367</v>
      </c>
      <c r="D89" s="30" t="s">
        <v>1368</v>
      </c>
      <c r="E89">
        <v>0</v>
      </c>
      <c r="F89">
        <v>0</v>
      </c>
      <c r="N89" s="27"/>
      <c r="P89" s="27"/>
    </row>
    <row r="90" spans="2:16">
      <c r="B90" t="e">
        <f t="shared" si="1"/>
        <v>#N/A</v>
      </c>
      <c r="C90" t="s">
        <v>1349</v>
      </c>
      <c r="D90" s="30" t="s">
        <v>1163</v>
      </c>
      <c r="E90">
        <v>0</v>
      </c>
      <c r="F90">
        <v>0</v>
      </c>
      <c r="N90" s="27"/>
      <c r="O90">
        <v>1</v>
      </c>
      <c r="P90" s="27"/>
    </row>
    <row r="91" spans="2:16">
      <c r="B91" t="e">
        <f t="shared" si="1"/>
        <v>#N/A</v>
      </c>
      <c r="C91" t="s">
        <v>1361</v>
      </c>
      <c r="D91" s="30" t="s">
        <v>1362</v>
      </c>
      <c r="E91">
        <v>0</v>
      </c>
      <c r="F91">
        <v>0</v>
      </c>
      <c r="N91" s="27"/>
      <c r="O91">
        <v>1</v>
      </c>
      <c r="P91" s="27"/>
    </row>
    <row r="92" spans="2:16">
      <c r="B92" t="e">
        <f t="shared" si="1"/>
        <v>#N/A</v>
      </c>
      <c r="C92" t="s">
        <v>1281</v>
      </c>
      <c r="D92" s="30" t="s">
        <v>1102</v>
      </c>
      <c r="E92">
        <v>0</v>
      </c>
      <c r="F92">
        <v>0</v>
      </c>
      <c r="N92" s="27"/>
      <c r="P92" s="27"/>
    </row>
    <row r="93" spans="2:16">
      <c r="B93" t="e">
        <f t="shared" si="1"/>
        <v>#N/A</v>
      </c>
      <c r="C93" t="s">
        <v>1339</v>
      </c>
      <c r="D93" s="30" t="s">
        <v>1153</v>
      </c>
      <c r="E93">
        <v>0</v>
      </c>
      <c r="F93">
        <v>0</v>
      </c>
      <c r="M93">
        <v>1</v>
      </c>
      <c r="N93" s="27"/>
      <c r="O93">
        <v>1</v>
      </c>
      <c r="P93" s="27">
        <v>1</v>
      </c>
    </row>
    <row r="94" spans="2:16">
      <c r="B94">
        <f t="shared" si="1"/>
        <v>1</v>
      </c>
      <c r="C94" t="s">
        <v>1297</v>
      </c>
      <c r="D94" s="30" t="s">
        <v>1117</v>
      </c>
      <c r="E94" s="11">
        <v>1</v>
      </c>
      <c r="F94" s="11">
        <v>0</v>
      </c>
      <c r="G94" s="11"/>
      <c r="H94" s="11"/>
      <c r="I94" s="11"/>
      <c r="J94" s="11"/>
      <c r="K94" s="11"/>
      <c r="L94" s="11"/>
      <c r="M94" s="11"/>
      <c r="N94" s="27"/>
      <c r="O94" s="11">
        <v>1</v>
      </c>
      <c r="P94" s="27"/>
    </row>
    <row r="95" spans="2:16">
      <c r="B95" t="e">
        <f t="shared" si="1"/>
        <v>#N/A</v>
      </c>
      <c r="C95" t="s">
        <v>1329</v>
      </c>
      <c r="D95" s="30" t="s">
        <v>1146</v>
      </c>
      <c r="E95">
        <v>1</v>
      </c>
      <c r="F95">
        <v>0</v>
      </c>
      <c r="H95">
        <v>1</v>
      </c>
      <c r="N95" s="27"/>
      <c r="O95">
        <v>1</v>
      </c>
      <c r="P95" s="27">
        <v>1</v>
      </c>
    </row>
    <row r="96" spans="2:16">
      <c r="B96" t="e">
        <f t="shared" si="1"/>
        <v>#N/A</v>
      </c>
      <c r="C96" t="s">
        <v>1322</v>
      </c>
      <c r="D96" s="30" t="s">
        <v>1139</v>
      </c>
      <c r="E96">
        <v>0</v>
      </c>
      <c r="F96">
        <v>0</v>
      </c>
      <c r="G96">
        <v>1</v>
      </c>
      <c r="H96">
        <v>1</v>
      </c>
      <c r="N96" s="27"/>
      <c r="O96">
        <v>1</v>
      </c>
      <c r="P96" s="27"/>
    </row>
    <row r="97" spans="2:16">
      <c r="B97" t="e">
        <f t="shared" si="1"/>
        <v>#N/A</v>
      </c>
      <c r="C97" t="s">
        <v>1376</v>
      </c>
      <c r="D97" s="30" t="s">
        <v>1377</v>
      </c>
      <c r="E97">
        <v>0</v>
      </c>
      <c r="F97">
        <v>0</v>
      </c>
      <c r="N97" s="27"/>
      <c r="O97">
        <v>1</v>
      </c>
      <c r="P97" s="27"/>
    </row>
    <row r="98" spans="2:16">
      <c r="B98" t="e">
        <f t="shared" si="1"/>
        <v>#N/A</v>
      </c>
      <c r="C98" t="s">
        <v>1330</v>
      </c>
      <c r="D98" s="30" t="s">
        <v>1147</v>
      </c>
      <c r="E98">
        <v>0</v>
      </c>
      <c r="F98">
        <v>0</v>
      </c>
      <c r="G98">
        <v>1</v>
      </c>
      <c r="H98">
        <v>1</v>
      </c>
      <c r="N98" s="27"/>
      <c r="O98">
        <v>1</v>
      </c>
      <c r="P98" s="27"/>
    </row>
    <row r="99" spans="2:16">
      <c r="B99" t="e">
        <f t="shared" si="1"/>
        <v>#N/A</v>
      </c>
      <c r="C99" t="s">
        <v>1291</v>
      </c>
      <c r="D99" s="30" t="s">
        <v>1111</v>
      </c>
      <c r="E99">
        <v>0</v>
      </c>
      <c r="F99">
        <v>0</v>
      </c>
      <c r="G99">
        <v>1</v>
      </c>
      <c r="N99" s="27">
        <v>1</v>
      </c>
      <c r="P99" s="27"/>
    </row>
    <row r="100" spans="2:16">
      <c r="B100" t="e">
        <f t="shared" si="1"/>
        <v>#N/A</v>
      </c>
      <c r="C100" t="s">
        <v>1331</v>
      </c>
      <c r="D100" s="30" t="s">
        <v>1167</v>
      </c>
      <c r="E100">
        <v>0</v>
      </c>
      <c r="F100">
        <v>0</v>
      </c>
      <c r="N100" s="27"/>
      <c r="O100">
        <v>1</v>
      </c>
      <c r="P100" s="27"/>
    </row>
    <row r="101" spans="2:16">
      <c r="B101" t="e">
        <f t="shared" si="1"/>
        <v>#N/A</v>
      </c>
      <c r="C101" t="s">
        <v>1321</v>
      </c>
      <c r="D101" s="30" t="s">
        <v>1138</v>
      </c>
      <c r="E101">
        <v>0</v>
      </c>
      <c r="F101">
        <v>0</v>
      </c>
      <c r="M101">
        <v>1</v>
      </c>
      <c r="N101" s="27"/>
      <c r="O101">
        <v>1</v>
      </c>
      <c r="P101" s="27"/>
    </row>
    <row r="102" spans="2:16">
      <c r="B102" t="e">
        <f t="shared" si="1"/>
        <v>#N/A</v>
      </c>
      <c r="C102" t="s">
        <v>1318</v>
      </c>
      <c r="D102" s="30" t="s">
        <v>1187</v>
      </c>
      <c r="E102">
        <v>0</v>
      </c>
      <c r="F102">
        <v>0</v>
      </c>
      <c r="N102" s="27"/>
      <c r="O102">
        <v>1</v>
      </c>
      <c r="P102" s="27"/>
    </row>
    <row r="103" spans="2:16">
      <c r="B103" t="e">
        <f t="shared" si="1"/>
        <v>#N/A</v>
      </c>
      <c r="C103" t="s">
        <v>1334</v>
      </c>
      <c r="D103" s="30" t="s">
        <v>1148</v>
      </c>
      <c r="E103">
        <v>0</v>
      </c>
      <c r="F103">
        <v>0</v>
      </c>
      <c r="G103">
        <v>1</v>
      </c>
      <c r="N103" s="27"/>
      <c r="O103">
        <v>1</v>
      </c>
      <c r="P103" s="27"/>
    </row>
    <row r="104" spans="2:16">
      <c r="B104" t="e">
        <f t="shared" si="1"/>
        <v>#N/A</v>
      </c>
      <c r="C104" t="s">
        <v>1358</v>
      </c>
      <c r="D104" s="30" t="s">
        <v>1157</v>
      </c>
      <c r="E104">
        <v>0</v>
      </c>
      <c r="F104">
        <v>0</v>
      </c>
      <c r="N104" s="27"/>
      <c r="P104" s="27"/>
    </row>
    <row r="105" spans="2:16">
      <c r="B105" t="e">
        <f t="shared" si="1"/>
        <v>#N/A</v>
      </c>
      <c r="C105" t="s">
        <v>1340</v>
      </c>
      <c r="D105" s="30" t="s">
        <v>1154</v>
      </c>
      <c r="E105">
        <v>1</v>
      </c>
      <c r="G105">
        <v>1</v>
      </c>
      <c r="H105">
        <v>1</v>
      </c>
      <c r="I105">
        <v>1</v>
      </c>
      <c r="J105">
        <v>1</v>
      </c>
      <c r="M105">
        <v>1</v>
      </c>
      <c r="N105" s="27"/>
      <c r="O105">
        <v>1</v>
      </c>
      <c r="P105" s="27"/>
    </row>
    <row r="107" spans="2:16">
      <c r="D107" t="s">
        <v>1278</v>
      </c>
      <c r="E107">
        <f>SUM(E6:E105)</f>
        <v>24</v>
      </c>
      <c r="F107">
        <f t="shared" ref="F107:P107" si="2">SUM(F6:F105)</f>
        <v>28</v>
      </c>
      <c r="G107">
        <f t="shared" si="2"/>
        <v>32</v>
      </c>
      <c r="H107">
        <f t="shared" si="2"/>
        <v>29</v>
      </c>
      <c r="I107">
        <f t="shared" si="2"/>
        <v>24</v>
      </c>
      <c r="J107">
        <f t="shared" si="2"/>
        <v>24</v>
      </c>
      <c r="K107">
        <f t="shared" si="2"/>
        <v>12</v>
      </c>
      <c r="L107">
        <f t="shared" si="2"/>
        <v>8</v>
      </c>
      <c r="M107">
        <f t="shared" si="2"/>
        <v>36</v>
      </c>
      <c r="N107">
        <f t="shared" si="2"/>
        <v>15</v>
      </c>
      <c r="O107">
        <f t="shared" si="2"/>
        <v>67</v>
      </c>
      <c r="P107">
        <f t="shared" si="2"/>
        <v>19</v>
      </c>
    </row>
  </sheetData>
  <mergeCells count="6">
    <mergeCell ref="E2:F2"/>
    <mergeCell ref="G2:H2"/>
    <mergeCell ref="I2:J2"/>
    <mergeCell ref="K2:L2"/>
    <mergeCell ref="M2:N2"/>
    <mergeCell ref="O2:P2"/>
  </mergeCells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scores</vt:lpstr>
      <vt:lpstr>stimulated vs non-stim</vt:lpstr>
      <vt:lpstr>ghost boutons</vt:lpstr>
      <vt:lpstr>tally</vt:lpstr>
      <vt:lpstr>Table</vt:lpstr>
      <vt:lpstr>Josh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Joyce Yu</dc:creator>
  <cp:lastModifiedBy>Josh Titlow</cp:lastModifiedBy>
  <cp:revision>162</cp:revision>
  <cp:lastPrinted>2016-02-28T00:11:35Z</cp:lastPrinted>
  <dcterms:created xsi:type="dcterms:W3CDTF">2016-02-05T16:46:52Z</dcterms:created>
  <dcterms:modified xsi:type="dcterms:W3CDTF">2016-03-04T11:38:08Z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