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ytes\Desktop\DAbootcamp\Homework\excel-challenge\"/>
    </mc:Choice>
  </mc:AlternateContent>
  <xr:revisionPtr revIDLastSave="0" documentId="13_ncr:1_{5A04E1E5-C26B-4E5E-AFC1-52BF3192F1B3}" xr6:coauthVersionLast="45" xr6:coauthVersionMax="45" xr10:uidLastSave="{00000000-0000-0000-0000-000000000000}"/>
  <bookViews>
    <workbookView xWindow="-110" yWindow="-110" windowWidth="22780" windowHeight="14660" activeTab="3" xr2:uid="{00000000-000D-0000-FFFF-FFFF00000000}"/>
  </bookViews>
  <sheets>
    <sheet name="By Category" sheetId="3" r:id="rId1"/>
    <sheet name="By Sub-Category" sheetId="5" r:id="rId2"/>
    <sheet name="By Month" sheetId="6" r:id="rId3"/>
    <sheet name="Data" sheetId="1" r:id="rId4"/>
    <sheet name="Bonus" sheetId="7" r:id="rId5"/>
  </sheets>
  <definedNames>
    <definedName name="_xlnm._FilterDatabase" localSheetId="3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7" l="1"/>
  <c r="D12" i="7"/>
  <c r="C12" i="7"/>
  <c r="D11" i="7"/>
  <c r="C11" i="7"/>
  <c r="D10" i="7"/>
  <c r="C10" i="7"/>
  <c r="D9" i="7"/>
  <c r="C9" i="7"/>
  <c r="B12" i="7"/>
  <c r="B11" i="7"/>
  <c r="B10" i="7"/>
  <c r="B9" i="7"/>
  <c r="C8" i="7"/>
  <c r="D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E12" i="7" l="1"/>
  <c r="E11" i="7"/>
  <c r="F11" i="7" s="1"/>
  <c r="E10" i="7"/>
  <c r="E9" i="7"/>
  <c r="E8" i="7"/>
  <c r="E7" i="7"/>
  <c r="E6" i="7"/>
  <c r="E5" i="7"/>
  <c r="E4" i="7"/>
  <c r="E3" i="7"/>
  <c r="E13" i="7"/>
  <c r="E2" i="7"/>
  <c r="F2" i="7" s="1"/>
  <c r="D13" i="7"/>
  <c r="H13" i="7" s="1"/>
  <c r="C13" i="7"/>
  <c r="G13" i="7" s="1"/>
  <c r="B13" i="7"/>
  <c r="F13" i="7" s="1"/>
  <c r="D2" i="7"/>
  <c r="H2" i="7" s="1"/>
  <c r="C2" i="7"/>
  <c r="G2" i="7" s="1"/>
  <c r="F12" i="7" l="1"/>
  <c r="G12" i="7"/>
  <c r="H12" i="7"/>
  <c r="H11" i="7"/>
  <c r="G11" i="7"/>
  <c r="F10" i="7"/>
  <c r="H10" i="7"/>
  <c r="G10" i="7"/>
  <c r="F9" i="7"/>
  <c r="G9" i="7"/>
  <c r="H9" i="7"/>
  <c r="H8" i="7"/>
  <c r="G8" i="7"/>
  <c r="F8" i="7"/>
  <c r="H7" i="7"/>
  <c r="G7" i="7"/>
  <c r="F7" i="7"/>
  <c r="F6" i="7"/>
  <c r="H6" i="7"/>
  <c r="G6" i="7"/>
  <c r="G5" i="7"/>
  <c r="H5" i="7"/>
  <c r="F5" i="7"/>
  <c r="F4" i="7"/>
  <c r="H4" i="7"/>
  <c r="G4" i="7"/>
  <c r="H3" i="7"/>
  <c r="F3" i="7"/>
  <c r="G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<sst xmlns="http://schemas.openxmlformats.org/spreadsheetml/2006/main" count="33048" uniqueCount="8401">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</sst>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Font="1"/>
    <xf numFmtId="165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[Homework1_excel-challenge.xlsx]By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aseline="0"/>
              <a:t>Kickstarter Project State by Category</a:t>
            </a:r>
            <a:endParaRPr lang="en-US" sz="1800"/>
          </a:p>
        </c:rich>
      </c:tx>
      <c:layout>
        <c:manualLayout>
          <c:xMode val="edge"/>
          <c:yMode val="edge"/>
          <c:x val="0.31953751432322552"/>
          <c:y val="0.100193623338066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E-4D8B-B815-8DF34100AF2C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1E-4D8B-B815-8DF34100AF2C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1E-4D8B-B815-8DF34100AF2C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1E-4D8B-B815-8DF34100A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6939520"/>
        <c:axId val="576938864"/>
      </c:barChart>
      <c:catAx>
        <c:axId val="576939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38864"/>
        <c:crosses val="autoZero"/>
        <c:auto val="1"/>
        <c:lblAlgn val="ctr"/>
        <c:lblOffset val="100"/>
        <c:noMultiLvlLbl val="0"/>
      </c:catAx>
      <c:valAx>
        <c:axId val="57693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3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[Homework1_excel-challenge.xlsx]By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Status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FF00"/>
          </a:solidFill>
          <a:ln>
            <a:noFill/>
          </a:ln>
          <a:effectLst/>
        </c:spPr>
      </c:pivotFmt>
      <c:pivotFmt>
        <c:idx val="1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6-48E0-A6F6-176EABACAAD3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6-48E0-A6F6-176EABACAAD3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F6-48E0-A6F6-176EABACAAD3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F6-48E0-A6F6-176EABACA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1539024"/>
        <c:axId val="451528856"/>
      </c:barChart>
      <c:catAx>
        <c:axId val="451539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528856"/>
        <c:crosses val="autoZero"/>
        <c:auto val="1"/>
        <c:lblAlgn val="ctr"/>
        <c:lblOffset val="100"/>
        <c:noMultiLvlLbl val="0"/>
      </c:catAx>
      <c:valAx>
        <c:axId val="451528856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5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[Homework1_excel-challenge.xlsx]By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Status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6-49E5-A49C-7B7CAC4FD494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6-49E5-A49C-7B7CAC4FD494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6-49E5-A49C-7B7CAC4FD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541648"/>
        <c:axId val="451544272"/>
      </c:lineChart>
      <c:catAx>
        <c:axId val="45154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544272"/>
        <c:crosses val="autoZero"/>
        <c:auto val="1"/>
        <c:lblAlgn val="ctr"/>
        <c:lblOffset val="100"/>
        <c:noMultiLvlLbl val="0"/>
      </c:catAx>
      <c:valAx>
        <c:axId val="4515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54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4-424B-80FD-891D88DB308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4-424B-80FD-891D88DB308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54-424B-80FD-891D88DB3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220216"/>
        <c:axId val="613227104"/>
      </c:lineChart>
      <c:catAx>
        <c:axId val="613220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27104"/>
        <c:crosses val="autoZero"/>
        <c:auto val="1"/>
        <c:lblAlgn val="ctr"/>
        <c:lblOffset val="100"/>
        <c:noMultiLvlLbl val="0"/>
      </c:catAx>
      <c:valAx>
        <c:axId val="6132271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22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1</xdr:row>
      <xdr:rowOff>133350</xdr:rowOff>
    </xdr:from>
    <xdr:to>
      <xdr:col>18</xdr:col>
      <xdr:colOff>400049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857B6-0664-4B3F-BB88-CEAF9B531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244474</xdr:colOff>
      <xdr:row>1</xdr:row>
      <xdr:rowOff>95250</xdr:rowOff>
    </xdr:from>
    <xdr:to>
      <xdr:col>20</xdr:col>
      <xdr:colOff>6349</xdr:colOff>
      <xdr:row>24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BCD63-2F7F-4179-B204-086B2632B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193674</xdr:colOff>
      <xdr:row>1</xdr:row>
      <xdr:rowOff>12700</xdr:rowOff>
    </xdr:from>
    <xdr:to>
      <xdr:col>16</xdr:col>
      <xdr:colOff>596900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37DDB-4E63-4D44-8775-A8D0C18818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</xdr:colOff>
      <xdr:row>13</xdr:row>
      <xdr:rowOff>146050</xdr:rowOff>
    </xdr:from>
    <xdr:to>
      <xdr:col>7</xdr:col>
      <xdr:colOff>412751</xdr:colOff>
      <xdr:row>32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B732F2-DF42-4F86-BF15-4D6B66948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Nytes" refreshedDate="43793.897832175928" createdVersion="6" refreshedVersion="6" minRefreshableVersion="3" recordCount="4115" xr:uid="{0EE7E0A4-4E20-4BFD-A1FE-14EA2E2CD274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 Nytes" refreshedDate="43794.626493402779" createdVersion="6" refreshedVersion="6" minRefreshableVersion="3" recordCount="4115" xr:uid="{5156ACC1-BD16-402A-ABC9-DE6B1B988E6B}">
  <cacheSource type="worksheet">
    <worksheetSource ref="A1:T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D7D7C-F9C8-4581-82FF-1013B3F431B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4486D-2614-4A47-8A62-8A98A656202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DED797-EA26-4F9C-B165-9C35E6AE8C3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0811C-8AEB-4856-8734-46B2AEDDFADD}">
  <dimension ref="A1:F14"/>
  <sheetViews>
    <sheetView zoomScale="120" zoomScaleNormal="120" workbookViewId="0">
      <selection activeCell="A7" sqref="A7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D5F-9638-4C79-8BF1-B10B08F2931C}">
  <dimension ref="A1:F47"/>
  <sheetViews>
    <sheetView topLeftCell="E1" zoomScaleNormal="100" workbookViewId="0">
      <selection activeCell="K30" sqref="K3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8379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A2316-88E3-4FBA-BBC7-BD3876D66AD2}">
  <dimension ref="A1:E18"/>
  <sheetViews>
    <sheetView topLeftCell="B1" workbookViewId="0">
      <selection activeCell="L32" sqref="L3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</cols>
  <sheetData>
    <row r="1" spans="1:5" x14ac:dyDescent="0.35">
      <c r="A1" s="8" t="s">
        <v>8308</v>
      </c>
      <c r="B1" t="s">
        <v>8364</v>
      </c>
    </row>
    <row r="2" spans="1:5" x14ac:dyDescent="0.35">
      <c r="A2" s="8" t="s">
        <v>8380</v>
      </c>
      <c r="B2" t="s">
        <v>8364</v>
      </c>
    </row>
    <row r="4" spans="1:5" x14ac:dyDescent="0.35">
      <c r="A4" s="8" t="s">
        <v>8379</v>
      </c>
      <c r="B4" s="8" t="s">
        <v>8362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9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5">
      <c r="A7" s="9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5">
      <c r="A8" s="9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5">
      <c r="A9" s="9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5">
      <c r="A10" s="9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5">
      <c r="A11" s="9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5">
      <c r="A12" s="9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5">
      <c r="A13" s="9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5">
      <c r="A14" s="9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5">
      <c r="A15" s="9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5">
      <c r="A16" s="9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5">
      <c r="A17" s="9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5">
      <c r="A18" s="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Normal="100" workbookViewId="0">
      <selection activeCell="K3" sqref="K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6" bestFit="1" customWidth="1"/>
    <col min="16" max="16" width="15.90625" bestFit="1" customWidth="1"/>
    <col min="17" max="17" width="12.81640625" bestFit="1" customWidth="1"/>
    <col min="18" max="18" width="16.542968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R4115" xr:uid="{0939535F-621A-415D-855B-27B628B0DA23}"/>
  <conditionalFormatting sqref="F1:F1048576"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FE089-2946-46A0-A85F-30151A6EECE6}">
  <dimension ref="A1:H13"/>
  <sheetViews>
    <sheetView workbookViewId="0">
      <selection activeCell="I20" sqref="I20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COUNTIF(Data!$D:$D,"&lt;1000")</f>
        <v>461</v>
      </c>
      <c r="F2" s="12">
        <f>B2/E2</f>
        <v>0.69848156182212584</v>
      </c>
      <c r="G2" s="12">
        <f>C2/E2</f>
        <v>0.24511930585683298</v>
      </c>
      <c r="H2" s="12">
        <f>D2/E2</f>
        <v>3.9045553145336226E-2</v>
      </c>
    </row>
    <row r="3" spans="1:8" x14ac:dyDescent="0.35">
      <c r="A3" t="s">
        <v>8390</v>
      </c>
      <c r="B3">
        <f>COUNTIFS(Data!$D:$D,"&gt;999",Data!$F:$F,"successful")-COUNTIFS(Data!$D:$D,"&gt;4999",Data!$F:$F,"successful")</f>
        <v>932</v>
      </c>
      <c r="C3">
        <f>COUNTIFS(Data!$D:$D,"&gt;999",Data!$F:$F,"failed")-COUNTIFS(Data!$D:$D,"&gt;4999",Data!$F:$F,"failed")</f>
        <v>420</v>
      </c>
      <c r="D3">
        <f>COUNTIFS(Data!$D:$D,"&gt;999",Data!$F:$F,"canceled")-COUNTIFS(Data!$D:$D,"&gt;4999",Data!$F:$F,"canceled")</f>
        <v>60</v>
      </c>
      <c r="E3">
        <f>COUNTIF(Data!$D:$D,"&gt;=1000")-COUNTIF(Data!$D:$D,"&gt;4999")</f>
        <v>1425</v>
      </c>
      <c r="F3" s="12">
        <f t="shared" ref="F3:F13" si="0">B3/E3</f>
        <v>0.65403508771929819</v>
      </c>
      <c r="G3" s="12">
        <f t="shared" ref="G3:G13" si="1">C3/E3</f>
        <v>0.29473684210526313</v>
      </c>
      <c r="H3" s="12">
        <f t="shared" ref="H3:H13" si="2">D3/E3</f>
        <v>4.2105263157894736E-2</v>
      </c>
    </row>
    <row r="4" spans="1:8" x14ac:dyDescent="0.35">
      <c r="A4" t="s">
        <v>8391</v>
      </c>
      <c r="B4">
        <f>COUNTIFS(Data!$D:$D,"&gt;4999",Data!$F:$F,"successful")-COUNTIFS(Data!$D:$D,"&gt;9999",Data!$F:$F,"successful")</f>
        <v>381</v>
      </c>
      <c r="C4">
        <f>COUNTIFS(Data!$D:$D,"&gt;4999",Data!$F:$F,"failed")-COUNTIFS(Data!$D:$D,"&gt;9999",Data!$F:$F,"failed")</f>
        <v>283</v>
      </c>
      <c r="D4">
        <f>COUNTIFS(Data!$D:$D,"&gt;4999",Data!$F:$F,"canceled")-COUNTIFS(Data!$D:$D,"&gt;9999",Data!$F:$F,"canceled")</f>
        <v>52</v>
      </c>
      <c r="E4">
        <f>COUNTIF(Data!$D:$D,"&gt;=5000")-COUNTIF(Data!$D:$D,"&gt;9999")</f>
        <v>722</v>
      </c>
      <c r="F4" s="12">
        <f t="shared" si="0"/>
        <v>0.52770083102493071</v>
      </c>
      <c r="G4" s="12">
        <f t="shared" si="1"/>
        <v>0.39196675900277006</v>
      </c>
      <c r="H4" s="12">
        <f t="shared" si="2"/>
        <v>7.2022160664819951E-2</v>
      </c>
    </row>
    <row r="5" spans="1:8" x14ac:dyDescent="0.35">
      <c r="A5" t="s">
        <v>8392</v>
      </c>
      <c r="B5">
        <f>COUNTIFS(Data!$D:$D,"&gt;9999",Data!$F:$F,"successful")-COUNTIFS(Data!$D:$D,"&gt;14999",Data!$F:$F,"successful")</f>
        <v>168</v>
      </c>
      <c r="C5">
        <f>COUNTIFS(Data!$D:$D,"&gt;9999",Data!$F:$F,"failed")-COUNTIFS(Data!$D:$D,"&gt;14999",Data!$F:$F,"failed")</f>
        <v>144</v>
      </c>
      <c r="D5">
        <f>COUNTIFS(Data!$D:$D,"&gt;9999",Data!$F:$F,"canceled")-COUNTIFS(Data!$D:$D,"&gt;14999",Data!$F:$F,"canceled")</f>
        <v>40</v>
      </c>
      <c r="E5">
        <f>COUNTIF(Data!$D:$D,"&gt;=10000")-COUNTIF(Data!$D:$D,"&gt;14999")</f>
        <v>361</v>
      </c>
      <c r="F5" s="12">
        <f t="shared" si="0"/>
        <v>0.46537396121883656</v>
      </c>
      <c r="G5" s="12">
        <f t="shared" si="1"/>
        <v>0.39889196675900279</v>
      </c>
      <c r="H5" s="12">
        <f t="shared" si="2"/>
        <v>0.11080332409972299</v>
      </c>
    </row>
    <row r="6" spans="1:8" x14ac:dyDescent="0.35">
      <c r="A6" t="s">
        <v>8393</v>
      </c>
      <c r="B6">
        <f>COUNTIFS(Data!$D:$D,"&gt;14999",Data!$F:$F,"successful")-COUNTIFS(Data!$D:$D,"&gt;19999",Data!$F:$F,"successful")</f>
        <v>94</v>
      </c>
      <c r="C6">
        <f>COUNTIFS(Data!$D:$D,"&gt;14999",Data!$F:$F,"failed")-COUNTIFS(Data!$D:$D,"&gt;19999",Data!$F:$F,"failed")</f>
        <v>90</v>
      </c>
      <c r="D6">
        <f>COUNTIFS(Data!$D:$D,"&gt;14999",Data!$F:$F,"canceled")-COUNTIFS(Data!$D:$D,"&gt;19999",Data!$F:$F,"canceled")</f>
        <v>17</v>
      </c>
      <c r="E6">
        <f>COUNTIF(Data!$D:$D,"&gt;=15000")-COUNTIF(Data!$D:$D,"&gt;19999")</f>
        <v>205</v>
      </c>
      <c r="F6" s="12">
        <f t="shared" si="0"/>
        <v>0.45853658536585368</v>
      </c>
      <c r="G6" s="12">
        <f t="shared" si="1"/>
        <v>0.43902439024390244</v>
      </c>
      <c r="H6" s="12">
        <f t="shared" si="2"/>
        <v>8.2926829268292687E-2</v>
      </c>
    </row>
    <row r="7" spans="1:8" x14ac:dyDescent="0.35">
      <c r="A7" t="s">
        <v>8394</v>
      </c>
      <c r="B7">
        <f>COUNTIFS(Data!$D:$D,"&gt;19999",Data!$F:$F,"successful")-COUNTIFS(Data!$D:$D,"&gt;24999",Data!$F:$F,"successful")</f>
        <v>62</v>
      </c>
      <c r="C7">
        <f>COUNTIFS(Data!$D:$D,"&gt;19999",Data!$F:$F,"failed")-COUNTIFS(Data!$D:$D,"&gt;24999",Data!$F:$F,"failed")</f>
        <v>72</v>
      </c>
      <c r="D7">
        <f>COUNTIFS(Data!$D:$D,"&gt;19999",Data!$F:$F,"canceled")-COUNTIFS(Data!$D:$D,"&gt;24999",Data!$F:$F,"canceled")</f>
        <v>14</v>
      </c>
      <c r="E7">
        <f>COUNTIF(Data!$D:$D,"&gt;=20000")-COUNTIF(Data!$D:$D,"&gt;24999")</f>
        <v>149</v>
      </c>
      <c r="F7" s="12">
        <f t="shared" si="0"/>
        <v>0.41610738255033558</v>
      </c>
      <c r="G7" s="12">
        <f t="shared" si="1"/>
        <v>0.48322147651006714</v>
      </c>
      <c r="H7" s="12">
        <f t="shared" si="2"/>
        <v>9.3959731543624164E-2</v>
      </c>
    </row>
    <row r="8" spans="1:8" x14ac:dyDescent="0.35">
      <c r="A8" t="s">
        <v>8395</v>
      </c>
      <c r="B8">
        <f>COUNTIFS(Data!$D:$D,"&gt;24999",Data!$F:$F,"successful")-COUNTIFS(Data!$D:$D,"&gt;29999",Data!$F:$F,"successful")</f>
        <v>55</v>
      </c>
      <c r="C8">
        <f>COUNTIFS(Data!$D:$D,"&gt;24999",Data!$F:$F,"failed")-COUNTIFS(Data!$D:$D,"&gt;29999",Data!$F:$F,"failed")</f>
        <v>64</v>
      </c>
      <c r="D8">
        <f>COUNTIFS(Data!$D:$D,"&gt;24999",Data!$F:$F,"canceled")-COUNTIFS(Data!$D:$D,"&gt;29999",Data!$F:$F,"canceled")</f>
        <v>18</v>
      </c>
      <c r="E8">
        <f>COUNTIF(Data!$D:$D,"&gt;=25000")-COUNTIF(Data!$D:$D,"&gt;29999")</f>
        <v>138</v>
      </c>
      <c r="F8" s="12">
        <f t="shared" si="0"/>
        <v>0.39855072463768115</v>
      </c>
      <c r="G8" s="12">
        <f t="shared" si="1"/>
        <v>0.46376811594202899</v>
      </c>
      <c r="H8" s="12">
        <f t="shared" si="2"/>
        <v>0.13043478260869565</v>
      </c>
    </row>
    <row r="9" spans="1:8" x14ac:dyDescent="0.35">
      <c r="A9" t="s">
        <v>8396</v>
      </c>
      <c r="B9">
        <f>COUNTIFS(Data!$D:$D,"&gt;29999",Data!$F:$F,"successful")-COUNTIFS(Data!$D:$D,"&gt;34999",Data!$F:$F,"successful")</f>
        <v>32</v>
      </c>
      <c r="C9">
        <f>COUNTIFS(Data!$D:$D,"&gt;29999",Data!$F:$F,"failed")-COUNTIFS(Data!$D:$D,"&gt;34999",Data!$F:$F,"failed")</f>
        <v>37</v>
      </c>
      <c r="D9">
        <f>COUNTIFS(Data!$D:$D,"&gt;29999",Data!$F:$F,"canceled")-COUNTIFS(Data!$D:$D,"&gt;34999",Data!$F:$F,"canceled")</f>
        <v>13</v>
      </c>
      <c r="E9">
        <f>COUNTIF(Data!$D:$D,"&gt;=30000")-COUNTIF(Data!$D:$D,"&gt;34999")</f>
        <v>84</v>
      </c>
      <c r="F9" s="12">
        <f t="shared" si="0"/>
        <v>0.38095238095238093</v>
      </c>
      <c r="G9" s="12">
        <f t="shared" si="1"/>
        <v>0.44047619047619047</v>
      </c>
      <c r="H9" s="12">
        <f t="shared" si="2"/>
        <v>0.15476190476190477</v>
      </c>
    </row>
    <row r="10" spans="1:8" x14ac:dyDescent="0.35">
      <c r="A10" t="s">
        <v>8397</v>
      </c>
      <c r="B10">
        <f>COUNTIFS(Data!$D:$D,"&gt;34999",Data!$F:$F,"successful")-COUNTIFS(Data!$D:$D,"&gt;39999",Data!$F:$F,"successful")</f>
        <v>26</v>
      </c>
      <c r="C10">
        <f>COUNTIFS(Data!$D:$D,"&gt;34999",Data!$F:$F,"failed")-COUNTIFS(Data!$D:$D,"&gt;39999",Data!$F:$F,"failed")</f>
        <v>22</v>
      </c>
      <c r="D10">
        <f>COUNTIFS(Data!$D:$D,"&gt;34999",Data!$F:$F,"canceled")-COUNTIFS(Data!$D:$D,"&gt;39999",Data!$F:$F,"canceled")</f>
        <v>7</v>
      </c>
      <c r="E10">
        <f>COUNTIF(Data!$D:$D,"&gt;=35000")-COUNTIF(Data!$D:$D,"&gt;39999")</f>
        <v>55</v>
      </c>
      <c r="F10" s="12">
        <f t="shared" si="0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35">
      <c r="A11" t="s">
        <v>8398</v>
      </c>
      <c r="B11">
        <f>COUNTIFS(Data!$D:$D,"&gt;39999",Data!$F:$F,"successful")-COUNTIFS(Data!$D:$D,"&gt;44999",Data!$F:$F,"successful")</f>
        <v>21</v>
      </c>
      <c r="C11">
        <f>COUNTIFS(Data!$D:$D,"&gt;39999",Data!$F:$F,"failed")-COUNTIFS(Data!$D:$D,"&gt;44999",Data!$F:$F,"failed")</f>
        <v>16</v>
      </c>
      <c r="D11">
        <f>COUNTIFS(Data!$D:$D,"&gt;39999",Data!$F:$F,"canceled")-COUNTIFS(Data!$D:$D,"&gt;44999",Data!$F:$F,"canceled")</f>
        <v>6</v>
      </c>
      <c r="E11">
        <f>COUNTIF(Data!$D:$D,"&gt;=40000")-COUNTIF(Data!$D:$D,"&gt;44999")</f>
        <v>44</v>
      </c>
      <c r="F11" s="12">
        <f t="shared" si="0"/>
        <v>0.47727272727272729</v>
      </c>
      <c r="G11" s="12">
        <f t="shared" si="1"/>
        <v>0.36363636363636365</v>
      </c>
      <c r="H11" s="12">
        <f t="shared" si="2"/>
        <v>0.13636363636363635</v>
      </c>
    </row>
    <row r="12" spans="1:8" x14ac:dyDescent="0.35">
      <c r="A12" t="s">
        <v>8399</v>
      </c>
      <c r="B12">
        <f>COUNTIFS(Data!$D:$D,"&gt;44999",Data!$F:$F,"successful")-COUNTIFS(Data!$D:$D,"&gt;49999",Data!$F:$F,"successful")</f>
        <v>6</v>
      </c>
      <c r="C12">
        <f>COUNTIFS(Data!$D:$D,"&gt;44999",Data!$F:$F,"failed")-COUNTIFS(Data!$D:$D,"&gt;49999",Data!$F:$F,"failed")</f>
        <v>11</v>
      </c>
      <c r="D12">
        <f>COUNTIFS(Data!$D:$D,"&gt;44999",Data!$F:$F,"canceled")-COUNTIFS(Data!$D:$D,"&gt;49999",Data!$F:$F,"canceled")</f>
        <v>4</v>
      </c>
      <c r="E12">
        <f>COUNTIF(Data!$D:$D,"&gt;=45000")-COUNTIF(Data!$D:$D,"&gt;49999")</f>
        <v>21</v>
      </c>
      <c r="F12" s="12">
        <f t="shared" si="0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35">
      <c r="A13" t="s">
        <v>8400</v>
      </c>
      <c r="B13">
        <f>COUNTIFS(Data!$D:$D,"&gt;49999",Data!$F:$F,"successful")</f>
        <v>86</v>
      </c>
      <c r="C13">
        <f>COUNTIFS(Data!$D:$D,"&gt;49999",Data!$F:$F,"failed")</f>
        <v>258</v>
      </c>
      <c r="D13">
        <f>COUNTIFS(Data!$D:$D,"&gt;49999",Data!$F:$F,"canceled")</f>
        <v>100</v>
      </c>
      <c r="E13">
        <f>COUNTIFS(Data!$D:$D,"&gt;49999")</f>
        <v>449</v>
      </c>
      <c r="F13" s="12">
        <f t="shared" si="0"/>
        <v>0.19153674832962139</v>
      </c>
      <c r="G13" s="12">
        <f t="shared" si="1"/>
        <v>0.57461024498886415</v>
      </c>
      <c r="H13" s="12">
        <f t="shared" si="2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Category</vt:lpstr>
      <vt:lpstr>By Sub-Category</vt:lpstr>
      <vt:lpstr>By Month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 Nytes</cp:lastModifiedBy>
  <dcterms:created xsi:type="dcterms:W3CDTF">2017-04-20T15:17:24Z</dcterms:created>
  <dcterms:modified xsi:type="dcterms:W3CDTF">2019-11-30T05:29:03Z</dcterms:modified>
</cp:coreProperties>
</file>