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4.xml" ContentType="application/vnd.openxmlformats-officedocument.drawingml.chartshapes+xml"/>
  <Override PartName="/xl/drawings/drawing5.xml" ContentType="application/vnd.openxmlformats-officedocument.drawing+xml"/>
  <Override PartName="/xl/drawings/drawing6.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drawings/drawing7.xml" ContentType="application/vnd.openxmlformats-officedocument.drawing+xml"/>
  <Override PartName="/xl/tables/table2.xml" ContentType="application/vnd.openxmlformats-officedocument.spreadsheetml.table+xml"/>
  <Override PartName="/xl/queryTables/queryTable2.xml" ContentType="application/vnd.openxmlformats-officedocument.spreadsheetml.queryTable+xml"/>
  <Override PartName="/xl/drawings/drawing8.xml" ContentType="application/vnd.openxmlformats-officedocument.drawing+xml"/>
  <Override PartName="/xl/tables/table3.xml" ContentType="application/vnd.openxmlformats-officedocument.spreadsheetml.table+xml"/>
  <Override PartName="/xl/queryTables/queryTable3.xml" ContentType="application/vnd.openxmlformats-officedocument.spreadsheetml.queryTable+xml"/>
  <Override PartName="/xl/drawings/drawing9.xml" ContentType="application/vnd.openxmlformats-officedocument.drawing+xml"/>
  <Override PartName="/xl/drawings/drawing10.xml" ContentType="application/vnd.openxmlformats-officedocument.drawing+xml"/>
  <Override PartName="/xl/tables/table4.xml" ContentType="application/vnd.openxmlformats-officedocument.spreadsheetml.table+xml"/>
  <Override PartName="/xl/queryTables/queryTable4.xml" ContentType="application/vnd.openxmlformats-officedocument.spreadsheetml.queryTable+xml"/>
  <Override PartName="/xl/comments3.xml" ContentType="application/vnd.openxmlformats-officedocument.spreadsheetml.comments+xml"/>
  <Override PartName="/xl/drawings/drawing11.xml" ContentType="application/vnd.openxmlformats-officedocument.drawing+xml"/>
  <Override PartName="/xl/tables/table5.xml" ContentType="application/vnd.openxmlformats-officedocument.spreadsheetml.table+xml"/>
  <Override PartName="/xl/queryTables/queryTable5.xml" ContentType="application/vnd.openxmlformats-officedocument.spreadsheetml.queryTable+xml"/>
  <Override PartName="/xl/drawings/drawing12.xml" ContentType="application/vnd.openxmlformats-officedocument.drawing+xml"/>
  <Override PartName="/xl/tables/table6.xml" ContentType="application/vnd.openxmlformats-officedocument.spreadsheetml.table+xml"/>
  <Override PartName="/xl/queryTables/queryTable6.xml" ContentType="application/vnd.openxmlformats-officedocument.spreadsheetml.queryTable+xml"/>
  <Override PartName="/xl/drawings/drawing13.xml" ContentType="application/vnd.openxmlformats-officedocument.drawing+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tables/table11.xml" ContentType="application/vnd.openxmlformats-officedocument.spreadsheetml.table+xml"/>
  <Override PartName="/xl/queryTables/queryTable11.xml" ContentType="application/vnd.openxmlformats-officedocument.spreadsheetml.queryTable+xml"/>
  <Override PartName="/xl/tables/table12.xml" ContentType="application/vnd.openxmlformats-officedocument.spreadsheetml.table+xml"/>
  <Override PartName="/xl/queryTables/queryTable12.xml" ContentType="application/vnd.openxmlformats-officedocument.spreadsheetml.queryTable+xml"/>
  <Override PartName="/xl/drawings/drawing14.xml" ContentType="application/vnd.openxmlformats-officedocument.drawing+xml"/>
  <Override PartName="/xl/tables/table13.xml" ContentType="application/vnd.openxmlformats-officedocument.spreadsheetml.table+xml"/>
  <Override PartName="/xl/queryTables/queryTable13.xml" ContentType="application/vnd.openxmlformats-officedocument.spreadsheetml.queryTable+xml"/>
  <Override PartName="/xl/tables/table14.xml" ContentType="application/vnd.openxmlformats-officedocument.spreadsheetml.table+xml"/>
  <Override PartName="/xl/queryTables/queryTable14.xml" ContentType="application/vnd.openxmlformats-officedocument.spreadsheetml.queryTable+xml"/>
  <Override PartName="/xl/drawings/drawing15.xml" ContentType="application/vnd.openxmlformats-officedocument.drawing+xml"/>
  <Override PartName="/xl/tables/table15.xml" ContentType="application/vnd.openxmlformats-officedocument.spreadsheetml.table+xml"/>
  <Override PartName="/xl/tables/table16.xml" ContentType="application/vnd.openxmlformats-officedocument.spreadsheetml.table+xml"/>
  <Override PartName="/xl/queryTables/queryTable15.xml" ContentType="application/vnd.openxmlformats-officedocument.spreadsheetml.queryTable+xml"/>
  <Override PartName="/xl/comments4.xml" ContentType="application/vnd.openxmlformats-officedocument.spreadsheetml.comments+xml"/>
  <Override PartName="/xl/drawings/drawing16.xml" ContentType="application/vnd.openxmlformats-officedocument.drawing+xml"/>
  <Override PartName="/xl/tables/table17.xml" ContentType="application/vnd.openxmlformats-officedocument.spreadsheetml.table+xml"/>
  <Override PartName="/xl/queryTables/queryTable16.xml" ContentType="application/vnd.openxmlformats-officedocument.spreadsheetml.queryTable+xml"/>
  <Override PartName="/xl/tables/table18.xml" ContentType="application/vnd.openxmlformats-officedocument.spreadsheetml.table+xml"/>
  <Override PartName="/xl/queryTables/queryTable17.xml" ContentType="application/vnd.openxmlformats-officedocument.spreadsheetml.queryTable+xml"/>
  <Override PartName="/xl/tables/table19.xml" ContentType="application/vnd.openxmlformats-officedocument.spreadsheetml.table+xml"/>
  <Override PartName="/xl/queryTables/queryTable18.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hidePivotFieldList="1" defaultThemeVersion="166925"/>
  <mc:AlternateContent xmlns:mc="http://schemas.openxmlformats.org/markup-compatibility/2006">
    <mc:Choice Requires="x15">
      <x15ac:absPath xmlns:x15ac="http://schemas.microsoft.com/office/spreadsheetml/2010/11/ac" url="C:\HOOPS\"/>
    </mc:Choice>
  </mc:AlternateContent>
  <xr:revisionPtr revIDLastSave="0" documentId="13_ncr:1_{FD29B445-135B-4AAA-88B8-2492EA5E72D4}" xr6:coauthVersionLast="44" xr6:coauthVersionMax="44" xr10:uidLastSave="{00000000-0000-0000-0000-000000000000}"/>
  <workbookProtection workbookAlgorithmName="SHA-512" workbookHashValue="HcmZ30CyIGLy/9zcuPscZm9MkeYB4bMZiDNXJnD29N+qNHbgMPIWNud0M47veBSx8iLR4F0F2E9DpkFmTwCGRg==" workbookSaltValue="kc+8XxiLCe2XL1gpjGNHDQ==" workbookSpinCount="100000" lockStructure="1"/>
  <bookViews>
    <workbookView xWindow="-80" yWindow="-80" windowWidth="19360" windowHeight="9740" tabRatio="938" xr2:uid="{00000000-000D-0000-FFFF-FFFF00000000}"/>
  </bookViews>
  <sheets>
    <sheet name="About &amp; Tabs Info" sheetId="13" r:id="rId1"/>
    <sheet name="Roster Analysis" sheetId="16" r:id="rId2"/>
    <sheet name="Team Shooting" sheetId="34" r:id="rId3"/>
    <sheet name="Team Ranking" sheetId="35" r:id="rId4"/>
    <sheet name="2018 Free Agents" sheetId="3" r:id="rId5"/>
    <sheet name="Player Salaries" sheetId="20" r:id="rId6"/>
    <sheet name="Injury Report" sheetId="22" r:id="rId7"/>
    <sheet name="Glossary" sheetId="26" r:id="rId8"/>
    <sheet name="Player Advanced" sheetId="43" r:id="rId9"/>
    <sheet name="Player Per Game" sheetId="4" r:id="rId10"/>
    <sheet name="Player Totals" sheetId="17" r:id="rId11"/>
    <sheet name="Team Stats" sheetId="38" r:id="rId12"/>
    <sheet name="Team Shooting Raw" sheetId="33" r:id="rId13"/>
    <sheet name="Standings" sheetId="28" r:id="rId14"/>
    <sheet name="Contract Options" sheetId="25" r:id="rId15"/>
    <sheet name="Free Agency Guidelines" sheetId="24" state="hidden" r:id="rId16"/>
    <sheet name="Referenced Lists" sheetId="6" state="hidden" r:id="rId17"/>
    <sheet name="CBA" sheetId="39" r:id="rId18"/>
  </sheets>
  <definedNames>
    <definedName name="_xlnm._FilterDatabase" localSheetId="7" hidden="1">Glossary!$E$2:$F$11</definedName>
    <definedName name="_xlnm._FilterDatabase" localSheetId="16" hidden="1">'Referenced Lists'!#REF!</definedName>
    <definedName name="_xlnm._FilterDatabase" localSheetId="1" hidden="1">'Roster Analysis'!$A$2:$T$24</definedName>
    <definedName name="ExternalData_1" localSheetId="4" hidden="1">'2018 Free Agents'!$A$3:$O$117</definedName>
    <definedName name="ExternalData_1" localSheetId="14" hidden="1">'Contract Options'!$A$6:$G$41</definedName>
    <definedName name="ExternalData_1" localSheetId="6" hidden="1">'Injury Report'!$A$4:$E$79</definedName>
    <definedName name="ExternalData_1" localSheetId="8" hidden="1">'Player Advanced'!$A$5:$AA$641</definedName>
    <definedName name="ExternalData_1" localSheetId="9" hidden="1">'Player Per Game'!$A$5:$AD$641</definedName>
    <definedName name="ExternalData_1" localSheetId="13" hidden="1">Standings!$S$4:$AT$34</definedName>
    <definedName name="ExternalData_2" localSheetId="14" hidden="1">'Contract Options'!$I$6:$O$86</definedName>
    <definedName name="ExternalData_2" localSheetId="5" hidden="1">'Player Salaries'!$A$4:$K$580</definedName>
    <definedName name="ExternalData_2" localSheetId="10" hidden="1">'Player Totals'!$A$4:$AD$640</definedName>
    <definedName name="ExternalData_2" localSheetId="11" hidden="1">'Team Stats'!$A$4:$T$34</definedName>
    <definedName name="ExternalData_3" localSheetId="14" hidden="1">'Contract Options'!$Q$6:$W$50</definedName>
    <definedName name="ExternalData_3" localSheetId="11" hidden="1">'Team Stats'!$A$39:$T$69</definedName>
    <definedName name="ExternalData_4" localSheetId="12" hidden="1">'Team Shooting Raw'!$B$4:$AC$34</definedName>
    <definedName name="ExternalData_4" localSheetId="11" hidden="1">'Team Stats'!$A$74:$T$104</definedName>
    <definedName name="ExternalData_5" localSheetId="12" hidden="1">'Team Shooting Raw'!$B$39:$AA$69</definedName>
    <definedName name="ExternalData_5" localSheetId="11" hidden="1">'Team Stats'!$A$109:$T$139</definedName>
    <definedName name="ExternalData_6" localSheetId="11" hidden="1">'Team Stats'!$W$4:$AU$34</definedName>
    <definedName name="ExternalData_7" localSheetId="11" hidden="1">'Team Stats'!$W$39:$AU$69</definedName>
  </definedNames>
  <calcPr calcId="191029"/>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K47" i="16" l="1"/>
  <c r="A41" i="33" l="1"/>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40" i="33"/>
  <c r="A6" i="33"/>
  <c r="A7" i="33"/>
  <c r="A8" i="33"/>
  <c r="A9" i="33"/>
  <c r="A10" i="33"/>
  <c r="A11" i="33"/>
  <c r="A12" i="33"/>
  <c r="A13" i="33"/>
  <c r="A14" i="33"/>
  <c r="A15" i="33"/>
  <c r="A16" i="33"/>
  <c r="A17" i="33"/>
  <c r="A18" i="33"/>
  <c r="A19" i="33"/>
  <c r="A20" i="33"/>
  <c r="A21" i="33"/>
  <c r="A22" i="33"/>
  <c r="A23" i="33"/>
  <c r="A24" i="33"/>
  <c r="A25" i="33"/>
  <c r="A26" i="33"/>
  <c r="A27" i="33"/>
  <c r="A28" i="33"/>
  <c r="A29" i="33"/>
  <c r="A30" i="33"/>
  <c r="A31" i="33"/>
  <c r="A32" i="33"/>
  <c r="A33" i="33"/>
  <c r="A34" i="33"/>
  <c r="A5" i="33"/>
  <c r="V41" i="38"/>
  <c r="V42" i="38"/>
  <c r="V43" i="38"/>
  <c r="V44" i="38"/>
  <c r="V45" i="38"/>
  <c r="V46" i="38"/>
  <c r="V47" i="38"/>
  <c r="V48" i="38"/>
  <c r="V49" i="38"/>
  <c r="V50" i="38"/>
  <c r="V51" i="38"/>
  <c r="V52" i="38"/>
  <c r="V53" i="38"/>
  <c r="V54" i="38"/>
  <c r="V55" i="38"/>
  <c r="V56" i="38"/>
  <c r="V57" i="38"/>
  <c r="V58" i="38"/>
  <c r="V59" i="38"/>
  <c r="V60" i="38"/>
  <c r="V61" i="38"/>
  <c r="V62" i="38"/>
  <c r="V63" i="38"/>
  <c r="V64" i="38"/>
  <c r="V65" i="38"/>
  <c r="V66" i="38"/>
  <c r="V67" i="38"/>
  <c r="V68" i="38"/>
  <c r="V69" i="38"/>
  <c r="V40" i="38"/>
  <c r="V6" i="38"/>
  <c r="V7" i="38"/>
  <c r="V8" i="38"/>
  <c r="V9" i="38"/>
  <c r="V10" i="38"/>
  <c r="V11" i="38"/>
  <c r="V12" i="38"/>
  <c r="V13" i="38"/>
  <c r="V14" i="38"/>
  <c r="V15" i="38"/>
  <c r="V16" i="38"/>
  <c r="V17" i="38"/>
  <c r="V18" i="38"/>
  <c r="V19" i="38"/>
  <c r="V20" i="38"/>
  <c r="V21" i="38"/>
  <c r="V22" i="38"/>
  <c r="V23" i="38"/>
  <c r="V24" i="38"/>
  <c r="V25" i="38"/>
  <c r="V26" i="38"/>
  <c r="V27" i="38"/>
  <c r="V28" i="38"/>
  <c r="V29" i="38"/>
  <c r="V30" i="38"/>
  <c r="V31" i="38"/>
  <c r="V32" i="38"/>
  <c r="V33" i="38"/>
  <c r="V34" i="38"/>
  <c r="V5" i="38"/>
  <c r="R19" i="35" l="1"/>
  <c r="R22" i="35"/>
  <c r="S17" i="35"/>
  <c r="S16" i="35"/>
  <c r="R16" i="35"/>
  <c r="R20" i="35"/>
  <c r="R17" i="35"/>
  <c r="R21" i="35"/>
  <c r="AG31" i="34"/>
  <c r="Z26" i="35"/>
  <c r="P3" i="35"/>
  <c r="Q3" i="35" s="1"/>
  <c r="X7" i="35" l="1" a="1"/>
  <c r="X7" i="35" s="1"/>
  <c r="X12" i="35" a="1"/>
  <c r="X12" i="35" s="1"/>
  <c r="Z12" i="35" s="1"/>
  <c r="X15" i="35" a="1"/>
  <c r="X15" i="35" s="1"/>
  <c r="X20" i="35" a="1"/>
  <c r="X20" i="35" s="1"/>
  <c r="X10" i="35" a="1"/>
  <c r="X10" i="35" s="1"/>
  <c r="X13" i="35" a="1"/>
  <c r="X13" i="35" s="1"/>
  <c r="X18" i="35" a="1"/>
  <c r="X18" i="35" s="1"/>
  <c r="X21" i="35" a="1"/>
  <c r="X21" i="35" s="1"/>
  <c r="X24" i="35" a="1"/>
  <c r="X24" i="35" s="1"/>
  <c r="Z24" i="35" s="1"/>
  <c r="X8" i="35" a="1"/>
  <c r="X8" i="35" s="1"/>
  <c r="X16" i="35" a="1"/>
  <c r="X16" i="35" s="1"/>
  <c r="X19" i="35" a="1"/>
  <c r="X19" i="35" s="1"/>
  <c r="X22" i="35" a="1"/>
  <c r="X22" i="35" s="1"/>
  <c r="X25" i="35" a="1"/>
  <c r="X25" i="35" s="1"/>
  <c r="X11" i="35" a="1"/>
  <c r="X11" i="35" s="1"/>
  <c r="X6" i="35" a="1"/>
  <c r="X6" i="35" s="1"/>
  <c r="X9" i="35" a="1"/>
  <c r="X9" i="35" s="1"/>
  <c r="X14" i="35" a="1"/>
  <c r="X14" i="35" s="1"/>
  <c r="X17" i="35" a="1"/>
  <c r="X17" i="35" s="1"/>
  <c r="X23" i="35" a="1"/>
  <c r="X23" i="35" s="1"/>
  <c r="X5" i="35" a="1"/>
  <c r="X5" i="35" s="1"/>
  <c r="D7" i="28"/>
  <c r="E7" i="28"/>
  <c r="F7" i="28"/>
  <c r="G7" i="28"/>
  <c r="D8" i="28"/>
  <c r="E8" i="28"/>
  <c r="F8" i="28"/>
  <c r="G8" i="28"/>
  <c r="D9" i="28"/>
  <c r="E9" i="28"/>
  <c r="F9" i="28"/>
  <c r="G9" i="28"/>
  <c r="D10" i="28"/>
  <c r="E10" i="28"/>
  <c r="F10" i="28"/>
  <c r="G10" i="28"/>
  <c r="D11" i="28"/>
  <c r="E11" i="28"/>
  <c r="F11" i="28"/>
  <c r="G11" i="28"/>
  <c r="D12" i="28"/>
  <c r="E12" i="28"/>
  <c r="F12" i="28"/>
  <c r="G12" i="28"/>
  <c r="D13" i="28"/>
  <c r="E13" i="28"/>
  <c r="F13" i="28"/>
  <c r="G13" i="28"/>
  <c r="D14" i="28"/>
  <c r="E14" i="28"/>
  <c r="F14" i="28"/>
  <c r="G14" i="28"/>
  <c r="D15" i="28"/>
  <c r="E15" i="28"/>
  <c r="F15" i="28"/>
  <c r="G15" i="28"/>
  <c r="D16" i="28"/>
  <c r="E16" i="28"/>
  <c r="F16" i="28"/>
  <c r="G16" i="28"/>
  <c r="D17" i="28"/>
  <c r="E17" i="28"/>
  <c r="F17" i="28"/>
  <c r="G17" i="28"/>
  <c r="D18" i="28"/>
  <c r="E18" i="28"/>
  <c r="F18" i="28"/>
  <c r="G18" i="28"/>
  <c r="D19" i="28"/>
  <c r="E19" i="28"/>
  <c r="F19" i="28"/>
  <c r="G19" i="28"/>
  <c r="D20" i="28"/>
  <c r="E20" i="28"/>
  <c r="F20" i="28"/>
  <c r="G20" i="28"/>
  <c r="D21" i="28"/>
  <c r="E21" i="28"/>
  <c r="F21" i="28"/>
  <c r="G21" i="28"/>
  <c r="D22" i="28"/>
  <c r="E22" i="28"/>
  <c r="F22" i="28"/>
  <c r="G22" i="28"/>
  <c r="D23" i="28"/>
  <c r="E23" i="28"/>
  <c r="F23" i="28"/>
  <c r="G23" i="28"/>
  <c r="D24" i="28"/>
  <c r="E24" i="28"/>
  <c r="F24" i="28"/>
  <c r="G24" i="28"/>
  <c r="D25" i="28"/>
  <c r="E25" i="28"/>
  <c r="F25" i="28"/>
  <c r="G25" i="28"/>
  <c r="D26" i="28"/>
  <c r="E26" i="28"/>
  <c r="F26" i="28"/>
  <c r="G26" i="28"/>
  <c r="D27" i="28"/>
  <c r="E27" i="28"/>
  <c r="F27" i="28"/>
  <c r="G27" i="28"/>
  <c r="D28" i="28"/>
  <c r="E28" i="28"/>
  <c r="F28" i="28"/>
  <c r="G28" i="28"/>
  <c r="D29" i="28"/>
  <c r="E29" i="28"/>
  <c r="F29" i="28"/>
  <c r="G29" i="28"/>
  <c r="D30" i="28"/>
  <c r="E30" i="28"/>
  <c r="F30" i="28"/>
  <c r="G30" i="28"/>
  <c r="D31" i="28"/>
  <c r="E31" i="28"/>
  <c r="F31" i="28"/>
  <c r="G31" i="28"/>
  <c r="D32" i="28"/>
  <c r="E32" i="28"/>
  <c r="F32" i="28"/>
  <c r="G32" i="28"/>
  <c r="D33" i="28"/>
  <c r="E33" i="28"/>
  <c r="F33" i="28"/>
  <c r="G33" i="28"/>
  <c r="D34" i="28"/>
  <c r="E34" i="28"/>
  <c r="F34" i="28"/>
  <c r="G34" i="28"/>
  <c r="D35" i="28"/>
  <c r="E35" i="28"/>
  <c r="F35" i="28"/>
  <c r="G35" i="28"/>
  <c r="G6" i="28"/>
  <c r="E6" i="28"/>
  <c r="F6" i="28"/>
  <c r="D6" i="28"/>
  <c r="B7" i="28"/>
  <c r="C7" i="28" s="1"/>
  <c r="B8" i="28"/>
  <c r="C8" i="28" s="1"/>
  <c r="B9" i="28"/>
  <c r="C9" i="28" s="1"/>
  <c r="B10" i="28"/>
  <c r="C10" i="28" s="1"/>
  <c r="B11" i="28"/>
  <c r="C11" i="28" s="1"/>
  <c r="B12" i="28"/>
  <c r="C12" i="28" s="1"/>
  <c r="B13" i="28"/>
  <c r="C13" i="28" s="1"/>
  <c r="B14" i="28"/>
  <c r="C14" i="28" s="1"/>
  <c r="B15" i="28"/>
  <c r="C15" i="28" s="1"/>
  <c r="B16" i="28"/>
  <c r="C16" i="28" s="1"/>
  <c r="B17" i="28"/>
  <c r="B18" i="28"/>
  <c r="C18" i="28" s="1"/>
  <c r="B19" i="28"/>
  <c r="C19" i="28" s="1"/>
  <c r="B20" i="28"/>
  <c r="C20" i="28" s="1"/>
  <c r="B21" i="28"/>
  <c r="C21" i="28" s="1"/>
  <c r="B22" i="28"/>
  <c r="C22" i="28" s="1"/>
  <c r="B23" i="28"/>
  <c r="C23" i="28" s="1"/>
  <c r="B24" i="28"/>
  <c r="C24" i="28" s="1"/>
  <c r="B25" i="28"/>
  <c r="C25" i="28" s="1"/>
  <c r="B26" i="28"/>
  <c r="C26" i="28" s="1"/>
  <c r="B27" i="28"/>
  <c r="C27" i="28" s="1"/>
  <c r="B28" i="28"/>
  <c r="C28" i="28" s="1"/>
  <c r="B29" i="28"/>
  <c r="C29" i="28" s="1"/>
  <c r="B30" i="28"/>
  <c r="C30" i="28" s="1"/>
  <c r="B31" i="28"/>
  <c r="C31" i="28" s="1"/>
  <c r="B32" i="28"/>
  <c r="C32" i="28" s="1"/>
  <c r="B33" i="28"/>
  <c r="C33" i="28" s="1"/>
  <c r="B34" i="28"/>
  <c r="C34" i="28" s="1"/>
  <c r="B35" i="28"/>
  <c r="C35" i="28" s="1"/>
  <c r="B6" i="28"/>
  <c r="C6" i="28" s="1"/>
  <c r="C17" i="28"/>
  <c r="H6" i="28" l="1"/>
  <c r="H32" i="28"/>
  <c r="H24" i="28"/>
  <c r="H12" i="28"/>
  <c r="H31" i="28"/>
  <c r="H23" i="28"/>
  <c r="H21" i="28"/>
  <c r="H30" i="28"/>
  <c r="H26" i="28"/>
  <c r="H22" i="28"/>
  <c r="H18" i="28"/>
  <c r="H14" i="28"/>
  <c r="H10" i="28"/>
  <c r="H11" i="28"/>
  <c r="H17" i="28"/>
  <c r="H33" i="28"/>
  <c r="H29" i="28"/>
  <c r="H25" i="28"/>
  <c r="H13" i="28"/>
  <c r="H9" i="28"/>
  <c r="H20" i="28"/>
  <c r="H8" i="28"/>
  <c r="H35" i="28"/>
  <c r="H19" i="28"/>
  <c r="H7" i="28"/>
  <c r="H34" i="28"/>
  <c r="H28" i="28"/>
  <c r="H16" i="28"/>
  <c r="H27" i="28"/>
  <c r="H15" i="28"/>
  <c r="Y6" i="35"/>
  <c r="Z6" i="35"/>
  <c r="Z15" i="35"/>
  <c r="Y15" i="35"/>
  <c r="Z21" i="35"/>
  <c r="Y21" i="35"/>
  <c r="Z17" i="35"/>
  <c r="Y17" i="35"/>
  <c r="Z16" i="35"/>
  <c r="Y16" i="35"/>
  <c r="Y14" i="35"/>
  <c r="Z14" i="35"/>
  <c r="Z25" i="35"/>
  <c r="Y25" i="35"/>
  <c r="Z8" i="35"/>
  <c r="Y8" i="35"/>
  <c r="Z13" i="35"/>
  <c r="Y13" i="35"/>
  <c r="Y12" i="35"/>
  <c r="Z5" i="35"/>
  <c r="Y5" i="35"/>
  <c r="Z23" i="35"/>
  <c r="Y23" i="35"/>
  <c r="Z19" i="35"/>
  <c r="Y19" i="35"/>
  <c r="Z20" i="35"/>
  <c r="Y20" i="35"/>
  <c r="Z11" i="35"/>
  <c r="Y11" i="35"/>
  <c r="Y18" i="35"/>
  <c r="Z18" i="35"/>
  <c r="Z9" i="35"/>
  <c r="Y9" i="35"/>
  <c r="Y22" i="35"/>
  <c r="Z22" i="35"/>
  <c r="Y24" i="35"/>
  <c r="Y10" i="35"/>
  <c r="Z10" i="35"/>
  <c r="Z7" i="35"/>
  <c r="Y7" i="35"/>
  <c r="AC33" i="34"/>
  <c r="Z33" i="34"/>
  <c r="T33" i="34"/>
  <c r="W33" i="34"/>
  <c r="R25" i="35" l="1" a="1"/>
  <c r="R25" i="35" s="1"/>
  <c r="T25" i="35" s="1"/>
  <c r="M25" i="35" a="1"/>
  <c r="M25" i="35" s="1"/>
  <c r="O25" i="35" s="1"/>
  <c r="G48" i="16"/>
  <c r="R26" i="35" l="1" a="1"/>
  <c r="R26" i="35" s="1"/>
  <c r="T26" i="35" s="1"/>
  <c r="M26" i="35" a="1"/>
  <c r="M26" i="35" s="1"/>
  <c r="O26" i="35" s="1"/>
  <c r="B3" i="16"/>
  <c r="P5" i="35"/>
  <c r="D27" i="16"/>
  <c r="R27" i="35" l="1" a="1"/>
  <c r="R27" i="35" s="1"/>
  <c r="T27" i="35" s="1"/>
  <c r="M27" i="35" a="1"/>
  <c r="M27" i="35" s="1"/>
  <c r="O27" i="35" s="1"/>
  <c r="X2" i="35"/>
  <c r="M7" i="28" a="1"/>
  <c r="M7" i="28" s="1"/>
  <c r="M8" i="28" a="1"/>
  <c r="M8" i="28" s="1"/>
  <c r="M9" i="28" a="1"/>
  <c r="M9" i="28" s="1"/>
  <c r="M10" i="28" a="1"/>
  <c r="M10" i="28" s="1"/>
  <c r="M11" i="28" a="1"/>
  <c r="M11" i="28" s="1"/>
  <c r="M12" i="28" a="1"/>
  <c r="M12" i="28" s="1"/>
  <c r="M13" i="28" a="1"/>
  <c r="M13" i="28" s="1"/>
  <c r="M14" i="28" a="1"/>
  <c r="M14" i="28" s="1"/>
  <c r="M15" i="28" a="1"/>
  <c r="M15" i="28" s="1"/>
  <c r="M16" i="28" a="1"/>
  <c r="M16" i="28" s="1"/>
  <c r="M17" i="28" a="1"/>
  <c r="M17" i="28" s="1"/>
  <c r="M18" i="28" a="1"/>
  <c r="M18" i="28" s="1"/>
  <c r="M19" i="28" a="1"/>
  <c r="M19" i="28" s="1"/>
  <c r="M23" i="28" a="1"/>
  <c r="M23" i="28" s="1"/>
  <c r="M24" i="28" a="1"/>
  <c r="M24" i="28" s="1"/>
  <c r="M25" i="28" a="1"/>
  <c r="M25" i="28" s="1"/>
  <c r="M26" i="28" a="1"/>
  <c r="M26" i="28" s="1"/>
  <c r="M27" i="28" a="1"/>
  <c r="M27" i="28" s="1"/>
  <c r="M28" i="28" a="1"/>
  <c r="M28" i="28" s="1"/>
  <c r="M29" i="28" a="1"/>
  <c r="M29" i="28" s="1"/>
  <c r="M30" i="28" a="1"/>
  <c r="M30" i="28" s="1"/>
  <c r="M31" i="28" a="1"/>
  <c r="M31" i="28" s="1"/>
  <c r="M32" i="28" a="1"/>
  <c r="M32" i="28" s="1"/>
  <c r="M33" i="28" a="1"/>
  <c r="M33" i="28" s="1"/>
  <c r="M34" i="28" a="1"/>
  <c r="M34" i="28" s="1"/>
  <c r="M35" i="28" a="1"/>
  <c r="M35" i="28" s="1"/>
  <c r="M36" i="28" a="1"/>
  <c r="M36" i="28" s="1"/>
  <c r="M22" i="28" a="1"/>
  <c r="M22" i="28" s="1"/>
  <c r="L22" i="28" s="1"/>
  <c r="M6" i="28" a="1"/>
  <c r="M6" i="28" s="1"/>
  <c r="M5" i="28" a="1"/>
  <c r="M5" i="28" s="1"/>
  <c r="Q19" i="28" l="1"/>
  <c r="Q15" i="28"/>
  <c r="Q14" i="28"/>
  <c r="Q18" i="28"/>
  <c r="Q17" i="28"/>
  <c r="Q13" i="28"/>
  <c r="Q6" i="28"/>
  <c r="L6" i="28"/>
  <c r="L26" i="28"/>
  <c r="AU26" i="28"/>
  <c r="Q11" i="28"/>
  <c r="L11" i="28"/>
  <c r="Q7" i="28"/>
  <c r="L7" i="28"/>
  <c r="L29" i="28"/>
  <c r="AU29" i="28"/>
  <c r="L25" i="28"/>
  <c r="AU25" i="28"/>
  <c r="Q10" i="28"/>
  <c r="L10" i="28"/>
  <c r="L28" i="28"/>
  <c r="AU28" i="28"/>
  <c r="L24" i="28"/>
  <c r="AU24" i="28"/>
  <c r="Q9" i="28"/>
  <c r="L9" i="28"/>
  <c r="Q5" i="28"/>
  <c r="L5" i="28"/>
  <c r="I28" i="28"/>
  <c r="I16" i="28"/>
  <c r="I15" i="28"/>
  <c r="I35" i="28"/>
  <c r="I11" i="28"/>
  <c r="I6" i="28"/>
  <c r="I31" i="28"/>
  <c r="I7" i="28"/>
  <c r="I30" i="28"/>
  <c r="I22" i="28"/>
  <c r="I14" i="28"/>
  <c r="I27" i="28"/>
  <c r="I34" i="28"/>
  <c r="I33" i="28"/>
  <c r="I25" i="28"/>
  <c r="I9" i="28"/>
  <c r="I24" i="28"/>
  <c r="I12" i="28"/>
  <c r="I19" i="28"/>
  <c r="I32" i="28"/>
  <c r="I20" i="28"/>
  <c r="I8" i="28"/>
  <c r="I23" i="28"/>
  <c r="I21" i="28"/>
  <c r="I26" i="28"/>
  <c r="I18" i="28"/>
  <c r="I10" i="28"/>
  <c r="I17" i="28"/>
  <c r="I29" i="28"/>
  <c r="I13" i="28"/>
  <c r="AU27" i="28"/>
  <c r="L27" i="28"/>
  <c r="AU23" i="28"/>
  <c r="L23" i="28"/>
  <c r="Q16" i="28"/>
  <c r="Q12" i="28"/>
  <c r="L12" i="28"/>
  <c r="Q8" i="28"/>
  <c r="L8" i="28"/>
  <c r="P22" i="28"/>
  <c r="P6" i="28"/>
  <c r="P7" i="28"/>
  <c r="O7" i="28" s="1"/>
  <c r="P9" i="28"/>
  <c r="P11" i="28"/>
  <c r="O11" i="28" s="1"/>
  <c r="P10" i="28"/>
  <c r="P5" i="28"/>
  <c r="P12" i="28"/>
  <c r="P8" i="28"/>
  <c r="N21" i="35"/>
  <c r="O21" i="35" s="1"/>
  <c r="N12" i="28"/>
  <c r="N19" i="28"/>
  <c r="P19" i="28"/>
  <c r="N15" i="28"/>
  <c r="P15" i="28"/>
  <c r="N11" i="28"/>
  <c r="N7" i="28"/>
  <c r="N16" i="28"/>
  <c r="P16" i="28"/>
  <c r="P18" i="28"/>
  <c r="P14" i="28"/>
  <c r="N8" i="28"/>
  <c r="N17" i="28"/>
  <c r="P17" i="28"/>
  <c r="N13" i="28"/>
  <c r="P13" i="28"/>
  <c r="N9" i="28"/>
  <c r="R28" i="35" a="1"/>
  <c r="R28" i="35" s="1"/>
  <c r="T28" i="35" s="1"/>
  <c r="M28" i="35" a="1"/>
  <c r="M28" i="35" s="1"/>
  <c r="O28" i="35" s="1"/>
  <c r="P36" i="28"/>
  <c r="P30" i="28"/>
  <c r="P24" i="28"/>
  <c r="P32" i="28"/>
  <c r="P28" i="28"/>
  <c r="Q23" i="28"/>
  <c r="N23" i="28"/>
  <c r="P26" i="28"/>
  <c r="P34" i="28"/>
  <c r="Q33" i="28"/>
  <c r="N33" i="28"/>
  <c r="Q27" i="28"/>
  <c r="N27" i="28"/>
  <c r="Q25" i="28"/>
  <c r="N25" i="28"/>
  <c r="Q35" i="28"/>
  <c r="N35" i="28"/>
  <c r="Q29" i="28"/>
  <c r="N29" i="28"/>
  <c r="Q31" i="28"/>
  <c r="N31" i="28"/>
  <c r="Q36" i="28"/>
  <c r="Q34" i="28"/>
  <c r="Q32" i="28"/>
  <c r="Q30" i="28"/>
  <c r="Q28" i="28"/>
  <c r="Q26" i="28"/>
  <c r="Q24" i="28"/>
  <c r="N5" i="28"/>
  <c r="N34" i="28"/>
  <c r="N30" i="28"/>
  <c r="N26" i="28"/>
  <c r="Q22" i="28"/>
  <c r="P35" i="28"/>
  <c r="P33" i="28"/>
  <c r="P31" i="28"/>
  <c r="P29" i="28"/>
  <c r="P27" i="28"/>
  <c r="P25" i="28"/>
  <c r="P23" i="28"/>
  <c r="N36" i="28"/>
  <c r="N32" i="28"/>
  <c r="N28" i="28"/>
  <c r="N24" i="28"/>
  <c r="N6" i="28"/>
  <c r="N22" i="28"/>
  <c r="Q9" i="35"/>
  <c r="Q10" i="35"/>
  <c r="N18" i="35"/>
  <c r="Q11" i="35"/>
  <c r="S9" i="35"/>
  <c r="S10" i="35"/>
  <c r="S11" i="35"/>
  <c r="N19" i="35"/>
  <c r="M9" i="35"/>
  <c r="M10" i="35"/>
  <c r="M11" i="35"/>
  <c r="N16" i="35"/>
  <c r="N20" i="35"/>
  <c r="R18" i="35"/>
  <c r="O9" i="35"/>
  <c r="O10" i="35"/>
  <c r="O11" i="35"/>
  <c r="N17" i="35"/>
  <c r="N14" i="28"/>
  <c r="N10" i="28"/>
  <c r="N18" i="28"/>
  <c r="O12" i="28" l="1"/>
  <c r="O10" i="28"/>
  <c r="O6" i="28"/>
  <c r="O9" i="28"/>
  <c r="O5" i="28"/>
  <c r="O8" i="28"/>
  <c r="O13" i="28"/>
  <c r="O15" i="28"/>
  <c r="O17" i="28"/>
  <c r="O14" i="28"/>
  <c r="O16" i="28"/>
  <c r="O19" i="28"/>
  <c r="O18" i="28"/>
  <c r="R29" i="35" a="1"/>
  <c r="R29" i="35" s="1"/>
  <c r="T29" i="35" s="1"/>
  <c r="M29" i="35" a="1"/>
  <c r="M29" i="35" s="1"/>
  <c r="O29" i="35" s="1"/>
  <c r="O25" i="28"/>
  <c r="Q5" i="35"/>
  <c r="O36" i="28"/>
  <c r="O35" i="28"/>
  <c r="O30" i="28"/>
  <c r="D3" i="16"/>
  <c r="O24" i="28"/>
  <c r="O26" i="28"/>
  <c r="O31" i="28"/>
  <c r="O28" i="28"/>
  <c r="O23" i="28"/>
  <c r="O27" i="28"/>
  <c r="O32" i="28"/>
  <c r="O34" i="28"/>
  <c r="O29" i="28"/>
  <c r="O33" i="28"/>
  <c r="O22" i="28"/>
  <c r="J50" i="16" l="1"/>
  <c r="H50" i="16"/>
  <c r="I50" i="16" s="1"/>
  <c r="F50" i="16"/>
  <c r="K50" i="16" s="1"/>
  <c r="D50" i="16"/>
  <c r="E50" i="16" s="1"/>
  <c r="B50" i="16"/>
  <c r="C50" i="16" s="1"/>
  <c r="F48" i="16"/>
  <c r="E48" i="16"/>
  <c r="G50" i="16" l="1"/>
  <c r="M6" i="20"/>
  <c r="M7" i="20"/>
  <c r="M8" i="20"/>
  <c r="M9" i="20"/>
  <c r="M10" i="20"/>
  <c r="M11" i="20"/>
  <c r="M12" i="20"/>
  <c r="M13" i="20"/>
  <c r="M14" i="20"/>
  <c r="M15" i="20"/>
  <c r="M16" i="20"/>
  <c r="M17" i="20"/>
  <c r="M18" i="20"/>
  <c r="M19" i="20"/>
  <c r="M20" i="20"/>
  <c r="M21" i="20"/>
  <c r="M22" i="20"/>
  <c r="M23" i="20"/>
  <c r="M24" i="20"/>
  <c r="M25" i="20"/>
  <c r="M26" i="20"/>
  <c r="M27" i="20"/>
  <c r="M28" i="20"/>
  <c r="M29" i="20"/>
  <c r="M30" i="20"/>
  <c r="M31" i="20"/>
  <c r="M32" i="20"/>
  <c r="M33" i="20"/>
  <c r="M34" i="20"/>
  <c r="M35" i="20"/>
  <c r="M36" i="20"/>
  <c r="M37" i="20"/>
  <c r="M38" i="20"/>
  <c r="M39" i="20"/>
  <c r="M40" i="20"/>
  <c r="M41" i="20"/>
  <c r="M42" i="20"/>
  <c r="M43" i="20"/>
  <c r="M44" i="20"/>
  <c r="M45" i="20"/>
  <c r="M46" i="20"/>
  <c r="M47" i="20"/>
  <c r="M48" i="20"/>
  <c r="M49" i="20"/>
  <c r="M50" i="20"/>
  <c r="M51" i="20"/>
  <c r="M52" i="20"/>
  <c r="M53" i="20"/>
  <c r="M54" i="20"/>
  <c r="M55" i="20"/>
  <c r="M56" i="20"/>
  <c r="M57" i="20"/>
  <c r="M58" i="20"/>
  <c r="M59" i="20"/>
  <c r="M60" i="20"/>
  <c r="M61" i="20"/>
  <c r="M62" i="20"/>
  <c r="M63" i="20"/>
  <c r="M64" i="20"/>
  <c r="M65" i="20"/>
  <c r="M66" i="20"/>
  <c r="M67" i="20"/>
  <c r="M68" i="20"/>
  <c r="M69" i="20"/>
  <c r="M70" i="20"/>
  <c r="M71" i="20"/>
  <c r="M72" i="20"/>
  <c r="M73" i="20"/>
  <c r="M74" i="20"/>
  <c r="M75" i="20"/>
  <c r="M76" i="20"/>
  <c r="M77" i="20"/>
  <c r="M78" i="20"/>
  <c r="M79" i="20"/>
  <c r="M80" i="20"/>
  <c r="M81" i="20"/>
  <c r="M82" i="20"/>
  <c r="M83" i="20"/>
  <c r="M84" i="20"/>
  <c r="M85" i="20"/>
  <c r="M86" i="20"/>
  <c r="M87" i="20"/>
  <c r="M88" i="20"/>
  <c r="M89" i="20"/>
  <c r="M90" i="20"/>
  <c r="M91" i="20"/>
  <c r="M92" i="20"/>
  <c r="M93" i="20"/>
  <c r="M94" i="20"/>
  <c r="M95" i="20"/>
  <c r="M96" i="20"/>
  <c r="M97" i="20"/>
  <c r="M98" i="20"/>
  <c r="M99" i="20"/>
  <c r="M100" i="20"/>
  <c r="M101" i="20"/>
  <c r="M102" i="20"/>
  <c r="M103" i="20"/>
  <c r="M104" i="20"/>
  <c r="M105" i="20"/>
  <c r="M106" i="20"/>
  <c r="M107" i="20"/>
  <c r="M108" i="20"/>
  <c r="M109" i="20"/>
  <c r="M110" i="20"/>
  <c r="M111" i="20"/>
  <c r="M112" i="20"/>
  <c r="M113" i="20"/>
  <c r="M114" i="20"/>
  <c r="M115" i="20"/>
  <c r="M116" i="20"/>
  <c r="M117" i="20"/>
  <c r="M118" i="20"/>
  <c r="M119" i="20"/>
  <c r="M120" i="20"/>
  <c r="M121" i="20"/>
  <c r="M122" i="20"/>
  <c r="M123" i="20"/>
  <c r="M124" i="20"/>
  <c r="M125" i="20"/>
  <c r="M126" i="20"/>
  <c r="M127" i="20"/>
  <c r="M128" i="20"/>
  <c r="M129" i="20"/>
  <c r="M130" i="20"/>
  <c r="M131" i="20"/>
  <c r="M132" i="20"/>
  <c r="M133" i="20"/>
  <c r="M134" i="20"/>
  <c r="M135" i="20"/>
  <c r="M136" i="20"/>
  <c r="M137" i="20"/>
  <c r="M138" i="20"/>
  <c r="M139" i="20"/>
  <c r="M140" i="20"/>
  <c r="M141" i="20"/>
  <c r="M142" i="20"/>
  <c r="M143" i="20"/>
  <c r="M144" i="20"/>
  <c r="M145" i="20"/>
  <c r="M146" i="20"/>
  <c r="M147" i="20"/>
  <c r="M148" i="20"/>
  <c r="M149" i="20"/>
  <c r="M150" i="20"/>
  <c r="M151" i="20"/>
  <c r="M152" i="20"/>
  <c r="M153" i="20"/>
  <c r="M154" i="20"/>
  <c r="M155" i="20"/>
  <c r="M156" i="20"/>
  <c r="M157" i="20"/>
  <c r="M158" i="20"/>
  <c r="M159" i="20"/>
  <c r="M160" i="20"/>
  <c r="M161" i="20"/>
  <c r="M162" i="20"/>
  <c r="M163" i="20"/>
  <c r="M164" i="20"/>
  <c r="M165" i="20"/>
  <c r="M166" i="20"/>
  <c r="M167" i="20"/>
  <c r="M168" i="20"/>
  <c r="M169" i="20"/>
  <c r="M170" i="20"/>
  <c r="M171" i="20"/>
  <c r="M172" i="20"/>
  <c r="M173" i="20"/>
  <c r="M174" i="20"/>
  <c r="M175" i="20"/>
  <c r="M176" i="20"/>
  <c r="M177" i="20"/>
  <c r="M178" i="20"/>
  <c r="M179" i="20"/>
  <c r="M180" i="20"/>
  <c r="M181" i="20"/>
  <c r="M182" i="20"/>
  <c r="M183" i="20"/>
  <c r="M184" i="20"/>
  <c r="M185" i="20"/>
  <c r="M186" i="20"/>
  <c r="M187" i="20"/>
  <c r="M188" i="20"/>
  <c r="M189" i="20"/>
  <c r="M190" i="20"/>
  <c r="M191" i="20"/>
  <c r="M192" i="20"/>
  <c r="M193" i="20"/>
  <c r="M194" i="20"/>
  <c r="M195" i="20"/>
  <c r="M196" i="20"/>
  <c r="M197" i="20"/>
  <c r="M198" i="20"/>
  <c r="M199" i="20"/>
  <c r="M200" i="20"/>
  <c r="M201" i="20"/>
  <c r="M202" i="20"/>
  <c r="M203" i="20"/>
  <c r="M204" i="20"/>
  <c r="M205" i="20"/>
  <c r="M206" i="20"/>
  <c r="M207" i="20"/>
  <c r="M208" i="20"/>
  <c r="M209" i="20"/>
  <c r="M210" i="20"/>
  <c r="M211" i="20"/>
  <c r="M212" i="20"/>
  <c r="M213" i="20"/>
  <c r="M214" i="20"/>
  <c r="M215" i="20"/>
  <c r="M216" i="20"/>
  <c r="M217" i="20"/>
  <c r="M218" i="20"/>
  <c r="M219" i="20"/>
  <c r="M220" i="20"/>
  <c r="M221" i="20"/>
  <c r="M222" i="20"/>
  <c r="M223" i="20"/>
  <c r="M224" i="20"/>
  <c r="M225" i="20"/>
  <c r="M226" i="20"/>
  <c r="M227" i="20"/>
  <c r="M228" i="20"/>
  <c r="M229" i="20"/>
  <c r="M230" i="20"/>
  <c r="M231" i="20"/>
  <c r="M232" i="20"/>
  <c r="M233" i="20"/>
  <c r="M234" i="20"/>
  <c r="M235" i="20"/>
  <c r="M236" i="20"/>
  <c r="M237" i="20"/>
  <c r="M238" i="20"/>
  <c r="M239" i="20"/>
  <c r="M240" i="20"/>
  <c r="M241" i="20"/>
  <c r="M242" i="20"/>
  <c r="M243" i="20"/>
  <c r="M244" i="20"/>
  <c r="M245" i="20"/>
  <c r="M246" i="20"/>
  <c r="M247" i="20"/>
  <c r="M248" i="20"/>
  <c r="M249" i="20"/>
  <c r="M250" i="20"/>
  <c r="M251" i="20"/>
  <c r="M252" i="20"/>
  <c r="M253" i="20"/>
  <c r="M254" i="20"/>
  <c r="M255" i="20"/>
  <c r="M256" i="20"/>
  <c r="M257" i="20"/>
  <c r="M258" i="20"/>
  <c r="M259" i="20"/>
  <c r="M260" i="20"/>
  <c r="M261" i="20"/>
  <c r="M262" i="20"/>
  <c r="M263" i="20"/>
  <c r="M264" i="20"/>
  <c r="M265" i="20"/>
  <c r="M266" i="20"/>
  <c r="M267" i="20"/>
  <c r="M268" i="20"/>
  <c r="M269" i="20"/>
  <c r="M270" i="20"/>
  <c r="M271" i="20"/>
  <c r="M272" i="20"/>
  <c r="M273" i="20"/>
  <c r="M274" i="20"/>
  <c r="M275" i="20"/>
  <c r="M276" i="20"/>
  <c r="M277" i="20"/>
  <c r="M278" i="20"/>
  <c r="M279" i="20"/>
  <c r="M280" i="20"/>
  <c r="M281" i="20"/>
  <c r="M282" i="20"/>
  <c r="M283" i="20"/>
  <c r="M284" i="20"/>
  <c r="M285" i="20"/>
  <c r="M286" i="20"/>
  <c r="M287" i="20"/>
  <c r="M288" i="20"/>
  <c r="M289" i="20"/>
  <c r="M290" i="20"/>
  <c r="M291" i="20"/>
  <c r="M292" i="20"/>
  <c r="M293" i="20"/>
  <c r="M294" i="20"/>
  <c r="M295" i="20"/>
  <c r="M296" i="20"/>
  <c r="M297" i="20"/>
  <c r="M298" i="20"/>
  <c r="M299" i="20"/>
  <c r="M300" i="20"/>
  <c r="M301" i="20"/>
  <c r="M302" i="20"/>
  <c r="M303" i="20"/>
  <c r="M304" i="20"/>
  <c r="M305" i="20"/>
  <c r="M306" i="20"/>
  <c r="M307" i="20"/>
  <c r="M308" i="20"/>
  <c r="M309" i="20"/>
  <c r="M310" i="20"/>
  <c r="M311" i="20"/>
  <c r="M312" i="20"/>
  <c r="M313" i="20"/>
  <c r="M314" i="20"/>
  <c r="M315" i="20"/>
  <c r="M316" i="20"/>
  <c r="M317" i="20"/>
  <c r="M318" i="20"/>
  <c r="M319" i="20"/>
  <c r="M320" i="20"/>
  <c r="M321" i="20"/>
  <c r="M322" i="20"/>
  <c r="M323" i="20"/>
  <c r="M324" i="20"/>
  <c r="M325" i="20"/>
  <c r="M326" i="20"/>
  <c r="M327" i="20"/>
  <c r="M328" i="20"/>
  <c r="M329" i="20"/>
  <c r="M330" i="20"/>
  <c r="M331" i="20"/>
  <c r="M332" i="20"/>
  <c r="M333" i="20"/>
  <c r="M334" i="20"/>
  <c r="M335" i="20"/>
  <c r="M336" i="20"/>
  <c r="M337" i="20"/>
  <c r="M338" i="20"/>
  <c r="M339" i="20"/>
  <c r="M340" i="20"/>
  <c r="M341" i="20"/>
  <c r="M342" i="20"/>
  <c r="M343" i="20"/>
  <c r="M344" i="20"/>
  <c r="M345" i="20"/>
  <c r="M346" i="20"/>
  <c r="M347" i="20"/>
  <c r="M348" i="20"/>
  <c r="M349" i="20"/>
  <c r="M350" i="20"/>
  <c r="M351" i="20"/>
  <c r="M352" i="20"/>
  <c r="M353" i="20"/>
  <c r="M354" i="20"/>
  <c r="M355" i="20"/>
  <c r="M356" i="20"/>
  <c r="M357" i="20"/>
  <c r="M358" i="20"/>
  <c r="M359" i="20"/>
  <c r="M360" i="20"/>
  <c r="M361" i="20"/>
  <c r="M362" i="20"/>
  <c r="M363" i="20"/>
  <c r="M364" i="20"/>
  <c r="M365" i="20"/>
  <c r="M366" i="20"/>
  <c r="M367" i="20"/>
  <c r="M368" i="20"/>
  <c r="M369" i="20"/>
  <c r="M370" i="20"/>
  <c r="M371" i="20"/>
  <c r="M372" i="20"/>
  <c r="M373" i="20"/>
  <c r="M374" i="20"/>
  <c r="M375" i="20"/>
  <c r="M376" i="20"/>
  <c r="M377" i="20"/>
  <c r="M378" i="20"/>
  <c r="M379" i="20"/>
  <c r="M380" i="20"/>
  <c r="M381" i="20"/>
  <c r="M382" i="20"/>
  <c r="M383" i="20"/>
  <c r="M384" i="20"/>
  <c r="M385" i="20"/>
  <c r="M386" i="20"/>
  <c r="M387" i="20"/>
  <c r="M388" i="20"/>
  <c r="M389" i="20"/>
  <c r="M390" i="20"/>
  <c r="M391" i="20"/>
  <c r="M392" i="20"/>
  <c r="M393" i="20"/>
  <c r="M394" i="20"/>
  <c r="M395" i="20"/>
  <c r="M396" i="20"/>
  <c r="M397" i="20"/>
  <c r="M398" i="20"/>
  <c r="M399" i="20"/>
  <c r="M400" i="20"/>
  <c r="M401" i="20"/>
  <c r="M402" i="20"/>
  <c r="M403" i="20"/>
  <c r="M404" i="20"/>
  <c r="M405" i="20"/>
  <c r="M406" i="20"/>
  <c r="M407" i="20"/>
  <c r="M408" i="20"/>
  <c r="M409" i="20"/>
  <c r="M410" i="20"/>
  <c r="M411" i="20"/>
  <c r="M412" i="20"/>
  <c r="M413" i="20"/>
  <c r="M414" i="20"/>
  <c r="M415" i="20"/>
  <c r="M416" i="20"/>
  <c r="M417" i="20"/>
  <c r="M418" i="20"/>
  <c r="M419" i="20"/>
  <c r="M420" i="20"/>
  <c r="M421" i="20"/>
  <c r="M422" i="20"/>
  <c r="M423" i="20"/>
  <c r="M424" i="20"/>
  <c r="M425" i="20"/>
  <c r="M426" i="20"/>
  <c r="M427" i="20"/>
  <c r="M428" i="20"/>
  <c r="M429" i="20"/>
  <c r="M430" i="20"/>
  <c r="M431" i="20"/>
  <c r="M432" i="20"/>
  <c r="M433" i="20"/>
  <c r="M434" i="20"/>
  <c r="M435" i="20"/>
  <c r="M436" i="20"/>
  <c r="M437" i="20"/>
  <c r="M438" i="20"/>
  <c r="M439" i="20"/>
  <c r="M440" i="20"/>
  <c r="M441" i="20"/>
  <c r="M442" i="20"/>
  <c r="M443" i="20"/>
  <c r="M444" i="20"/>
  <c r="M445" i="20"/>
  <c r="M446" i="20"/>
  <c r="M447" i="20"/>
  <c r="M448" i="20"/>
  <c r="M449" i="20"/>
  <c r="M450" i="20"/>
  <c r="M451" i="20"/>
  <c r="M452" i="20"/>
  <c r="M453" i="20"/>
  <c r="M454" i="20"/>
  <c r="M455" i="20"/>
  <c r="M456" i="20"/>
  <c r="M457" i="20"/>
  <c r="M458" i="20"/>
  <c r="M459" i="20"/>
  <c r="M460" i="20"/>
  <c r="M461" i="20"/>
  <c r="M462" i="20"/>
  <c r="M463" i="20"/>
  <c r="M464" i="20"/>
  <c r="M465" i="20"/>
  <c r="M466" i="20"/>
  <c r="M467" i="20"/>
  <c r="M468" i="20"/>
  <c r="M469" i="20"/>
  <c r="M470" i="20"/>
  <c r="M471" i="20"/>
  <c r="M472" i="20"/>
  <c r="M473" i="20"/>
  <c r="M474" i="20"/>
  <c r="M475" i="20"/>
  <c r="M476" i="20"/>
  <c r="M477" i="20"/>
  <c r="M478" i="20"/>
  <c r="M479" i="20"/>
  <c r="M480" i="20"/>
  <c r="M481" i="20"/>
  <c r="M482" i="20"/>
  <c r="M483" i="20"/>
  <c r="M484" i="20"/>
  <c r="M485" i="20"/>
  <c r="M486" i="20"/>
  <c r="M487" i="20"/>
  <c r="M488" i="20"/>
  <c r="M489" i="20"/>
  <c r="M490" i="20"/>
  <c r="M491" i="20"/>
  <c r="M492" i="20"/>
  <c r="M493" i="20"/>
  <c r="M494" i="20"/>
  <c r="M495" i="20"/>
  <c r="M496" i="20"/>
  <c r="M497" i="20"/>
  <c r="M498" i="20"/>
  <c r="M499" i="20"/>
  <c r="M500" i="20"/>
  <c r="M501" i="20"/>
  <c r="M502" i="20"/>
  <c r="M503" i="20"/>
  <c r="M504" i="20"/>
  <c r="M505" i="20"/>
  <c r="M506" i="20"/>
  <c r="M507" i="20"/>
  <c r="M508" i="20"/>
  <c r="M509" i="20"/>
  <c r="M510" i="20"/>
  <c r="M511" i="20"/>
  <c r="M512" i="20"/>
  <c r="M513" i="20"/>
  <c r="M514" i="20"/>
  <c r="M515" i="20"/>
  <c r="M516" i="20"/>
  <c r="M517" i="20"/>
  <c r="M518" i="20"/>
  <c r="M519" i="20"/>
  <c r="M520" i="20"/>
  <c r="M521" i="20"/>
  <c r="M522" i="20"/>
  <c r="M523" i="20"/>
  <c r="M524" i="20"/>
  <c r="M525" i="20"/>
  <c r="M526" i="20"/>
  <c r="M527" i="20"/>
  <c r="M528" i="20"/>
  <c r="M529" i="20"/>
  <c r="M530" i="20"/>
  <c r="M531" i="20"/>
  <c r="M532" i="20"/>
  <c r="M533" i="20"/>
  <c r="M534" i="20"/>
  <c r="M535" i="20"/>
  <c r="M536" i="20"/>
  <c r="M537" i="20"/>
  <c r="M538" i="20"/>
  <c r="M539" i="20"/>
  <c r="M540" i="20"/>
  <c r="M541" i="20"/>
  <c r="M542" i="20"/>
  <c r="M543" i="20"/>
  <c r="M544" i="20"/>
  <c r="M545" i="20"/>
  <c r="M546" i="20"/>
  <c r="M547" i="20"/>
  <c r="M548" i="20"/>
  <c r="M549" i="20"/>
  <c r="M550" i="20"/>
  <c r="M551" i="20"/>
  <c r="M552" i="20"/>
  <c r="M553" i="20"/>
  <c r="M554" i="20"/>
  <c r="M555" i="20"/>
  <c r="M556" i="20"/>
  <c r="M557" i="20"/>
  <c r="M558" i="20"/>
  <c r="M559" i="20"/>
  <c r="M560" i="20"/>
  <c r="M561" i="20"/>
  <c r="M562" i="20"/>
  <c r="M563" i="20"/>
  <c r="M564" i="20"/>
  <c r="M565" i="20"/>
  <c r="M5" i="20"/>
  <c r="E28" i="16"/>
  <c r="C28" i="16"/>
  <c r="I24" i="26" l="1"/>
  <c r="I21" i="26"/>
  <c r="I22" i="26"/>
  <c r="J30" i="16" l="1"/>
  <c r="K30" i="16" s="1"/>
  <c r="L30" i="16" s="1"/>
  <c r="M30" i="16" s="1"/>
  <c r="N30" i="16" s="1"/>
  <c r="O16" i="35" l="1"/>
  <c r="O17" i="35"/>
  <c r="O18" i="35"/>
  <c r="O19" i="35"/>
  <c r="O20" i="35"/>
  <c r="S22" i="35"/>
  <c r="S21" i="35"/>
  <c r="S20" i="35"/>
  <c r="C34" i="34" l="1"/>
  <c r="C33" i="34"/>
  <c r="C32" i="34"/>
  <c r="S19" i="35" l="1"/>
  <c r="S18" i="35"/>
  <c r="T11" i="35"/>
  <c r="R11" i="35"/>
  <c r="P11" i="35"/>
  <c r="N11" i="35"/>
  <c r="T10" i="35"/>
  <c r="R10" i="35"/>
  <c r="P10" i="35"/>
  <c r="N10" i="35"/>
  <c r="T9" i="35"/>
  <c r="R9" i="35"/>
  <c r="P9" i="35"/>
  <c r="N9" i="35"/>
  <c r="A1" i="35" l="1"/>
  <c r="G22" i="35" l="1"/>
  <c r="H22" i="35" s="1"/>
  <c r="G20" i="35"/>
  <c r="H20" i="35" s="1"/>
  <c r="G16" i="35"/>
  <c r="G19" i="35"/>
  <c r="H19" i="35" s="1"/>
  <c r="G17" i="35"/>
  <c r="H16" i="35"/>
  <c r="H17" i="35"/>
  <c r="G21" i="35"/>
  <c r="H21" i="35" s="1"/>
  <c r="X1" i="35"/>
  <c r="F11" i="35" s="1"/>
  <c r="G11" i="35" s="1"/>
  <c r="E5" i="35"/>
  <c r="F5" i="35"/>
  <c r="B5" i="35"/>
  <c r="C19" i="35" l="1"/>
  <c r="D19" i="35" s="1"/>
  <c r="C16" i="35"/>
  <c r="D16" i="35" s="1"/>
  <c r="C18" i="35"/>
  <c r="D18" i="35" s="1"/>
  <c r="C21" i="35"/>
  <c r="D21" i="35" s="1"/>
  <c r="G18" i="35"/>
  <c r="H18" i="35" s="1"/>
  <c r="C17" i="35"/>
  <c r="D17" i="35" s="1"/>
  <c r="C20" i="35"/>
  <c r="D20" i="35" s="1"/>
  <c r="H9" i="35"/>
  <c r="I9" i="35" s="1"/>
  <c r="B11" i="35"/>
  <c r="C11" i="35" s="1"/>
  <c r="H10" i="35"/>
  <c r="I10" i="35" s="1"/>
  <c r="F9" i="35"/>
  <c r="G9" i="35" s="1"/>
  <c r="F10" i="35"/>
  <c r="G10" i="35" s="1"/>
  <c r="D9" i="35"/>
  <c r="E9" i="35" s="1"/>
  <c r="B10" i="35"/>
  <c r="C10" i="35" s="1"/>
  <c r="B9" i="35"/>
  <c r="C9" i="35" s="1"/>
  <c r="D11" i="35"/>
  <c r="E11" i="35" s="1"/>
  <c r="H11" i="35"/>
  <c r="I11" i="35" s="1"/>
  <c r="D10" i="35"/>
  <c r="E10" i="35" s="1"/>
  <c r="J22" i="34"/>
  <c r="N21" i="34"/>
  <c r="M21" i="34"/>
  <c r="L21" i="34"/>
  <c r="K21" i="34"/>
  <c r="J21" i="34"/>
  <c r="N19" i="34"/>
  <c r="M19" i="34"/>
  <c r="L19" i="34"/>
  <c r="K19" i="34"/>
  <c r="J19" i="34"/>
  <c r="F40" i="34"/>
  <c r="E40" i="34"/>
  <c r="G31" i="34" l="1"/>
  <c r="F31" i="34"/>
  <c r="F35" i="34"/>
  <c r="G34" i="34"/>
  <c r="F32" i="34"/>
  <c r="G35" i="34"/>
  <c r="F33" i="34"/>
  <c r="G32" i="34"/>
  <c r="F34" i="34"/>
  <c r="G33" i="34"/>
  <c r="A1" i="34" l="1"/>
  <c r="D40" i="34" l="1"/>
  <c r="N14" i="34"/>
  <c r="J14" i="34"/>
  <c r="J12" i="34"/>
  <c r="G7" i="34"/>
  <c r="K12" i="34"/>
  <c r="C40" i="34"/>
  <c r="M14" i="34"/>
  <c r="M12" i="34"/>
  <c r="N7" i="34"/>
  <c r="E7" i="34"/>
  <c r="K14" i="34"/>
  <c r="I7" i="34"/>
  <c r="K7" i="34" s="1"/>
  <c r="J15" i="34"/>
  <c r="L14" i="34"/>
  <c r="L12" i="34"/>
  <c r="L7" i="34"/>
  <c r="B7" i="34"/>
  <c r="D7" i="34" s="1"/>
  <c r="N12" i="34"/>
  <c r="P3" i="34"/>
  <c r="Q3" i="34" s="1"/>
  <c r="P15" i="34" s="1" a="1"/>
  <c r="P15" i="34" s="1"/>
  <c r="P4" i="34"/>
  <c r="D28" i="34"/>
  <c r="C38" i="34"/>
  <c r="AB15" i="34" l="1"/>
  <c r="AG15" i="34"/>
  <c r="P9" i="34" a="1"/>
  <c r="P9" i="34" s="1"/>
  <c r="S9" i="34" s="1"/>
  <c r="P8" i="34" a="1"/>
  <c r="P8" i="34" s="1"/>
  <c r="AE8" i="34" s="1"/>
  <c r="P11" i="34" a="1"/>
  <c r="P11" i="34" s="1"/>
  <c r="P28" i="34" a="1"/>
  <c r="P28" i="34" s="1"/>
  <c r="P27" i="34" a="1"/>
  <c r="P27" i="34" s="1"/>
  <c r="AG27" i="34" s="1"/>
  <c r="P30" i="34" a="1"/>
  <c r="P30" i="34" s="1"/>
  <c r="AG30" i="34" s="1"/>
  <c r="P16" i="34" a="1"/>
  <c r="P16" i="34" s="1"/>
  <c r="P21" i="34" a="1"/>
  <c r="P21" i="34" s="1"/>
  <c r="P19" i="34" a="1"/>
  <c r="P19" i="34" s="1"/>
  <c r="V19" i="34" s="1"/>
  <c r="P24" i="34" a="1"/>
  <c r="P24" i="34" s="1"/>
  <c r="AC24" i="34" s="1"/>
  <c r="P18" i="34" a="1"/>
  <c r="P18" i="34" s="1"/>
  <c r="P26" i="34" a="1"/>
  <c r="P26" i="34" s="1"/>
  <c r="P10" i="34" a="1"/>
  <c r="P10" i="34" s="1"/>
  <c r="R10" i="34" s="1"/>
  <c r="P7" i="34" a="1"/>
  <c r="P7" i="34" s="1"/>
  <c r="AG7" i="34" s="1"/>
  <c r="P25" i="34" a="1"/>
  <c r="P25" i="34" s="1"/>
  <c r="S25" i="34" s="1"/>
  <c r="P20" i="34" a="1"/>
  <c r="P20" i="34" s="1"/>
  <c r="P23" i="34" a="1"/>
  <c r="P23" i="34" s="1"/>
  <c r="T23" i="34" s="1"/>
  <c r="P22" i="34" a="1"/>
  <c r="P22" i="34" s="1"/>
  <c r="T22" i="34" s="1"/>
  <c r="P17" i="34" a="1"/>
  <c r="P17" i="34" s="1"/>
  <c r="AC17" i="34" s="1"/>
  <c r="P13" i="34" a="1"/>
  <c r="P13" i="34" s="1"/>
  <c r="P29" i="34" a="1"/>
  <c r="P29" i="34" s="1"/>
  <c r="AB29" i="34" s="1"/>
  <c r="P12" i="34" a="1"/>
  <c r="P12" i="34" s="1"/>
  <c r="V12" i="34" s="1"/>
  <c r="P14" i="34" a="1"/>
  <c r="P14" i="34" s="1"/>
  <c r="AB27" i="34"/>
  <c r="S11" i="34"/>
  <c r="V15" i="34"/>
  <c r="S15" i="34"/>
  <c r="V9" i="34"/>
  <c r="V16" i="34"/>
  <c r="S16" i="34"/>
  <c r="AE15" i="34"/>
  <c r="Y15" i="34"/>
  <c r="AE16" i="34"/>
  <c r="Y11" i="34"/>
  <c r="Z10" i="34"/>
  <c r="R9" i="34"/>
  <c r="X9" i="34"/>
  <c r="AA25" i="34"/>
  <c r="R11" i="34"/>
  <c r="X11" i="34"/>
  <c r="Z11" i="34"/>
  <c r="W11" i="34"/>
  <c r="AC11" i="34"/>
  <c r="R15" i="34"/>
  <c r="X15" i="34"/>
  <c r="Q15" i="34"/>
  <c r="T15" i="34"/>
  <c r="Z15" i="34"/>
  <c r="AC15" i="34"/>
  <c r="U15" i="34"/>
  <c r="AA15" i="34"/>
  <c r="W15" i="34"/>
  <c r="Q23" i="34"/>
  <c r="AC27" i="34"/>
  <c r="Z27" i="34"/>
  <c r="T27" i="34"/>
  <c r="Q16" i="34"/>
  <c r="AC16" i="34"/>
  <c r="AA16" i="34"/>
  <c r="R16" i="34"/>
  <c r="T16" i="34"/>
  <c r="Z16" i="34"/>
  <c r="U16" i="34"/>
  <c r="U19" i="34"/>
  <c r="AA19" i="34"/>
  <c r="T18" i="34"/>
  <c r="Z18" i="34"/>
  <c r="Q18" i="34"/>
  <c r="AC18" i="34"/>
  <c r="D33" i="34"/>
  <c r="D32" i="34"/>
  <c r="E33" i="34"/>
  <c r="E34" i="34"/>
  <c r="E31" i="34"/>
  <c r="D35" i="34"/>
  <c r="D34" i="34"/>
  <c r="D31" i="34"/>
  <c r="E32" i="34"/>
  <c r="E35" i="34"/>
  <c r="W10" i="34" l="1"/>
  <c r="T19" i="34"/>
  <c r="U27" i="34"/>
  <c r="W9" i="34"/>
  <c r="S27" i="34"/>
  <c r="AC19" i="34"/>
  <c r="AC23" i="34"/>
  <c r="Q9" i="34"/>
  <c r="Y10" i="34"/>
  <c r="Z17" i="34"/>
  <c r="U25" i="34"/>
  <c r="AE25" i="34"/>
  <c r="AC10" i="34"/>
  <c r="X23" i="34"/>
  <c r="T10" i="34"/>
  <c r="AE10" i="34"/>
  <c r="S19" i="34"/>
  <c r="W19" i="34"/>
  <c r="X19" i="34"/>
  <c r="X27" i="34"/>
  <c r="W27" i="34"/>
  <c r="U23" i="34"/>
  <c r="R23" i="34"/>
  <c r="Z9" i="34"/>
  <c r="AA9" i="34"/>
  <c r="X10" i="34"/>
  <c r="Y27" i="34"/>
  <c r="Y9" i="34"/>
  <c r="AE19" i="34"/>
  <c r="R27" i="34"/>
  <c r="Q19" i="34"/>
  <c r="Z19" i="34"/>
  <c r="R19" i="34"/>
  <c r="Q27" i="34"/>
  <c r="AA27" i="34"/>
  <c r="W23" i="34"/>
  <c r="T9" i="34"/>
  <c r="AC9" i="34"/>
  <c r="U9" i="34"/>
  <c r="U10" i="34"/>
  <c r="AE27" i="34"/>
  <c r="AE9" i="34"/>
  <c r="V27" i="34"/>
  <c r="V23" i="34"/>
  <c r="Z23" i="34"/>
  <c r="AA10" i="34"/>
  <c r="Y19" i="34"/>
  <c r="S10" i="34"/>
  <c r="Z24" i="34"/>
  <c r="Y8" i="34"/>
  <c r="T24" i="34"/>
  <c r="AA23" i="34"/>
  <c r="Q7" i="34"/>
  <c r="Q10" i="34"/>
  <c r="AA29" i="34"/>
  <c r="V8" i="34"/>
  <c r="AC30" i="34"/>
  <c r="S24" i="34"/>
  <c r="Q22" i="34"/>
  <c r="Z12" i="34"/>
  <c r="W7" i="34"/>
  <c r="V22" i="34"/>
  <c r="S7" i="34"/>
  <c r="R24" i="34"/>
  <c r="Z22" i="34"/>
  <c r="U12" i="34"/>
  <c r="U8" i="34"/>
  <c r="W30" i="34"/>
  <c r="AC8" i="34"/>
  <c r="Q30" i="34"/>
  <c r="AB24" i="34"/>
  <c r="AG24" i="34"/>
  <c r="AA24" i="34"/>
  <c r="W24" i="34"/>
  <c r="X22" i="34"/>
  <c r="R22" i="34"/>
  <c r="T12" i="34"/>
  <c r="AC12" i="34"/>
  <c r="X8" i="34"/>
  <c r="W8" i="34"/>
  <c r="Z7" i="34"/>
  <c r="T7" i="34"/>
  <c r="Y12" i="34"/>
  <c r="R30" i="34"/>
  <c r="Y30" i="34"/>
  <c r="X30" i="34"/>
  <c r="V7" i="34"/>
  <c r="V24" i="34"/>
  <c r="Z29" i="34"/>
  <c r="AG29" i="34"/>
  <c r="AB23" i="34"/>
  <c r="AG23" i="34"/>
  <c r="AB10" i="34"/>
  <c r="AG10" i="34"/>
  <c r="AB19" i="34"/>
  <c r="AG19" i="34"/>
  <c r="AB9" i="34"/>
  <c r="AG9" i="34"/>
  <c r="AB22" i="34"/>
  <c r="AG22" i="34"/>
  <c r="AB8" i="34"/>
  <c r="AG8" i="34"/>
  <c r="U24" i="34"/>
  <c r="X24" i="34"/>
  <c r="Q24" i="34"/>
  <c r="AC22" i="34"/>
  <c r="AA22" i="34"/>
  <c r="AA12" i="34"/>
  <c r="Q12" i="34"/>
  <c r="Z8" i="34"/>
  <c r="R8" i="34"/>
  <c r="Q8" i="34"/>
  <c r="U7" i="34"/>
  <c r="X7" i="34"/>
  <c r="AE30" i="34"/>
  <c r="Y7" i="34"/>
  <c r="Y24" i="34"/>
  <c r="Z30" i="34"/>
  <c r="U30" i="34"/>
  <c r="T30" i="34"/>
  <c r="X29" i="34"/>
  <c r="AB30" i="34"/>
  <c r="S29" i="34"/>
  <c r="AB13" i="34"/>
  <c r="AG13" i="34"/>
  <c r="AB20" i="34"/>
  <c r="AG20" i="34"/>
  <c r="AB26" i="34"/>
  <c r="AG26" i="34"/>
  <c r="AB21" i="34"/>
  <c r="AG21" i="34"/>
  <c r="Y28" i="34"/>
  <c r="AG28" i="34"/>
  <c r="AB12" i="34"/>
  <c r="AG12" i="34"/>
  <c r="W22" i="34"/>
  <c r="U22" i="34"/>
  <c r="R12" i="34"/>
  <c r="T8" i="34"/>
  <c r="AA8" i="34"/>
  <c r="R7" i="34"/>
  <c r="AA7" i="34"/>
  <c r="AC7" i="34"/>
  <c r="Y22" i="34"/>
  <c r="AE7" i="34"/>
  <c r="AE24" i="34"/>
  <c r="V30" i="34"/>
  <c r="AA30" i="34"/>
  <c r="S22" i="34"/>
  <c r="S8" i="34"/>
  <c r="S30" i="34"/>
  <c r="AB7" i="34"/>
  <c r="AB14" i="34"/>
  <c r="AG14" i="34"/>
  <c r="AB17" i="34"/>
  <c r="AG17" i="34"/>
  <c r="AB25" i="34"/>
  <c r="AG25" i="34"/>
  <c r="AB18" i="34"/>
  <c r="AG18" i="34"/>
  <c r="AB16" i="34"/>
  <c r="AG16" i="34"/>
  <c r="AB11" i="34"/>
  <c r="AG11" i="34"/>
  <c r="X18" i="34"/>
  <c r="W17" i="34"/>
  <c r="AE18" i="34"/>
  <c r="R18" i="34"/>
  <c r="AA18" i="34"/>
  <c r="T17" i="34"/>
  <c r="U17" i="34"/>
  <c r="AC25" i="34"/>
  <c r="AE17" i="34"/>
  <c r="Q29" i="34"/>
  <c r="W29" i="34"/>
  <c r="Y29" i="34"/>
  <c r="U14" i="34"/>
  <c r="X17" i="34"/>
  <c r="AA17" i="34"/>
  <c r="X12" i="34"/>
  <c r="W12" i="34"/>
  <c r="W25" i="34"/>
  <c r="Z14" i="34"/>
  <c r="AE22" i="34"/>
  <c r="AE12" i="34"/>
  <c r="V25" i="34"/>
  <c r="S12" i="34"/>
  <c r="W14" i="34"/>
  <c r="Q14" i="34"/>
  <c r="V17" i="34"/>
  <c r="W18" i="34"/>
  <c r="U18" i="34"/>
  <c r="X16" i="34"/>
  <c r="W16" i="34"/>
  <c r="R17" i="34"/>
  <c r="Q17" i="34"/>
  <c r="AA11" i="34"/>
  <c r="T11" i="34"/>
  <c r="X25" i="34"/>
  <c r="Q25" i="34"/>
  <c r="R14" i="34"/>
  <c r="X14" i="34"/>
  <c r="T14" i="34"/>
  <c r="Y23" i="34"/>
  <c r="AE11" i="34"/>
  <c r="R25" i="34"/>
  <c r="AC29" i="34"/>
  <c r="S18" i="34"/>
  <c r="S23" i="34"/>
  <c r="V11" i="34"/>
  <c r="V10" i="34"/>
  <c r="U11" i="34"/>
  <c r="Q11" i="34"/>
  <c r="Z25" i="34"/>
  <c r="T25" i="34"/>
  <c r="AC14" i="34"/>
  <c r="AA14" i="34"/>
  <c r="Y18" i="34"/>
  <c r="Y17" i="34"/>
  <c r="Y25" i="34"/>
  <c r="Y16" i="34"/>
  <c r="AE14" i="34"/>
  <c r="V18" i="34"/>
  <c r="Q13" i="34"/>
  <c r="Y20" i="34"/>
  <c r="Z28" i="34"/>
  <c r="V21" i="34"/>
  <c r="AA26" i="34"/>
  <c r="AC21" i="34"/>
  <c r="Y14" i="34"/>
  <c r="S17" i="34"/>
  <c r="V14" i="34"/>
  <c r="AA21" i="34"/>
  <c r="T20" i="34"/>
  <c r="Y26" i="34"/>
  <c r="AE29" i="34"/>
  <c r="U28" i="34"/>
  <c r="U29" i="34"/>
  <c r="T29" i="34"/>
  <c r="R29" i="34"/>
  <c r="Q26" i="34"/>
  <c r="AC20" i="34"/>
  <c r="AE23" i="34"/>
  <c r="Y21" i="34"/>
  <c r="AA28" i="34"/>
  <c r="V29" i="34"/>
  <c r="S26" i="34"/>
  <c r="X13" i="34"/>
  <c r="AC26" i="34"/>
  <c r="U26" i="34"/>
  <c r="Z21" i="34"/>
  <c r="W21" i="34"/>
  <c r="U21" i="34"/>
  <c r="AA20" i="34"/>
  <c r="W20" i="34"/>
  <c r="R13" i="34"/>
  <c r="Z13" i="34"/>
  <c r="AE26" i="34"/>
  <c r="AE20" i="34"/>
  <c r="AE21" i="34"/>
  <c r="Y13" i="34"/>
  <c r="R26" i="34"/>
  <c r="AC28" i="34"/>
  <c r="W28" i="34"/>
  <c r="V28" i="34"/>
  <c r="S20" i="34"/>
  <c r="S13" i="34"/>
  <c r="AB28" i="34"/>
  <c r="T26" i="34"/>
  <c r="W26" i="34"/>
  <c r="X21" i="34"/>
  <c r="Q21" i="34"/>
  <c r="U20" i="34"/>
  <c r="X20" i="34"/>
  <c r="Q20" i="34"/>
  <c r="AC13" i="34"/>
  <c r="AA13" i="34"/>
  <c r="AE13" i="34"/>
  <c r="V26" i="34"/>
  <c r="X28" i="34"/>
  <c r="R28" i="34"/>
  <c r="Q28" i="34"/>
  <c r="V20" i="34"/>
  <c r="V13" i="34"/>
  <c r="S28" i="34"/>
  <c r="X26" i="34"/>
  <c r="Z26" i="34"/>
  <c r="R21" i="34"/>
  <c r="T21" i="34"/>
  <c r="Z20" i="34"/>
  <c r="R20" i="34"/>
  <c r="T13" i="34"/>
  <c r="W13" i="34"/>
  <c r="U13" i="34"/>
  <c r="AE28" i="34"/>
  <c r="T28" i="34"/>
  <c r="S21" i="34"/>
  <c r="S14" i="34"/>
  <c r="J20" i="34"/>
  <c r="G25" i="35" l="1" a="1"/>
  <c r="G25" i="35" s="1"/>
  <c r="I25" i="35" s="1"/>
  <c r="AB32" i="34"/>
  <c r="B25" i="35" a="1"/>
  <c r="B25" i="35" s="1"/>
  <c r="D25" i="35" s="1"/>
  <c r="W32" i="34"/>
  <c r="Z32" i="34"/>
  <c r="T32" i="34"/>
  <c r="V32" i="34"/>
  <c r="AC32" i="34"/>
  <c r="Y32" i="34"/>
  <c r="H48" i="16"/>
  <c r="G26" i="35" l="1" a="1"/>
  <c r="G26" i="35" s="1"/>
  <c r="I26" i="35" s="1"/>
  <c r="B26" i="35" a="1"/>
  <c r="B26" i="35" s="1"/>
  <c r="L48" i="16"/>
  <c r="G27" i="35" l="1" a="1"/>
  <c r="G27" i="35" s="1"/>
  <c r="I27" i="35" s="1"/>
  <c r="D26" i="35"/>
  <c r="B27" i="35" a="1"/>
  <c r="B27" i="35" s="1"/>
  <c r="D27" i="35" s="1"/>
  <c r="D48" i="16"/>
  <c r="G28" i="35" l="1" a="1"/>
  <c r="G28" i="35" s="1"/>
  <c r="I28" i="35" s="1"/>
  <c r="B28" i="35" a="1"/>
  <c r="B28" i="35" s="1"/>
  <c r="D28" i="35" s="1"/>
  <c r="J48" i="16"/>
  <c r="AM5" i="16"/>
  <c r="AM4" i="16"/>
  <c r="G29" i="35" l="1" a="1"/>
  <c r="G29" i="35" s="1"/>
  <c r="I29" i="35" s="1"/>
  <c r="B29" i="35" a="1"/>
  <c r="B29" i="35" s="1"/>
  <c r="D29" i="35" s="1"/>
  <c r="C48" i="16"/>
  <c r="I48" i="16" l="1"/>
  <c r="B48" i="16"/>
  <c r="D1" i="16"/>
  <c r="E1" i="16" s="1"/>
  <c r="A5" i="16" l="1" a="1"/>
  <c r="A5" i="16" s="1"/>
  <c r="A18" i="16" a="1"/>
  <c r="A18" i="16" s="1"/>
  <c r="H18" i="16" s="1"/>
  <c r="A12" i="16" a="1"/>
  <c r="A12" i="16" s="1"/>
  <c r="H12" i="16" s="1"/>
  <c r="A15" i="16" a="1"/>
  <c r="A15" i="16" s="1"/>
  <c r="H15" i="16" s="1"/>
  <c r="A23" i="16" a="1"/>
  <c r="A23" i="16" s="1"/>
  <c r="H23" i="16" s="1"/>
  <c r="A25" i="16" a="1"/>
  <c r="A25" i="16" s="1"/>
  <c r="H25" i="16" s="1"/>
  <c r="A8" i="16" a="1"/>
  <c r="A8" i="16" s="1"/>
  <c r="H8" i="16" s="1"/>
  <c r="A22" i="16" a="1"/>
  <c r="A22" i="16" s="1"/>
  <c r="H22" i="16" s="1"/>
  <c r="A7" i="16" a="1"/>
  <c r="A7" i="16" s="1"/>
  <c r="H7" i="16" s="1"/>
  <c r="A16" i="16" a="1"/>
  <c r="A16" i="16" s="1"/>
  <c r="H16" i="16" s="1"/>
  <c r="A19" i="16" a="1"/>
  <c r="A19" i="16" s="1"/>
  <c r="H19" i="16" s="1"/>
  <c r="A6" i="16" a="1"/>
  <c r="A6" i="16" s="1"/>
  <c r="H6" i="16" s="1"/>
  <c r="A24" i="16" a="1"/>
  <c r="A24" i="16" s="1"/>
  <c r="H24" i="16" s="1"/>
  <c r="A9" i="16" a="1"/>
  <c r="A9" i="16" s="1"/>
  <c r="H9" i="16" s="1"/>
  <c r="A10" i="16" a="1"/>
  <c r="A10" i="16" s="1"/>
  <c r="H10" i="16" s="1"/>
  <c r="A14" i="16" a="1"/>
  <c r="A14" i="16" s="1"/>
  <c r="H14" i="16" s="1"/>
  <c r="A20" i="16" a="1"/>
  <c r="A20" i="16" s="1"/>
  <c r="H20" i="16" s="1"/>
  <c r="A21" i="16" a="1"/>
  <c r="A21" i="16" s="1"/>
  <c r="A11" i="16" a="1"/>
  <c r="A11" i="16" s="1"/>
  <c r="H11" i="16" s="1"/>
  <c r="A17" i="16" a="1"/>
  <c r="A17" i="16" s="1"/>
  <c r="H17" i="16" s="1"/>
  <c r="A26" i="16" a="1"/>
  <c r="A26" i="16" s="1"/>
  <c r="H26" i="16" s="1"/>
  <c r="A13" i="16" a="1"/>
  <c r="A13" i="16" s="1"/>
  <c r="H13" i="16" s="1"/>
  <c r="AQ8" i="16"/>
  <c r="AQ9" i="16"/>
  <c r="H21" i="16" l="1"/>
  <c r="J21" i="16"/>
  <c r="H5" i="16"/>
  <c r="I5" i="16" s="1"/>
  <c r="D5" i="16"/>
  <c r="F17" i="16"/>
  <c r="G17" i="16" s="1"/>
  <c r="I17" i="16"/>
  <c r="F14" i="16"/>
  <c r="G14" i="16" s="1"/>
  <c r="I14" i="16"/>
  <c r="F6" i="16"/>
  <c r="G6" i="16" s="1"/>
  <c r="I6" i="16"/>
  <c r="F22" i="16"/>
  <c r="G22" i="16" s="1"/>
  <c r="I22" i="16"/>
  <c r="F15" i="16"/>
  <c r="G15" i="16" s="1"/>
  <c r="I15" i="16"/>
  <c r="F11" i="16"/>
  <c r="G11" i="16" s="1"/>
  <c r="I11" i="16"/>
  <c r="F10" i="16"/>
  <c r="G10" i="16" s="1"/>
  <c r="I10" i="16"/>
  <c r="F19" i="16"/>
  <c r="G19" i="16" s="1"/>
  <c r="I19" i="16"/>
  <c r="F8" i="16"/>
  <c r="G8" i="16" s="1"/>
  <c r="I8" i="16"/>
  <c r="F12" i="16"/>
  <c r="G12" i="16" s="1"/>
  <c r="I12" i="16"/>
  <c r="F21" i="16"/>
  <c r="G21" i="16" s="1"/>
  <c r="I21" i="16"/>
  <c r="F9" i="16"/>
  <c r="G9" i="16" s="1"/>
  <c r="I9" i="16"/>
  <c r="F16" i="16"/>
  <c r="G16" i="16" s="1"/>
  <c r="I16" i="16"/>
  <c r="F25" i="16"/>
  <c r="G25" i="16" s="1"/>
  <c r="I25" i="16"/>
  <c r="F18" i="16"/>
  <c r="G18" i="16" s="1"/>
  <c r="I18" i="16"/>
  <c r="F13" i="16"/>
  <c r="G13" i="16" s="1"/>
  <c r="I13" i="16"/>
  <c r="F26" i="16"/>
  <c r="G26" i="16" s="1"/>
  <c r="I26" i="16"/>
  <c r="F20" i="16"/>
  <c r="G20" i="16" s="1"/>
  <c r="I20" i="16"/>
  <c r="F24" i="16"/>
  <c r="G24" i="16" s="1"/>
  <c r="I24" i="16"/>
  <c r="F7" i="16"/>
  <c r="G7" i="16" s="1"/>
  <c r="I7" i="16"/>
  <c r="F23" i="16"/>
  <c r="G23" i="16" s="1"/>
  <c r="I23" i="16"/>
  <c r="F5" i="16"/>
  <c r="G5" i="16" s="1"/>
  <c r="E17" i="16"/>
  <c r="C17" i="16"/>
  <c r="B17" i="16"/>
  <c r="B14" i="16"/>
  <c r="C14" i="16"/>
  <c r="E14" i="16"/>
  <c r="C6" i="16"/>
  <c r="B6" i="16"/>
  <c r="E6" i="16"/>
  <c r="E22" i="16"/>
  <c r="B22" i="16"/>
  <c r="C22" i="16"/>
  <c r="E15" i="16"/>
  <c r="C15" i="16"/>
  <c r="B15" i="16"/>
  <c r="E10" i="16"/>
  <c r="B10" i="16"/>
  <c r="C10" i="16"/>
  <c r="C19" i="16"/>
  <c r="E19" i="16"/>
  <c r="B19" i="16"/>
  <c r="C8" i="16"/>
  <c r="B8" i="16"/>
  <c r="E8" i="16"/>
  <c r="E12" i="16"/>
  <c r="B12" i="16"/>
  <c r="C12" i="16"/>
  <c r="C13" i="16"/>
  <c r="B13" i="16"/>
  <c r="E13" i="16"/>
  <c r="C21" i="16"/>
  <c r="B21" i="16"/>
  <c r="E21" i="16"/>
  <c r="E9" i="16"/>
  <c r="C9" i="16"/>
  <c r="B9" i="16"/>
  <c r="C16" i="16"/>
  <c r="E16" i="16"/>
  <c r="B16" i="16"/>
  <c r="E25" i="16"/>
  <c r="C25" i="16"/>
  <c r="B25" i="16"/>
  <c r="B18" i="16"/>
  <c r="C18" i="16"/>
  <c r="E18" i="16"/>
  <c r="E11" i="16"/>
  <c r="B11" i="16"/>
  <c r="C11" i="16"/>
  <c r="B26" i="16"/>
  <c r="E26" i="16"/>
  <c r="C26" i="16"/>
  <c r="E20" i="16"/>
  <c r="B20" i="16"/>
  <c r="C20" i="16"/>
  <c r="E24" i="16"/>
  <c r="B24" i="16"/>
  <c r="C24" i="16"/>
  <c r="E7" i="16"/>
  <c r="C7" i="16"/>
  <c r="B7" i="16"/>
  <c r="E23" i="16"/>
  <c r="B23" i="16"/>
  <c r="C23" i="16"/>
  <c r="E5" i="16"/>
  <c r="C5" i="16"/>
  <c r="B5" i="16"/>
  <c r="I9" i="34"/>
  <c r="O25" i="16"/>
  <c r="O21" i="16"/>
  <c r="O13" i="16"/>
  <c r="O17" i="16"/>
  <c r="O9" i="16"/>
  <c r="O20" i="16" l="1"/>
  <c r="O19" i="16"/>
  <c r="Q19" i="16" s="1"/>
  <c r="O22" i="16"/>
  <c r="Q22" i="16" s="1"/>
  <c r="O6" i="16"/>
  <c r="O15" i="16"/>
  <c r="O10" i="16"/>
  <c r="Q10" i="16" s="1"/>
  <c r="O26" i="16"/>
  <c r="Q26" i="16" s="1"/>
  <c r="O14" i="16"/>
  <c r="O23" i="16"/>
  <c r="O8" i="16"/>
  <c r="Q8" i="16" s="1"/>
  <c r="O11" i="16"/>
  <c r="O24" i="16"/>
  <c r="O18" i="16"/>
  <c r="O12" i="16"/>
  <c r="Q12" i="16" s="1"/>
  <c r="O7" i="16"/>
  <c r="O16" i="16"/>
  <c r="D9" i="16"/>
  <c r="J9" i="16"/>
  <c r="K9" i="16" s="1"/>
  <c r="M9" i="16" s="1"/>
  <c r="D6" i="16"/>
  <c r="J6" i="16"/>
  <c r="K6" i="16" s="1"/>
  <c r="M6" i="16" s="1"/>
  <c r="D10" i="16"/>
  <c r="J10" i="16"/>
  <c r="K10" i="16" s="1"/>
  <c r="M10" i="16" s="1"/>
  <c r="D17" i="16"/>
  <c r="J17" i="16"/>
  <c r="K17" i="16" s="1"/>
  <c r="M17" i="16" s="1"/>
  <c r="D24" i="16"/>
  <c r="J24" i="16"/>
  <c r="K24" i="16" s="1"/>
  <c r="D18" i="16"/>
  <c r="J18" i="16"/>
  <c r="K18" i="16" s="1"/>
  <c r="M18" i="16" s="1"/>
  <c r="D14" i="16"/>
  <c r="J14" i="16"/>
  <c r="K14" i="16" s="1"/>
  <c r="D26" i="16"/>
  <c r="J26" i="16"/>
  <c r="K26" i="16" s="1"/>
  <c r="D19" i="16"/>
  <c r="J19" i="16"/>
  <c r="K19" i="16" s="1"/>
  <c r="D22" i="16"/>
  <c r="J22" i="16"/>
  <c r="K22" i="16" s="1"/>
  <c r="M22" i="16" s="1"/>
  <c r="D15" i="16"/>
  <c r="J15" i="16"/>
  <c r="K15" i="16" s="1"/>
  <c r="L15" i="16" s="1"/>
  <c r="D20" i="16"/>
  <c r="J20" i="16"/>
  <c r="K20" i="16" s="1"/>
  <c r="M20" i="16" s="1"/>
  <c r="J5" i="16"/>
  <c r="K5" i="16" s="1"/>
  <c r="D23" i="16"/>
  <c r="J23" i="16"/>
  <c r="K23" i="16" s="1"/>
  <c r="D8" i="16"/>
  <c r="J8" i="16"/>
  <c r="K8" i="16" s="1"/>
  <c r="L8" i="16" s="1"/>
  <c r="D11" i="16"/>
  <c r="J11" i="16"/>
  <c r="K11" i="16" s="1"/>
  <c r="L11" i="16" s="1"/>
  <c r="D21" i="16"/>
  <c r="K21" i="16"/>
  <c r="D25" i="16"/>
  <c r="J25" i="16"/>
  <c r="K25" i="16" s="1"/>
  <c r="D13" i="16"/>
  <c r="J13" i="16"/>
  <c r="K13" i="16" s="1"/>
  <c r="M13" i="16" s="1"/>
  <c r="D12" i="16"/>
  <c r="J12" i="16"/>
  <c r="K12" i="16" s="1"/>
  <c r="M12" i="16" s="1"/>
  <c r="D7" i="16"/>
  <c r="J7" i="16"/>
  <c r="K7" i="16" s="1"/>
  <c r="D16" i="16"/>
  <c r="J16" i="16"/>
  <c r="K16" i="16" s="1"/>
  <c r="M16" i="16" s="1"/>
  <c r="J13" i="34"/>
  <c r="L26" i="16"/>
  <c r="M26" i="16"/>
  <c r="N26" i="16"/>
  <c r="Q23" i="16"/>
  <c r="L23" i="16"/>
  <c r="N23" i="16"/>
  <c r="Q21" i="16"/>
  <c r="N21" i="16"/>
  <c r="L21" i="16"/>
  <c r="O27" i="16"/>
  <c r="Q25" i="16"/>
  <c r="N25" i="16"/>
  <c r="M25" i="16"/>
  <c r="L25" i="16"/>
  <c r="Q20" i="16"/>
  <c r="N20" i="16"/>
  <c r="L24" i="16"/>
  <c r="N24" i="16"/>
  <c r="M24" i="16"/>
  <c r="N19" i="16"/>
  <c r="L19" i="16"/>
  <c r="N22" i="16"/>
  <c r="AI15" i="16"/>
  <c r="AJ15" i="16" s="1"/>
  <c r="AN5" i="16"/>
  <c r="AO5" i="16" s="1"/>
  <c r="AP10" i="16"/>
  <c r="N10" i="16"/>
  <c r="AN14" i="16"/>
  <c r="AO14" i="16" s="1"/>
  <c r="AP15" i="16"/>
  <c r="N15" i="16"/>
  <c r="AI10" i="16"/>
  <c r="AJ10" i="16" s="1"/>
  <c r="AN9" i="16"/>
  <c r="AO9" i="16" s="1"/>
  <c r="AN21" i="16"/>
  <c r="AO21" i="16" s="1"/>
  <c r="AP19" i="16"/>
  <c r="AN20" i="16"/>
  <c r="AO20" i="16" s="1"/>
  <c r="AI11" i="16"/>
  <c r="AJ11" i="16" s="1"/>
  <c r="AP21" i="16"/>
  <c r="AI22" i="16"/>
  <c r="AJ22" i="16" s="1"/>
  <c r="N6" i="16"/>
  <c r="AN18" i="16"/>
  <c r="AO18" i="16" s="1"/>
  <c r="AP22" i="16"/>
  <c r="AI6" i="16"/>
  <c r="AJ6" i="16" s="1"/>
  <c r="AP6" i="16"/>
  <c r="AN12" i="16"/>
  <c r="AO12" i="16" s="1"/>
  <c r="AN4" i="16"/>
  <c r="AO4" i="16" s="1"/>
  <c r="AP7" i="16"/>
  <c r="N16" i="16"/>
  <c r="AI13" i="16"/>
  <c r="AJ13" i="16" s="1"/>
  <c r="AN6" i="16"/>
  <c r="AO6" i="16" s="1"/>
  <c r="AI16" i="16"/>
  <c r="AJ16" i="16" s="1"/>
  <c r="AP13" i="16"/>
  <c r="AP12" i="16"/>
  <c r="AN11" i="16"/>
  <c r="AO11" i="16" s="1"/>
  <c r="AI19" i="16"/>
  <c r="AJ19" i="16" s="1"/>
  <c r="AP16" i="16"/>
  <c r="AN15" i="16"/>
  <c r="AO15" i="16" s="1"/>
  <c r="AI7" i="16"/>
  <c r="AJ7" i="16" s="1"/>
  <c r="AI12" i="16"/>
  <c r="AJ12" i="16" s="1"/>
  <c r="M5" i="16"/>
  <c r="Q9" i="16"/>
  <c r="Q13" i="16"/>
  <c r="L7" i="16"/>
  <c r="Q17" i="16"/>
  <c r="Q18" i="16"/>
  <c r="Q15" i="16"/>
  <c r="N12" i="16"/>
  <c r="N7" i="16"/>
  <c r="N13" i="16"/>
  <c r="AI5" i="16"/>
  <c r="AJ5" i="16" s="1"/>
  <c r="AP23" i="16"/>
  <c r="AQ13" i="16"/>
  <c r="AP8" i="16"/>
  <c r="AN10" i="16"/>
  <c r="AO10" i="16" s="1"/>
  <c r="AI8" i="16"/>
  <c r="AJ8" i="16" s="1"/>
  <c r="AN22" i="16"/>
  <c r="AO22" i="16" s="1"/>
  <c r="AI23" i="16"/>
  <c r="AJ23" i="16" s="1"/>
  <c r="AI21" i="16"/>
  <c r="AJ21" i="16" s="1"/>
  <c r="AP11" i="16"/>
  <c r="N8" i="16"/>
  <c r="N11" i="16"/>
  <c r="AN7" i="16"/>
  <c r="AO7" i="16" s="1"/>
  <c r="AP5" i="16"/>
  <c r="N5" i="16"/>
  <c r="AN8" i="16"/>
  <c r="AO8" i="16" s="1"/>
  <c r="N9" i="16"/>
  <c r="AI9" i="16"/>
  <c r="AJ9" i="16" s="1"/>
  <c r="AP9" i="16"/>
  <c r="M15" i="16"/>
  <c r="O5" i="16"/>
  <c r="AN13" i="16"/>
  <c r="AO13" i="16" s="1"/>
  <c r="AI14" i="16"/>
  <c r="AJ14" i="16" s="1"/>
  <c r="AN17" i="16"/>
  <c r="AO17" i="16" s="1"/>
  <c r="AP20" i="16"/>
  <c r="AP18" i="16"/>
  <c r="AJ24" i="16"/>
  <c r="AN19" i="16"/>
  <c r="AO19" i="16" s="1"/>
  <c r="AN16" i="16"/>
  <c r="AO16" i="16" s="1"/>
  <c r="AI20" i="16"/>
  <c r="AJ20" i="16" s="1"/>
  <c r="AI17" i="16"/>
  <c r="AJ17" i="16" s="1"/>
  <c r="AI18" i="16"/>
  <c r="AJ18" i="16" s="1"/>
  <c r="AP14" i="16"/>
  <c r="AP17" i="16"/>
  <c r="AP24" i="16"/>
  <c r="N17" i="16"/>
  <c r="N18" i="16"/>
  <c r="N14" i="16"/>
  <c r="AN23" i="16"/>
  <c r="AO23" i="16" s="1"/>
  <c r="AI24" i="16"/>
  <c r="M14" i="16"/>
  <c r="Q16" i="16" l="1"/>
  <c r="Q7" i="16"/>
  <c r="Q24" i="16"/>
  <c r="Q6" i="16"/>
  <c r="Q14" i="16"/>
  <c r="Q11" i="16"/>
  <c r="Q5" i="16"/>
  <c r="L22" i="16"/>
  <c r="M19" i="16"/>
  <c r="L20" i="16"/>
  <c r="M21" i="16"/>
  <c r="M23" i="16"/>
  <c r="L10" i="16"/>
  <c r="E27" i="16"/>
  <c r="L16" i="16"/>
  <c r="C27" i="16"/>
  <c r="H27" i="16"/>
  <c r="M8" i="16"/>
  <c r="AK20" i="16"/>
  <c r="L12" i="16"/>
  <c r="L13" i="16"/>
  <c r="AK10" i="16"/>
  <c r="AK19" i="16"/>
  <c r="AK16" i="16"/>
  <c r="AK23" i="16"/>
  <c r="AK14" i="16"/>
  <c r="AK15" i="16"/>
  <c r="AK6" i="16"/>
  <c r="AK13" i="16"/>
  <c r="AK8" i="16"/>
  <c r="AK11" i="16"/>
  <c r="AK9" i="16"/>
  <c r="AK24" i="16"/>
  <c r="AK7" i="16"/>
  <c r="AK22" i="16"/>
  <c r="AK18" i="16"/>
  <c r="AK17" i="16"/>
  <c r="AK12" i="16"/>
  <c r="AK21" i="16"/>
  <c r="M11" i="16"/>
  <c r="F27" i="16"/>
  <c r="AK5" i="16"/>
  <c r="M7" i="16"/>
  <c r="L5" i="16"/>
  <c r="L9" i="16"/>
  <c r="L17" i="16"/>
  <c r="L6" i="16"/>
  <c r="L18" i="16"/>
  <c r="L14" i="16"/>
  <c r="K33" i="16" l="1"/>
  <c r="J33" i="16"/>
  <c r="L33" i="16"/>
  <c r="M33" i="16"/>
  <c r="N33" i="16"/>
  <c r="N32" i="16"/>
  <c r="L32" i="16"/>
  <c r="J32" i="16"/>
  <c r="J36" i="16" s="1"/>
  <c r="M32" i="16"/>
  <c r="K32" i="16"/>
  <c r="M42" i="16" l="1"/>
  <c r="M36" i="16"/>
  <c r="L42" i="16"/>
  <c r="L36" i="16"/>
  <c r="K42" i="16"/>
  <c r="K36" i="16"/>
  <c r="N42" i="16"/>
  <c r="N36" i="16"/>
  <c r="J34" i="16"/>
  <c r="J42" i="16"/>
  <c r="N34" i="16"/>
  <c r="L34" i="16"/>
  <c r="K34" i="16"/>
  <c r="K54" i="16" s="1"/>
  <c r="K56" i="16" s="1"/>
  <c r="M34" i="16"/>
  <c r="J43" i="16" l="1"/>
  <c r="M39" i="16"/>
  <c r="M38" i="16"/>
  <c r="N38" i="16"/>
  <c r="N39" i="16"/>
  <c r="K39" i="16"/>
  <c r="K38" i="16"/>
  <c r="L39" i="16"/>
  <c r="L38" i="16"/>
  <c r="J39" i="16"/>
  <c r="J38" i="16"/>
  <c r="K40" i="16"/>
  <c r="J40" i="16"/>
  <c r="L40" i="16"/>
  <c r="M40" i="16"/>
  <c r="N40" i="16"/>
  <c r="J54" i="16"/>
  <c r="J56" i="1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Jackson Strand CW</author>
  </authors>
  <commentList>
    <comment ref="F28" authorId="0" shapeId="0" xr:uid="{00000000-0006-0000-0100-000001000000}">
      <text>
        <r>
          <rPr>
            <sz val="9"/>
            <color rgb="FF000000"/>
            <rFont val="Tahoma"/>
            <family val="2"/>
          </rPr>
          <t>Projected cap estimate. Some official cap details not available at this time</t>
        </r>
      </text>
    </comment>
    <comment ref="F29" authorId="0" shapeId="0" xr:uid="{00000000-0006-0000-0100-000002000000}">
      <text>
        <r>
          <rPr>
            <sz val="9"/>
            <color indexed="81"/>
            <rFont val="Tahoma"/>
            <charset val="1"/>
          </rPr>
          <t>Teams with total salaires above Luxury Tax Threshold are subject to restrictions. Click to learn more.</t>
        </r>
      </text>
    </comment>
    <comment ref="H30" authorId="0" shapeId="0" xr:uid="{00000000-0006-0000-0100-000003000000}">
      <text>
        <r>
          <rPr>
            <sz val="9"/>
            <color indexed="81"/>
            <rFont val="Tahoma"/>
            <charset val="1"/>
          </rPr>
          <t>Being above the Tax Apron triggers additional penalties and restrictions for the team. Click to learn more.</t>
        </r>
      </text>
    </comment>
    <comment ref="G32" authorId="0" shapeId="0" xr:uid="{00000000-0006-0000-0100-000004000000}">
      <text>
        <r>
          <rPr>
            <sz val="9"/>
            <color rgb="FF000000"/>
            <rFont val="Tahoma"/>
            <family val="2"/>
          </rPr>
          <t>Total salary of active players on roster (Includes two-way contracts)</t>
        </r>
      </text>
    </comment>
    <comment ref="H33" authorId="0" shapeId="0" xr:uid="{00000000-0006-0000-0100-000005000000}">
      <text>
        <r>
          <rPr>
            <sz val="9"/>
            <color rgb="FF000000"/>
            <rFont val="Tahoma"/>
            <family val="2"/>
          </rPr>
          <t>Inactive (Wavied, retired, etc.) player salaries. In most cases, still counts against cap.</t>
        </r>
      </text>
    </comment>
    <comment ref="F38" authorId="0" shapeId="0" xr:uid="{00000000-0006-0000-0100-000006000000}">
      <text>
        <r>
          <rPr>
            <sz val="9"/>
            <color indexed="81"/>
            <rFont val="Tahoma"/>
            <family val="2"/>
          </rPr>
          <t>Space available under the Salary Cap</t>
        </r>
      </text>
    </comment>
    <comment ref="F39" authorId="0" shapeId="0" xr:uid="{00000000-0006-0000-0100-000007000000}">
      <text>
        <r>
          <rPr>
            <sz val="9"/>
            <color indexed="81"/>
            <rFont val="Tahoma"/>
            <family val="2"/>
          </rPr>
          <t xml:space="preserve">Salary space available under the Luxury Tax Threshold
</t>
        </r>
      </text>
    </comment>
    <comment ref="F40" authorId="0" shapeId="0" xr:uid="{00000000-0006-0000-0100-000008000000}">
      <text>
        <r>
          <rPr>
            <sz val="9"/>
            <color indexed="81"/>
            <rFont val="Tahoma"/>
            <family val="2"/>
          </rPr>
          <t>Cap space available under the Tax Apron</t>
        </r>
      </text>
    </comment>
    <comment ref="K50" authorId="0" shapeId="0" xr:uid="{00000000-0006-0000-0100-000009000000}">
      <text>
        <r>
          <rPr>
            <sz val="9"/>
            <color rgb="FF000000"/>
            <rFont val="Tahoma"/>
            <family val="2"/>
          </rPr>
          <t xml:space="preserve">VORP and Win Shares 
</t>
        </r>
        <r>
          <rPr>
            <sz val="9"/>
            <color rgb="FF000000"/>
            <rFont val="Tahoma"/>
            <family val="2"/>
          </rPr>
          <t>used to calculate estimated 2018-2019 player worth</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Jackson Strand CW</author>
  </authors>
  <commentList>
    <comment ref="R6" authorId="0" shapeId="0" xr:uid="{00000000-0006-0000-0200-000001000000}">
      <text>
        <r>
          <rPr>
            <sz val="9"/>
            <color indexed="81"/>
            <rFont val="Tahoma"/>
            <family val="2"/>
          </rPr>
          <t>Field goal attempts per game</t>
        </r>
      </text>
    </comment>
    <comment ref="U6" authorId="0" shapeId="0" xr:uid="{00000000-0006-0000-0200-000002000000}">
      <text>
        <r>
          <rPr>
            <sz val="9"/>
            <color indexed="81"/>
            <rFont val="Tahoma"/>
            <family val="2"/>
          </rPr>
          <t>Three point attempts per game</t>
        </r>
      </text>
    </comment>
    <comment ref="X6" authorId="0" shapeId="0" xr:uid="{00000000-0006-0000-0200-000003000000}">
      <text>
        <r>
          <rPr>
            <sz val="9"/>
            <color indexed="81"/>
            <rFont val="Tahoma"/>
            <family val="2"/>
          </rPr>
          <t>Two point attempts per game</t>
        </r>
      </text>
    </comment>
    <comment ref="AA6" authorId="0" shapeId="0" xr:uid="{00000000-0006-0000-0200-000004000000}">
      <text>
        <r>
          <rPr>
            <sz val="9"/>
            <color indexed="81"/>
            <rFont val="Tahoma"/>
            <family val="2"/>
          </rPr>
          <t>Free throw attempts per game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Jackson Strand CW</author>
  </authors>
  <commentList>
    <comment ref="F5" authorId="0" shapeId="0" xr:uid="{00000000-0006-0000-0800-000001000000}">
      <text>
        <r>
          <rPr>
            <sz val="9"/>
            <color indexed="81"/>
            <rFont val="Tahoma"/>
            <family val="2"/>
          </rPr>
          <t>Games Played</t>
        </r>
      </text>
    </comment>
    <comment ref="G5" authorId="0" shapeId="0" xr:uid="{00000000-0006-0000-0800-000002000000}">
      <text>
        <r>
          <rPr>
            <sz val="9"/>
            <color indexed="81"/>
            <rFont val="Tahoma"/>
            <family val="2"/>
          </rPr>
          <t>Total Minutes Played</t>
        </r>
      </text>
    </comment>
    <comment ref="H5" authorId="0" shapeId="0" xr:uid="{00000000-0006-0000-0800-000003000000}">
      <text>
        <r>
          <rPr>
            <sz val="9"/>
            <color indexed="81"/>
            <rFont val="Tahoma"/>
            <family val="2"/>
          </rPr>
          <t>Player Efficiency Rating</t>
        </r>
      </text>
    </comment>
    <comment ref="I5" authorId="0" shapeId="0" xr:uid="{00000000-0006-0000-0800-000004000000}">
      <text>
        <r>
          <rPr>
            <sz val="9"/>
            <color indexed="81"/>
            <rFont val="Tahoma"/>
            <family val="2"/>
          </rPr>
          <t>True Shooting Percentage</t>
        </r>
      </text>
    </comment>
    <comment ref="J5" authorId="0" shapeId="0" xr:uid="{00000000-0006-0000-0800-000005000000}">
      <text>
        <r>
          <rPr>
            <sz val="9"/>
            <color indexed="81"/>
            <rFont val="Tahoma"/>
            <family val="2"/>
          </rPr>
          <t>3-Point Attempt Rate</t>
        </r>
      </text>
    </comment>
    <comment ref="K5" authorId="0" shapeId="0" xr:uid="{00000000-0006-0000-0800-000006000000}">
      <text>
        <r>
          <rPr>
            <sz val="9"/>
            <color indexed="81"/>
            <rFont val="Tahoma"/>
            <family val="2"/>
          </rPr>
          <t>Free Throw Rate</t>
        </r>
      </text>
    </comment>
    <comment ref="L5" authorId="0" shapeId="0" xr:uid="{00000000-0006-0000-0800-000007000000}">
      <text>
        <r>
          <rPr>
            <sz val="9"/>
            <color indexed="81"/>
            <rFont val="Tahoma"/>
            <family val="2"/>
          </rPr>
          <t>Offensive Rebound Percentage</t>
        </r>
      </text>
    </comment>
    <comment ref="M5" authorId="0" shapeId="0" xr:uid="{00000000-0006-0000-0800-000008000000}">
      <text>
        <r>
          <rPr>
            <sz val="9"/>
            <color indexed="81"/>
            <rFont val="Tahoma"/>
            <family val="2"/>
          </rPr>
          <t>Defensive Rebound Percentage</t>
        </r>
      </text>
    </comment>
    <comment ref="N5" authorId="0" shapeId="0" xr:uid="{00000000-0006-0000-0800-000009000000}">
      <text>
        <r>
          <rPr>
            <sz val="9"/>
            <color indexed="81"/>
            <rFont val="Tahoma"/>
            <family val="2"/>
          </rPr>
          <t>Total Rebound Percentage</t>
        </r>
      </text>
    </comment>
    <comment ref="O5" authorId="0" shapeId="0" xr:uid="{00000000-0006-0000-0800-00000A000000}">
      <text>
        <r>
          <rPr>
            <sz val="9"/>
            <color indexed="81"/>
            <rFont val="Tahoma"/>
            <family val="2"/>
          </rPr>
          <t>Assist Percentage</t>
        </r>
      </text>
    </comment>
    <comment ref="P5" authorId="0" shapeId="0" xr:uid="{00000000-0006-0000-0800-00000B000000}">
      <text>
        <r>
          <rPr>
            <sz val="9"/>
            <color indexed="81"/>
            <rFont val="Tahoma"/>
            <family val="2"/>
          </rPr>
          <t>Steal Percentage</t>
        </r>
      </text>
    </comment>
    <comment ref="Q5" authorId="0" shapeId="0" xr:uid="{00000000-0006-0000-0800-00000C000000}">
      <text>
        <r>
          <rPr>
            <sz val="9"/>
            <color indexed="81"/>
            <rFont val="Tahoma"/>
            <family val="2"/>
          </rPr>
          <t>Block Percentage</t>
        </r>
      </text>
    </comment>
    <comment ref="R5" authorId="0" shapeId="0" xr:uid="{00000000-0006-0000-0800-00000D000000}">
      <text>
        <r>
          <rPr>
            <sz val="9"/>
            <color indexed="81"/>
            <rFont val="Tahoma"/>
            <family val="2"/>
          </rPr>
          <t>Turnover Percentage</t>
        </r>
      </text>
    </comment>
    <comment ref="S5" authorId="0" shapeId="0" xr:uid="{00000000-0006-0000-0800-00000E000000}">
      <text>
        <r>
          <rPr>
            <sz val="9"/>
            <color indexed="81"/>
            <rFont val="Tahoma"/>
            <family val="2"/>
          </rPr>
          <t>Usage Rating</t>
        </r>
      </text>
    </comment>
    <comment ref="T5" authorId="0" shapeId="0" xr:uid="{00000000-0006-0000-0800-00000F000000}">
      <text>
        <r>
          <rPr>
            <sz val="9"/>
            <color indexed="81"/>
            <rFont val="Tahoma"/>
            <family val="2"/>
          </rPr>
          <t>Offensive Win Shares</t>
        </r>
      </text>
    </comment>
    <comment ref="U5" authorId="0" shapeId="0" xr:uid="{00000000-0006-0000-0800-000010000000}">
      <text>
        <r>
          <rPr>
            <sz val="9"/>
            <color indexed="81"/>
            <rFont val="Tahoma"/>
            <family val="2"/>
          </rPr>
          <t>Defensive Win Shares</t>
        </r>
      </text>
    </comment>
    <comment ref="V5" authorId="0" shapeId="0" xr:uid="{00000000-0006-0000-0800-000011000000}">
      <text>
        <r>
          <rPr>
            <sz val="9"/>
            <color indexed="81"/>
            <rFont val="Tahoma"/>
            <family val="2"/>
          </rPr>
          <t>Total Win Shares</t>
        </r>
      </text>
    </comment>
    <comment ref="W5" authorId="0" shapeId="0" xr:uid="{00000000-0006-0000-0800-000012000000}">
      <text>
        <r>
          <rPr>
            <sz val="9"/>
            <color indexed="81"/>
            <rFont val="Tahoma"/>
            <family val="2"/>
          </rPr>
          <t>Win Shares per 48 Minutes</t>
        </r>
      </text>
    </comment>
    <comment ref="X5" authorId="0" shapeId="0" xr:uid="{00000000-0006-0000-0800-000013000000}">
      <text>
        <r>
          <rPr>
            <sz val="9"/>
            <color indexed="81"/>
            <rFont val="Tahoma"/>
            <family val="2"/>
          </rPr>
          <t>Offensive Box Plus Minus</t>
        </r>
      </text>
    </comment>
    <comment ref="Y5" authorId="0" shapeId="0" xr:uid="{00000000-0006-0000-0800-000014000000}">
      <text>
        <r>
          <rPr>
            <sz val="9"/>
            <color indexed="81"/>
            <rFont val="Tahoma"/>
            <family val="2"/>
          </rPr>
          <t>Defensive Box Plus Minus</t>
        </r>
      </text>
    </comment>
    <comment ref="Z5" authorId="0" shapeId="0" xr:uid="{00000000-0006-0000-0800-000015000000}">
      <text>
        <r>
          <rPr>
            <sz val="9"/>
            <color indexed="81"/>
            <rFont val="Tahoma"/>
            <family val="2"/>
          </rPr>
          <t>Box Plus Minus</t>
        </r>
      </text>
    </comment>
    <comment ref="AA5" authorId="0" shapeId="0" xr:uid="{00000000-0006-0000-0800-000016000000}">
      <text>
        <r>
          <rPr>
            <sz val="9"/>
            <color indexed="81"/>
            <rFont val="Tahoma"/>
            <family val="2"/>
          </rPr>
          <t>Value Over Replacement Player</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Jackson Strand CW</author>
  </authors>
  <commentList>
    <comment ref="O4" authorId="0" shapeId="0" xr:uid="{00000000-0006-0000-0D00-000001000000}">
      <text>
        <r>
          <rPr>
            <sz val="9"/>
            <color indexed="81"/>
            <rFont val="Tahoma"/>
            <family val="2"/>
          </rPr>
          <t>Games back</t>
        </r>
      </text>
    </comment>
    <comment ref="O21" authorId="0" shapeId="0" xr:uid="{00000000-0006-0000-0D00-000002000000}">
      <text>
        <r>
          <rPr>
            <sz val="9"/>
            <color indexed="81"/>
            <rFont val="Tahoma"/>
            <family val="2"/>
          </rPr>
          <t>Games back</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2018 Free Agents" description="Connection to the '2018 Free Agents' query in the workbook." type="5" refreshedVersion="6" background="1" saveData="1">
    <dbPr connection="Provider=Microsoft.Mashup.OleDb.1;Data Source=$Workbook$;Location=2018 Free Agents;Extended Properties=&quot;&quot;" command="SELECT * FROM [2018 Free Agents]"/>
  </connection>
  <connection id="2" xr16:uid="{00000000-0015-0000-FFFF-FFFF01000000}" keepAlive="1" name="Query - 2018 Options" description="Connection to the '2018 Options' query in the workbook." type="5" refreshedVersion="6" background="1" saveData="1">
    <dbPr connection="Provider=Microsoft.Mashup.OleDb.1;Data Source=$Workbook$;Location=&quot;2018 Options&quot;;Extended Properties=&quot;&quot;" command="SELECT * FROM [2018 Options]"/>
  </connection>
  <connection id="3" xr16:uid="{00000000-0015-0000-FFFF-FFFF02000000}" keepAlive="1" name="Query - 2019 Options" description="Connection to the '2019 Options' query in the workbook." type="5" refreshedVersion="6" background="1" saveData="1">
    <dbPr connection="Provider=Microsoft.Mashup.OleDb.1;Data Source=$Workbook$;Location=&quot;2019 Options&quot;;Extended Properties=&quot;&quot;" command="SELECT * FROM [2019 Options]"/>
  </connection>
  <connection id="4" xr16:uid="{00000000-0015-0000-FFFF-FFFF03000000}" keepAlive="1" name="Query - 2020 Options" description="Connection to the '2020 Options' query in the workbook." type="5" refreshedVersion="6" background="1" saveData="1">
    <dbPr connection="Provider=Microsoft.Mashup.OleDb.1;Data Source=$Workbook$;Location=&quot;2020 Options&quot;;Extended Properties=&quot;&quot;" command="SELECT * FROM [2020 Options]"/>
  </connection>
  <connection id="5" xr16:uid="{00000000-0015-0000-FFFF-FFFF04000000}" keepAlive="1" name="Query - Injuries" description="Connection to the 'Injuries' query in the workbook." type="5" refreshedVersion="6" background="1" saveData="1">
    <dbPr connection="Provider=Microsoft.Mashup.OleDb.1;Data Source=$Workbook$;Location=Injuries;Extended Properties=&quot;&quot;" command="SELECT * FROM [Injuries]"/>
  </connection>
  <connection id="6" xr16:uid="{00000000-0015-0000-FFFF-FFFF05000000}" keepAlive="1" name="Query - League Standings" description="Connection to the 'League Standings' query in the workbook." type="5" refreshedVersion="6" background="1" saveData="1">
    <dbPr connection="Provider=Microsoft.Mashup.OleDb.1;Data Source=$Workbook$;Location=&quot;League Standings&quot;;Extended Properties=&quot;&quot;" command="SELECT * FROM [League Standings]"/>
  </connection>
  <connection id="7" xr16:uid="{00000000-0015-0000-FFFF-FFFF06000000}" keepAlive="1" name="Query - Opponent Per Game" description="Connection to the 'Opponent Per Game' query in the workbook." type="5" refreshedVersion="6" background="1" saveData="1">
    <dbPr connection="Provider=Microsoft.Mashup.OleDb.1;Data Source=$Workbook$;Location=&quot;Opponent Per Game&quot;;Extended Properties=&quot;&quot;" command="SELECT * FROM [Opponent Per Game]"/>
  </connection>
  <connection id="8" xr16:uid="{00000000-0015-0000-FFFF-FFFF07000000}" keepAlive="1" name="Query - Opponent Shooting" description="Connection to the 'Opponent Shooting' query in the workbook." type="5" refreshedVersion="6" background="1" saveData="1">
    <dbPr connection="Provider=Microsoft.Mashup.OleDb.1;Data Source=$Workbook$;Location=&quot;Opponent Shooting&quot;;Extended Properties=&quot;&quot;" command="SELECT * FROM [Opponent Shooting]"/>
  </connection>
  <connection id="9" xr16:uid="{00000000-0015-0000-FFFF-FFFF08000000}" keepAlive="1" name="Query - Player Advanced" description="Connection to the 'Player Advanced' query in the workbook." type="5" refreshedVersion="6" background="1" saveData="1">
    <dbPr connection="Provider=Microsoft.Mashup.OleDb.1;Data Source=$Workbook$;Location=&quot;Player Advanced&quot;;Extended Properties=&quot;&quot;" command="SELECT * FROM [Player Advanced]"/>
  </connection>
  <connection id="10" xr16:uid="{00000000-0015-0000-FFFF-FFFF09000000}" keepAlive="1" name="Query - Player Per Game" description="Connection to the 'Player Per Game' query in the workbook." type="5" refreshedVersion="6" background="1" saveData="1">
    <dbPr connection="Provider=Microsoft.Mashup.OleDb.1;Data Source=$Workbook$;Location=&quot;Player Per Game&quot;;Extended Properties=&quot;&quot;" command="SELECT * FROM [Player Per Game]"/>
  </connection>
  <connection id="11" xr16:uid="{00000000-0015-0000-FFFF-FFFF0A000000}" keepAlive="1" name="Query - Player Totals" description="Connection to the 'Player Totals' query in the workbook." type="5" refreshedVersion="6" background="1" saveData="1">
    <dbPr connection="Provider=Microsoft.Mashup.OleDb.1;Data Source=$Workbook$;Location=&quot;Player Totals&quot;;Extended Properties=&quot;&quot;" command="SELECT * FROM [Player Totals]"/>
  </connection>
  <connection id="12" xr16:uid="{00000000-0015-0000-FFFF-FFFF0B000000}" keepAlive="1" name="Query - Salaries" description="Connection to the 'Salaries' query in the workbook." type="5" refreshedVersion="6" background="1">
    <dbPr connection="Provider=Microsoft.Mashup.OleDb.1;Data Source=$Workbook$;Location=Salaries;Extended Properties=&quot;&quot;" command="SELECT * FROM [Salaries]"/>
  </connection>
  <connection id="13" xr16:uid="{00000000-0015-0000-FFFF-FFFF0C000000}" keepAlive="1" name="Query - Team Per Game Stats Table" description="Connection to the 'Team Per Game Stats Table' query in the workbook." type="5" refreshedVersion="6" background="1" saveData="1">
    <dbPr connection="Provider=Microsoft.Mashup.OleDb.1;Data Source=$Workbook$;Location=&quot;Team Per Game Stats Table&quot;;Extended Properties=&quot;&quot;" command="SELECT * FROM [Team Per Game Stats Table]"/>
  </connection>
  <connection id="14" xr16:uid="{00000000-0015-0000-FFFF-FFFF0D000000}" keepAlive="1" name="Query - Team Shooting" description="Connection to the 'Team Shooting' query in the workbook." type="5" refreshedVersion="6" background="1" saveData="1">
    <dbPr connection="Provider=Microsoft.Mashup.OleDb.1;Data Source=$Workbook$;Location=&quot;Team Shooting&quot;;Extended Properties=&quot;&quot;" command="SELECT * FROM [Team Shooting]"/>
  </connection>
  <connection id="15" xr16:uid="{00000000-0015-0000-FFFF-FFFF0E000000}" keepAlive="1" name="Query - TeamAd-10" description="Connection to the 'TeamAd-10' query in the workbook." type="5" refreshedVersion="6" background="1" saveData="1">
    <dbPr connection="Provider=Microsoft.Mashup.OleDb.1;Data Source=$Workbook$;Location=TeamAd-10;Extended Properties=&quot;&quot;" command="SELECT * FROM [TeamAd-10]"/>
  </connection>
  <connection id="16" xr16:uid="{00000000-0015-0000-FFFF-FFFF0F000000}" keepAlive="1" name="Query - TeamAd-15" description="Connection to the 'TeamAd-15' query in the workbook." type="5" refreshedVersion="6" background="1" saveData="1">
    <dbPr connection="Provider=Microsoft.Mashup.OleDb.1;Data Source=$Workbook$;Location=TeamAd-15;Extended Properties=&quot;&quot;" command="SELECT * FROM [TeamAd-15]"/>
  </connection>
  <connection id="17" xr16:uid="{00000000-0015-0000-FFFF-FFFF10000000}" keepAlive="1" name="Query - TeamAd-5" description="Connection to the 'TeamAd-5' query in the workbook." type="5" refreshedVersion="6" background="1">
    <dbPr connection="Provider=Microsoft.Mashup.OleDb.1;Data Source=$Workbook$;Location=TeamAd-5;Extended Properties=&quot;&quot;" command="SELECT * FROM [TeamAd-5]"/>
  </connection>
  <connection id="18" xr16:uid="{00000000-0015-0000-FFFF-FFFF11000000}" keepAlive="1" name="Query - TeamAd-Season" description="Connection to the 'TeamAd-Season' query in the workbook." type="5" refreshedVersion="6" background="1" saveData="1">
    <dbPr connection="Provider=Microsoft.Mashup.OleDb.1;Data Source=$Workbook$;Location=TeamAd-Season;Extended Properties=&quot;&quot;" command="SELECT * FROM [TeamAd-Season]"/>
  </connection>
</connections>
</file>

<file path=xl/sharedStrings.xml><?xml version="1.0" encoding="utf-8"?>
<sst xmlns="http://schemas.openxmlformats.org/spreadsheetml/2006/main" count="10245" uniqueCount="1271">
  <si>
    <t>Marcus Georges-Hunt</t>
  </si>
  <si>
    <t>Tyus Jones</t>
  </si>
  <si>
    <t>Shabazz Muhammad</t>
  </si>
  <si>
    <t>Aaron Brooks</t>
  </si>
  <si>
    <t>Justin Patton</t>
  </si>
  <si>
    <t>Nemanja Bjelica</t>
  </si>
  <si>
    <t>Karl-Anthony Towns</t>
  </si>
  <si>
    <t>Jamal Crawford</t>
  </si>
  <si>
    <t>Cole Aldrich</t>
  </si>
  <si>
    <t>Andrew Wiggins</t>
  </si>
  <si>
    <t>Taj Gibson</t>
  </si>
  <si>
    <t>Gorgui Dieng</t>
  </si>
  <si>
    <t>Jeff Teague</t>
  </si>
  <si>
    <t>Jimmy Butler</t>
  </si>
  <si>
    <t>Marco Belinelli</t>
  </si>
  <si>
    <t>MPG</t>
  </si>
  <si>
    <t>PPG</t>
  </si>
  <si>
    <t>-</t>
  </si>
  <si>
    <t>Non-Bird</t>
  </si>
  <si>
    <t>UFA</t>
  </si>
  <si>
    <t>PG</t>
  </si>
  <si>
    <t>NYK</t>
  </si>
  <si>
    <t>Trey Burke</t>
  </si>
  <si>
    <t>$724,360</t>
  </si>
  <si>
    <t>Early Bird</t>
  </si>
  <si>
    <t>RFA</t>
  </si>
  <si>
    <t>SG</t>
  </si>
  <si>
    <t>WAS</t>
  </si>
  <si>
    <t>$1,080,333</t>
  </si>
  <si>
    <t>Bird</t>
  </si>
  <si>
    <t>IND</t>
  </si>
  <si>
    <t>Glen Robinson III</t>
  </si>
  <si>
    <t>$2,963,205</t>
  </si>
  <si>
    <t>DAL</t>
  </si>
  <si>
    <t>Seth Curry</t>
  </si>
  <si>
    <t>$4,081,356</t>
  </si>
  <si>
    <t>UTH</t>
  </si>
  <si>
    <t>Dante Exum</t>
  </si>
  <si>
    <t>PF</t>
  </si>
  <si>
    <t>Josh McRoberts</t>
  </si>
  <si>
    <t>$7,413,237</t>
  </si>
  <si>
    <t>MIL</t>
  </si>
  <si>
    <t>Jabari Parker</t>
  </si>
  <si>
    <t>CHI</t>
  </si>
  <si>
    <t>Ryan Arcidiacono</t>
  </si>
  <si>
    <t>$1,755,806</t>
  </si>
  <si>
    <t>SF</t>
  </si>
  <si>
    <t>TOR</t>
  </si>
  <si>
    <t>Bruno Caboclo</t>
  </si>
  <si>
    <t>$2,328,652</t>
  </si>
  <si>
    <t>MIA</t>
  </si>
  <si>
    <t>Udonis Haslem</t>
  </si>
  <si>
    <t>$762,153</t>
  </si>
  <si>
    <t>CHA</t>
  </si>
  <si>
    <t>Julyan Stone</t>
  </si>
  <si>
    <t>$1,312,611</t>
  </si>
  <si>
    <t>MIN</t>
  </si>
  <si>
    <t>Jason Terry</t>
  </si>
  <si>
    <t>OKC</t>
  </si>
  <si>
    <t>Nick Collison</t>
  </si>
  <si>
    <t>$2,302,340</t>
  </si>
  <si>
    <t>DEN</t>
  </si>
  <si>
    <t>Richard Jefferson</t>
  </si>
  <si>
    <t>$1,302,540</t>
  </si>
  <si>
    <t>LAC</t>
  </si>
  <si>
    <t>Brice Johnson</t>
  </si>
  <si>
    <t>Quincy Pondexter</t>
  </si>
  <si>
    <t>$2,116,955</t>
  </si>
  <si>
    <t>$1,191,520</t>
  </si>
  <si>
    <t>Josh Huestis</t>
  </si>
  <si>
    <t>$1,267,701</t>
  </si>
  <si>
    <t>Chris McCullough</t>
  </si>
  <si>
    <t>$1,182,880</t>
  </si>
  <si>
    <t>GSW</t>
  </si>
  <si>
    <t>Kevon Looney</t>
  </si>
  <si>
    <t>ORL</t>
  </si>
  <si>
    <t>Arron Afflalo</t>
  </si>
  <si>
    <t>Okaro White</t>
  </si>
  <si>
    <t>LAL</t>
  </si>
  <si>
    <t>Corey Brewer</t>
  </si>
  <si>
    <t>$2,045,000</t>
  </si>
  <si>
    <t>Tim Frazier</t>
  </si>
  <si>
    <t>$804,825</t>
  </si>
  <si>
    <t>C</t>
  </si>
  <si>
    <t>Salah Mejri</t>
  </si>
  <si>
    <t>Rashad Vaughn</t>
  </si>
  <si>
    <t>$1,524,305</t>
  </si>
  <si>
    <t>BOS</t>
  </si>
  <si>
    <t>Shane Larkin</t>
  </si>
  <si>
    <t>$2,118,326</t>
  </si>
  <si>
    <t>Lucas Nogueira</t>
  </si>
  <si>
    <t>$3,290,000</t>
  </si>
  <si>
    <t>HOU</t>
  </si>
  <si>
    <t>Tarik Black</t>
  </si>
  <si>
    <t>JaVale McGee</t>
  </si>
  <si>
    <t>$2,854,628</t>
  </si>
  <si>
    <t>POR</t>
  </si>
  <si>
    <t>Noah Vonleh</t>
  </si>
  <si>
    <t>Patrick McCaw</t>
  </si>
  <si>
    <t>$8,000,000</t>
  </si>
  <si>
    <t>SAC</t>
  </si>
  <si>
    <t>Vince Carter</t>
  </si>
  <si>
    <t>CLE</t>
  </si>
  <si>
    <t>Channing Frye</t>
  </si>
  <si>
    <t>$2,700,000</t>
  </si>
  <si>
    <t>Michael Carter-Williams</t>
  </si>
  <si>
    <t>$4,187,598</t>
  </si>
  <si>
    <t>Nerlens Noel</t>
  </si>
  <si>
    <t>Jose Calderon</t>
  </si>
  <si>
    <t>$3,103,867</t>
  </si>
  <si>
    <t>BKN</t>
  </si>
  <si>
    <t>Nik Stauskas</t>
  </si>
  <si>
    <t>NOP</t>
  </si>
  <si>
    <t>Tony Allen</t>
  </si>
  <si>
    <t>Sean Kilpatrick</t>
  </si>
  <si>
    <t>$1,471,382</t>
  </si>
  <si>
    <t>Jordan Mickey</t>
  </si>
  <si>
    <t>$11,000,000</t>
  </si>
  <si>
    <t>PHI</t>
  </si>
  <si>
    <t>Amir Johnson</t>
  </si>
  <si>
    <t>$910,849</t>
  </si>
  <si>
    <t>Raul Neto</t>
  </si>
  <si>
    <t>$842,894</t>
  </si>
  <si>
    <t>Johnny O'Bryant</t>
  </si>
  <si>
    <t>$1,577,230</t>
  </si>
  <si>
    <t>Ian Clark</t>
  </si>
  <si>
    <t>$2,262,871</t>
  </si>
  <si>
    <t>Jameer Nelson</t>
  </si>
  <si>
    <t>MEM</t>
  </si>
  <si>
    <t>Brandan Wright</t>
  </si>
  <si>
    <t>$2,300,000</t>
  </si>
  <si>
    <t>Dante Cunningham</t>
  </si>
  <si>
    <t>$543,471</t>
  </si>
  <si>
    <t>Treveon Graham</t>
  </si>
  <si>
    <t>Willie Reed</t>
  </si>
  <si>
    <t>$6,666,667</t>
  </si>
  <si>
    <t>Ed Davis</t>
  </si>
  <si>
    <t>$3,477,600</t>
  </si>
  <si>
    <t>Zaza Pachulia</t>
  </si>
  <si>
    <t>$3,900,000</t>
  </si>
  <si>
    <t>SAS</t>
  </si>
  <si>
    <t>Davis Bertans</t>
  </si>
  <si>
    <t>$1,749,815</t>
  </si>
  <si>
    <t>Quincy Acy</t>
  </si>
  <si>
    <t>$4,328,000</t>
  </si>
  <si>
    <t>Aron Baynes</t>
  </si>
  <si>
    <t>$4,788,880</t>
  </si>
  <si>
    <t>Jahlil Okafor</t>
  </si>
  <si>
    <t>$2,500,000</t>
  </si>
  <si>
    <t>ATL</t>
  </si>
  <si>
    <t>Malcom Delaney</t>
  </si>
  <si>
    <t>$1,974,159</t>
  </si>
  <si>
    <t>Luke Babbitt</t>
  </si>
  <si>
    <t>$838,158</t>
  </si>
  <si>
    <t>Pat Connaughton</t>
  </si>
  <si>
    <t>$5,192,000</t>
  </si>
  <si>
    <t>Nick Young</t>
  </si>
  <si>
    <t>DET</t>
  </si>
  <si>
    <t>Anthony Tolliver</t>
  </si>
  <si>
    <t>$3,909,880</t>
  </si>
  <si>
    <t>Mario Hezonja</t>
  </si>
  <si>
    <t>Luc Richard Mbah a Moute</t>
  </si>
  <si>
    <t>Fred VanVleet</t>
  </si>
  <si>
    <t>James Ennis</t>
  </si>
  <si>
    <t>$2,106,470</t>
  </si>
  <si>
    <t>Omri Casspi</t>
  </si>
  <si>
    <t>Raymond Felton</t>
  </si>
  <si>
    <t>David West</t>
  </si>
  <si>
    <t>Marreese Speights</t>
  </si>
  <si>
    <t>Joe Johnson</t>
  </si>
  <si>
    <t>$3,300,000</t>
  </si>
  <si>
    <t>Rajon Rondo</t>
  </si>
  <si>
    <t>$1,058,669</t>
  </si>
  <si>
    <t>Jerami Grant</t>
  </si>
  <si>
    <t>Bryn Forbes</t>
  </si>
  <si>
    <t>Mario Chalmers</t>
  </si>
  <si>
    <t>$693,070</t>
  </si>
  <si>
    <t>David Nwaba</t>
  </si>
  <si>
    <t>Trevor Booker</t>
  </si>
  <si>
    <t>$1,045,000</t>
  </si>
  <si>
    <t>Montrezl Harrell</t>
  </si>
  <si>
    <t>$2,609,109</t>
  </si>
  <si>
    <t>Doug McDermott</t>
  </si>
  <si>
    <t>Jarrett Jack</t>
  </si>
  <si>
    <t>$1,142,880</t>
  </si>
  <si>
    <t>Kyle Anderson</t>
  </si>
  <si>
    <t>$4,140,721</t>
  </si>
  <si>
    <t>Devin Harris</t>
  </si>
  <si>
    <t>$14,445,313</t>
  </si>
  <si>
    <t>Tony Parker</t>
  </si>
  <si>
    <t>PHX</t>
  </si>
  <si>
    <t>Alex Len</t>
  </si>
  <si>
    <t>$748,160</t>
  </si>
  <si>
    <t>Dwight Buycks</t>
  </si>
  <si>
    <t>Isaiah Canaan</t>
  </si>
  <si>
    <t>$6,750,001</t>
  </si>
  <si>
    <t>Isaiah Thomas</t>
  </si>
  <si>
    <t>$3,707,815</t>
  </si>
  <si>
    <t>Marcus Smart</t>
  </si>
  <si>
    <t>Greg Monroe</t>
  </si>
  <si>
    <t>$1,561,140</t>
  </si>
  <si>
    <t>Shabazz Napier</t>
  </si>
  <si>
    <t>$1,015,838</t>
  </si>
  <si>
    <t>Joe Harris</t>
  </si>
  <si>
    <t>$207,798</t>
  </si>
  <si>
    <t>Yogi Ferrell</t>
  </si>
  <si>
    <t>$6,135,000</t>
  </si>
  <si>
    <t>Wayne Ellington</t>
  </si>
  <si>
    <t>Ersan Ilyasova</t>
  </si>
  <si>
    <t>Jeff Green</t>
  </si>
  <si>
    <t>Dwyane Wade</t>
  </si>
  <si>
    <t>Michael Beasley</t>
  </si>
  <si>
    <t>$8,000,001</t>
  </si>
  <si>
    <t>Trevor Ariza</t>
  </si>
  <si>
    <t>$21,165,675</t>
  </si>
  <si>
    <t>Brook Lopez</t>
  </si>
  <si>
    <t>$11,737,500</t>
  </si>
  <si>
    <t>Derrick Favors</t>
  </si>
  <si>
    <t>$2,712,375</t>
  </si>
  <si>
    <t>Elfrid Payton</t>
  </si>
  <si>
    <t>$3,386,491</t>
  </si>
  <si>
    <t>Julius Randle</t>
  </si>
  <si>
    <t>$17,745,894</t>
  </si>
  <si>
    <t>Kentavious Caldwell-Pope</t>
  </si>
  <si>
    <t>$2,411,825</t>
  </si>
  <si>
    <t>Zach LaVine</t>
  </si>
  <si>
    <t>Derrick Rose</t>
  </si>
  <si>
    <t>$1,515,672</t>
  </si>
  <si>
    <t>Clint Capela</t>
  </si>
  <si>
    <t>$3,533,333</t>
  </si>
  <si>
    <t>Will Barton</t>
  </si>
  <si>
    <t>Jusuf Nurkic</t>
  </si>
  <si>
    <t>Avery Bradley</t>
  </si>
  <si>
    <t>$1,381,404</t>
  </si>
  <si>
    <t>Gerald Green</t>
  </si>
  <si>
    <t>$1,608,046</t>
  </si>
  <si>
    <t>Rodney Hood</t>
  </si>
  <si>
    <t>$23,000,000</t>
  </si>
  <si>
    <t>J.J. Redick</t>
  </si>
  <si>
    <t>$21,468,695</t>
  </si>
  <si>
    <t>Chris Paul</t>
  </si>
  <si>
    <t>$4,504,865</t>
  </si>
  <si>
    <t>Aaron Gordon</t>
  </si>
  <si>
    <t>Tyreke Evans</t>
  </si>
  <si>
    <t>$16,404,925</t>
  </si>
  <si>
    <t>DeMarcus Cousins</t>
  </si>
  <si>
    <t>2017-2018 AAV</t>
  </si>
  <si>
    <t>BPG</t>
  </si>
  <si>
    <t>SPG</t>
  </si>
  <si>
    <t>APG</t>
  </si>
  <si>
    <t>RPG</t>
  </si>
  <si>
    <t>GP</t>
  </si>
  <si>
    <t>Rights</t>
  </si>
  <si>
    <t>Type</t>
  </si>
  <si>
    <t>Exp</t>
  </si>
  <si>
    <t>Age</t>
  </si>
  <si>
    <t>Team</t>
  </si>
  <si>
    <t>Rk</t>
  </si>
  <si>
    <t>Player</t>
  </si>
  <si>
    <t>Pos</t>
  </si>
  <si>
    <t>Tm</t>
  </si>
  <si>
    <t>G</t>
  </si>
  <si>
    <t>GS</t>
  </si>
  <si>
    <t>MP</t>
  </si>
  <si>
    <t>FG</t>
  </si>
  <si>
    <t>FGA</t>
  </si>
  <si>
    <t>FG%</t>
  </si>
  <si>
    <t>3P</t>
  </si>
  <si>
    <t>3PA</t>
  </si>
  <si>
    <t>3P%</t>
  </si>
  <si>
    <t>2P</t>
  </si>
  <si>
    <t>2PA</t>
  </si>
  <si>
    <t>2P%</t>
  </si>
  <si>
    <t>eFG%</t>
  </si>
  <si>
    <t>FT</t>
  </si>
  <si>
    <t>FTA</t>
  </si>
  <si>
    <t>FT%</t>
  </si>
  <si>
    <t>ORB</t>
  </si>
  <si>
    <t>DRB</t>
  </si>
  <si>
    <t>TRB</t>
  </si>
  <si>
    <t>AST</t>
  </si>
  <si>
    <t>STL</t>
  </si>
  <si>
    <t>BLK</t>
  </si>
  <si>
    <t>TOV</t>
  </si>
  <si>
    <t>PS/G</t>
  </si>
  <si>
    <t>TOP 10%</t>
  </si>
  <si>
    <t>James Harden</t>
  </si>
  <si>
    <t>Andrew Bogut</t>
  </si>
  <si>
    <t>Stephen Curry</t>
  </si>
  <si>
    <t>Eric Gordon</t>
  </si>
  <si>
    <t>Briante Weber</t>
  </si>
  <si>
    <t>Jason Smith</t>
  </si>
  <si>
    <t>Damian Lillard</t>
  </si>
  <si>
    <t>Klay Thompson</t>
  </si>
  <si>
    <t>Kyle Lowry</t>
  </si>
  <si>
    <t>Gian Clavell</t>
  </si>
  <si>
    <t>Robert Covington</t>
  </si>
  <si>
    <t>Josh Magette</t>
  </si>
  <si>
    <t>Guerschon Yabusele</t>
  </si>
  <si>
    <t>James Michael McAdoo</t>
  </si>
  <si>
    <t>Furkan Korkmaz</t>
  </si>
  <si>
    <t>Jake Layman</t>
  </si>
  <si>
    <t>Derrick Walton</t>
  </si>
  <si>
    <t>Jalen Jones</t>
  </si>
  <si>
    <t>Tony Bradley</t>
  </si>
  <si>
    <t>UTA</t>
  </si>
  <si>
    <t>Jack Cooley</t>
  </si>
  <si>
    <t>Paul George</t>
  </si>
  <si>
    <t>Lou Williams</t>
  </si>
  <si>
    <t>Tim Hardaway</t>
  </si>
  <si>
    <t>Kemba Walker</t>
  </si>
  <si>
    <t>CHO</t>
  </si>
  <si>
    <t>Devin Booker</t>
  </si>
  <si>
    <t>PHO</t>
  </si>
  <si>
    <t>Allen Crabbe</t>
  </si>
  <si>
    <t>BRK</t>
  </si>
  <si>
    <t>Lauri Markkanen</t>
  </si>
  <si>
    <t>Kyrie Irving</t>
  </si>
  <si>
    <t>Bradley Beal</t>
  </si>
  <si>
    <t>Donovan Mitchell</t>
  </si>
  <si>
    <t>Kay Felder</t>
  </si>
  <si>
    <t>Justin Holiday</t>
  </si>
  <si>
    <t>Mike Conley</t>
  </si>
  <si>
    <t>Victor Oladipo</t>
  </si>
  <si>
    <t>Austin Rivers</t>
  </si>
  <si>
    <t>C.J. Miles</t>
  </si>
  <si>
    <t>Kevin Durant</t>
  </si>
  <si>
    <t>Wesley Matthews</t>
  </si>
  <si>
    <t>Ryan Anderson</t>
  </si>
  <si>
    <t>Carmelo Anthony</t>
  </si>
  <si>
    <t>Nikola Mirotic</t>
  </si>
  <si>
    <t>Tobias Harris</t>
  </si>
  <si>
    <t>Gary Harris</t>
  </si>
  <si>
    <t>Kevin Love</t>
  </si>
  <si>
    <t>C.J. McCollum</t>
  </si>
  <si>
    <t>Blake Griffin</t>
  </si>
  <si>
    <t>Dion Waiters</t>
  </si>
  <si>
    <t>Danilo Gallinari</t>
  </si>
  <si>
    <t>Khris Middleton</t>
  </si>
  <si>
    <t>Spencer Dinwiddie</t>
  </si>
  <si>
    <t>Kyle Korver</t>
  </si>
  <si>
    <t>Patrick Beverley</t>
  </si>
  <si>
    <t>Milos Teodosic</t>
  </si>
  <si>
    <t>Evan Fournier</t>
  </si>
  <si>
    <t>Joe Ingles</t>
  </si>
  <si>
    <t>Kyle Kuzma</t>
  </si>
  <si>
    <t>Lonzo Ball</t>
  </si>
  <si>
    <t>Jamal Murray</t>
  </si>
  <si>
    <t>Troy Daniels</t>
  </si>
  <si>
    <t>D'Angelo Russell</t>
  </si>
  <si>
    <t>Jrue Holiday</t>
  </si>
  <si>
    <t>J.R. Smith</t>
  </si>
  <si>
    <t>Dario Saric</t>
  </si>
  <si>
    <t>Bojan Bogdanovic</t>
  </si>
  <si>
    <t>LeBron James</t>
  </si>
  <si>
    <t>DeMarre Carroll</t>
  </si>
  <si>
    <t>Eric Bledsoe</t>
  </si>
  <si>
    <t>TOT</t>
  </si>
  <si>
    <t>Al-Farouq Aminu</t>
  </si>
  <si>
    <t>Buddy Hield</t>
  </si>
  <si>
    <t>Kristaps Porzingis</t>
  </si>
  <si>
    <t>Denzel Valentine</t>
  </si>
  <si>
    <t>Patty Mills</t>
  </si>
  <si>
    <t>Tyler Johnson</t>
  </si>
  <si>
    <t>Josh Richardson</t>
  </si>
  <si>
    <t>Taurean Waller-Prince</t>
  </si>
  <si>
    <t>Russell Westbrook</t>
  </si>
  <si>
    <t>Dennis Smith</t>
  </si>
  <si>
    <t>J.J. Barea</t>
  </si>
  <si>
    <t>Jaylen Brown</t>
  </si>
  <si>
    <t>Mirza Teletovic</t>
  </si>
  <si>
    <t>Danny Green</t>
  </si>
  <si>
    <t>Darius Miller</t>
  </si>
  <si>
    <t>Kawhi Leonard</t>
  </si>
  <si>
    <t>Terry Rozier</t>
  </si>
  <si>
    <t>Marc Gasol</t>
  </si>
  <si>
    <t>Goran Dragic</t>
  </si>
  <si>
    <t>Jamil Wilson</t>
  </si>
  <si>
    <t>Adreian Payne</t>
  </si>
  <si>
    <t>Ike Anigbogu</t>
  </si>
  <si>
    <t>Derrick Jones</t>
  </si>
  <si>
    <t>Nikola Vucevic</t>
  </si>
  <si>
    <t>Kent Bazemore</t>
  </si>
  <si>
    <t>Jerryd Bayless</t>
  </si>
  <si>
    <t>Serge Ibaka</t>
  </si>
  <si>
    <t>Dirk Nowitzki</t>
  </si>
  <si>
    <t>Otto Porter</t>
  </si>
  <si>
    <t>John Wall</t>
  </si>
  <si>
    <t>Courtney Lee</t>
  </si>
  <si>
    <t>Kelly Oubre</t>
  </si>
  <si>
    <t>Harrison Barnes</t>
  </si>
  <si>
    <t>Langston Galloway</t>
  </si>
  <si>
    <t>Terrence Ross</t>
  </si>
  <si>
    <t>E'Twaun Moore</t>
  </si>
  <si>
    <t>Reggie Jackson</t>
  </si>
  <si>
    <t>Nicolas Batum</t>
  </si>
  <si>
    <t>Draymond Green</t>
  </si>
  <si>
    <t>Jordan Clarkson</t>
  </si>
  <si>
    <t>Jae Crowder</t>
  </si>
  <si>
    <t>Dennis Schroder</t>
  </si>
  <si>
    <t>Marcus Morris</t>
  </si>
  <si>
    <t>Tony Snell</t>
  </si>
  <si>
    <t>Dragan Bender</t>
  </si>
  <si>
    <t>Garrett Temple</t>
  </si>
  <si>
    <t>Chandler Parsons</t>
  </si>
  <si>
    <t>Ricky Rubio</t>
  </si>
  <si>
    <t>Bogdan Bogdanovic</t>
  </si>
  <si>
    <t>Paul Millsap</t>
  </si>
  <si>
    <t>Marvin Williams</t>
  </si>
  <si>
    <t>Nikola Jokic</t>
  </si>
  <si>
    <t>Malcolm Brogdon</t>
  </si>
  <si>
    <t>Jeremy Lamb</t>
  </si>
  <si>
    <t>Wilson Chandler</t>
  </si>
  <si>
    <t>Stanley Johnson</t>
  </si>
  <si>
    <t>Frank Kaminsky</t>
  </si>
  <si>
    <t>Malik Monk</t>
  </si>
  <si>
    <t>Caris LeVert</t>
  </si>
  <si>
    <t>Al Horford</t>
  </si>
  <si>
    <t>Manu Ginobili</t>
  </si>
  <si>
    <t>DeMar DeRozan</t>
  </si>
  <si>
    <t>P.J. Tucker</t>
  </si>
  <si>
    <t>D.J. Augustin</t>
  </si>
  <si>
    <t>Norman Powell</t>
  </si>
  <si>
    <t>Boban Marjanovic</t>
  </si>
  <si>
    <t>Joel Embiid</t>
  </si>
  <si>
    <t>Timothe Luwawu-Cabarrot</t>
  </si>
  <si>
    <t>Trey Lyles</t>
  </si>
  <si>
    <t>OG Anunoby</t>
  </si>
  <si>
    <t>Reggie Bullock</t>
  </si>
  <si>
    <t>PG-SG</t>
  </si>
  <si>
    <t>Darren Collison</t>
  </si>
  <si>
    <t>Jayson Tatum</t>
  </si>
  <si>
    <t>George Hill</t>
  </si>
  <si>
    <t>Kelly Olynyk</t>
  </si>
  <si>
    <t>Mike James</t>
  </si>
  <si>
    <t>Jonathon Simmons</t>
  </si>
  <si>
    <t>Jodie Meeks</t>
  </si>
  <si>
    <t>Emmanuel Mudiay</t>
  </si>
  <si>
    <t>Luc Mbah a Moute</t>
  </si>
  <si>
    <t>Wesley Johnson</t>
  </si>
  <si>
    <t>Justin Anderson</t>
  </si>
  <si>
    <t>Marquese Chriss</t>
  </si>
  <si>
    <t>Alex Abrines</t>
  </si>
  <si>
    <t>Ben McLemore</t>
  </si>
  <si>
    <t>James Johnson</t>
  </si>
  <si>
    <t>Alec Burks</t>
  </si>
  <si>
    <t>Markieff Morris</t>
  </si>
  <si>
    <t>Bobby Portis</t>
  </si>
  <si>
    <t>Myles Turner</t>
  </si>
  <si>
    <t>Antonio Blakeney</t>
  </si>
  <si>
    <t>Jerian Grant</t>
  </si>
  <si>
    <t>Kris Dunn</t>
  </si>
  <si>
    <t>Justin Jackson</t>
  </si>
  <si>
    <t>Thaddeus Young</t>
  </si>
  <si>
    <t>Jordan Crawford</t>
  </si>
  <si>
    <t>Milton Doyle</t>
  </si>
  <si>
    <t>Tyler Cavanaugh</t>
  </si>
  <si>
    <t>Dillon Brooks</t>
  </si>
  <si>
    <t>Lance Stephenson</t>
  </si>
  <si>
    <t>Josh Jackson</t>
  </si>
  <si>
    <t>Luke Kennard</t>
  </si>
  <si>
    <t>Cory Joseph</t>
  </si>
  <si>
    <t>Malcolm Delaney</t>
  </si>
  <si>
    <t>Mike Scott</t>
  </si>
  <si>
    <t>Josh Hart</t>
  </si>
  <si>
    <t>Wayne Selden</t>
  </si>
  <si>
    <t>Jonas Jerebko</t>
  </si>
  <si>
    <t>Matthew Dellavedova</t>
  </si>
  <si>
    <t>Thabo Sefolosha</t>
  </si>
  <si>
    <t>Zach Randolph</t>
  </si>
  <si>
    <t>Andrew Harrison</t>
  </si>
  <si>
    <t>JaMychal Green</t>
  </si>
  <si>
    <t>Delon Wright</t>
  </si>
  <si>
    <t>C.J. Williams</t>
  </si>
  <si>
    <t>Juan Hernangomez</t>
  </si>
  <si>
    <t>Jeremy Lin</t>
  </si>
  <si>
    <t>Sterling Brown</t>
  </si>
  <si>
    <t>Pau Gasol</t>
  </si>
  <si>
    <t>Cedi Osman</t>
  </si>
  <si>
    <t>Damien Wilkins</t>
  </si>
  <si>
    <t>Tyler Dorsey</t>
  </si>
  <si>
    <t>Kadeem Allen</t>
  </si>
  <si>
    <t>Rudy Gay</t>
  </si>
  <si>
    <t>Pascal Siakam</t>
  </si>
  <si>
    <t>Patrick Patterson</t>
  </si>
  <si>
    <t>Anthony Davis</t>
  </si>
  <si>
    <t>Iman Shumpert</t>
  </si>
  <si>
    <t>Frank Ntilikina</t>
  </si>
  <si>
    <t>Semi Ojeleye</t>
  </si>
  <si>
    <t>Tyler Ulis</t>
  </si>
  <si>
    <t>Andre Iguodala</t>
  </si>
  <si>
    <t>Dorian Finney-Smith</t>
  </si>
  <si>
    <t>Mike Muscala</t>
  </si>
  <si>
    <t>Danuel House</t>
  </si>
  <si>
    <t>Maurice Harkless</t>
  </si>
  <si>
    <t>Maxi Kleber</t>
  </si>
  <si>
    <t>Brandon Ingram</t>
  </si>
  <si>
    <t>Paul Zipser</t>
  </si>
  <si>
    <t>Joe Young</t>
  </si>
  <si>
    <t>Terrance Ferguson</t>
  </si>
  <si>
    <t>Malachi Richardson</t>
  </si>
  <si>
    <t>Giannis Antetokounmpo</t>
  </si>
  <si>
    <t>Torrey Craig</t>
  </si>
  <si>
    <t>De'Aaron Fox</t>
  </si>
  <si>
    <t>LaMarcus Aldridge</t>
  </si>
  <si>
    <t>Evan Turner</t>
  </si>
  <si>
    <t>Jared Dudley</t>
  </si>
  <si>
    <t>Lance Thomas</t>
  </si>
  <si>
    <t>T.J. Warren</t>
  </si>
  <si>
    <t>Tyrone Wallace</t>
  </si>
  <si>
    <t>Frank Mason</t>
  </si>
  <si>
    <t>Dewayne Dedmon</t>
  </si>
  <si>
    <t>Royce O'Neale</t>
  </si>
  <si>
    <t>Ante Zizic</t>
  </si>
  <si>
    <t>Justise Winslow</t>
  </si>
  <si>
    <t>Quinn Cook</t>
  </si>
  <si>
    <t>Sam Dekker</t>
  </si>
  <si>
    <t>Zach Collins</t>
  </si>
  <si>
    <t>Jawun Evans</t>
  </si>
  <si>
    <t>Thon Maker</t>
  </si>
  <si>
    <t>Malik Beasley</t>
  </si>
  <si>
    <t>Zhou Qi</t>
  </si>
  <si>
    <t>Jonathan Isaac</t>
  </si>
  <si>
    <t>Ron Baker</t>
  </si>
  <si>
    <t>Isaiah Whitehead</t>
  </si>
  <si>
    <t>DeAndre Liggins</t>
  </si>
  <si>
    <t>Dwight Powell</t>
  </si>
  <si>
    <t>Shelvin Mack</t>
  </si>
  <si>
    <t>DeAndre' Bembry</t>
  </si>
  <si>
    <t>Brandon Paul</t>
  </si>
  <si>
    <t>Tomas Satoransky</t>
  </si>
  <si>
    <t>Andre Roberson</t>
  </si>
  <si>
    <t>Kobi Simmons</t>
  </si>
  <si>
    <t>Jarell Martin</t>
  </si>
  <si>
    <t>Cheick Diallo</t>
  </si>
  <si>
    <t>Meyers Leonard</t>
  </si>
  <si>
    <t>Dwayne Bacon</t>
  </si>
  <si>
    <t>Jamel Artis</t>
  </si>
  <si>
    <t>Tyler Ennis</t>
  </si>
  <si>
    <t>T.J. McConnell</t>
  </si>
  <si>
    <t>Rondae Hollis-Jefferson</t>
  </si>
  <si>
    <t>Richaun Holmes</t>
  </si>
  <si>
    <t>Sindarius Thornwell</t>
  </si>
  <si>
    <t>Isaiah Taylor</t>
  </si>
  <si>
    <t>Ramon Sessions</t>
  </si>
  <si>
    <t>Daniel Theis</t>
  </si>
  <si>
    <t>Gary Payton</t>
  </si>
  <si>
    <t>Timofey Mozgov</t>
  </si>
  <si>
    <t>Damyean Dotson</t>
  </si>
  <si>
    <t>Alfonzo McKinnie</t>
  </si>
  <si>
    <t>Wesley Iwundu</t>
  </si>
  <si>
    <t>Ish Smith</t>
  </si>
  <si>
    <t>Tyler Zeller</t>
  </si>
  <si>
    <t>JaKarr Sampson</t>
  </si>
  <si>
    <t>Jonas Valanciunas</t>
  </si>
  <si>
    <t>Domantas Sabonis</t>
  </si>
  <si>
    <t>Jon Leuer</t>
  </si>
  <si>
    <t>Skal Labissiere</t>
  </si>
  <si>
    <t>Dejounte Murray</t>
  </si>
  <si>
    <t>Ben Simmons</t>
  </si>
  <si>
    <t>Robin Lopez</t>
  </si>
  <si>
    <t>Jarrett Allen</t>
  </si>
  <si>
    <t>Joffrey Lauvergne</t>
  </si>
  <si>
    <t>Willie Cauley-Stein</t>
  </si>
  <si>
    <t>Enes Kanter</t>
  </si>
  <si>
    <t>Caleb Swanigan</t>
  </si>
  <si>
    <t>Al Jefferson</t>
  </si>
  <si>
    <t>Shaun Livingston</t>
  </si>
  <si>
    <t>Kyle O'Quinn</t>
  </si>
  <si>
    <t>Bam Adebayo</t>
  </si>
  <si>
    <t>Cody Zeller</t>
  </si>
  <si>
    <t>John Collins</t>
  </si>
  <si>
    <t>Derrick White</t>
  </si>
  <si>
    <t>Jabari Bird</t>
  </si>
  <si>
    <t>Hassan Whiteside</t>
  </si>
  <si>
    <t>Nene Hilario</t>
  </si>
  <si>
    <t>Michael Kidd-Gilchrist</t>
  </si>
  <si>
    <t>Jordan Bell</t>
  </si>
  <si>
    <t>Andre Drummond</t>
  </si>
  <si>
    <t>Larry Nance</t>
  </si>
  <si>
    <t>Dwight Howard</t>
  </si>
  <si>
    <t>Dakari Johnson</t>
  </si>
  <si>
    <t>John Henson</t>
  </si>
  <si>
    <t>Jakob Poeltl</t>
  </si>
  <si>
    <t>Ekpe Udoh</t>
  </si>
  <si>
    <t>Kenneth Faried</t>
  </si>
  <si>
    <t>Deyonta Davis</t>
  </si>
  <si>
    <t>Ian Mahinmi</t>
  </si>
  <si>
    <t>Rudy Gobert</t>
  </si>
  <si>
    <t>Steven Adams</t>
  </si>
  <si>
    <t>Vander Blue</t>
  </si>
  <si>
    <t>Bismack Biyombo</t>
  </si>
  <si>
    <t>Joakim Noah</t>
  </si>
  <si>
    <t>Darrun Hilliard</t>
  </si>
  <si>
    <t>Bobby Brown</t>
  </si>
  <si>
    <t>Joel Bolomboy</t>
  </si>
  <si>
    <t>Kyle Collinsworth</t>
  </si>
  <si>
    <t>Tyson Chandler</t>
  </si>
  <si>
    <t>Antonius Cleveland</t>
  </si>
  <si>
    <t>Jeff Withey</t>
  </si>
  <si>
    <t>Charles Cooke</t>
  </si>
  <si>
    <t>Jacob Wiley</t>
  </si>
  <si>
    <t>Johnathan Motley</t>
  </si>
  <si>
    <t>Thomas Bryant</t>
  </si>
  <si>
    <t>Marcin Gortat</t>
  </si>
  <si>
    <t>Cristiano Felicio</t>
  </si>
  <si>
    <t>DeAndre Jordan</t>
  </si>
  <si>
    <t>Kyle Singler</t>
  </si>
  <si>
    <t>T.J. Leaf</t>
  </si>
  <si>
    <t>Tristan Thompson</t>
  </si>
  <si>
    <t>Eric Moreland</t>
  </si>
  <si>
    <t>Omer Asik</t>
  </si>
  <si>
    <t>Willy Hernangomez</t>
  </si>
  <si>
    <t>Alex Caruso</t>
  </si>
  <si>
    <t>Henry Ellenson</t>
  </si>
  <si>
    <t>Abdel Nader</t>
  </si>
  <si>
    <t>Troy Williams</t>
  </si>
  <si>
    <t>Markelle Fultz</t>
  </si>
  <si>
    <t>Kosta Koufos</t>
  </si>
  <si>
    <t>Miles Plumlee</t>
  </si>
  <si>
    <t>Darrell Arthur</t>
  </si>
  <si>
    <t>Mason Plumlee</t>
  </si>
  <si>
    <t>Luis Montero</t>
  </si>
  <si>
    <t>Demetrius Jackson</t>
  </si>
  <si>
    <t>Luol Deng</t>
  </si>
  <si>
    <t>Ivica Zubac</t>
  </si>
  <si>
    <t>Matt Costello</t>
  </si>
  <si>
    <t>Georgios Papagiannis</t>
  </si>
  <si>
    <t>D.J. Wilson</t>
  </si>
  <si>
    <t>Matt Williams</t>
  </si>
  <si>
    <t>Ivan Rabb</t>
  </si>
  <si>
    <t>Vince Hunter</t>
  </si>
  <si>
    <t>John Holland</t>
  </si>
  <si>
    <t>Jacob Pullen</t>
  </si>
  <si>
    <t>Alex Poythress</t>
  </si>
  <si>
    <t>Gordon Hayward</t>
  </si>
  <si>
    <t>Josh Smith</t>
  </si>
  <si>
    <t>Damian Jones</t>
  </si>
  <si>
    <t>London Perrantes</t>
  </si>
  <si>
    <t>Khem Birch</t>
  </si>
  <si>
    <t>Mangok Mathiang</t>
  </si>
  <si>
    <t>Alec Peters</t>
  </si>
  <si>
    <t>Malcolm Miller</t>
  </si>
  <si>
    <t>Lorenzo Brown</t>
  </si>
  <si>
    <t>Nate Wolters</t>
  </si>
  <si>
    <t>Daniel Hamilton</t>
  </si>
  <si>
    <t>Naz Mitrou-Long</t>
  </si>
  <si>
    <t>Nicolas Brussino</t>
  </si>
  <si>
    <t>Mindaugas Kuzminskas</t>
  </si>
  <si>
    <t>Tyler Lydon</t>
  </si>
  <si>
    <t>Monte Morris</t>
  </si>
  <si>
    <t>Marcus Paige</t>
  </si>
  <si>
    <t>PER</t>
  </si>
  <si>
    <t>TS%</t>
  </si>
  <si>
    <t>3PAr</t>
  </si>
  <si>
    <t>FTr</t>
  </si>
  <si>
    <t>ORB%</t>
  </si>
  <si>
    <t>DRB%</t>
  </si>
  <si>
    <t>TRB%</t>
  </si>
  <si>
    <t>AST%</t>
  </si>
  <si>
    <t>STL%</t>
  </si>
  <si>
    <t>BLK%</t>
  </si>
  <si>
    <t>TOV%</t>
  </si>
  <si>
    <t>USG%</t>
  </si>
  <si>
    <t>OWS</t>
  </si>
  <si>
    <t>DWS</t>
  </si>
  <si>
    <t>WS</t>
  </si>
  <si>
    <t>WS/48</t>
  </si>
  <si>
    <t>OBPM</t>
  </si>
  <si>
    <t>DBPM</t>
  </si>
  <si>
    <t>BPM</t>
  </si>
  <si>
    <t>VORP</t>
  </si>
  <si>
    <t>R.J. Hunter</t>
  </si>
  <si>
    <t>Davon Reed</t>
  </si>
  <si>
    <t>Atlanta Hawks</t>
  </si>
  <si>
    <t>Boston Celtics</t>
  </si>
  <si>
    <t>Chicago Bulls</t>
  </si>
  <si>
    <t>Charlotte Hornets</t>
  </si>
  <si>
    <t>Dallas Mavericks</t>
  </si>
  <si>
    <t>Denver Nuggets</t>
  </si>
  <si>
    <t>Detroit Pistons</t>
  </si>
  <si>
    <t>Golden State Warriors</t>
  </si>
  <si>
    <t>Houston Rockets</t>
  </si>
  <si>
    <t>Indiana Pacers</t>
  </si>
  <si>
    <t>Los Angeles Clippers</t>
  </si>
  <si>
    <t>Los Angeles Lakers</t>
  </si>
  <si>
    <t>Memphis Grizzlies</t>
  </si>
  <si>
    <t>Miami Heat</t>
  </si>
  <si>
    <t>Milwaukee Bucks</t>
  </si>
  <si>
    <t>Minnesota Timberwolves</t>
  </si>
  <si>
    <t>New Orleans Pelicans</t>
  </si>
  <si>
    <t>New York Knicks</t>
  </si>
  <si>
    <t>Oklahoma City Thunder</t>
  </si>
  <si>
    <t>Orlando Magic</t>
  </si>
  <si>
    <t>Philadelphia 76ers</t>
  </si>
  <si>
    <t>Phoenix Suns</t>
  </si>
  <si>
    <t>Portland Trail Blazers</t>
  </si>
  <si>
    <t>Sacramento Kings</t>
  </si>
  <si>
    <t>San Antonio Spurs</t>
  </si>
  <si>
    <t>Toronto Raptors</t>
  </si>
  <si>
    <t>Utah Jazz</t>
  </si>
  <si>
    <t>Washington Wizards</t>
  </si>
  <si>
    <t>Created by Jackson Strand</t>
  </si>
  <si>
    <t>References</t>
  </si>
  <si>
    <t>Tab</t>
  </si>
  <si>
    <t>Description</t>
  </si>
  <si>
    <t xml:space="preserve">Select team(s) and view salaries and statistics for players. </t>
  </si>
  <si>
    <t>Advanced</t>
  </si>
  <si>
    <t xml:space="preserve">Cleveland Cavaliers </t>
  </si>
  <si>
    <t>Brooklyn Nets</t>
  </si>
  <si>
    <t>Stephen Zimmerman</t>
  </si>
  <si>
    <t>Chasson Randle</t>
  </si>
  <si>
    <t>Glenn Robinson</t>
  </si>
  <si>
    <t>Jarell Eddie</t>
  </si>
  <si>
    <t>Beno Udrih</t>
  </si>
  <si>
    <t>Chris Johnson</t>
  </si>
  <si>
    <t>Axel Toupane</t>
  </si>
  <si>
    <t>Jeremy Evans</t>
  </si>
  <si>
    <t>Diamond Stone</t>
  </si>
  <si>
    <t>V.J. Beachem</t>
  </si>
  <si>
    <t>Jalen Moore</t>
  </si>
  <si>
    <t>Nigel Hayes</t>
  </si>
  <si>
    <t>Daniel Ochefu</t>
  </si>
  <si>
    <t>Georges Niang</t>
  </si>
  <si>
    <t>Marshall Plumlee</t>
  </si>
  <si>
    <t>K.J. McDaniels</t>
  </si>
  <si>
    <t>Carrick Felix</t>
  </si>
  <si>
    <t>Rakeem Christmas</t>
  </si>
  <si>
    <t>Cameron Oliver</t>
  </si>
  <si>
    <t>Gal Mekel</t>
  </si>
  <si>
    <t>Aaron Gray</t>
  </si>
  <si>
    <t>Michael Gbinije</t>
  </si>
  <si>
    <t>Tibor Pleiss</t>
  </si>
  <si>
    <t>Leandro Barbosa</t>
  </si>
  <si>
    <t>Jordan Farmar</t>
  </si>
  <si>
    <t>Miroslav Raduljica</t>
  </si>
  <si>
    <t>Minimum Salary</t>
  </si>
  <si>
    <t>MLE</t>
  </si>
  <si>
    <t>Cap space</t>
  </si>
  <si>
    <t>C.J. Watson</t>
  </si>
  <si>
    <t>Festus Ezeli</t>
  </si>
  <si>
    <t>Gerald Henderson</t>
  </si>
  <si>
    <t>Caron Butler</t>
  </si>
  <si>
    <t>Livio Jean-Charles</t>
  </si>
  <si>
    <t>Paul Pierce</t>
  </si>
  <si>
    <t>Carlos Delfino</t>
  </si>
  <si>
    <t>Cap Space</t>
  </si>
  <si>
    <t>Rodney McGruder</t>
  </si>
  <si>
    <t>Sheldon Mac</t>
  </si>
  <si>
    <t>1st Round pick</t>
  </si>
  <si>
    <t>Draft Pick</t>
  </si>
  <si>
    <t>Martell Webster</t>
  </si>
  <si>
    <t>Mike Dunleavy</t>
  </si>
  <si>
    <t>Wade Baldwin</t>
  </si>
  <si>
    <t>1st round pick</t>
  </si>
  <si>
    <t>Jason Thompson</t>
  </si>
  <si>
    <t>Room exception</t>
  </si>
  <si>
    <t>Non-Bird Rights</t>
  </si>
  <si>
    <t>1st Round Pick</t>
  </si>
  <si>
    <t>Rade Zagorac</t>
  </si>
  <si>
    <t>Ronnie Price</t>
  </si>
  <si>
    <t>Room Exception</t>
  </si>
  <si>
    <t>Frank Jackson</t>
  </si>
  <si>
    <t>Bi-annual Exception</t>
  </si>
  <si>
    <t>Kevin Martin</t>
  </si>
  <si>
    <t>Chinanu Onuaku</t>
  </si>
  <si>
    <t>A.J. Hammons</t>
  </si>
  <si>
    <t>Justin Hamilton</t>
  </si>
  <si>
    <t>Bird Rights</t>
  </si>
  <si>
    <t>Tim Duncan</t>
  </si>
  <si>
    <t>Harry Giles</t>
  </si>
  <si>
    <t>Cameron Payne</t>
  </si>
  <si>
    <t>Alan Williams</t>
  </si>
  <si>
    <t>Spencer Hawes</t>
  </si>
  <si>
    <t>1st Rd pick</t>
  </si>
  <si>
    <t>Matt Barnes</t>
  </si>
  <si>
    <t>Anderson Varejao</t>
  </si>
  <si>
    <t>Larry Sanders</t>
  </si>
  <si>
    <t>Early Bird Rights</t>
  </si>
  <si>
    <t>Alexis Ajinca</t>
  </si>
  <si>
    <t>Monta Ellis</t>
  </si>
  <si>
    <t>Nikola Pekovic</t>
  </si>
  <si>
    <t>Rookie scale extension</t>
  </si>
  <si>
    <t>Deron Williams</t>
  </si>
  <si>
    <t>Andrew Nicholson</t>
  </si>
  <si>
    <t>Solomon Hill</t>
  </si>
  <si>
    <t>Brandon Knight</t>
  </si>
  <si>
    <t>Chris Bosh</t>
  </si>
  <si>
    <t>Sign and Trade</t>
  </si>
  <si>
    <t>Guaranteed</t>
  </si>
  <si>
    <t>Signed Using</t>
  </si>
  <si>
    <t>2017-2018</t>
  </si>
  <si>
    <t>2018-2019</t>
  </si>
  <si>
    <t>Myke Henry</t>
  </si>
  <si>
    <t>Xavier Munford</t>
  </si>
  <si>
    <t>James Young</t>
  </si>
  <si>
    <t>2019-2020</t>
  </si>
  <si>
    <r>
      <t xml:space="preserve">Select team   </t>
    </r>
    <r>
      <rPr>
        <sz val="11"/>
        <color theme="1"/>
        <rFont val="Calibri"/>
        <family val="2"/>
      </rPr>
      <t>←</t>
    </r>
  </si>
  <si>
    <t>2017-2018 Salary</t>
  </si>
  <si>
    <t>3pt%</t>
  </si>
  <si>
    <t>Value</t>
  </si>
  <si>
    <t>Rank</t>
  </si>
  <si>
    <t>Advanced_Table[[#All],[DRB%]]</t>
  </si>
  <si>
    <t>Free Agent Adder</t>
  </si>
  <si>
    <t>(Expiring Contracts)</t>
  </si>
  <si>
    <t>PTS</t>
  </si>
  <si>
    <t>Larry Drew</t>
  </si>
  <si>
    <t>Ben Moore</t>
  </si>
  <si>
    <t>(5*10^6)*J32+5*10^6</t>
  </si>
  <si>
    <t>vorp</t>
  </si>
  <si>
    <t>(3*10^6)*B2+3*10^6</t>
  </si>
  <si>
    <t>ws</t>
  </si>
  <si>
    <t>1.019*AVERAGE(((5*10^6)*$L$30+5*10^6),(3*10^6)*$M$30+3*10^6)</t>
  </si>
  <si>
    <t>Backup Equations</t>
  </si>
  <si>
    <r>
      <t xml:space="preserve">Select 2017-2018 FA </t>
    </r>
    <r>
      <rPr>
        <sz val="11"/>
        <color theme="1"/>
        <rFont val="Calibri"/>
        <family val="2"/>
      </rPr>
      <t>↓</t>
    </r>
  </si>
  <si>
    <t>Cap hold w/ FA</t>
  </si>
  <si>
    <t>Summer 2018 Free Agent Roster</t>
  </si>
  <si>
    <t>Cleveland Cavaliers</t>
  </si>
  <si>
    <t>James Webb</t>
  </si>
  <si>
    <t>2020-2021</t>
  </si>
  <si>
    <t>https://basketball.realgm.com/nba/info/minimum_scale</t>
  </si>
  <si>
    <t>minimum contracts</t>
  </si>
  <si>
    <t>Player Salaries</t>
  </si>
  <si>
    <t>View extended salaries for all players</t>
  </si>
  <si>
    <t>Salary 2017-18</t>
  </si>
  <si>
    <t>Salary 2018-19</t>
  </si>
  <si>
    <t>Salary 2019-20</t>
  </si>
  <si>
    <t>Salary 2020-21</t>
  </si>
  <si>
    <t>Salary 2021-22</t>
  </si>
  <si>
    <t>Salary 2022-23</t>
  </si>
  <si>
    <t>Two-Way Converted</t>
  </si>
  <si>
    <t>10-Day Contract</t>
  </si>
  <si>
    <t>Michael Young</t>
  </si>
  <si>
    <t>Eric Griffin</t>
  </si>
  <si>
    <t>Yakuba Ouattara</t>
  </si>
  <si>
    <t>Estimated 2018-2019 Worth</t>
  </si>
  <si>
    <t>Markel Brown</t>
  </si>
  <si>
    <t>Josh Gray</t>
  </si>
  <si>
    <t>Emeka Okafor</t>
  </si>
  <si>
    <t>Reggie Hearn</t>
  </si>
  <si>
    <t>Erik McCree</t>
  </si>
  <si>
    <t>Injury</t>
  </si>
  <si>
    <t>Knee</t>
  </si>
  <si>
    <t>Date</t>
  </si>
  <si>
    <t>Note</t>
  </si>
  <si>
    <t>Ankle</t>
  </si>
  <si>
    <t>Quadricep</t>
  </si>
  <si>
    <t>Hip</t>
  </si>
  <si>
    <t>Hand</t>
  </si>
  <si>
    <t>Lin ruptured the patellar tendon in his right knee and will likely miss the remainder of the season.</t>
  </si>
  <si>
    <t>Foot</t>
  </si>
  <si>
    <t>Leg</t>
  </si>
  <si>
    <t>Wrist</t>
  </si>
  <si>
    <t>Leuer will likely miss the remainder of the season after having surgery to repair a left ankle sprain.</t>
  </si>
  <si>
    <t>Personal</t>
  </si>
  <si>
    <t>Hamstring</t>
  </si>
  <si>
    <t>Back</t>
  </si>
  <si>
    <t>Beverley had season-ending surgery to repair a micro-fracture and torn meniscus in his right knee.</t>
  </si>
  <si>
    <t>Achilles</t>
  </si>
  <si>
    <t>Conley is expected to miss the remainder of the season due to a small bone protrusion in his left heel.</t>
  </si>
  <si>
    <t>Shoulder</t>
  </si>
  <si>
    <t>Waiters had season-ending surgery to repair instability in his left ankle and a pre-existing navicular bone fracture.</t>
  </si>
  <si>
    <t>Brogdon has a partially torn left quadriceps tendon and is expected to need six-to-eight weeks to recover.</t>
  </si>
  <si>
    <t>Ajinca had surgery on his right patellar tendon. He is expected to need four-to-six months to recover and will likely miss the remainder of the season.</t>
  </si>
  <si>
    <t>Cousins had surgery to fix a ruptured left Achilles tendon and is expected to miss the remainder of the season.</t>
  </si>
  <si>
    <t>Roberson ruptured his left patellar tendon and will require surgery to repair the injury. He is expected to miss the remainder of the season.</t>
  </si>
  <si>
    <t>Knight had surgery for a torn ACL and will miss the entire 2017-18 season.</t>
  </si>
  <si>
    <t>CJ Wilcox</t>
  </si>
  <si>
    <t>Wilcox had right knee surgery and is rehabbing with the team's NBA G League affiliate. It is unknown when he will rejoin the lineup.</t>
  </si>
  <si>
    <t>Sefolosha had season-ending surgery to repair an MCL injury to his right knee.</t>
  </si>
  <si>
    <t>Wall is expected to miss six-to-eight weeks of action after having surgery on his left knee.</t>
  </si>
  <si>
    <t>2021-2022</t>
  </si>
  <si>
    <t>Curry will have surgery on his left tibia and is expected to miss the remainder of the season.</t>
  </si>
  <si>
    <t>Baker had season-ending surgery to repair a dislocated right shoulder and torn labrum.</t>
  </si>
  <si>
    <t>1st rd pick</t>
  </si>
  <si>
    <t>&gt; 8% OF CAP</t>
  </si>
  <si>
    <t>&lt; 8% OF CAP</t>
  </si>
  <si>
    <t>Bi-Annual Exception</t>
  </si>
  <si>
    <t>&gt; 1,000,000</t>
  </si>
  <si>
    <t>&lt; 1,000,000</t>
  </si>
  <si>
    <t>(2ND RD)</t>
  </si>
  <si>
    <t>EARLY BIRD</t>
  </si>
  <si>
    <t>EARLY BIRD RIGHTS</t>
  </si>
  <si>
    <t>MINIMUM SALARY</t>
  </si>
  <si>
    <t>Rookie Scale Extension</t>
  </si>
  <si>
    <t>Shumpert is battling plantar fasciitis in his left foot and there is no timetable for recovery.</t>
  </si>
  <si>
    <t>PJ Dozier</t>
  </si>
  <si>
    <t>Isaiah Hicks</t>
  </si>
  <si>
    <t>Luke Kornet</t>
  </si>
  <si>
    <t>Pos.</t>
  </si>
  <si>
    <t>Cap Hit</t>
  </si>
  <si>
    <t>Option</t>
  </si>
  <si>
    <t>ETO</t>
  </si>
  <si>
    <t>Club</t>
  </si>
  <si>
    <t>Joseph Young</t>
  </si>
  <si>
    <t>Team Option</t>
  </si>
  <si>
    <t>Player Option</t>
  </si>
  <si>
    <t>Laui Markkanen</t>
  </si>
  <si>
    <t>Dennis Smith Jr.</t>
  </si>
  <si>
    <t>Taurean Prince</t>
  </si>
  <si>
    <t>Edrice Adebayo</t>
  </si>
  <si>
    <t>DJ Wilson</t>
  </si>
  <si>
    <t>TJ Leaf</t>
  </si>
  <si>
    <t>Otto Porter Jr.</t>
  </si>
  <si>
    <t>Tim Hardaway Jr.</t>
  </si>
  <si>
    <t>Classic</t>
  </si>
  <si>
    <t>2018-2019    Status</t>
  </si>
  <si>
    <t>Disabled Player Exception</t>
  </si>
  <si>
    <t>Injury updates for all players</t>
  </si>
  <si>
    <t>2017-2018 Season</t>
  </si>
  <si>
    <t>GP / GS</t>
  </si>
  <si>
    <t>RANK</t>
  </si>
  <si>
    <t>Projected Cap</t>
  </si>
  <si>
    <t>Active Cap</t>
  </si>
  <si>
    <t>Dead Cap</t>
  </si>
  <si>
    <t>League Average</t>
  </si>
  <si>
    <t>TEAM</t>
  </si>
  <si>
    <t>W</t>
  </si>
  <si>
    <t>L</t>
  </si>
  <si>
    <t>WIN%</t>
  </si>
  <si>
    <t>LA Clippers</t>
  </si>
  <si>
    <t>West</t>
  </si>
  <si>
    <t>East</t>
  </si>
  <si>
    <t>Win %</t>
  </si>
  <si>
    <t>Term</t>
  </si>
  <si>
    <t>Definition</t>
  </si>
  <si>
    <t>GP/GS</t>
  </si>
  <si>
    <t>Games Played / Games Started</t>
  </si>
  <si>
    <t>Minutes Per Game</t>
  </si>
  <si>
    <r>
      <t xml:space="preserve">Players with under </t>
    </r>
    <r>
      <rPr>
        <i/>
        <sz val="11"/>
        <color theme="1"/>
        <rFont val="Calibri"/>
        <family val="2"/>
        <scheme val="minor"/>
      </rPr>
      <t>four</t>
    </r>
    <r>
      <rPr>
        <sz val="11"/>
        <color theme="1"/>
        <rFont val="Calibri"/>
        <family val="2"/>
        <scheme val="minor"/>
      </rPr>
      <t xml:space="preserve"> years of service, team has the right to match any offer made by another team</t>
    </r>
  </si>
  <si>
    <t>Player has right to sign with any team, incumbant team can usually offer more years/money</t>
  </si>
  <si>
    <t>Team can choose to pick up or decline option on player, either ending or extending contract</t>
  </si>
  <si>
    <t>Player can choose to extend contract or decline and become an unrestricted free agent</t>
  </si>
  <si>
    <t>Field Goals attempted</t>
  </si>
  <si>
    <t>Field Goal percentage (FG/FGA)</t>
  </si>
  <si>
    <t>3 point field goals attempted</t>
  </si>
  <si>
    <t>3 point field goals made</t>
  </si>
  <si>
    <t>2 point field goals made</t>
  </si>
  <si>
    <t>3 point field goal percentage (3P/3PA)</t>
  </si>
  <si>
    <t xml:space="preserve">2 point field goals attempted </t>
  </si>
  <si>
    <t>2 point field goal percentage (2P/2PA)</t>
  </si>
  <si>
    <t>Free throws made</t>
  </si>
  <si>
    <t>Free throws attempted</t>
  </si>
  <si>
    <t>Free throw percentage (FT/FTA)</t>
  </si>
  <si>
    <t>Offensive Rebounds</t>
  </si>
  <si>
    <t>Defensive Rebounds</t>
  </si>
  <si>
    <t>Total Rebounds (ORB+DRB)</t>
  </si>
  <si>
    <t>Assists</t>
  </si>
  <si>
    <t>Steals</t>
  </si>
  <si>
    <t>Blocks</t>
  </si>
  <si>
    <t>Turnovers</t>
  </si>
  <si>
    <t>Personal Fouls</t>
  </si>
  <si>
    <t>Points per Game</t>
  </si>
  <si>
    <t>What percent of the league the player is better than</t>
  </si>
  <si>
    <t>Classic Stats</t>
  </si>
  <si>
    <t>Advanced Stats</t>
  </si>
  <si>
    <t>Other</t>
  </si>
  <si>
    <t>Glossary</t>
  </si>
  <si>
    <t>Terms used throughout the document defined and explained</t>
  </si>
  <si>
    <t>Injury Report</t>
  </si>
  <si>
    <t>Injuries +</t>
  </si>
  <si>
    <t>Porzingis had surgery to repair a torn ACL in his left knee and has been shut down for the remainder of the season.</t>
  </si>
  <si>
    <t>Dist.</t>
  </si>
  <si>
    <t>% of FGA by Distance 2P</t>
  </si>
  <si>
    <t>% of FGA by Distance 0-3</t>
  </si>
  <si>
    <t>% of FGA by Distance 3-10</t>
  </si>
  <si>
    <t>% of FGA by Distance 10-16</t>
  </si>
  <si>
    <t>% of FGA by Distance 16 &lt;3</t>
  </si>
  <si>
    <t>% of FGA by Distance 3P</t>
  </si>
  <si>
    <t>FG% by Distance 2P</t>
  </si>
  <si>
    <t>FG% by Distance 0-3</t>
  </si>
  <si>
    <t>FG% by Distance 3-10</t>
  </si>
  <si>
    <t>FG% by Distance 10-16</t>
  </si>
  <si>
    <t>FG% by Distance 16 &lt;3</t>
  </si>
  <si>
    <t>FG% by Distance 3P</t>
  </si>
  <si>
    <t>2-Pt Field Goals %Ast'd</t>
  </si>
  <si>
    <t>2-Pt Field Goals Dunks %FGA</t>
  </si>
  <si>
    <t>2-Pt Field Goals Dunks Md.</t>
  </si>
  <si>
    <t>2-Pt Field Goals Layups %FGA</t>
  </si>
  <si>
    <t>2-Pt Field Goals Layups Md.</t>
  </si>
  <si>
    <t>3-Pt Field Goals %Ast'd</t>
  </si>
  <si>
    <t>3-Pt Field Goals Corner %3PA</t>
  </si>
  <si>
    <t>3-Pt Field Goals Corner 3P%</t>
  </si>
  <si>
    <t>3-Pt Field Goals Heaves Att.</t>
  </si>
  <si>
    <t>3-Pt Field Goals Heaves Md.</t>
  </si>
  <si>
    <t>Team Shooting</t>
  </si>
  <si>
    <t>Average FG Distance</t>
  </si>
  <si>
    <t>0-3</t>
  </si>
  <si>
    <t>2-PFG</t>
  </si>
  <si>
    <t>3-PFG</t>
  </si>
  <si>
    <t>16&lt;3</t>
  </si>
  <si>
    <t>3-10</t>
  </si>
  <si>
    <t>10-16</t>
  </si>
  <si>
    <t>FGA%</t>
  </si>
  <si>
    <t>League Averages</t>
  </si>
  <si>
    <t>Andrew White</t>
  </si>
  <si>
    <t>Distance (ft)</t>
  </si>
  <si>
    <t>FGA% by Distance</t>
  </si>
  <si>
    <t>FG% by Distance</t>
  </si>
  <si>
    <t>View players on expiring deals and sort by statistics or 2017-2018 Salary</t>
  </si>
  <si>
    <t>Team Field Goal %</t>
  </si>
  <si>
    <t>Appendix</t>
  </si>
  <si>
    <t>Abdominal</t>
  </si>
  <si>
    <t>Column1</t>
  </si>
  <si>
    <r>
      <t>Team Average/</t>
    </r>
    <r>
      <rPr>
        <sz val="11"/>
        <color theme="4"/>
        <rFont val="Calibri"/>
        <family val="2"/>
        <scheme val="minor"/>
      </rPr>
      <t>Total</t>
    </r>
  </si>
  <si>
    <t>Team Opponent FG%</t>
  </si>
  <si>
    <t>Average Opponent FG Distance</t>
  </si>
  <si>
    <t>NET</t>
  </si>
  <si>
    <t>DEF</t>
  </si>
  <si>
    <t>OFF</t>
  </si>
  <si>
    <t>Rating</t>
  </si>
  <si>
    <t>AST Ratio</t>
  </si>
  <si>
    <t xml:space="preserve">Rating </t>
  </si>
  <si>
    <t>Last 5</t>
  </si>
  <si>
    <t>Last 10</t>
  </si>
  <si>
    <t>Last 15</t>
  </si>
  <si>
    <t>All Games</t>
  </si>
  <si>
    <t>PIE</t>
  </si>
  <si>
    <t>PACE</t>
  </si>
  <si>
    <t>REB%</t>
  </si>
  <si>
    <t>DREB%</t>
  </si>
  <si>
    <t>OREB%</t>
  </si>
  <si>
    <t>AST/TO</t>
  </si>
  <si>
    <t>NetRtg</t>
  </si>
  <si>
    <t>DefRtg</t>
  </si>
  <si>
    <t>OffRtg</t>
  </si>
  <si>
    <t>Shot Frequency by Distance</t>
  </si>
  <si>
    <r>
      <t xml:space="preserve">2017-2018 </t>
    </r>
    <r>
      <rPr>
        <b/>
        <sz val="16"/>
        <color theme="1"/>
        <rFont val="Calibri"/>
        <family val="2"/>
        <scheme val="minor"/>
      </rPr>
      <t>Last 5</t>
    </r>
    <r>
      <rPr>
        <sz val="16"/>
        <color theme="1"/>
        <rFont val="Calibri"/>
        <family val="2"/>
        <scheme val="minor"/>
      </rPr>
      <t xml:space="preserve"> Games</t>
    </r>
  </si>
  <si>
    <r>
      <t xml:space="preserve">2017-2018 </t>
    </r>
    <r>
      <rPr>
        <b/>
        <sz val="16"/>
        <color theme="1"/>
        <rFont val="Calibri"/>
        <family val="2"/>
        <scheme val="minor"/>
      </rPr>
      <t>Last 10</t>
    </r>
    <r>
      <rPr>
        <sz val="16"/>
        <color theme="1"/>
        <rFont val="Calibri"/>
        <family val="2"/>
        <scheme val="minor"/>
      </rPr>
      <t xml:space="preserve"> Games</t>
    </r>
  </si>
  <si>
    <r>
      <t xml:space="preserve">2017-2018 </t>
    </r>
    <r>
      <rPr>
        <b/>
        <sz val="16"/>
        <color theme="1"/>
        <rFont val="Calibri"/>
        <family val="2"/>
        <scheme val="minor"/>
      </rPr>
      <t>Last 15</t>
    </r>
    <r>
      <rPr>
        <sz val="16"/>
        <color theme="1"/>
        <rFont val="Calibri"/>
        <family val="2"/>
        <scheme val="minor"/>
      </rPr>
      <t xml:space="preserve"> Games</t>
    </r>
  </si>
  <si>
    <t>Basketball Analysis Tool</t>
  </si>
  <si>
    <t>Team Ranking</t>
  </si>
  <si>
    <t>What n% of the data lies below the given value</t>
  </si>
  <si>
    <t>3pt% - 3PA</t>
  </si>
  <si>
    <t>Rank/Percentile Value</t>
  </si>
  <si>
    <t>Last Updated:</t>
  </si>
  <si>
    <t>Pace</t>
  </si>
  <si>
    <t>Pie</t>
  </si>
  <si>
    <t>Key Offensive Stats</t>
  </si>
  <si>
    <t>Key Defensive Stats</t>
  </si>
  <si>
    <t>Advanced Team Rating</t>
  </si>
  <si>
    <t>Shaquille Harrison</t>
  </si>
  <si>
    <t>Walt Lemon, Jr.</t>
  </si>
  <si>
    <t>Trey McKinney-Jones</t>
  </si>
  <si>
    <t>Hernia</t>
  </si>
  <si>
    <t>Ribs</t>
  </si>
  <si>
    <t>Noah and the organization have come to an agreement that he will not be involved in team activities for the remainder of the season.</t>
  </si>
  <si>
    <t>Brandon Rush</t>
  </si>
  <si>
    <t>Opp TOVs</t>
  </si>
  <si>
    <t>Hip Flexor</t>
  </si>
  <si>
    <t>Marcus Thornton</t>
  </si>
  <si>
    <t>Luxury Tax Threshold</t>
  </si>
  <si>
    <t>Luxury Cap Space</t>
  </si>
  <si>
    <t>NBA 2017 CBA RULES</t>
  </si>
  <si>
    <t>Salary Cap and How it works</t>
  </si>
  <si>
    <t>Tax Level</t>
  </si>
  <si>
    <t>In subsequent seasons the Apron rises or falls by one-half the percentage that the salary cap rises or falls.</t>
  </si>
  <si>
    <t>Scotty Hopson</t>
  </si>
  <si>
    <t>Team Stats</t>
  </si>
  <si>
    <t>Tax Apron</t>
  </si>
  <si>
    <t>Pie %</t>
  </si>
  <si>
    <r>
      <rPr>
        <b/>
        <sz val="11"/>
        <color theme="1"/>
        <rFont val="Calibri"/>
        <family val="2"/>
        <scheme val="minor"/>
      </rPr>
      <t xml:space="preserve">Player Impact Estimate </t>
    </r>
    <r>
      <rPr>
        <sz val="11"/>
        <color theme="1"/>
        <rFont val="Calibri"/>
        <family val="2"/>
        <scheme val="minor"/>
      </rPr>
      <t xml:space="preserve">- What percent of game events did a player or team achieve using traditional basketball statistics (Points, rebounds, assists, etc.). Players above 10% are likely to be above average. Teams above 50% are likely to be winning teams. </t>
    </r>
  </si>
  <si>
    <t>Restricted Free Agent
(RFA)</t>
  </si>
  <si>
    <t>Unrestricted Free Agent
(UFA)</t>
  </si>
  <si>
    <t>Jaylen Morris</t>
  </si>
  <si>
    <t/>
  </si>
  <si>
    <t>Playoffs?</t>
  </si>
  <si>
    <t>Notes</t>
  </si>
  <si>
    <t>Team salary above tax level</t>
  </si>
  <si>
    <t>Lower</t>
  </si>
  <si>
    <t>Upper</t>
  </si>
  <si>
    <t>Non-repeater</t>
  </si>
  <si>
    <t>Repeater</t>
  </si>
  <si>
    <t>Tax rate</t>
  </si>
  <si>
    <t>Incremental maximum</t>
  </si>
  <si>
    <t>$7.5 million</t>
  </si>
  <si>
    <t>$12.5 million</t>
  </si>
  <si>
    <t>$8.75 million</t>
  </si>
  <si>
    <t>$13.75 million</t>
  </si>
  <si>
    <t>$17.5 million</t>
  </si>
  <si>
    <t>$16.25 million</t>
  </si>
  <si>
    <t>$21.25 million</t>
  </si>
  <si>
    <t>N/A</t>
  </si>
  <si>
    <t>$3.75, and increasing $.50 for each additional $5 million</t>
  </si>
  <si>
    <t>$4.75, and increasing $.50 for each additional $5 million.</t>
  </si>
  <si>
    <t>Dellavedova is sidelined with a sprained right ankle and there is no timetable for recovery.</t>
  </si>
  <si>
    <t>Butler had surgery to repair a right meniscus injury and will be sidelined four-to-six weeks as a result.</t>
  </si>
  <si>
    <t>Travis Wear</t>
  </si>
  <si>
    <t xml:space="preserve">Luxury tax threshold that activates addional penalties on the offending team. Penalties include:
</t>
  </si>
  <si>
    <t>Luxury Tax</t>
  </si>
  <si>
    <t xml:space="preserve">Amount above the determined salary cap. Offending teams pay a bracketed amount that corresponds to the total amount above the salary cap. </t>
  </si>
  <si>
    <t>Xavier Rathan-Mayes</t>
  </si>
  <si>
    <t>Record</t>
  </si>
  <si>
    <t>$5,000,000</t>
  </si>
  <si>
    <t>$815,686</t>
  </si>
  <si>
    <t>$749,905</t>
  </si>
  <si>
    <t>$705,652</t>
  </si>
  <si>
    <t>$565,718</t>
  </si>
  <si>
    <t>$526,249</t>
  </si>
  <si>
    <t>$446,138</t>
  </si>
  <si>
    <t>$347,525</t>
  </si>
  <si>
    <t>GB</t>
  </si>
  <si>
    <t>GB L</t>
  </si>
  <si>
    <t>GB W</t>
  </si>
  <si>
    <t>Apron Cap Space</t>
  </si>
  <si>
    <t>Tm = TOT means total stats between mulitple teams</t>
  </si>
  <si>
    <t xml:space="preserve">Team </t>
  </si>
  <si>
    <t>Player Advanced</t>
  </si>
  <si>
    <t>Player Per Game</t>
  </si>
  <si>
    <t>Player Totals</t>
  </si>
  <si>
    <t>Standings</t>
  </si>
  <si>
    <t>Contract Options</t>
  </si>
  <si>
    <t>Roster Analysis</t>
  </si>
  <si>
    <t>Quantitative data on various team stats - compare between two teams</t>
  </si>
  <si>
    <t>2018 Free Agents</t>
  </si>
  <si>
    <t>Estimated Luxury Payments Owed</t>
  </si>
  <si>
    <r>
      <rPr>
        <sz val="11"/>
        <color theme="1"/>
        <rFont val="Calibri"/>
        <family val="2"/>
      </rPr>
      <t>↓</t>
    </r>
    <r>
      <rPr>
        <sz val="11"/>
        <color theme="1"/>
        <rFont val="Calibri"/>
        <family val="2"/>
        <scheme val="minor"/>
      </rPr>
      <t xml:space="preserve"> Select team to compare </t>
    </r>
    <r>
      <rPr>
        <sz val="11"/>
        <color theme="1"/>
        <rFont val="Calibri"/>
        <family val="2"/>
      </rPr>
      <t>↓</t>
    </r>
  </si>
  <si>
    <t>Wright is dealing with soreness in his right knee and is expected to be out of game action until the end of March.</t>
  </si>
  <si>
    <t>SF-SG</t>
  </si>
  <si>
    <t>Total Cap Allocations</t>
  </si>
  <si>
    <t>Practical Cap Space</t>
  </si>
  <si>
    <r>
      <t xml:space="preserve">Note: Salary calculations only take into account </t>
    </r>
    <r>
      <rPr>
        <i/>
        <sz val="11"/>
        <color theme="1"/>
        <rFont val="Calibri"/>
        <family val="2"/>
        <scheme val="minor"/>
      </rPr>
      <t>base salaries</t>
    </r>
    <r>
      <rPr>
        <sz val="11"/>
        <color theme="1"/>
        <rFont val="Calibri"/>
        <family val="2"/>
        <scheme val="minor"/>
      </rPr>
      <t xml:space="preserve">, </t>
    </r>
    <r>
      <rPr>
        <b/>
        <sz val="11"/>
        <color theme="1"/>
        <rFont val="Calibri"/>
        <family val="2"/>
        <scheme val="minor"/>
      </rPr>
      <t>not</t>
    </r>
    <r>
      <rPr>
        <sz val="11"/>
        <color theme="1"/>
        <rFont val="Calibri"/>
        <family val="2"/>
        <scheme val="minor"/>
      </rPr>
      <t xml:space="preserve"> cap figures. Because of this, cap space and salary tax calcualtions may slightly differ from official numbers.</t>
    </r>
  </si>
  <si>
    <t>Mid Level Exception</t>
  </si>
  <si>
    <t>Standard/Non-Taxpayer</t>
  </si>
  <si>
    <t>Taxpayer</t>
  </si>
  <si>
    <t>Team Room/Under Cap</t>
  </si>
  <si>
    <t>Minimum Salary Scale</t>
  </si>
  <si>
    <t>Experience</t>
  </si>
  <si>
    <t>10+</t>
  </si>
  <si>
    <t>Luxury Tax Scale</t>
  </si>
  <si>
    <t>Year</t>
  </si>
  <si>
    <t>Salary Cap Based Contracts</t>
  </si>
  <si>
    <r>
      <rPr>
        <b/>
        <sz val="11"/>
        <color theme="1"/>
        <rFont val="Calibri"/>
        <family val="2"/>
        <scheme val="minor"/>
      </rPr>
      <t>Value Over Replacement Player</t>
    </r>
    <r>
      <rPr>
        <sz val="11"/>
        <color theme="1"/>
        <rFont val="Calibri"/>
        <family val="2"/>
        <scheme val="minor"/>
      </rPr>
      <t xml:space="preserve"> - a box score estimate of the points per 100 TEAM possessions that a player contributed above a replacement-level (-2.0) player, translated to an average team and prorated to an 82-game season.</t>
    </r>
  </si>
  <si>
    <r>
      <rPr>
        <b/>
        <sz val="11"/>
        <color theme="1"/>
        <rFont val="Calibri"/>
        <family val="2"/>
        <scheme val="minor"/>
      </rPr>
      <t>Player Efficiency Rating</t>
    </r>
    <r>
      <rPr>
        <sz val="11"/>
        <color theme="1"/>
        <rFont val="Calibri"/>
        <family val="2"/>
        <scheme val="minor"/>
      </rPr>
      <t xml:space="preserve"> - Developed by ESPN.com's John Hollinger. Calculates a players "positive" accomplishments and subracts the players "negative" accomplishments. </t>
    </r>
  </si>
  <si>
    <r>
      <rPr>
        <b/>
        <sz val="11"/>
        <color theme="1"/>
        <rFont val="Calibri"/>
        <family val="2"/>
        <scheme val="minor"/>
      </rPr>
      <t>Assist Percentage</t>
    </r>
    <r>
      <rPr>
        <sz val="11"/>
        <color theme="1"/>
        <rFont val="Calibri"/>
        <family val="2"/>
        <scheme val="minor"/>
      </rPr>
      <t xml:space="preserve"> - an estimate of the percentage of teammate field goals a player assisted while he was on the floor.</t>
    </r>
  </si>
  <si>
    <r>
      <rPr>
        <b/>
        <sz val="11"/>
        <color theme="1"/>
        <rFont val="Calibri"/>
        <family val="2"/>
        <scheme val="minor"/>
      </rPr>
      <t>Block Percentage</t>
    </r>
    <r>
      <rPr>
        <sz val="11"/>
        <color theme="1"/>
        <rFont val="Calibri"/>
        <family val="2"/>
        <scheme val="minor"/>
      </rPr>
      <t xml:space="preserve"> - an estimate of the percentage of opponent two-point field goal attempts blocked by the player while he was on the floor.</t>
    </r>
  </si>
  <si>
    <r>
      <rPr>
        <b/>
        <sz val="11"/>
        <color theme="1"/>
        <rFont val="Calibri"/>
        <family val="2"/>
        <scheme val="minor"/>
      </rPr>
      <t>Steal Percentage</t>
    </r>
    <r>
      <rPr>
        <sz val="11"/>
        <color theme="1"/>
        <rFont val="Calibri"/>
        <family val="2"/>
        <scheme val="minor"/>
      </rPr>
      <t xml:space="preserve"> - an estimate of the percentage of opponent possessions that end with a steal by the player while he was on the floor.</t>
    </r>
  </si>
  <si>
    <r>
      <rPr>
        <b/>
        <sz val="11"/>
        <color theme="1"/>
        <rFont val="Calibri"/>
        <family val="2"/>
        <scheme val="minor"/>
      </rPr>
      <t>Turnover Percentage</t>
    </r>
    <r>
      <rPr>
        <sz val="11"/>
        <color theme="1"/>
        <rFont val="Calibri"/>
        <family val="2"/>
        <scheme val="minor"/>
      </rPr>
      <t xml:space="preserve"> - an estimate of turnovers per 100 plays.</t>
    </r>
  </si>
  <si>
    <r>
      <rPr>
        <b/>
        <sz val="11"/>
        <color theme="1"/>
        <rFont val="Calibri"/>
        <family val="2"/>
        <scheme val="minor"/>
      </rPr>
      <t>True Shooting Percentage</t>
    </r>
    <r>
      <rPr>
        <sz val="11"/>
        <color theme="1"/>
        <rFont val="Calibri"/>
        <family val="2"/>
        <scheme val="minor"/>
      </rPr>
      <t xml:space="preserve"> - measure of shooting efficiency that takes into account 3-point attempts, 2-point attempts, and free throws.</t>
    </r>
  </si>
  <si>
    <r>
      <rPr>
        <b/>
        <sz val="11"/>
        <color theme="1"/>
        <rFont val="Calibri"/>
        <family val="2"/>
        <scheme val="minor"/>
      </rPr>
      <t>Usage Percentage</t>
    </r>
    <r>
      <rPr>
        <sz val="11"/>
        <color theme="1"/>
        <rFont val="Calibri"/>
        <family val="2"/>
        <scheme val="minor"/>
      </rPr>
      <t xml:space="preserve"> - an estimate of the percentage of possessions used by a player while he was on the floor.</t>
    </r>
  </si>
  <si>
    <r>
      <rPr>
        <b/>
        <sz val="11"/>
        <color theme="1"/>
        <rFont val="Calibri"/>
        <family val="2"/>
        <scheme val="minor"/>
      </rPr>
      <t xml:space="preserve">Box Plus Minus </t>
    </r>
    <r>
      <rPr>
        <sz val="11"/>
        <color theme="1"/>
        <rFont val="Calibri"/>
        <family val="2"/>
        <scheme val="minor"/>
      </rPr>
      <t>- a box score estimate of the points per 100 possessions that a player contributed above a league-average player, translated to an average team.</t>
    </r>
  </si>
  <si>
    <r>
      <rPr>
        <b/>
        <sz val="11"/>
        <color theme="1"/>
        <rFont val="Calibri"/>
        <family val="2"/>
        <scheme val="minor"/>
      </rPr>
      <t>Offensive Box Plus Minus</t>
    </r>
    <r>
      <rPr>
        <sz val="11"/>
        <color theme="1"/>
        <rFont val="Calibri"/>
        <family val="2"/>
        <scheme val="minor"/>
      </rPr>
      <t xml:space="preserve">  - a box score estimate of the points per 100 possessions that a player </t>
    </r>
    <r>
      <rPr>
        <i/>
        <sz val="11"/>
        <color theme="1"/>
        <rFont val="Calibri"/>
        <family val="2"/>
        <scheme val="minor"/>
      </rPr>
      <t>offensively</t>
    </r>
    <r>
      <rPr>
        <sz val="11"/>
        <color theme="1"/>
        <rFont val="Calibri"/>
        <family val="2"/>
        <scheme val="minor"/>
      </rPr>
      <t xml:space="preserve"> contributed above a league average player.</t>
    </r>
  </si>
  <si>
    <r>
      <rPr>
        <b/>
        <sz val="11"/>
        <color theme="1"/>
        <rFont val="Calibri"/>
        <family val="2"/>
        <scheme val="minor"/>
      </rPr>
      <t>Devensive Box Plus Minus</t>
    </r>
    <r>
      <rPr>
        <sz val="11"/>
        <color theme="1"/>
        <rFont val="Calibri"/>
        <family val="2"/>
        <scheme val="minor"/>
      </rPr>
      <t xml:space="preserve">  - a box score estimate of the points per 100 possessions that a player </t>
    </r>
    <r>
      <rPr>
        <i/>
        <sz val="11"/>
        <color theme="1"/>
        <rFont val="Calibri"/>
        <family val="2"/>
        <scheme val="minor"/>
      </rPr>
      <t>defensively</t>
    </r>
    <r>
      <rPr>
        <sz val="11"/>
        <color theme="1"/>
        <rFont val="Calibri"/>
        <family val="2"/>
        <scheme val="minor"/>
      </rPr>
      <t xml:space="preserve"> contributed above a league average player.</t>
    </r>
  </si>
  <si>
    <r>
      <rPr>
        <b/>
        <sz val="11"/>
        <color theme="1"/>
        <rFont val="Calibri"/>
        <family val="2"/>
        <scheme val="minor"/>
      </rPr>
      <t>Offensive Rebound Percentage</t>
    </r>
    <r>
      <rPr>
        <sz val="11"/>
        <color theme="1"/>
        <rFont val="Calibri"/>
        <family val="2"/>
        <scheme val="minor"/>
      </rPr>
      <t xml:space="preserve"> - an estimate of the percentage of available offensive rebounds a player grabbed while on the floor.</t>
    </r>
  </si>
  <si>
    <r>
      <rPr>
        <b/>
        <sz val="11"/>
        <color theme="1"/>
        <rFont val="Calibri"/>
        <family val="2"/>
        <scheme val="minor"/>
      </rPr>
      <t>Defensive Rebound Percentage</t>
    </r>
    <r>
      <rPr>
        <sz val="11"/>
        <color theme="1"/>
        <rFont val="Calibri"/>
        <family val="2"/>
        <scheme val="minor"/>
      </rPr>
      <t xml:space="preserve"> - an estimate of the percentage of available defensive rebounds a player grabbed while on the floor.</t>
    </r>
  </si>
  <si>
    <r>
      <rPr>
        <b/>
        <sz val="11"/>
        <color theme="1"/>
        <rFont val="Calibri"/>
        <family val="2"/>
        <scheme val="minor"/>
      </rPr>
      <t>Total Rebound Percentage</t>
    </r>
    <r>
      <rPr>
        <sz val="11"/>
        <color theme="1"/>
        <rFont val="Calibri"/>
        <family val="2"/>
        <scheme val="minor"/>
      </rPr>
      <t xml:space="preserve"> - an estimate of the percentage of available total rebounds a player grabbed while on the floor.</t>
    </r>
  </si>
  <si>
    <r>
      <rPr>
        <b/>
        <sz val="11"/>
        <color theme="1"/>
        <rFont val="Calibri"/>
        <family val="2"/>
        <scheme val="minor"/>
      </rPr>
      <t>Offensive Win Shares</t>
    </r>
    <r>
      <rPr>
        <sz val="11"/>
        <color theme="1"/>
        <rFont val="Calibri"/>
        <family val="2"/>
        <scheme val="minor"/>
      </rPr>
      <t xml:space="preserve"> - Estimated number of wins a player contributes to due to his </t>
    </r>
    <r>
      <rPr>
        <i/>
        <sz val="11"/>
        <color theme="1"/>
        <rFont val="Calibri"/>
        <family val="2"/>
        <scheme val="minor"/>
      </rPr>
      <t>offensive</t>
    </r>
    <r>
      <rPr>
        <sz val="11"/>
        <color theme="1"/>
        <rFont val="Calibri"/>
        <family val="2"/>
        <scheme val="minor"/>
      </rPr>
      <t xml:space="preserve"> production.</t>
    </r>
  </si>
  <si>
    <r>
      <rPr>
        <b/>
        <sz val="11"/>
        <color theme="1"/>
        <rFont val="Calibri"/>
        <family val="2"/>
        <scheme val="minor"/>
      </rPr>
      <t xml:space="preserve">Defensive Win Shares </t>
    </r>
    <r>
      <rPr>
        <sz val="11"/>
        <color theme="1"/>
        <rFont val="Calibri"/>
        <family val="2"/>
        <scheme val="minor"/>
      </rPr>
      <t xml:space="preserve">- Estimated number of wins a player contributes do to his </t>
    </r>
    <r>
      <rPr>
        <i/>
        <sz val="11"/>
        <color theme="1"/>
        <rFont val="Calibri"/>
        <family val="2"/>
        <scheme val="minor"/>
      </rPr>
      <t>defensive</t>
    </r>
    <r>
      <rPr>
        <sz val="11"/>
        <color theme="1"/>
        <rFont val="Calibri"/>
        <family val="2"/>
        <scheme val="minor"/>
      </rPr>
      <t xml:space="preserve"> ability.</t>
    </r>
  </si>
  <si>
    <r>
      <rPr>
        <b/>
        <sz val="11"/>
        <color theme="1"/>
        <rFont val="Calibri"/>
        <family val="2"/>
        <scheme val="minor"/>
      </rPr>
      <t>Win Shares</t>
    </r>
    <r>
      <rPr>
        <sz val="11"/>
        <color theme="1"/>
        <rFont val="Calibri"/>
        <family val="2"/>
        <scheme val="minor"/>
      </rPr>
      <t xml:space="preserve"> - Calculated team wins attributed to a players total contributions.</t>
    </r>
  </si>
  <si>
    <r>
      <rPr>
        <b/>
        <sz val="11"/>
        <color theme="1"/>
        <rFont val="Calibri"/>
        <family val="2"/>
        <scheme val="minor"/>
      </rPr>
      <t>Win Shares per 48 minutes</t>
    </r>
    <r>
      <rPr>
        <sz val="11"/>
        <color theme="1"/>
        <rFont val="Calibri"/>
        <family val="2"/>
        <scheme val="minor"/>
      </rPr>
      <t xml:space="preserve"> - calculated team wins attributed to a players total contributions FIXED per 48 minutes.</t>
    </r>
  </si>
  <si>
    <r>
      <rPr>
        <b/>
        <sz val="11"/>
        <color theme="1"/>
        <rFont val="Calibri"/>
        <family val="2"/>
        <scheme val="minor"/>
      </rPr>
      <t>3-Point Attempt Rate</t>
    </r>
    <r>
      <rPr>
        <sz val="11"/>
        <color theme="1"/>
        <rFont val="Calibri"/>
        <family val="2"/>
        <scheme val="minor"/>
      </rPr>
      <t xml:space="preserve"> - percentage of shots that are 3-point attempts.</t>
    </r>
  </si>
  <si>
    <r>
      <rPr>
        <b/>
        <sz val="11"/>
        <color theme="1"/>
        <rFont val="Calibri"/>
        <family val="2"/>
        <scheme val="minor"/>
      </rPr>
      <t>Free Throw attempt Rate</t>
    </r>
    <r>
      <rPr>
        <sz val="11"/>
        <color theme="1"/>
        <rFont val="Calibri"/>
        <family val="2"/>
        <scheme val="minor"/>
      </rPr>
      <t xml:space="preserve"> - Number of Free Throw attempts per Field Goal attempt.</t>
    </r>
  </si>
  <si>
    <t>Effective field goal percentage - adjusts for the fact that 3 point shots are worth more than 2 point shots.</t>
  </si>
  <si>
    <t>Field Goals made - all 2pt and 3pt shots made</t>
  </si>
  <si>
    <t>T2PA</t>
  </si>
  <si>
    <t>T3PA</t>
  </si>
  <si>
    <t>TFGA</t>
  </si>
  <si>
    <t>TFTA</t>
  </si>
  <si>
    <t>Below League Average</t>
  </si>
  <si>
    <t>Does not meet attempt qualifications</t>
  </si>
  <si>
    <t>Team Average</t>
  </si>
  <si>
    <t xml:space="preserve"> </t>
  </si>
  <si>
    <t>Concussion</t>
  </si>
  <si>
    <t>Rodney Purvis</t>
  </si>
  <si>
    <t>$418,607</t>
  </si>
  <si>
    <t>FGM</t>
  </si>
  <si>
    <t>3PM</t>
  </si>
  <si>
    <t>FTM</t>
  </si>
  <si>
    <t>OREB</t>
  </si>
  <si>
    <t>DREB</t>
  </si>
  <si>
    <t>REB</t>
  </si>
  <si>
    <t>BLKA</t>
  </si>
  <si>
    <t>PFD</t>
  </si>
  <si>
    <t>+/-</t>
  </si>
  <si>
    <t>Individual Per Game stats for all players</t>
  </si>
  <si>
    <t>Individual Advanced Stats for all players</t>
  </si>
  <si>
    <t>Advanced and Per Game stats for each team</t>
  </si>
  <si>
    <t>Shooting stats for each team</t>
  </si>
  <si>
    <t>Indivial Total Stats for all players</t>
  </si>
  <si>
    <t>Current league standings</t>
  </si>
  <si>
    <t>Contract options for 2018, 2019, and 2020</t>
  </si>
  <si>
    <t>Opp PF</t>
  </si>
  <si>
    <t>Opp 3pt%</t>
  </si>
  <si>
    <t>Opp FG%</t>
  </si>
  <si>
    <t>Leading Scorers</t>
  </si>
  <si>
    <t>Leading Defenders</t>
  </si>
  <si>
    <t xml:space="preserve">                  </t>
  </si>
  <si>
    <t>left</t>
  </si>
  <si>
    <t>right</t>
  </si>
  <si>
    <t>Visual overview of team shot frequency and percentages, as well as individual player breakdowns</t>
  </si>
  <si>
    <t>Cap Remaining</t>
  </si>
  <si>
    <t>Bembry has been sidelined with an abdominal strain and it is unclear when he will return to the lineup.</t>
  </si>
  <si>
    <t>Brown is working his way through concussion protocol but is expected to return to the lineup by the end of March.</t>
  </si>
  <si>
    <t>Illness</t>
  </si>
  <si>
    <t>Thompson sustained a right ankle sprain and is expected to remain sidelined until the end of March.</t>
  </si>
  <si>
    <t>Gallinari has been diagnosed with a non-displaced fracture in his right hand and is likely to be out of action until the latter part of March.</t>
  </si>
  <si>
    <t>Frye underwent an appendectomy and is likely to be sidelined until the latter part of March.</t>
  </si>
  <si>
    <t>Ingram is sidelined with a left hip flexor strain but is expected to return by the end of March.</t>
  </si>
  <si>
    <t>Fournier has a sprained left MCL and will miss an undetermined length of time.</t>
  </si>
  <si>
    <t>Ross sustained a sprained MCL and non-displaced fracture of the tibia plateau in his right knee and it is uncertain if he will return to the court by the end of March.</t>
  </si>
  <si>
    <t>Toronto Raptors*</t>
  </si>
  <si>
    <t>Brandon Jennings</t>
  </si>
  <si>
    <t>Derrick Williams</t>
  </si>
  <si>
    <t>Jameel Warney</t>
  </si>
  <si>
    <t>Player Injured</t>
  </si>
  <si>
    <t>Team Opponent Stats</t>
  </si>
  <si>
    <t>* = Clinched playoffs</t>
  </si>
  <si>
    <t>Team Shooting Raw</t>
  </si>
  <si>
    <t>Damion Lee</t>
  </si>
  <si>
    <t>Bazemore suffered a bone bruise in his right knee and is expected to miss the remainder of the season.</t>
  </si>
  <si>
    <t>Hayward is expected to miss the remainder of the season after having surgery to repair a dislocated left ankle and fractured tibia.</t>
  </si>
  <si>
    <t>Thumb</t>
  </si>
  <si>
    <t>Carter-Williams had surgery to repair tear in his left shoulder and will miss the remainder of the season.</t>
  </si>
  <si>
    <t>Matthews is expected to miss the remainder of the season due to a stress fracture in his right leg.</t>
  </si>
  <si>
    <t>Curry sustained a right ankle sprain and it is uncertain if he will return to action during the latter part of March.</t>
  </si>
  <si>
    <t>Bradley is expected to miss six-to-eight weeks after having surgery to repair his adductor and rectus abdominis muscles.</t>
  </si>
  <si>
    <t>Groin</t>
  </si>
  <si>
    <t>Neto has been diagnosed with a fractured left wrist and will be reevaluated in two weeks.</t>
  </si>
  <si>
    <t>Houston Rockets*</t>
  </si>
  <si>
    <t>Boston Celtics*</t>
  </si>
  <si>
    <t>$229,892</t>
  </si>
  <si>
    <t>Delaney has been sidelined with a left ankle sprain and it is unknown when he will draw back into the lineup.</t>
  </si>
  <si>
    <t>Irving is sidelined due to left knee soreness and will not return to action Tuesday against the Thunder.</t>
  </si>
  <si>
    <t>Smart will miss an extended period of time while recovering from surgery to repair a torn tendon in his right thumb.</t>
  </si>
  <si>
    <t>Cunningham is working his way through the league's concussion protocol and it is uncertain if he will return Wednesday against the Hornets.</t>
  </si>
  <si>
    <t>Batum was held out of the last game with chronic tendinitis in his left Achilles and it is unknown if he will be available for Wednesday's contest against the Nets.</t>
  </si>
  <si>
    <t>Zeller sat out his fifth-straight game with a left knee injury and it is unclear if he will play against the Nets on Wednesday.</t>
  </si>
  <si>
    <t>Toe</t>
  </si>
  <si>
    <t>Dunn suffered a sprained big toe on his right foot and there is no timetable for return.</t>
  </si>
  <si>
    <t>LaVine has missed the past two games with tendinitis in his knee and it is unknown if he will be available against the Nuggets on Wednesday.</t>
  </si>
  <si>
    <t>Hood sat out his second-straight game with a back injury and it is undetermined if he will play Wednesday against the Raptors.</t>
  </si>
  <si>
    <t>Larry Nance Jr.</t>
  </si>
  <si>
    <t>Nance Jr. has been held out of the previous three games with tightness in his right hamstring and it is unknown if he will return for Wednesday's matchup against the Raptors.</t>
  </si>
  <si>
    <t>Jose Juan Barea</t>
  </si>
  <si>
    <t>Barea missed the last game due to a left rib muscle strain and his status for Tuesday's matchup against the Pelicans is uncertain.</t>
  </si>
  <si>
    <t>Mejri has missed the last four games with a right hamstring injury and it is unclear if he will play on Tuesday against the Pelicans.</t>
  </si>
  <si>
    <t>Harris has been held out of action due to right knee soreness and is expected to miss at least a week.</t>
  </si>
  <si>
    <t>Jackson has been diagnosed with a Grade 3 right ankle sprain. He will not play Monday against the Kings but could return sometime during the team's road trip.</t>
  </si>
  <si>
    <t>Casspi has missed the past two games due to a sprained right ankle and it is undetermined if he will play Friday against the Hawks.</t>
  </si>
  <si>
    <t>Durant is dealing with a rib fracture and will be sidelined for two weeks.</t>
  </si>
  <si>
    <t>Green left the previous game due to a mid-section contusion and it is unknown if he will suit up against the Hawks on Friday.</t>
  </si>
  <si>
    <t>Thompson broke his right thumb and is expected to be out of action until at least the end of March.</t>
  </si>
  <si>
    <t>Harden has a hand injury but is expected to play Tuesday against the Trail Blazers.</t>
  </si>
  <si>
    <t>Sabonis has sat out the past three games due to a sprained left ankle and it is unknown if he will return against the Pelicans on Wednesday.</t>
  </si>
  <si>
    <t>Undisclosed</t>
  </si>
  <si>
    <t>Evans sat out the last game with an unspecified injury and it is unclear if he will be available against the 76ers on Wednesday.</t>
  </si>
  <si>
    <t>Gasol was held out the previous game with an illness and his status is in question for Wednesday's tilt against the 76ers.</t>
  </si>
  <si>
    <t>Wade missed his third-consecutive game with a left hamstring strain and it is undetermined if he will suit up against the Knicks on Wednesday.</t>
  </si>
  <si>
    <t>Whiteside has sat out the past four games with a hip injury and it is uncertain if he will return to action Wednesday against the Knicks.</t>
  </si>
  <si>
    <t>Zeller has sat out the last two games with a back injury and it is unknown if he will play against the Clippers on Wednesday.</t>
  </si>
  <si>
    <t>Brooks has been sidelined due to a personal matter and it is uncertain when he will return.</t>
  </si>
  <si>
    <t>Thomas missed the previous game with a personal matter and it is uncertain if he will play Wednesday against the Heat.</t>
  </si>
  <si>
    <t>Gordon has missed the past five games while going through the league-mandated concussion protocol but is likely to return against the Raptors on Tuesday.</t>
  </si>
  <si>
    <t>Simmons is nursing a right wrist contusion and his status for Tuesday's game against the Raptors is in question.</t>
  </si>
  <si>
    <t>Luwawu-Cabarrot has sat out the last four games with tendinitis in his right knee and it is uncertain if he will suit up against the Grizzlies on Wednesday.</t>
  </si>
  <si>
    <t>Booker missed the previous game with a sprained right hand and it is unknown if he will suit up against the Pistons on Tuesday.</t>
  </si>
  <si>
    <t>Chandler has missed the last two games with shoulder and neck injuries and is not expected to play Tuesday against the Pistons.</t>
  </si>
  <si>
    <t>TJ Warren</t>
  </si>
  <si>
    <t>Warren left the previous game with a sprained left knee and is not expected to play Tuesday against the Pistons.</t>
  </si>
  <si>
    <t>Williams had surgery to repair a partial tear to the meniscus in his right knee and it is unclear if he will make his season debut Saturday against the Warriors.</t>
  </si>
  <si>
    <t>Napier has a left big toe injury and it is uncertain if he will play against the Rockets on Tuesday.</t>
  </si>
  <si>
    <t>Carter missed the last game due to the death of his grandmother but is expected to rejoin the team Monday against the Jazz.</t>
  </si>
  <si>
    <t>Leonard has been held out of action while recovering from tendinopathy in his right quadriceps and it is unknown if he will return against the Wizards on Wednesday.</t>
  </si>
  <si>
    <t>VanVleet sat out the last game with a right wrist contusion and it is unclear if he will play against the Magic on Tuesday.</t>
  </si>
  <si>
    <t>Favors is experiencing soreness in his left knee and will not be available against the Hawks on Tuesday.</t>
  </si>
  <si>
    <t>David Stockton</t>
  </si>
  <si>
    <t>Golden State Warriors*</t>
  </si>
  <si>
    <t>Chris Boucher</t>
  </si>
  <si>
    <t>Player (114)</t>
  </si>
  <si>
    <t>$355,218</t>
  </si>
  <si>
    <t>$124,416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</si>
</sst>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6" formatCode="&quot;$&quot;#,##0_);[Red]\(&quot;$&quot;#,##0\)"/>
    <numFmt numFmtId="8" formatCode="&quot;$&quot;#,##0.00_);[Red]\(&quot;$&quot;#,##0.00\)"/>
    <numFmt numFmtId="44" formatCode="_(&quot;$&quot;* #,##0.00_);_(&quot;$&quot;* \(#,##0.00\);_(&quot;$&quot;* &quot;-&quot;??_);_(@_)"/>
    <numFmt numFmtId="164" formatCode="_(&quot;$&quot;* #,##0_);_(&quot;$&quot;* \(#,##0\);_(&quot;$&quot;* &quot;-&quot;??_);_(@_)"/>
    <numFmt numFmtId="165" formatCode="0.0"/>
    <numFmt numFmtId="166" formatCode="[$-F800]dddd\,\ mmmm\ dd\,\ yyyy"/>
    <numFmt numFmtId="167" formatCode="_(&quot;$&quot;* #,##0.0_);_(&quot;$&quot;* \(#,##0.0\);_(&quot;$&quot;* &quot;-&quot;?_);_(@_)"/>
    <numFmt numFmtId="168" formatCode="_(&quot;$&quot;* #,##0.00_);_(&quot;$&quot;* \(#,##0.00\);_(&quot;$&quot;* &quot;-&quot;?_);_(@_)"/>
    <numFmt numFmtId="169" formatCode="_(&quot;$&quot;* #,##0_);_(&quot;$&quot;* \(#,##0\);_(&quot;$&quot;* &quot;-&quot;?_);_(@_)"/>
    <numFmt numFmtId="170" formatCode="&quot;$&quot;#,##0"/>
    <numFmt numFmtId="171" formatCode="0.000"/>
  </numFmts>
  <fonts count="41">
    <font>
      <sz val="11"/>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b/>
      <sz val="11"/>
      <color theme="1"/>
      <name val="Calibri"/>
      <family val="2"/>
      <scheme val="minor"/>
    </font>
    <font>
      <i/>
      <sz val="11"/>
      <color theme="1"/>
      <name val="Calibri"/>
      <family val="2"/>
      <scheme val="minor"/>
    </font>
    <font>
      <b/>
      <sz val="11"/>
      <color rgb="FFFF0000"/>
      <name val="Calibri"/>
      <family val="2"/>
      <scheme val="minor"/>
    </font>
    <font>
      <sz val="20"/>
      <color theme="0"/>
      <name val="Calibri"/>
      <family val="2"/>
      <scheme val="minor"/>
    </font>
    <font>
      <sz val="14"/>
      <color theme="1"/>
      <name val="Calibri"/>
      <family val="2"/>
      <scheme val="minor"/>
    </font>
    <font>
      <sz val="11"/>
      <color theme="1"/>
      <name val="Calibri"/>
      <family val="2"/>
    </font>
    <font>
      <u/>
      <sz val="11"/>
      <color theme="10"/>
      <name val="Calibri"/>
      <family val="2"/>
      <scheme val="minor"/>
    </font>
    <font>
      <sz val="11"/>
      <color theme="0"/>
      <name val="Calibri"/>
      <family val="2"/>
      <scheme val="minor"/>
    </font>
    <font>
      <u/>
      <sz val="11"/>
      <color theme="1"/>
      <name val="Calibri"/>
      <family val="2"/>
      <scheme val="minor"/>
    </font>
    <font>
      <sz val="11"/>
      <name val="Calibri"/>
      <family val="2"/>
      <scheme val="minor"/>
    </font>
    <font>
      <i/>
      <sz val="11"/>
      <name val="Calibri"/>
      <family val="2"/>
      <scheme val="minor"/>
    </font>
    <font>
      <sz val="8"/>
      <color theme="1"/>
      <name val="Calibri"/>
      <family val="2"/>
      <scheme val="minor"/>
    </font>
    <font>
      <sz val="24"/>
      <color theme="1"/>
      <name val="Calibri"/>
      <family val="2"/>
      <scheme val="minor"/>
    </font>
    <font>
      <sz val="10"/>
      <color theme="1"/>
      <name val="Calibri"/>
      <family val="2"/>
      <scheme val="minor"/>
    </font>
    <font>
      <sz val="11"/>
      <color rgb="FFFF0000"/>
      <name val="Calibri"/>
      <family val="2"/>
      <scheme val="minor"/>
    </font>
    <font>
      <sz val="11"/>
      <color rgb="FF00B050"/>
      <name val="Calibri"/>
      <family val="2"/>
      <scheme val="minor"/>
    </font>
    <font>
      <u/>
      <sz val="11"/>
      <name val="Calibri"/>
      <family val="2"/>
      <scheme val="minor"/>
    </font>
    <font>
      <b/>
      <sz val="8"/>
      <color theme="1"/>
      <name val="Calibri"/>
      <family val="2"/>
      <scheme val="minor"/>
    </font>
    <font>
      <b/>
      <sz val="10"/>
      <color theme="1"/>
      <name val="Calibri"/>
      <family val="2"/>
      <scheme val="minor"/>
    </font>
    <font>
      <b/>
      <sz val="11"/>
      <name val="Calibri"/>
      <family val="2"/>
      <scheme val="minor"/>
    </font>
    <font>
      <sz val="16"/>
      <color theme="1"/>
      <name val="Calibri"/>
      <family val="2"/>
      <scheme val="minor"/>
    </font>
    <font>
      <sz val="18"/>
      <color theme="1"/>
      <name val="Calibri"/>
      <family val="2"/>
      <scheme val="minor"/>
    </font>
    <font>
      <sz val="20"/>
      <color theme="1"/>
      <name val="Calibri"/>
      <family val="2"/>
      <scheme val="minor"/>
    </font>
    <font>
      <b/>
      <sz val="14"/>
      <color theme="1"/>
      <name val="Calibri"/>
      <family val="2"/>
      <scheme val="minor"/>
    </font>
    <font>
      <sz val="11"/>
      <color theme="4"/>
      <name val="Calibri"/>
      <family val="2"/>
      <scheme val="minor"/>
    </font>
    <font>
      <b/>
      <sz val="16"/>
      <color theme="1"/>
      <name val="Calibri"/>
      <family val="2"/>
      <scheme val="minor"/>
    </font>
    <font>
      <sz val="10"/>
      <name val="Calibri"/>
      <family val="2"/>
      <scheme val="minor"/>
    </font>
    <font>
      <sz val="9"/>
      <color rgb="FF000000"/>
      <name val="Tahoma"/>
      <family val="2"/>
    </font>
    <font>
      <sz val="12"/>
      <color theme="0"/>
      <name val="Calibri"/>
      <family val="2"/>
      <scheme val="minor"/>
    </font>
    <font>
      <sz val="11"/>
      <color theme="2" tint="-0.249977111117893"/>
      <name val="Calibri"/>
      <family val="2"/>
      <scheme val="minor"/>
    </font>
    <font>
      <b/>
      <i/>
      <sz val="11"/>
      <name val="Calibri"/>
      <family val="2"/>
      <scheme val="minor"/>
    </font>
    <font>
      <sz val="9"/>
      <color indexed="81"/>
      <name val="Tahoma"/>
      <charset val="1"/>
    </font>
    <font>
      <b/>
      <sz val="11"/>
      <color theme="0"/>
      <name val="Calibri"/>
      <family val="2"/>
      <scheme val="minor"/>
    </font>
    <font>
      <sz val="9"/>
      <color indexed="81"/>
      <name val="Tahoma"/>
      <family val="2"/>
    </font>
    <font>
      <sz val="11"/>
      <color theme="2" tint="-9.9978637043366805E-2"/>
      <name val="Calibri"/>
      <family val="2"/>
      <scheme val="minor"/>
    </font>
    <font>
      <b/>
      <sz val="12"/>
      <color theme="1"/>
      <name val="Calibri"/>
      <family val="2"/>
      <scheme val="minor"/>
    </font>
    <font>
      <sz val="10"/>
      <color theme="1"/>
      <name val="Arial Unicode MS"/>
    </font>
  </fonts>
  <fills count="41">
    <fill>
      <patternFill patternType="none"/>
    </fill>
    <fill>
      <patternFill patternType="gray125"/>
    </fill>
    <fill>
      <patternFill patternType="solid">
        <fgColor rgb="FFFFFF00"/>
        <bgColor indexed="64"/>
      </patternFill>
    </fill>
    <fill>
      <patternFill patternType="solid">
        <fgColor theme="2"/>
        <bgColor indexed="64"/>
      </patternFill>
    </fill>
    <fill>
      <patternFill patternType="solid">
        <fgColor rgb="FF0070C0"/>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rgb="FF7030A0"/>
        <bgColor indexed="64"/>
      </patternFill>
    </fill>
    <fill>
      <patternFill patternType="solid">
        <fgColor rgb="FF92D050"/>
        <bgColor indexed="64"/>
      </patternFill>
    </fill>
    <fill>
      <patternFill patternType="solid">
        <fgColor theme="0"/>
        <bgColor indexed="64"/>
      </patternFill>
    </fill>
    <fill>
      <patternFill patternType="solid">
        <fgColor theme="8" tint="0.39997558519241921"/>
        <bgColor indexed="64"/>
      </patternFill>
    </fill>
    <fill>
      <patternFill patternType="solid">
        <fgColor rgb="FFFFA797"/>
        <bgColor indexed="64"/>
      </patternFill>
    </fill>
    <fill>
      <patternFill patternType="solid">
        <fgColor theme="5" tint="0.39997558519241921"/>
        <bgColor indexed="64"/>
      </patternFill>
    </fill>
    <fill>
      <patternFill patternType="solid">
        <fgColor theme="7" tint="0.59999389629810485"/>
        <bgColor indexed="64"/>
      </patternFill>
    </fill>
    <fill>
      <patternFill patternType="solid">
        <fgColor rgb="FFF78C00"/>
        <bgColor indexed="64"/>
      </patternFill>
    </fill>
    <fill>
      <gradientFill degree="45">
        <stop position="0">
          <color theme="0"/>
        </stop>
        <stop position="1">
          <color rgb="FFFFA797"/>
        </stop>
      </gradientFill>
    </fill>
    <fill>
      <patternFill patternType="solid">
        <fgColor theme="2" tint="-9.9978637043366805E-2"/>
        <bgColor indexed="64"/>
      </patternFill>
    </fill>
    <fill>
      <patternFill patternType="solid">
        <fgColor theme="0" tint="-4.9989318521683403E-2"/>
        <bgColor indexed="64"/>
      </patternFill>
    </fill>
    <fill>
      <patternFill patternType="solid">
        <fgColor theme="4"/>
        <bgColor indexed="64"/>
      </patternFill>
    </fill>
    <fill>
      <patternFill patternType="solid">
        <fgColor theme="4" tint="0.59999389629810485"/>
        <bgColor indexed="64"/>
      </patternFill>
    </fill>
    <fill>
      <patternFill patternType="solid">
        <fgColor rgb="FFFF9981"/>
        <bgColor indexed="64"/>
      </patternFill>
    </fill>
    <fill>
      <patternFill patternType="solid">
        <fgColor rgb="FFFFC000"/>
        <bgColor indexed="64"/>
      </patternFill>
    </fill>
    <fill>
      <patternFill patternType="solid">
        <fgColor theme="9" tint="0.59999389629810485"/>
        <bgColor indexed="64"/>
      </patternFill>
    </fill>
    <fill>
      <patternFill patternType="solid">
        <fgColor theme="9"/>
        <bgColor indexed="64"/>
      </patternFill>
    </fill>
    <fill>
      <patternFill patternType="solid">
        <fgColor theme="9" tint="0.79998168889431442"/>
        <bgColor indexed="64"/>
      </patternFill>
    </fill>
    <fill>
      <patternFill patternType="solid">
        <fgColor theme="7" tint="0.39997558519241921"/>
        <bgColor indexed="64"/>
      </patternFill>
    </fill>
    <fill>
      <patternFill patternType="solid">
        <fgColor rgb="FFFD9884"/>
        <bgColor indexed="64"/>
      </patternFill>
    </fill>
    <fill>
      <patternFill patternType="solid">
        <fgColor rgb="FFFDBF2D"/>
        <bgColor indexed="64"/>
      </patternFill>
    </fill>
    <fill>
      <patternFill patternType="solid">
        <fgColor rgb="FFFEE59D"/>
        <bgColor indexed="64"/>
      </patternFill>
    </fill>
    <fill>
      <patternFill patternType="solid">
        <fgColor theme="2" tint="-0.749992370372631"/>
        <bgColor indexed="64"/>
      </patternFill>
    </fill>
    <fill>
      <patternFill patternType="solid">
        <fgColor theme="5" tint="0.79998168889431442"/>
        <bgColor indexed="64"/>
      </patternFill>
    </fill>
    <fill>
      <patternFill patternType="solid">
        <fgColor theme="9"/>
        <bgColor theme="9"/>
      </patternFill>
    </fill>
    <fill>
      <patternFill patternType="solid">
        <fgColor theme="9" tint="0.79998168889431442"/>
        <bgColor theme="9" tint="0.79998168889431442"/>
      </patternFill>
    </fill>
    <fill>
      <patternFill patternType="solid">
        <fgColor theme="4"/>
        <bgColor theme="4"/>
      </patternFill>
    </fill>
    <fill>
      <patternFill patternType="solid">
        <fgColor theme="4" tint="0.79998168889431442"/>
        <bgColor theme="4" tint="0.79998168889431442"/>
      </patternFill>
    </fill>
    <fill>
      <patternFill patternType="solid">
        <fgColor theme="5"/>
        <bgColor theme="5"/>
      </patternFill>
    </fill>
    <fill>
      <patternFill patternType="solid">
        <fgColor theme="5" tint="0.79998168889431442"/>
        <bgColor theme="5" tint="0.79998168889431442"/>
      </patternFill>
    </fill>
    <fill>
      <patternFill patternType="solid">
        <fgColor theme="0"/>
        <bgColor theme="4" tint="0.79998168889431442"/>
      </patternFill>
    </fill>
    <fill>
      <patternFill patternType="solid">
        <fgColor rgb="FFFEA0A0"/>
        <bgColor indexed="64"/>
      </patternFill>
    </fill>
  </fills>
  <borders count="154">
    <border>
      <left/>
      <right/>
      <top/>
      <bottom/>
      <diagonal/>
    </border>
    <border>
      <left/>
      <right/>
      <top/>
      <bottom style="thin">
        <color auto="1"/>
      </bottom>
      <diagonal/>
    </border>
    <border>
      <left style="thin">
        <color auto="1"/>
      </left>
      <right/>
      <top/>
      <bottom style="thin">
        <color auto="1"/>
      </bottom>
      <diagonal/>
    </border>
    <border>
      <left style="thin">
        <color auto="1"/>
      </left>
      <right style="thin">
        <color auto="1"/>
      </right>
      <top style="thin">
        <color auto="1"/>
      </top>
      <bottom style="thin">
        <color auto="1"/>
      </bottom>
      <diagonal/>
    </border>
    <border>
      <left/>
      <right style="thin">
        <color indexed="64"/>
      </right>
      <top/>
      <bottom style="thin">
        <color indexed="64"/>
      </bottom>
      <diagonal/>
    </border>
    <border>
      <left/>
      <right/>
      <top style="thin">
        <color auto="1"/>
      </top>
      <bottom/>
      <diagonal/>
    </border>
    <border>
      <left style="medium">
        <color indexed="64"/>
      </left>
      <right/>
      <top/>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theme="1"/>
      </bottom>
      <diagonal/>
    </border>
    <border>
      <left/>
      <right/>
      <top style="thin">
        <color theme="1"/>
      </top>
      <bottom/>
      <diagonal/>
    </border>
    <border>
      <left style="thin">
        <color theme="1"/>
      </left>
      <right style="thin">
        <color theme="1"/>
      </right>
      <top style="thin">
        <color theme="1"/>
      </top>
      <bottom/>
      <diagonal/>
    </border>
    <border>
      <left style="thin">
        <color theme="1"/>
      </left>
      <right style="thin">
        <color theme="1"/>
      </right>
      <top/>
      <bottom style="thin">
        <color theme="1"/>
      </bottom>
      <diagonal/>
    </border>
    <border>
      <left style="thin">
        <color theme="1"/>
      </left>
      <right/>
      <top/>
      <bottom/>
      <diagonal/>
    </border>
    <border>
      <left/>
      <right style="thin">
        <color theme="1"/>
      </right>
      <top style="thin">
        <color auto="1"/>
      </top>
      <bottom/>
      <diagonal/>
    </border>
    <border>
      <left style="thin">
        <color indexed="64"/>
      </left>
      <right/>
      <top/>
      <bottom/>
      <diagonal/>
    </border>
    <border>
      <left style="thin">
        <color auto="1"/>
      </left>
      <right style="thin">
        <color indexed="64"/>
      </right>
      <top/>
      <bottom style="thin">
        <color auto="1"/>
      </bottom>
      <diagonal/>
    </border>
    <border>
      <left/>
      <right style="thin">
        <color indexed="64"/>
      </right>
      <top/>
      <bottom/>
      <diagonal/>
    </border>
    <border>
      <left style="thin">
        <color indexed="64"/>
      </left>
      <right style="thin">
        <color indexed="64"/>
      </right>
      <top/>
      <bottom/>
      <diagonal/>
    </border>
    <border>
      <left/>
      <right style="thin">
        <color indexed="64"/>
      </right>
      <top style="thin">
        <color indexed="64"/>
      </top>
      <bottom/>
      <diagonal/>
    </border>
    <border>
      <left/>
      <right/>
      <top style="thin">
        <color auto="1"/>
      </top>
      <bottom style="thin">
        <color auto="1"/>
      </bottom>
      <diagonal/>
    </border>
    <border>
      <left/>
      <right/>
      <top style="thin">
        <color indexed="64"/>
      </top>
      <bottom style="thin">
        <color theme="1"/>
      </bottom>
      <diagonal/>
    </border>
    <border>
      <left style="thin">
        <color indexed="64"/>
      </left>
      <right style="thin">
        <color indexed="64"/>
      </right>
      <top style="thin">
        <color indexed="64"/>
      </top>
      <bottom/>
      <diagonal/>
    </border>
    <border>
      <left style="thin">
        <color indexed="64"/>
      </left>
      <right/>
      <top style="thin">
        <color theme="1"/>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thin">
        <color indexed="64"/>
      </right>
      <top style="thin">
        <color theme="1"/>
      </top>
      <bottom/>
      <diagonal/>
    </border>
    <border>
      <left style="medium">
        <color indexed="64"/>
      </left>
      <right style="medium">
        <color indexed="64"/>
      </right>
      <top style="thin">
        <color auto="1"/>
      </top>
      <bottom/>
      <diagonal/>
    </border>
    <border>
      <left/>
      <right/>
      <top style="medium">
        <color indexed="64"/>
      </top>
      <bottom/>
      <diagonal/>
    </border>
    <border>
      <left/>
      <right style="medium">
        <color indexed="64"/>
      </right>
      <top style="thin">
        <color theme="1"/>
      </top>
      <bottom style="thin">
        <color auto="1"/>
      </bottom>
      <diagonal/>
    </border>
    <border>
      <left style="medium">
        <color indexed="64"/>
      </left>
      <right/>
      <top style="thin">
        <color theme="1"/>
      </top>
      <bottom style="thin">
        <color indexed="64"/>
      </bottom>
      <diagonal/>
    </border>
    <border>
      <left style="thin">
        <color auto="1"/>
      </left>
      <right/>
      <top style="hair">
        <color indexed="64"/>
      </top>
      <bottom style="thin">
        <color indexed="64"/>
      </bottom>
      <diagonal/>
    </border>
    <border>
      <left/>
      <right/>
      <top style="hair">
        <color indexed="64"/>
      </top>
      <bottom style="thin">
        <color indexed="64"/>
      </bottom>
      <diagonal/>
    </border>
    <border>
      <left/>
      <right style="thin">
        <color indexed="64"/>
      </right>
      <top style="hair">
        <color indexed="64"/>
      </top>
      <bottom style="thin">
        <color indexed="64"/>
      </bottom>
      <diagonal/>
    </border>
    <border>
      <left style="medium">
        <color indexed="64"/>
      </left>
      <right/>
      <top style="medium">
        <color indexed="64"/>
      </top>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diagonal/>
    </border>
    <border>
      <left style="medium">
        <color theme="0" tint="-0.34998626667073579"/>
      </left>
      <right style="medium">
        <color theme="0" tint="-0.34998626667073579"/>
      </right>
      <top style="medium">
        <color theme="0" tint="-0.34998626667073579"/>
      </top>
      <bottom style="medium">
        <color theme="0" tint="-0.34998626667073579"/>
      </bottom>
      <diagonal/>
    </border>
    <border>
      <left/>
      <right style="medium">
        <color indexed="64"/>
      </right>
      <top style="thin">
        <color auto="1"/>
      </top>
      <bottom/>
      <diagonal/>
    </border>
    <border>
      <left style="medium">
        <color indexed="64"/>
      </left>
      <right/>
      <top style="thin">
        <color theme="1"/>
      </top>
      <bottom/>
      <diagonal/>
    </border>
    <border>
      <left/>
      <right style="hair">
        <color indexed="64"/>
      </right>
      <top style="thin">
        <color indexed="64"/>
      </top>
      <bottom/>
      <diagonal/>
    </border>
    <border>
      <left/>
      <right style="hair">
        <color indexed="64"/>
      </right>
      <top/>
      <bottom/>
      <diagonal/>
    </border>
    <border>
      <left style="thin">
        <color auto="1"/>
      </left>
      <right/>
      <top/>
      <bottom style="medium">
        <color indexed="64"/>
      </bottom>
      <diagonal/>
    </border>
    <border>
      <left/>
      <right style="medium">
        <color indexed="64"/>
      </right>
      <top/>
      <bottom style="thin">
        <color indexed="64"/>
      </bottom>
      <diagonal/>
    </border>
    <border>
      <left/>
      <right style="thin">
        <color theme="1"/>
      </right>
      <top/>
      <bottom/>
      <diagonal/>
    </border>
    <border>
      <left/>
      <right style="medium">
        <color theme="1"/>
      </right>
      <top/>
      <bottom/>
      <diagonal/>
    </border>
    <border>
      <left style="thin">
        <color indexed="64"/>
      </left>
      <right/>
      <top/>
      <bottom style="medium">
        <color theme="1"/>
      </bottom>
      <diagonal/>
    </border>
    <border>
      <left/>
      <right style="medium">
        <color indexed="64"/>
      </right>
      <top/>
      <bottom style="medium">
        <color theme="1"/>
      </bottom>
      <diagonal/>
    </border>
    <border>
      <left/>
      <right/>
      <top/>
      <bottom style="thin">
        <color theme="0" tint="-0.14999847407452621"/>
      </bottom>
      <diagonal/>
    </border>
    <border>
      <left style="thin">
        <color theme="1"/>
      </left>
      <right/>
      <top style="thin">
        <color theme="1"/>
      </top>
      <bottom/>
      <diagonal/>
    </border>
    <border>
      <left/>
      <right style="thin">
        <color theme="1"/>
      </right>
      <top style="thin">
        <color theme="1"/>
      </top>
      <bottom/>
      <diagonal/>
    </border>
    <border>
      <left/>
      <right style="thin">
        <color theme="1"/>
      </right>
      <top/>
      <bottom style="thin">
        <color theme="1"/>
      </bottom>
      <diagonal/>
    </border>
    <border>
      <left style="thin">
        <color theme="1"/>
      </left>
      <right/>
      <top/>
      <bottom style="thin">
        <color theme="1"/>
      </bottom>
      <diagonal/>
    </border>
    <border>
      <left style="thin">
        <color theme="1"/>
      </left>
      <right/>
      <top style="thin">
        <color theme="1"/>
      </top>
      <bottom style="thin">
        <color theme="1"/>
      </bottom>
      <diagonal/>
    </border>
    <border>
      <left style="thin">
        <color theme="1"/>
      </left>
      <right style="hair">
        <color theme="1"/>
      </right>
      <top style="thin">
        <color theme="0" tint="-0.14999847407452621"/>
      </top>
      <bottom style="thin">
        <color theme="1"/>
      </bottom>
      <diagonal/>
    </border>
    <border>
      <left style="thin">
        <color theme="1"/>
      </left>
      <right style="hair">
        <color theme="1"/>
      </right>
      <top style="thin">
        <color theme="0" tint="-0.14999847407452621"/>
      </top>
      <bottom style="thin">
        <color theme="0" tint="-0.14999847407452621"/>
      </bottom>
      <diagonal/>
    </border>
    <border>
      <left style="hair">
        <color theme="1"/>
      </left>
      <right style="thin">
        <color theme="1"/>
      </right>
      <top/>
      <bottom style="thin">
        <color theme="1"/>
      </bottom>
      <diagonal/>
    </border>
    <border>
      <left/>
      <right style="hair">
        <color theme="1"/>
      </right>
      <top style="thin">
        <color theme="0" tint="-0.14999847407452621"/>
      </top>
      <bottom style="thin">
        <color theme="1"/>
      </bottom>
      <diagonal/>
    </border>
    <border>
      <left style="hair">
        <color theme="1"/>
      </left>
      <right style="thin">
        <color theme="1"/>
      </right>
      <top/>
      <bottom/>
      <diagonal/>
    </border>
    <border>
      <left/>
      <right style="hair">
        <color theme="1"/>
      </right>
      <top style="thin">
        <color theme="0" tint="-0.14999847407452621"/>
      </top>
      <bottom style="thin">
        <color theme="0" tint="-0.14999847407452621"/>
      </bottom>
      <diagonal/>
    </border>
    <border>
      <left/>
      <right style="hair">
        <color theme="1"/>
      </right>
      <top style="hair">
        <color theme="1"/>
      </top>
      <bottom style="thin">
        <color theme="0" tint="-0.14999847407452621"/>
      </bottom>
      <diagonal/>
    </border>
    <border>
      <left/>
      <right style="thin">
        <color theme="1"/>
      </right>
      <top style="thin">
        <color theme="1"/>
      </top>
      <bottom style="thin">
        <color theme="1"/>
      </bottom>
      <diagonal/>
    </border>
    <border>
      <left/>
      <right/>
      <top style="thin">
        <color theme="1"/>
      </top>
      <bottom style="thin">
        <color theme="1"/>
      </bottom>
      <diagonal/>
    </border>
    <border>
      <left/>
      <right style="thin">
        <color theme="1"/>
      </right>
      <top style="thin">
        <color theme="1"/>
      </top>
      <bottom style="hair">
        <color indexed="64"/>
      </bottom>
      <diagonal/>
    </border>
    <border>
      <left/>
      <right style="thin">
        <color theme="1"/>
      </right>
      <top style="hair">
        <color indexed="64"/>
      </top>
      <bottom style="thin">
        <color theme="1"/>
      </bottom>
      <diagonal/>
    </border>
    <border>
      <left/>
      <right/>
      <top style="thin">
        <color theme="1"/>
      </top>
      <bottom style="hair">
        <color indexed="64"/>
      </bottom>
      <diagonal/>
    </border>
    <border>
      <left/>
      <right/>
      <top style="hair">
        <color indexed="64"/>
      </top>
      <bottom style="thin">
        <color theme="1"/>
      </bottom>
      <diagonal/>
    </border>
    <border>
      <left/>
      <right/>
      <top/>
      <bottom style="hair">
        <color indexed="64"/>
      </bottom>
      <diagonal/>
    </border>
    <border>
      <left/>
      <right/>
      <top style="thin">
        <color theme="1"/>
      </top>
      <bottom style="thin">
        <color auto="1"/>
      </bottom>
      <diagonal/>
    </border>
    <border>
      <left style="thin">
        <color theme="1"/>
      </left>
      <right style="thin">
        <color auto="1"/>
      </right>
      <top style="thin">
        <color auto="1"/>
      </top>
      <bottom style="thin">
        <color theme="1"/>
      </bottom>
      <diagonal/>
    </border>
    <border>
      <left style="thin">
        <color auto="1"/>
      </left>
      <right style="thin">
        <color auto="1"/>
      </right>
      <top style="thin">
        <color auto="1"/>
      </top>
      <bottom style="thin">
        <color theme="1"/>
      </bottom>
      <diagonal/>
    </border>
    <border>
      <left/>
      <right style="medium">
        <color indexed="64"/>
      </right>
      <top style="thin">
        <color theme="1"/>
      </top>
      <bottom/>
      <diagonal/>
    </border>
    <border>
      <left style="thin">
        <color indexed="64"/>
      </left>
      <right/>
      <top/>
      <bottom style="thin">
        <color theme="2" tint="-9.9978637043366805E-2"/>
      </bottom>
      <diagonal/>
    </border>
    <border>
      <left/>
      <right/>
      <top/>
      <bottom style="thin">
        <color theme="2" tint="-9.9978637043366805E-2"/>
      </bottom>
      <diagonal/>
    </border>
    <border>
      <left/>
      <right/>
      <top/>
      <bottom style="thin">
        <color theme="0" tint="-0.499984740745262"/>
      </bottom>
      <diagonal/>
    </border>
    <border>
      <left/>
      <right style="thin">
        <color indexed="64"/>
      </right>
      <top/>
      <bottom style="thin">
        <color theme="0" tint="-0.499984740745262"/>
      </bottom>
      <diagonal/>
    </border>
    <border>
      <left/>
      <right/>
      <top style="thin">
        <color theme="0" tint="-0.499984740745262"/>
      </top>
      <bottom/>
      <diagonal/>
    </border>
    <border>
      <left style="thin">
        <color theme="0"/>
      </left>
      <right style="thin">
        <color indexed="64"/>
      </right>
      <top style="thin">
        <color auto="1"/>
      </top>
      <bottom style="thin">
        <color auto="1"/>
      </bottom>
      <diagonal/>
    </border>
    <border>
      <left style="thin">
        <color indexed="64"/>
      </left>
      <right/>
      <top style="thin">
        <color theme="2" tint="-9.9978637043366805E-2"/>
      </top>
      <bottom/>
      <diagonal/>
    </border>
    <border>
      <left style="thin">
        <color indexed="64"/>
      </left>
      <right style="thin">
        <color indexed="64"/>
      </right>
      <top style="thin">
        <color theme="1"/>
      </top>
      <bottom/>
      <diagonal/>
    </border>
    <border>
      <left style="thin">
        <color indexed="64"/>
      </left>
      <right style="thin">
        <color indexed="64"/>
      </right>
      <top/>
      <bottom style="thin">
        <color theme="0" tint="-0.499984740745262"/>
      </bottom>
      <diagonal/>
    </border>
    <border>
      <left style="thin">
        <color indexed="64"/>
      </left>
      <right style="thin">
        <color indexed="64"/>
      </right>
      <top style="thin">
        <color theme="0" tint="-0.499984740745262"/>
      </top>
      <bottom/>
      <diagonal/>
    </border>
    <border>
      <left/>
      <right style="thin">
        <color indexed="64"/>
      </right>
      <top/>
      <bottom style="thin">
        <color theme="2" tint="-9.9978637043366805E-2"/>
      </bottom>
      <diagonal/>
    </border>
    <border>
      <left/>
      <right style="thin">
        <color indexed="64"/>
      </right>
      <top style="thin">
        <color theme="2" tint="-9.9978637043366805E-2"/>
      </top>
      <bottom/>
      <diagonal/>
    </border>
    <border>
      <left style="thin">
        <color theme="2"/>
      </left>
      <right/>
      <top style="thin">
        <color theme="2"/>
      </top>
      <bottom style="medium">
        <color indexed="64"/>
      </bottom>
      <diagonal/>
    </border>
    <border>
      <left/>
      <right/>
      <top style="thin">
        <color theme="2"/>
      </top>
      <bottom style="medium">
        <color indexed="64"/>
      </bottom>
      <diagonal/>
    </border>
    <border>
      <left/>
      <right style="medium">
        <color indexed="64"/>
      </right>
      <top style="thin">
        <color theme="2"/>
      </top>
      <bottom style="medium">
        <color indexed="64"/>
      </bottom>
      <diagonal/>
    </border>
    <border diagonalDown="1">
      <left/>
      <right/>
      <top/>
      <bottom/>
      <diagonal style="thin">
        <color auto="1"/>
      </diagonal>
    </border>
    <border diagonalDown="1">
      <left/>
      <right/>
      <top/>
      <bottom style="thin">
        <color indexed="64"/>
      </bottom>
      <diagonal style="thin">
        <color indexed="64"/>
      </diagonal>
    </border>
    <border>
      <left style="thin">
        <color theme="5" tint="0.39997558519241921"/>
      </left>
      <right/>
      <top style="thin">
        <color theme="5" tint="0.39997558519241921"/>
      </top>
      <bottom style="thin">
        <color theme="5" tint="0.39997558519241921"/>
      </bottom>
      <diagonal/>
    </border>
    <border>
      <left style="thin">
        <color theme="4" tint="0.39997558519241921"/>
      </left>
      <right/>
      <top style="thin">
        <color theme="4" tint="0.39997558519241921"/>
      </top>
      <bottom/>
      <diagonal/>
    </border>
    <border>
      <left/>
      <right style="thin">
        <color theme="4" tint="0.39997558519241921"/>
      </right>
      <top style="thin">
        <color theme="4" tint="0.39997558519241921"/>
      </top>
      <bottom/>
      <diagonal/>
    </border>
    <border>
      <left style="thin">
        <color theme="5" tint="0.39997558519241921"/>
      </left>
      <right/>
      <top style="thin">
        <color theme="5" tint="0.39997558519241921"/>
      </top>
      <bottom/>
      <diagonal/>
    </border>
    <border>
      <left style="thin">
        <color theme="5" tint="0.39997558519241921"/>
      </left>
      <right/>
      <top style="medium">
        <color indexed="64"/>
      </top>
      <bottom/>
      <diagonal/>
    </border>
    <border>
      <left/>
      <right style="thin">
        <color theme="4" tint="0.39997558519241921"/>
      </right>
      <top/>
      <bottom/>
      <diagonal/>
    </border>
    <border>
      <left/>
      <right style="thin">
        <color theme="4" tint="0.39997558519241921"/>
      </right>
      <top/>
      <bottom style="medium">
        <color indexed="64"/>
      </bottom>
      <diagonal/>
    </border>
    <border>
      <left style="thin">
        <color theme="9" tint="0.39997558519241921"/>
      </left>
      <right/>
      <top style="thin">
        <color theme="9" tint="0.39997558519241921"/>
      </top>
      <bottom/>
      <diagonal/>
    </border>
    <border>
      <left/>
      <right style="thin">
        <color indexed="64"/>
      </right>
      <top style="thin">
        <color theme="1"/>
      </top>
      <bottom style="thin">
        <color theme="1"/>
      </bottom>
      <diagonal/>
    </border>
    <border>
      <left/>
      <right style="thin">
        <color indexed="64"/>
      </right>
      <top/>
      <bottom style="thin">
        <color theme="1"/>
      </bottom>
      <diagonal/>
    </border>
    <border>
      <left style="thin">
        <color theme="2" tint="-9.9978637043366805E-2"/>
      </left>
      <right style="thin">
        <color indexed="64"/>
      </right>
      <top/>
      <bottom/>
      <diagonal/>
    </border>
    <border>
      <left style="thin">
        <color indexed="64"/>
      </left>
      <right style="thin">
        <color theme="0"/>
      </right>
      <top/>
      <bottom/>
      <diagonal/>
    </border>
    <border>
      <left style="thin">
        <color indexed="64"/>
      </left>
      <right style="thin">
        <color theme="0"/>
      </right>
      <top/>
      <bottom style="thin">
        <color auto="1"/>
      </bottom>
      <diagonal/>
    </border>
    <border>
      <left style="thin">
        <color indexed="64"/>
      </left>
      <right style="thin">
        <color theme="0"/>
      </right>
      <top style="thin">
        <color indexed="64"/>
      </top>
      <bottom/>
      <diagonal/>
    </border>
    <border>
      <left style="thin">
        <color theme="0"/>
      </left>
      <right style="thin">
        <color indexed="64"/>
      </right>
      <top style="thin">
        <color indexed="64"/>
      </top>
      <bottom/>
      <diagonal/>
    </border>
    <border>
      <left style="thin">
        <color theme="0"/>
      </left>
      <right style="thin">
        <color indexed="64"/>
      </right>
      <top/>
      <bottom/>
      <diagonal/>
    </border>
    <border>
      <left style="thin">
        <color theme="0"/>
      </left>
      <right style="thin">
        <color indexed="64"/>
      </right>
      <top/>
      <bottom style="thin">
        <color indexed="64"/>
      </bottom>
      <diagonal/>
    </border>
    <border>
      <left style="thin">
        <color theme="2" tint="-9.9978637043366805E-2"/>
      </left>
      <right/>
      <top/>
      <bottom/>
      <diagonal/>
    </border>
    <border>
      <left style="thin">
        <color theme="2" tint="-9.9978637043366805E-2"/>
      </left>
      <right style="thin">
        <color indexed="64"/>
      </right>
      <top style="thin">
        <color theme="2" tint="-9.9978637043366805E-2"/>
      </top>
      <bottom/>
      <diagonal/>
    </border>
    <border>
      <left style="thin">
        <color indexed="64"/>
      </left>
      <right/>
      <top style="thin">
        <color theme="2" tint="-9.9978637043366805E-2"/>
      </top>
      <bottom style="thin">
        <color theme="2" tint="-9.9978637043366805E-2"/>
      </bottom>
      <diagonal/>
    </border>
    <border>
      <left style="thin">
        <color theme="2" tint="-9.9978637043366805E-2"/>
      </left>
      <right style="thin">
        <color indexed="64"/>
      </right>
      <top/>
      <bottom style="thin">
        <color theme="2" tint="-9.9978637043366805E-2"/>
      </bottom>
      <diagonal/>
    </border>
    <border>
      <left style="thin">
        <color indexed="64"/>
      </left>
      <right/>
      <top style="thin">
        <color theme="2" tint="-9.9978637043366805E-2"/>
      </top>
      <bottom style="thin">
        <color indexed="64"/>
      </bottom>
      <diagonal/>
    </border>
    <border>
      <left style="thin">
        <color theme="2" tint="-9.9978637043366805E-2"/>
      </left>
      <right style="thin">
        <color indexed="64"/>
      </right>
      <top/>
      <bottom style="thin">
        <color indexed="64"/>
      </bottom>
      <diagonal/>
    </border>
    <border>
      <left style="thin">
        <color indexed="64"/>
      </left>
      <right/>
      <top/>
      <bottom style="medium">
        <color theme="0"/>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theme="2" tint="-9.9978637043366805E-2"/>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indexed="64"/>
      </top>
      <bottom style="thin">
        <color theme="2" tint="-9.9978637043366805E-2"/>
      </bottom>
      <diagonal/>
    </border>
    <border>
      <left style="thin">
        <color theme="2" tint="-9.9978637043366805E-2"/>
      </left>
      <right style="thin">
        <color theme="2" tint="-9.9978637043366805E-2"/>
      </right>
      <top/>
      <bottom style="medium">
        <color indexed="64"/>
      </bottom>
      <diagonal/>
    </border>
    <border>
      <left style="thin">
        <color indexed="64"/>
      </left>
      <right/>
      <top/>
      <bottom style="dashed">
        <color indexed="64"/>
      </bottom>
      <diagonal/>
    </border>
    <border>
      <left/>
      <right/>
      <top/>
      <bottom style="dashed">
        <color indexed="64"/>
      </bottom>
      <diagonal/>
    </border>
    <border>
      <left style="thin">
        <color theme="2" tint="-9.9978637043366805E-2"/>
      </left>
      <right style="thin">
        <color theme="2" tint="-9.9978637043366805E-2"/>
      </right>
      <top style="thin">
        <color theme="2" tint="-9.9978637043366805E-2"/>
      </top>
      <bottom style="dashed">
        <color indexed="64"/>
      </bottom>
      <diagonal/>
    </border>
    <border>
      <left/>
      <right style="medium">
        <color indexed="64"/>
      </right>
      <top/>
      <bottom style="dashed">
        <color indexed="64"/>
      </bottom>
      <diagonal/>
    </border>
    <border>
      <left/>
      <right/>
      <top style="thin">
        <color theme="9" tint="0.39997558519241921"/>
      </top>
      <bottom style="thin">
        <color theme="9" tint="0.39997558519241921"/>
      </bottom>
      <diagonal/>
    </border>
    <border>
      <left/>
      <right style="thin">
        <color theme="9" tint="0.39997558519241921"/>
      </right>
      <top/>
      <bottom/>
      <diagonal/>
    </border>
    <border>
      <left/>
      <right/>
      <top style="thin">
        <color theme="9" tint="0.39997558519241921"/>
      </top>
      <bottom/>
      <diagonal/>
    </border>
    <border>
      <left/>
      <right style="thin">
        <color theme="9" tint="0.39997558519241921"/>
      </right>
      <top style="thin">
        <color theme="9" tint="0.39997558519241921"/>
      </top>
      <bottom/>
      <diagonal/>
    </border>
    <border>
      <left style="thin">
        <color theme="9" tint="0.39997558519241921"/>
      </left>
      <right/>
      <top/>
      <bottom/>
      <diagonal/>
    </border>
    <border>
      <left style="thin">
        <color theme="4" tint="0.39997558519241921"/>
      </left>
      <right/>
      <top/>
      <bottom/>
      <diagonal/>
    </border>
    <border>
      <left style="thin">
        <color theme="4" tint="0.39997558519241921"/>
      </left>
      <right/>
      <top style="thin">
        <color theme="4" tint="0.39997558519241921"/>
      </top>
      <bottom style="medium">
        <color indexed="64"/>
      </bottom>
      <diagonal/>
    </border>
    <border>
      <left/>
      <right style="thin">
        <color theme="4" tint="0.39997558519241921"/>
      </right>
      <top style="thin">
        <color theme="4" tint="0.39997558519241921"/>
      </top>
      <bottom style="medium">
        <color indexed="64"/>
      </bottom>
      <diagonal/>
    </border>
    <border>
      <left style="thin">
        <color theme="2" tint="-9.9978637043366805E-2"/>
      </left>
      <right/>
      <top style="thin">
        <color auto="1"/>
      </top>
      <bottom style="medium">
        <color theme="0" tint="-0.34998626667073579"/>
      </bottom>
      <diagonal/>
    </border>
    <border>
      <left/>
      <right style="thin">
        <color theme="2" tint="-9.9978637043366805E-2"/>
      </right>
      <top/>
      <bottom/>
      <diagonal/>
    </border>
    <border>
      <left/>
      <right style="thin">
        <color theme="2" tint="-9.9978637043366805E-2"/>
      </right>
      <top/>
      <bottom style="thin">
        <color theme="2" tint="-9.9978637043366805E-2"/>
      </bottom>
      <diagonal/>
    </border>
    <border>
      <left/>
      <right style="medium">
        <color indexed="64"/>
      </right>
      <top style="thin">
        <color indexed="64"/>
      </top>
      <bottom style="thin">
        <color auto="1"/>
      </bottom>
      <diagonal/>
    </border>
    <border>
      <left/>
      <right style="thin">
        <color indexed="64"/>
      </right>
      <top style="thin">
        <color auto="1"/>
      </top>
      <bottom style="thin">
        <color theme="1"/>
      </bottom>
      <diagonal/>
    </border>
    <border>
      <left/>
      <right style="thin">
        <color indexed="64"/>
      </right>
      <top style="thin">
        <color theme="1"/>
      </top>
      <bottom style="thin">
        <color auto="1"/>
      </bottom>
      <diagonal/>
    </border>
    <border>
      <left style="thin">
        <color theme="4" tint="0.39997558519241921"/>
      </left>
      <right style="thin">
        <color theme="8"/>
      </right>
      <top/>
      <bottom style="thin">
        <color theme="4" tint="0.39997558519241921"/>
      </bottom>
      <diagonal/>
    </border>
    <border>
      <left style="thin">
        <color theme="4" tint="0.39997558519241921"/>
      </left>
      <right style="thin">
        <color theme="8"/>
      </right>
      <top/>
      <bottom/>
      <diagonal/>
    </border>
    <border>
      <left style="thin">
        <color theme="4" tint="0.39997558519241921"/>
      </left>
      <right style="thin">
        <color theme="8"/>
      </right>
      <top/>
      <bottom style="medium">
        <color indexed="64"/>
      </bottom>
      <diagonal/>
    </border>
    <border>
      <left style="thin">
        <color theme="8"/>
      </left>
      <right style="thin">
        <color theme="4" tint="0.39997558519241921"/>
      </right>
      <top/>
      <bottom style="thin">
        <color theme="8"/>
      </bottom>
      <diagonal/>
    </border>
    <border>
      <left style="thin">
        <color theme="4" tint="0.39997558519241921"/>
      </left>
      <right style="thin">
        <color theme="8"/>
      </right>
      <top/>
      <bottom style="thin">
        <color theme="8"/>
      </bottom>
      <diagonal/>
    </border>
    <border>
      <left/>
      <right style="thin">
        <color rgb="FFF7941E"/>
      </right>
      <top style="thin">
        <color theme="5" tint="0.39997558519241921"/>
      </top>
      <bottom style="thin">
        <color theme="5" tint="0.39997558519241921"/>
      </bottom>
      <diagonal/>
    </border>
    <border>
      <left/>
      <right style="thin">
        <color rgb="FFF7941E"/>
      </right>
      <top/>
      <bottom/>
      <diagonal/>
    </border>
    <border>
      <left/>
      <right style="thin">
        <color rgb="FFF7941E"/>
      </right>
      <top/>
      <bottom style="medium">
        <color indexed="64"/>
      </bottom>
      <diagonal/>
    </border>
    <border>
      <left/>
      <right style="thin">
        <color rgb="FFF7941E"/>
      </right>
      <top style="thin">
        <color theme="5" tint="0.39997558519241921"/>
      </top>
      <bottom/>
      <diagonal/>
    </border>
    <border>
      <left/>
      <right style="thin">
        <color rgb="FFF7941E"/>
      </right>
      <top style="medium">
        <color indexed="64"/>
      </top>
      <bottom/>
      <diagonal/>
    </border>
    <border>
      <left style="thin">
        <color rgb="FFF7941E"/>
      </left>
      <right style="thin">
        <color rgb="FFF7941E"/>
      </right>
      <top style="thin">
        <color rgb="FFF7941E"/>
      </top>
      <bottom/>
      <diagonal/>
    </border>
    <border>
      <left style="thin">
        <color rgb="FFF7941E"/>
      </left>
      <right style="thin">
        <color rgb="FFF7941E"/>
      </right>
      <top/>
      <bottom/>
      <diagonal/>
    </border>
    <border>
      <left style="thin">
        <color rgb="FFF7941E"/>
      </left>
      <right style="thin">
        <color rgb="FFF7941E"/>
      </right>
      <top/>
      <bottom style="medium">
        <color indexed="64"/>
      </bottom>
      <diagonal/>
    </border>
    <border>
      <left style="thin">
        <color rgb="FFF7941E"/>
      </left>
      <right style="thin">
        <color rgb="FFF7941E"/>
      </right>
      <top/>
      <bottom style="thin">
        <color rgb="FFF7941E"/>
      </bottom>
      <diagonal/>
    </border>
    <border>
      <left/>
      <right style="thin">
        <color rgb="FFF7941E"/>
      </right>
      <top style="thin">
        <color rgb="FFF7941E"/>
      </top>
      <bottom/>
      <diagonal/>
    </border>
    <border>
      <left/>
      <right style="thin">
        <color rgb="FFF7941E"/>
      </right>
      <top/>
      <bottom style="thin">
        <color rgb="FFF7941E"/>
      </bottom>
      <diagonal/>
    </border>
  </borders>
  <cellStyleXfs count="5">
    <xf numFmtId="0" fontId="0" fillId="0" borderId="0"/>
    <xf numFmtId="44" fontId="3" fillId="0" borderId="0" applyFont="0" applyFill="0" applyBorder="0" applyAlignment="0" applyProtection="0"/>
    <xf numFmtId="0" fontId="2" fillId="0" borderId="0"/>
    <xf numFmtId="9" fontId="3" fillId="0" borderId="0" applyFont="0" applyFill="0" applyBorder="0" applyAlignment="0" applyProtection="0"/>
    <xf numFmtId="0" fontId="10" fillId="0" borderId="0" applyNumberFormat="0" applyFill="0" applyBorder="0" applyAlignment="0" applyProtection="0"/>
  </cellStyleXfs>
  <cellXfs count="717">
    <xf numFmtId="0" fontId="0" fillId="0" borderId="0" xfId="0"/>
    <xf numFmtId="0" fontId="0" fillId="0" borderId="0" xfId="0" applyNumberFormat="1"/>
    <xf numFmtId="0" fontId="0" fillId="0" borderId="0" xfId="0" applyAlignment="1">
      <alignment horizontal="center"/>
    </xf>
    <xf numFmtId="6" fontId="0" fillId="0" borderId="0" xfId="0" applyNumberFormat="1" applyAlignment="1">
      <alignment horizontal="center"/>
    </xf>
    <xf numFmtId="0" fontId="4" fillId="0" borderId="0" xfId="0" applyFont="1"/>
    <xf numFmtId="0" fontId="0" fillId="0" borderId="0" xfId="0" applyNumberFormat="1" applyAlignment="1">
      <alignment horizontal="center"/>
    </xf>
    <xf numFmtId="0" fontId="5" fillId="0" borderId="0" xfId="0" applyNumberFormat="1" applyFont="1"/>
    <xf numFmtId="0" fontId="0" fillId="0" borderId="0" xfId="0" applyFont="1"/>
    <xf numFmtId="0" fontId="4" fillId="3" borderId="0" xfId="0" applyFont="1" applyFill="1"/>
    <xf numFmtId="0" fontId="0" fillId="4" borderId="0" xfId="0" applyFill="1"/>
    <xf numFmtId="0" fontId="7" fillId="4" borderId="0" xfId="0" applyFont="1" applyFill="1"/>
    <xf numFmtId="0" fontId="0" fillId="0" borderId="1" xfId="0" applyBorder="1"/>
    <xf numFmtId="0" fontId="2" fillId="0" borderId="0" xfId="2"/>
    <xf numFmtId="0" fontId="0" fillId="0" borderId="0" xfId="0" applyFill="1"/>
    <xf numFmtId="0" fontId="3" fillId="0" borderId="0" xfId="0" applyFont="1"/>
    <xf numFmtId="0" fontId="3" fillId="0" borderId="0" xfId="0" applyFont="1" applyBorder="1"/>
    <xf numFmtId="0" fontId="3" fillId="0" borderId="0" xfId="0" applyFont="1" applyBorder="1" applyAlignment="1">
      <alignment horizontal="center"/>
    </xf>
    <xf numFmtId="0" fontId="3" fillId="0" borderId="1" xfId="0" applyFont="1" applyBorder="1"/>
    <xf numFmtId="164" fontId="3" fillId="0" borderId="0" xfId="0" applyNumberFormat="1" applyFont="1"/>
    <xf numFmtId="164" fontId="3" fillId="0" borderId="0" xfId="1" applyNumberFormat="1" applyFont="1"/>
    <xf numFmtId="0" fontId="3" fillId="0" borderId="0" xfId="2" applyFont="1"/>
    <xf numFmtId="44" fontId="3" fillId="0" borderId="0" xfId="0" applyNumberFormat="1" applyFont="1"/>
    <xf numFmtId="0" fontId="0" fillId="0" borderId="0" xfId="0" applyAlignment="1">
      <alignment horizontal="left"/>
    </xf>
    <xf numFmtId="0" fontId="0" fillId="0" borderId="0" xfId="0" applyBorder="1" applyAlignment="1">
      <alignment horizontal="left"/>
    </xf>
    <xf numFmtId="0" fontId="3" fillId="0" borderId="5" xfId="0" applyFont="1" applyBorder="1"/>
    <xf numFmtId="0" fontId="3" fillId="0" borderId="0" xfId="0" applyFont="1" applyFill="1" applyBorder="1" applyAlignment="1">
      <alignment horizontal="center"/>
    </xf>
    <xf numFmtId="0" fontId="3" fillId="3" borderId="12" xfId="0" applyFont="1" applyFill="1" applyBorder="1" applyAlignment="1">
      <alignment horizontal="center"/>
    </xf>
    <xf numFmtId="0" fontId="3" fillId="3" borderId="13" xfId="0" applyFont="1" applyFill="1" applyBorder="1" applyAlignment="1">
      <alignment horizontal="center"/>
    </xf>
    <xf numFmtId="0" fontId="0" fillId="2" borderId="0" xfId="0" applyFont="1" applyFill="1" applyAlignment="1">
      <alignment horizontal="center"/>
    </xf>
    <xf numFmtId="0" fontId="3" fillId="0" borderId="16" xfId="0" applyFont="1" applyBorder="1"/>
    <xf numFmtId="1" fontId="0" fillId="0" borderId="0" xfId="0" applyNumberFormat="1"/>
    <xf numFmtId="0" fontId="2" fillId="0" borderId="0" xfId="2" applyNumberFormat="1"/>
    <xf numFmtId="164" fontId="0" fillId="0" borderId="0" xfId="1" applyNumberFormat="1" applyFont="1"/>
    <xf numFmtId="0" fontId="3" fillId="0" borderId="0" xfId="0" applyFont="1" applyBorder="1" applyProtection="1"/>
    <xf numFmtId="0" fontId="3" fillId="0" borderId="0" xfId="0" applyFont="1" applyBorder="1" applyAlignment="1" applyProtection="1">
      <alignment horizontal="center"/>
    </xf>
    <xf numFmtId="164" fontId="3" fillId="0" borderId="0" xfId="0" applyNumberFormat="1" applyFont="1" applyProtection="1"/>
    <xf numFmtId="0" fontId="3" fillId="0" borderId="0" xfId="2" applyFont="1" applyBorder="1"/>
    <xf numFmtId="0" fontId="3" fillId="0" borderId="0" xfId="0" applyFont="1" applyAlignment="1">
      <alignment horizontal="center"/>
    </xf>
    <xf numFmtId="6" fontId="5" fillId="11" borderId="0" xfId="0" applyNumberFormat="1" applyFont="1" applyFill="1" applyBorder="1" applyAlignment="1">
      <alignment horizontal="center" vertical="center"/>
    </xf>
    <xf numFmtId="0" fontId="3" fillId="11" borderId="5" xfId="0" applyFont="1" applyFill="1" applyBorder="1"/>
    <xf numFmtId="0" fontId="3" fillId="11" borderId="0" xfId="0" applyFont="1" applyFill="1"/>
    <xf numFmtId="0" fontId="3" fillId="11" borderId="0" xfId="0" applyFont="1" applyFill="1" applyBorder="1"/>
    <xf numFmtId="0" fontId="3" fillId="11" borderId="1" xfId="0" applyFont="1" applyFill="1" applyBorder="1"/>
    <xf numFmtId="164" fontId="3" fillId="11" borderId="0" xfId="0" applyNumberFormat="1" applyFont="1" applyFill="1" applyBorder="1"/>
    <xf numFmtId="0" fontId="0" fillId="0" borderId="0" xfId="0" applyBorder="1" applyAlignment="1">
      <alignment horizontal="center"/>
    </xf>
    <xf numFmtId="0" fontId="0" fillId="0" borderId="16" xfId="0" applyFont="1" applyBorder="1"/>
    <xf numFmtId="0" fontId="0" fillId="11" borderId="5" xfId="0" applyFont="1" applyFill="1" applyBorder="1"/>
    <xf numFmtId="0" fontId="0" fillId="11" borderId="0" xfId="0" applyFont="1" applyFill="1" applyBorder="1"/>
    <xf numFmtId="0" fontId="3" fillId="0" borderId="0" xfId="0" applyFont="1" applyAlignment="1">
      <alignment horizontal="center"/>
    </xf>
    <xf numFmtId="0" fontId="3" fillId="0" borderId="2" xfId="0" applyFont="1" applyBorder="1" applyProtection="1"/>
    <xf numFmtId="0" fontId="4" fillId="0" borderId="0" xfId="0" applyFont="1" applyAlignment="1">
      <alignment horizontal="right"/>
    </xf>
    <xf numFmtId="0" fontId="0" fillId="0" borderId="0" xfId="0" applyFont="1" applyAlignment="1"/>
    <xf numFmtId="0" fontId="3" fillId="0" borderId="10" xfId="0" applyFont="1" applyBorder="1"/>
    <xf numFmtId="0" fontId="0" fillId="0" borderId="0" xfId="0" applyFont="1" applyBorder="1"/>
    <xf numFmtId="0" fontId="0" fillId="0" borderId="0" xfId="0" applyFont="1" applyBorder="1" applyAlignment="1">
      <alignment horizontal="left"/>
    </xf>
    <xf numFmtId="0" fontId="0" fillId="0" borderId="0" xfId="0" applyFont="1" applyFill="1" applyBorder="1"/>
    <xf numFmtId="0" fontId="0" fillId="0" borderId="0" xfId="0" applyFont="1" applyFill="1" applyBorder="1" applyAlignment="1">
      <alignment horizontal="left"/>
    </xf>
    <xf numFmtId="0" fontId="15" fillId="0" borderId="0" xfId="0" applyFont="1" applyAlignment="1">
      <alignment horizontal="left"/>
    </xf>
    <xf numFmtId="0" fontId="0" fillId="2" borderId="0" xfId="0" applyNumberFormat="1" applyFill="1"/>
    <xf numFmtId="164" fontId="0" fillId="0" borderId="0" xfId="1" applyNumberFormat="1" applyFont="1" applyAlignment="1">
      <alignment horizontal="center"/>
    </xf>
    <xf numFmtId="0" fontId="0" fillId="0" borderId="0" xfId="0" applyBorder="1"/>
    <xf numFmtId="0" fontId="0" fillId="0" borderId="18" xfId="0" applyBorder="1"/>
    <xf numFmtId="164" fontId="0" fillId="0" borderId="0" xfId="1" applyNumberFormat="1" applyFont="1" applyAlignment="1">
      <alignment horizontal="left" vertical="top"/>
    </xf>
    <xf numFmtId="0" fontId="3" fillId="11" borderId="16" xfId="0" applyFont="1" applyFill="1" applyBorder="1"/>
    <xf numFmtId="0" fontId="4" fillId="11" borderId="1" xfId="0" applyFont="1" applyFill="1" applyBorder="1" applyAlignment="1">
      <alignment horizontal="center"/>
    </xf>
    <xf numFmtId="0" fontId="4" fillId="3" borderId="21" xfId="0" applyFont="1" applyFill="1" applyBorder="1" applyAlignment="1">
      <alignment horizontal="center"/>
    </xf>
    <xf numFmtId="0" fontId="4" fillId="3" borderId="5" xfId="0" applyFont="1" applyFill="1" applyBorder="1" applyAlignment="1">
      <alignment horizontal="center"/>
    </xf>
    <xf numFmtId="0" fontId="4" fillId="3" borderId="22" xfId="0" applyFont="1" applyFill="1" applyBorder="1" applyAlignment="1">
      <alignment horizontal="center"/>
    </xf>
    <xf numFmtId="0" fontId="4" fillId="3" borderId="8" xfId="0" applyFont="1" applyFill="1" applyBorder="1" applyAlignment="1">
      <alignment horizontal="center"/>
    </xf>
    <xf numFmtId="0" fontId="3" fillId="3" borderId="0" xfId="0" applyFont="1" applyFill="1"/>
    <xf numFmtId="0" fontId="0" fillId="3" borderId="21" xfId="0" applyFont="1" applyFill="1" applyBorder="1" applyAlignment="1">
      <alignment horizontal="center"/>
    </xf>
    <xf numFmtId="0" fontId="3" fillId="11" borderId="18" xfId="0" applyFont="1" applyFill="1" applyBorder="1"/>
    <xf numFmtId="0" fontId="10" fillId="0" borderId="0" xfId="4"/>
    <xf numFmtId="0" fontId="0" fillId="3" borderId="0" xfId="0" applyFill="1"/>
    <xf numFmtId="0" fontId="0" fillId="3" borderId="0" xfId="0" applyFill="1" applyAlignment="1">
      <alignment horizontal="center"/>
    </xf>
    <xf numFmtId="0" fontId="0" fillId="11" borderId="0" xfId="0" applyFill="1" applyBorder="1"/>
    <xf numFmtId="164" fontId="0" fillId="3" borderId="0" xfId="1" applyNumberFormat="1" applyFont="1" applyFill="1" applyBorder="1"/>
    <xf numFmtId="0" fontId="4" fillId="3" borderId="0" xfId="0" applyFont="1" applyFill="1" applyBorder="1"/>
    <xf numFmtId="164" fontId="4" fillId="3" borderId="0" xfId="1" applyNumberFormat="1" applyFont="1" applyFill="1" applyBorder="1"/>
    <xf numFmtId="0" fontId="10" fillId="3" borderId="0" xfId="4" applyFill="1"/>
    <xf numFmtId="0" fontId="0" fillId="3" borderId="0" xfId="0" applyFont="1" applyFill="1"/>
    <xf numFmtId="0" fontId="0" fillId="3" borderId="0" xfId="0" applyFont="1" applyFill="1" applyBorder="1"/>
    <xf numFmtId="0" fontId="4" fillId="11" borderId="9" xfId="0" applyFont="1" applyFill="1" applyBorder="1" applyAlignment="1"/>
    <xf numFmtId="0" fontId="4" fillId="14" borderId="2" xfId="0" applyFont="1" applyFill="1" applyBorder="1" applyAlignment="1">
      <alignment horizontal="center"/>
    </xf>
    <xf numFmtId="0" fontId="3" fillId="3" borderId="21" xfId="0" applyFont="1" applyFill="1" applyBorder="1" applyProtection="1"/>
    <xf numFmtId="0" fontId="21" fillId="14" borderId="4" xfId="0" applyFont="1" applyFill="1" applyBorder="1" applyAlignment="1">
      <alignment horizontal="center"/>
    </xf>
    <xf numFmtId="0" fontId="21" fillId="15" borderId="4" xfId="0" applyFont="1" applyFill="1" applyBorder="1" applyAlignment="1">
      <alignment horizontal="center"/>
    </xf>
    <xf numFmtId="0" fontId="0" fillId="0" borderId="0" xfId="0" applyFont="1" applyAlignment="1">
      <alignment horizontal="center"/>
    </xf>
    <xf numFmtId="0" fontId="22" fillId="3" borderId="21" xfId="0" applyFont="1" applyFill="1" applyBorder="1" applyAlignment="1">
      <alignment horizontal="center"/>
    </xf>
    <xf numFmtId="0" fontId="4" fillId="3" borderId="22" xfId="0" applyFont="1" applyFill="1" applyBorder="1" applyAlignment="1">
      <alignment horizontal="center"/>
    </xf>
    <xf numFmtId="2" fontId="3" fillId="3" borderId="21" xfId="0" applyNumberFormat="1" applyFont="1" applyFill="1" applyBorder="1" applyAlignment="1" applyProtection="1">
      <alignment horizontal="center"/>
    </xf>
    <xf numFmtId="0" fontId="4" fillId="3" borderId="21" xfId="0" applyFont="1" applyFill="1" applyBorder="1"/>
    <xf numFmtId="0" fontId="4" fillId="3" borderId="9" xfId="0" applyFont="1" applyFill="1" applyBorder="1" applyAlignment="1">
      <alignment horizontal="center"/>
    </xf>
    <xf numFmtId="0" fontId="0" fillId="3" borderId="8" xfId="0" applyFont="1" applyFill="1" applyBorder="1" applyAlignment="1" applyProtection="1">
      <alignment horizontal="left"/>
    </xf>
    <xf numFmtId="1" fontId="3" fillId="3" borderId="9" xfId="0" applyNumberFormat="1" applyFont="1" applyFill="1" applyBorder="1" applyAlignment="1" applyProtection="1">
      <alignment horizontal="center"/>
    </xf>
    <xf numFmtId="0" fontId="0" fillId="3" borderId="5" xfId="0" applyFont="1" applyFill="1" applyBorder="1" applyAlignment="1">
      <alignment horizontal="center"/>
    </xf>
    <xf numFmtId="0" fontId="0" fillId="3" borderId="21" xfId="0" applyFont="1" applyFill="1" applyBorder="1"/>
    <xf numFmtId="0" fontId="0" fillId="0" borderId="0" xfId="0" applyAlignment="1">
      <alignment wrapText="1"/>
    </xf>
    <xf numFmtId="0" fontId="0" fillId="0" borderId="0" xfId="0" applyAlignment="1">
      <alignment horizontal="center" vertical="center"/>
    </xf>
    <xf numFmtId="0" fontId="0" fillId="18" borderId="0" xfId="0" applyFill="1"/>
    <xf numFmtId="0" fontId="0" fillId="0" borderId="16" xfId="0" applyBorder="1"/>
    <xf numFmtId="0" fontId="8" fillId="0" borderId="8" xfId="0" applyFont="1" applyBorder="1" applyAlignment="1">
      <alignment horizontal="center"/>
    </xf>
    <xf numFmtId="0" fontId="13" fillId="17" borderId="23" xfId="4" applyFont="1" applyFill="1" applyBorder="1" applyAlignment="1">
      <alignment horizontal="center"/>
    </xf>
    <xf numFmtId="0" fontId="4" fillId="3" borderId="0" xfId="0" applyFont="1" applyFill="1" applyAlignment="1">
      <alignment horizontal="left"/>
    </xf>
    <xf numFmtId="0" fontId="0" fillId="0" borderId="0" xfId="0" applyNumberFormat="1" applyAlignment="1">
      <alignment horizontal="left"/>
    </xf>
    <xf numFmtId="0" fontId="0" fillId="0" borderId="0" xfId="0" applyNumberFormat="1" applyBorder="1"/>
    <xf numFmtId="0" fontId="23" fillId="3" borderId="0" xfId="0" applyFont="1" applyFill="1"/>
    <xf numFmtId="0" fontId="23" fillId="3" borderId="0" xfId="0" applyFont="1" applyFill="1" applyAlignment="1">
      <alignment horizontal="center"/>
    </xf>
    <xf numFmtId="0" fontId="20" fillId="11" borderId="0" xfId="4" quotePrefix="1" applyFont="1" applyFill="1"/>
    <xf numFmtId="0" fontId="0" fillId="0" borderId="0" xfId="0" applyAlignment="1"/>
    <xf numFmtId="0" fontId="0" fillId="0" borderId="0" xfId="0" applyFont="1" applyAlignment="1">
      <alignment horizontal="center"/>
    </xf>
    <xf numFmtId="0" fontId="4" fillId="22" borderId="3" xfId="0" applyFont="1" applyFill="1" applyBorder="1" applyAlignment="1">
      <alignment horizontal="center"/>
    </xf>
    <xf numFmtId="0" fontId="4" fillId="23" borderId="3" xfId="0" applyFont="1" applyFill="1" applyBorder="1" applyAlignment="1">
      <alignment horizontal="center"/>
    </xf>
    <xf numFmtId="0" fontId="4" fillId="15" borderId="3" xfId="0" applyFont="1" applyFill="1" applyBorder="1" applyAlignment="1">
      <alignment horizontal="center"/>
    </xf>
    <xf numFmtId="0" fontId="4" fillId="24" borderId="3" xfId="0" applyFont="1" applyFill="1" applyBorder="1" applyAlignment="1">
      <alignment horizontal="center"/>
    </xf>
    <xf numFmtId="0" fontId="4" fillId="21" borderId="9" xfId="0" applyFont="1" applyFill="1" applyBorder="1" applyAlignment="1">
      <alignment horizontal="center"/>
    </xf>
    <xf numFmtId="0" fontId="26" fillId="3" borderId="0" xfId="0" applyFont="1" applyFill="1"/>
    <xf numFmtId="0" fontId="0" fillId="0" borderId="0" xfId="0" applyAlignment="1">
      <alignment vertical="top"/>
    </xf>
    <xf numFmtId="0" fontId="0" fillId="0" borderId="30" xfId="0" applyBorder="1"/>
    <xf numFmtId="0" fontId="4" fillId="3" borderId="0" xfId="0" applyFont="1" applyFill="1" applyAlignment="1">
      <alignment horizontal="center"/>
    </xf>
    <xf numFmtId="0" fontId="10" fillId="3" borderId="0" xfId="4" applyFill="1" applyAlignment="1">
      <alignment horizontal="center"/>
    </xf>
    <xf numFmtId="0" fontId="4" fillId="0" borderId="0" xfId="0" applyFont="1" applyFill="1" applyBorder="1" applyAlignment="1">
      <alignment horizontal="right"/>
    </xf>
    <xf numFmtId="0" fontId="0" fillId="25" borderId="0" xfId="0" applyFill="1"/>
    <xf numFmtId="0" fontId="0" fillId="20" borderId="0" xfId="0" applyFill="1"/>
    <xf numFmtId="0" fontId="4" fillId="0" borderId="0" xfId="0" applyFont="1" applyBorder="1"/>
    <xf numFmtId="0" fontId="0" fillId="11" borderId="1" xfId="0" applyFill="1" applyBorder="1" applyAlignment="1">
      <alignment horizontal="center"/>
    </xf>
    <xf numFmtId="0" fontId="0" fillId="19" borderId="4" xfId="0" applyFill="1" applyBorder="1" applyAlignment="1">
      <alignment horizontal="center"/>
    </xf>
    <xf numFmtId="0" fontId="0" fillId="0" borderId="0" xfId="0" applyFill="1" applyAlignment="1"/>
    <xf numFmtId="0" fontId="17" fillId="11" borderId="0" xfId="0" applyFont="1" applyFill="1" applyBorder="1" applyAlignment="1">
      <alignment horizontal="center" vertical="center" wrapText="1"/>
    </xf>
    <xf numFmtId="0" fontId="3" fillId="3" borderId="21" xfId="0" applyFont="1" applyFill="1" applyBorder="1"/>
    <xf numFmtId="0" fontId="3" fillId="3" borderId="9" xfId="0" applyFont="1" applyFill="1" applyBorder="1"/>
    <xf numFmtId="0" fontId="3" fillId="3" borderId="1" xfId="0" applyFont="1" applyFill="1" applyBorder="1"/>
    <xf numFmtId="164" fontId="0" fillId="3" borderId="21" xfId="1" applyNumberFormat="1" applyFont="1" applyFill="1" applyBorder="1" applyAlignment="1" applyProtection="1">
      <alignment horizontal="center"/>
    </xf>
    <xf numFmtId="14" fontId="0" fillId="0" borderId="0" xfId="0" applyNumberFormat="1"/>
    <xf numFmtId="0" fontId="0" fillId="4" borderId="0" xfId="0" applyFill="1" applyBorder="1"/>
    <xf numFmtId="14" fontId="23" fillId="6" borderId="2" xfId="0" applyNumberFormat="1" applyFont="1" applyFill="1" applyBorder="1" applyAlignment="1">
      <alignment horizontal="right" vertical="center"/>
    </xf>
    <xf numFmtId="0" fontId="10" fillId="3" borderId="0" xfId="4" applyFill="1" applyAlignment="1">
      <alignment horizontal="center"/>
    </xf>
    <xf numFmtId="0" fontId="10" fillId="3" borderId="0" xfId="4" applyFill="1" applyBorder="1" applyAlignment="1">
      <alignment horizontal="center"/>
    </xf>
    <xf numFmtId="0" fontId="0" fillId="0" borderId="0" xfId="0" applyBorder="1" applyAlignment="1">
      <alignment horizontal="left" vertical="top"/>
    </xf>
    <xf numFmtId="0" fontId="0" fillId="0" borderId="0" xfId="0" applyBorder="1" applyAlignment="1">
      <alignment vertical="top"/>
    </xf>
    <xf numFmtId="0" fontId="13" fillId="16" borderId="40" xfId="4" applyFont="1" applyFill="1" applyBorder="1"/>
    <xf numFmtId="0" fontId="0" fillId="0" borderId="18" xfId="0" applyBorder="1" applyAlignment="1">
      <alignment horizontal="right"/>
    </xf>
    <xf numFmtId="0" fontId="4" fillId="0" borderId="18" xfId="0" applyFont="1" applyBorder="1" applyAlignment="1">
      <alignment horizontal="right"/>
    </xf>
    <xf numFmtId="0" fontId="2" fillId="0" borderId="0" xfId="2" applyBorder="1" applyAlignment="1">
      <alignment vertical="center"/>
    </xf>
    <xf numFmtId="0" fontId="2" fillId="0" borderId="18" xfId="2" applyBorder="1" applyAlignment="1">
      <alignment vertical="center"/>
    </xf>
    <xf numFmtId="0" fontId="0" fillId="19" borderId="46" xfId="0" applyFill="1" applyBorder="1" applyAlignment="1">
      <alignment horizontal="center"/>
    </xf>
    <xf numFmtId="0" fontId="4" fillId="0" borderId="18" xfId="0" applyFont="1" applyFill="1" applyBorder="1" applyAlignment="1">
      <alignment horizontal="right"/>
    </xf>
    <xf numFmtId="0" fontId="4" fillId="0" borderId="47" xfId="0" applyFont="1" applyBorder="1" applyAlignment="1">
      <alignment horizontal="right"/>
    </xf>
    <xf numFmtId="0" fontId="0" fillId="18" borderId="17" xfId="0" applyFill="1" applyBorder="1"/>
    <xf numFmtId="0" fontId="0" fillId="18" borderId="7" xfId="0" applyFill="1" applyBorder="1"/>
    <xf numFmtId="0" fontId="4" fillId="18" borderId="0" xfId="0" applyFont="1" applyFill="1" applyBorder="1" applyAlignment="1">
      <alignment horizontal="center"/>
    </xf>
    <xf numFmtId="0" fontId="4" fillId="18" borderId="47" xfId="0" applyFont="1" applyFill="1" applyBorder="1" applyAlignment="1">
      <alignment horizontal="center"/>
    </xf>
    <xf numFmtId="0" fontId="0" fillId="0" borderId="47" xfId="0" applyBorder="1"/>
    <xf numFmtId="0" fontId="4" fillId="21" borderId="55" xfId="0" applyFont="1" applyFill="1" applyBorder="1" applyAlignment="1">
      <alignment horizontal="center"/>
    </xf>
    <xf numFmtId="0" fontId="4" fillId="18" borderId="51" xfId="0" applyFont="1" applyFill="1" applyBorder="1" applyAlignment="1">
      <alignment horizontal="center"/>
    </xf>
    <xf numFmtId="0" fontId="0" fillId="0" borderId="10" xfId="0" applyBorder="1"/>
    <xf numFmtId="0" fontId="0" fillId="18" borderId="10" xfId="0" applyFont="1" applyFill="1" applyBorder="1" applyAlignment="1">
      <alignment horizontal="center"/>
    </xf>
    <xf numFmtId="0" fontId="4" fillId="28" borderId="64" xfId="0" applyFont="1" applyFill="1" applyBorder="1" applyAlignment="1">
      <alignment horizontal="center"/>
    </xf>
    <xf numFmtId="0" fontId="0" fillId="0" borderId="54" xfId="0" applyBorder="1"/>
    <xf numFmtId="0" fontId="0" fillId="0" borderId="11" xfId="0" applyBorder="1"/>
    <xf numFmtId="0" fontId="0" fillId="3" borderId="54" xfId="0" applyFill="1" applyBorder="1" applyAlignment="1">
      <alignment horizontal="center"/>
    </xf>
    <xf numFmtId="0" fontId="0" fillId="3" borderId="53" xfId="0" applyFill="1" applyBorder="1" applyAlignment="1">
      <alignment horizontal="center"/>
    </xf>
    <xf numFmtId="0" fontId="0" fillId="3" borderId="64" xfId="0" applyFill="1" applyBorder="1" applyAlignment="1">
      <alignment horizontal="center"/>
    </xf>
    <xf numFmtId="0" fontId="4" fillId="19" borderId="66" xfId="0" applyFont="1" applyFill="1" applyBorder="1" applyAlignment="1">
      <alignment horizontal="center"/>
    </xf>
    <xf numFmtId="0" fontId="4" fillId="19" borderId="68" xfId="0" applyFont="1" applyFill="1" applyBorder="1" applyAlignment="1">
      <alignment horizontal="center"/>
    </xf>
    <xf numFmtId="0" fontId="4" fillId="19" borderId="70" xfId="0" applyFont="1" applyFill="1" applyBorder="1" applyAlignment="1">
      <alignment horizontal="center"/>
    </xf>
    <xf numFmtId="0" fontId="4" fillId="22" borderId="72" xfId="0" applyFont="1" applyFill="1" applyBorder="1" applyAlignment="1">
      <alignment horizontal="center"/>
    </xf>
    <xf numFmtId="0" fontId="4" fillId="23" borderId="73" xfId="0" applyFont="1" applyFill="1" applyBorder="1" applyAlignment="1">
      <alignment horizontal="center"/>
    </xf>
    <xf numFmtId="0" fontId="4" fillId="15" borderId="73" xfId="0" applyFont="1" applyFill="1" applyBorder="1" applyAlignment="1">
      <alignment horizontal="center"/>
    </xf>
    <xf numFmtId="0" fontId="4" fillId="24" borderId="73" xfId="0" applyFont="1" applyFill="1" applyBorder="1" applyAlignment="1">
      <alignment horizontal="center"/>
    </xf>
    <xf numFmtId="0" fontId="0" fillId="18" borderId="0" xfId="0" applyFill="1" applyBorder="1"/>
    <xf numFmtId="0" fontId="4" fillId="3" borderId="0" xfId="0" applyFont="1" applyFill="1" applyAlignment="1">
      <alignment horizontal="right"/>
    </xf>
    <xf numFmtId="0" fontId="0" fillId="3" borderId="0" xfId="0" applyFill="1"/>
    <xf numFmtId="165" fontId="3" fillId="11" borderId="0" xfId="0" applyNumberFormat="1" applyFont="1" applyFill="1" applyBorder="1" applyAlignment="1">
      <alignment horizontal="center"/>
    </xf>
    <xf numFmtId="164" fontId="5" fillId="11" borderId="0" xfId="0" applyNumberFormat="1" applyFont="1" applyFill="1" applyProtection="1"/>
    <xf numFmtId="164" fontId="5" fillId="11" borderId="0" xfId="1" applyNumberFormat="1" applyFont="1" applyFill="1"/>
    <xf numFmtId="0" fontId="0" fillId="11" borderId="0" xfId="0" applyFont="1" applyFill="1" applyAlignment="1">
      <alignment horizontal="center"/>
    </xf>
    <xf numFmtId="0" fontId="0" fillId="11" borderId="0" xfId="0" applyFont="1" applyFill="1" applyAlignment="1">
      <alignment horizontal="right"/>
    </xf>
    <xf numFmtId="0" fontId="0" fillId="11" borderId="0" xfId="0" applyFont="1" applyFill="1" applyAlignment="1">
      <alignment horizontal="right"/>
    </xf>
    <xf numFmtId="164" fontId="0" fillId="0" borderId="0" xfId="0" applyNumberFormat="1"/>
    <xf numFmtId="0" fontId="3" fillId="11" borderId="4" xfId="0" applyFont="1" applyFill="1" applyBorder="1"/>
    <xf numFmtId="44" fontId="3" fillId="0" borderId="0" xfId="0" applyNumberFormat="1" applyFont="1" applyAlignment="1"/>
    <xf numFmtId="0" fontId="3" fillId="11" borderId="75" xfId="0" applyFont="1" applyFill="1" applyBorder="1" applyAlignment="1">
      <alignment horizontal="center"/>
    </xf>
    <xf numFmtId="0" fontId="4" fillId="11" borderId="76" xfId="0" applyFont="1" applyFill="1" applyBorder="1" applyAlignment="1">
      <alignment horizontal="center"/>
    </xf>
    <xf numFmtId="0" fontId="3" fillId="11" borderId="76" xfId="0" applyFont="1" applyFill="1" applyBorder="1"/>
    <xf numFmtId="6" fontId="5" fillId="19" borderId="5" xfId="0" applyNumberFormat="1" applyFont="1" applyFill="1" applyBorder="1" applyAlignment="1">
      <alignment horizontal="center" vertical="center"/>
    </xf>
    <xf numFmtId="6" fontId="5" fillId="19" borderId="0" xfId="0" applyNumberFormat="1" applyFont="1" applyFill="1" applyBorder="1" applyAlignment="1">
      <alignment horizontal="center" vertical="center"/>
    </xf>
    <xf numFmtId="0" fontId="3" fillId="19" borderId="20" xfId="0" applyFont="1" applyFill="1" applyBorder="1"/>
    <xf numFmtId="164" fontId="34" fillId="19" borderId="5" xfId="1" applyNumberFormat="1" applyFont="1" applyFill="1" applyBorder="1" applyAlignment="1">
      <alignment horizontal="right" vertical="center"/>
    </xf>
    <xf numFmtId="164" fontId="34" fillId="19" borderId="0" xfId="1" applyNumberFormat="1" applyFont="1" applyFill="1" applyBorder="1" applyAlignment="1">
      <alignment horizontal="right" vertical="center"/>
    </xf>
    <xf numFmtId="164" fontId="34" fillId="19" borderId="5" xfId="1" applyNumberFormat="1" applyFont="1" applyFill="1" applyBorder="1" applyAlignment="1">
      <alignment horizontal="center" vertical="center"/>
    </xf>
    <xf numFmtId="164" fontId="13" fillId="11" borderId="0" xfId="1" applyNumberFormat="1" applyFont="1" applyFill="1" applyBorder="1" applyAlignment="1" applyProtection="1">
      <alignment vertical="center"/>
    </xf>
    <xf numFmtId="164" fontId="13" fillId="11" borderId="0" xfId="0" applyNumberFormat="1" applyFont="1" applyFill="1" applyAlignment="1"/>
    <xf numFmtId="6" fontId="14" fillId="11" borderId="0" xfId="0" applyNumberFormat="1" applyFont="1" applyFill="1" applyBorder="1" applyAlignment="1">
      <alignment horizontal="center" vertical="center"/>
    </xf>
    <xf numFmtId="0" fontId="13" fillId="11" borderId="18" xfId="0" applyFont="1" applyFill="1" applyBorder="1"/>
    <xf numFmtId="0" fontId="3" fillId="19" borderId="18" xfId="0" applyFont="1" applyFill="1" applyBorder="1"/>
    <xf numFmtId="6" fontId="5" fillId="19" borderId="77" xfId="0" applyNumberFormat="1" applyFont="1" applyFill="1" applyBorder="1" applyAlignment="1">
      <alignment horizontal="center" vertical="center"/>
    </xf>
    <xf numFmtId="0" fontId="3" fillId="19" borderId="78" xfId="0" applyFont="1" applyFill="1" applyBorder="1"/>
    <xf numFmtId="167" fontId="3" fillId="0" borderId="0" xfId="0" applyNumberFormat="1" applyFont="1" applyAlignment="1"/>
    <xf numFmtId="6" fontId="0" fillId="0" borderId="7" xfId="0" applyNumberFormat="1" applyBorder="1" applyAlignment="1">
      <alignment horizontal="center" vertical="center"/>
    </xf>
    <xf numFmtId="8" fontId="0" fillId="0" borderId="5" xfId="0" applyNumberFormat="1" applyBorder="1" applyAlignment="1">
      <alignment horizontal="center" vertical="center"/>
    </xf>
    <xf numFmtId="0" fontId="0" fillId="0" borderId="20" xfId="0" applyBorder="1" applyAlignment="1">
      <alignment horizontal="center" vertical="center"/>
    </xf>
    <xf numFmtId="6" fontId="0" fillId="0" borderId="16" xfId="0" applyNumberFormat="1" applyBorder="1" applyAlignment="1">
      <alignment horizontal="center" vertical="center"/>
    </xf>
    <xf numFmtId="8" fontId="0" fillId="0" borderId="0" xfId="0" applyNumberFormat="1" applyBorder="1" applyAlignment="1">
      <alignment horizontal="center" vertical="center"/>
    </xf>
    <xf numFmtId="6" fontId="0" fillId="0" borderId="18" xfId="0" applyNumberFormat="1" applyBorder="1" applyAlignment="1">
      <alignment horizontal="center" vertical="center"/>
    </xf>
    <xf numFmtId="164" fontId="3" fillId="0" borderId="0" xfId="0" applyNumberFormat="1" applyFont="1" applyAlignment="1"/>
    <xf numFmtId="168" fontId="3" fillId="0" borderId="0" xfId="0" applyNumberFormat="1" applyFont="1" applyAlignment="1"/>
    <xf numFmtId="167" fontId="0" fillId="0" borderId="0" xfId="0" applyNumberFormat="1" applyFont="1" applyAlignment="1"/>
    <xf numFmtId="164" fontId="3" fillId="0" borderId="0" xfId="0" applyNumberFormat="1" applyFont="1" applyBorder="1" applyAlignment="1">
      <alignment horizontal="center"/>
    </xf>
    <xf numFmtId="0" fontId="0" fillId="0" borderId="80" xfId="0" applyBorder="1"/>
    <xf numFmtId="164" fontId="23" fillId="19" borderId="82" xfId="1" applyNumberFormat="1" applyFont="1" applyFill="1" applyBorder="1" applyAlignment="1">
      <alignment horizontal="center" vertical="center"/>
    </xf>
    <xf numFmtId="164" fontId="3" fillId="11" borderId="19" xfId="1" applyNumberFormat="1" applyFont="1" applyFill="1" applyBorder="1" applyProtection="1"/>
    <xf numFmtId="164" fontId="14" fillId="11" borderId="19" xfId="1" applyNumberFormat="1" applyFont="1" applyFill="1" applyBorder="1" applyProtection="1"/>
    <xf numFmtId="164" fontId="13" fillId="11" borderId="19" xfId="1" applyNumberFormat="1" applyFont="1" applyFill="1" applyBorder="1" applyAlignment="1" applyProtection="1">
      <alignment horizontal="left" vertical="center"/>
    </xf>
    <xf numFmtId="0" fontId="0" fillId="0" borderId="0" xfId="0" applyAlignment="1">
      <alignment horizontal="center"/>
    </xf>
    <xf numFmtId="0" fontId="10" fillId="11" borderId="0" xfId="4" applyFill="1" applyBorder="1" applyAlignment="1">
      <alignment horizontal="right"/>
    </xf>
    <xf numFmtId="0" fontId="0" fillId="11" borderId="0" xfId="0" applyFont="1" applyFill="1" applyBorder="1" applyAlignment="1"/>
    <xf numFmtId="1" fontId="0" fillId="11" borderId="0" xfId="0" applyNumberFormat="1" applyFont="1" applyFill="1" applyBorder="1" applyAlignment="1">
      <alignment vertical="center"/>
    </xf>
    <xf numFmtId="1" fontId="0" fillId="11" borderId="18" xfId="0" applyNumberFormat="1" applyFont="1" applyFill="1" applyBorder="1" applyAlignment="1">
      <alignment vertical="center"/>
    </xf>
    <xf numFmtId="2" fontId="0" fillId="0" borderId="0" xfId="0" applyNumberFormat="1"/>
    <xf numFmtId="0" fontId="0" fillId="0" borderId="0" xfId="0" applyFont="1" applyAlignment="1">
      <alignment vertical="center"/>
    </xf>
    <xf numFmtId="0" fontId="3" fillId="0" borderId="0" xfId="0" applyFont="1" applyAlignment="1">
      <alignment vertical="center"/>
    </xf>
    <xf numFmtId="0" fontId="10" fillId="3" borderId="0" xfId="4" applyFill="1" applyAlignment="1">
      <alignment horizontal="center"/>
    </xf>
    <xf numFmtId="0" fontId="0" fillId="3" borderId="0" xfId="0" applyFill="1"/>
    <xf numFmtId="0" fontId="0" fillId="0" borderId="0" xfId="0" applyAlignment="1">
      <alignment horizontal="center"/>
    </xf>
    <xf numFmtId="0" fontId="10" fillId="25" borderId="0" xfId="4" applyFill="1" applyAlignment="1"/>
    <xf numFmtId="0" fontId="0" fillId="25" borderId="0" xfId="0" applyFill="1" applyBorder="1"/>
    <xf numFmtId="0" fontId="10" fillId="25" borderId="0" xfId="4" applyFill="1" applyAlignment="1">
      <alignment horizontal="center"/>
    </xf>
    <xf numFmtId="0" fontId="4" fillId="25" borderId="0" xfId="0" applyNumberFormat="1" applyFont="1" applyFill="1" applyAlignment="1">
      <alignment horizontal="center"/>
    </xf>
    <xf numFmtId="0" fontId="8" fillId="25" borderId="0" xfId="0" applyFont="1" applyFill="1" applyAlignment="1">
      <alignment vertical="center"/>
    </xf>
    <xf numFmtId="0" fontId="6" fillId="25" borderId="0" xfId="0" applyFont="1" applyFill="1" applyBorder="1" applyAlignment="1">
      <alignment horizontal="center"/>
    </xf>
    <xf numFmtId="0" fontId="0" fillId="25" borderId="6" xfId="0" applyFill="1" applyBorder="1"/>
    <xf numFmtId="0" fontId="23" fillId="25" borderId="0" xfId="0" applyFont="1" applyFill="1" applyBorder="1"/>
    <xf numFmtId="0" fontId="25" fillId="3" borderId="0" xfId="0" applyFont="1" applyFill="1" applyAlignment="1">
      <alignment vertical="center"/>
    </xf>
    <xf numFmtId="14" fontId="0" fillId="0" borderId="0" xfId="0" applyNumberFormat="1" applyAlignment="1">
      <alignment horizontal="right"/>
    </xf>
    <xf numFmtId="0" fontId="8" fillId="3" borderId="0" xfId="0" applyFont="1" applyFill="1" applyAlignment="1">
      <alignment vertical="center"/>
    </xf>
    <xf numFmtId="0" fontId="12" fillId="0" borderId="0" xfId="0" applyFont="1" applyAlignment="1">
      <alignment horizontal="center"/>
    </xf>
    <xf numFmtId="0" fontId="0" fillId="0" borderId="90" xfId="0" applyBorder="1"/>
    <xf numFmtId="0" fontId="0" fillId="0" borderId="91" xfId="0" applyBorder="1"/>
    <xf numFmtId="0" fontId="0" fillId="3" borderId="0" xfId="0" applyFill="1" applyAlignment="1">
      <alignment horizontal="left"/>
    </xf>
    <xf numFmtId="0" fontId="0" fillId="0" borderId="0" xfId="0" applyFont="1" applyFill="1" applyAlignment="1">
      <alignment horizontal="left"/>
    </xf>
    <xf numFmtId="0" fontId="4" fillId="3" borderId="8" xfId="0" applyFont="1" applyFill="1" applyBorder="1" applyAlignment="1">
      <alignment horizontal="right"/>
    </xf>
    <xf numFmtId="0" fontId="4" fillId="3" borderId="21" xfId="0" applyFont="1" applyFill="1" applyBorder="1" applyAlignment="1">
      <alignment horizontal="right"/>
    </xf>
    <xf numFmtId="0" fontId="3" fillId="0" borderId="2" xfId="0" applyFont="1" applyBorder="1" applyAlignment="1">
      <alignment horizontal="center"/>
    </xf>
    <xf numFmtId="0" fontId="0" fillId="11" borderId="16" xfId="0" applyFill="1" applyBorder="1"/>
    <xf numFmtId="0" fontId="0" fillId="11" borderId="16" xfId="0" applyFont="1" applyFill="1" applyBorder="1"/>
    <xf numFmtId="0" fontId="0" fillId="11" borderId="0" xfId="0" applyFont="1" applyFill="1" applyBorder="1" applyAlignment="1">
      <alignment horizontal="center"/>
    </xf>
    <xf numFmtId="0" fontId="0" fillId="11" borderId="2" xfId="0" applyFill="1" applyBorder="1" applyAlignment="1">
      <alignment horizontal="center"/>
    </xf>
    <xf numFmtId="0" fontId="0" fillId="11" borderId="1" xfId="0" applyFill="1" applyBorder="1"/>
    <xf numFmtId="0" fontId="0" fillId="11" borderId="18" xfId="0" applyFill="1" applyBorder="1"/>
    <xf numFmtId="0" fontId="3" fillId="11" borderId="19" xfId="0" applyFont="1" applyFill="1" applyBorder="1"/>
    <xf numFmtId="164" fontId="0" fillId="11" borderId="0" xfId="1" applyNumberFormat="1" applyFont="1" applyFill="1" applyBorder="1"/>
    <xf numFmtId="0" fontId="0" fillId="11" borderId="4" xfId="0" applyFill="1" applyBorder="1"/>
    <xf numFmtId="169" fontId="3" fillId="0" borderId="0" xfId="0" applyNumberFormat="1" applyFont="1" applyAlignment="1"/>
    <xf numFmtId="164" fontId="13" fillId="11" borderId="19" xfId="1" applyNumberFormat="1" applyFont="1" applyFill="1" applyBorder="1" applyAlignment="1" applyProtection="1">
      <alignment vertical="center"/>
    </xf>
    <xf numFmtId="164" fontId="13" fillId="11" borderId="16" xfId="1" applyNumberFormat="1" applyFont="1" applyFill="1" applyBorder="1" applyAlignment="1" applyProtection="1">
      <alignment vertical="center"/>
    </xf>
    <xf numFmtId="164" fontId="3" fillId="11" borderId="1" xfId="0" applyNumberFormat="1" applyFont="1" applyFill="1" applyBorder="1"/>
    <xf numFmtId="0" fontId="22" fillId="15" borderId="2" xfId="0" applyFont="1" applyFill="1" applyBorder="1" applyAlignment="1">
      <alignment horizontal="center"/>
    </xf>
    <xf numFmtId="0" fontId="0" fillId="38" borderId="92" xfId="0" applyFont="1" applyFill="1" applyBorder="1"/>
    <xf numFmtId="0" fontId="36" fillId="35" borderId="93" xfId="0" applyFont="1" applyFill="1" applyBorder="1"/>
    <xf numFmtId="0" fontId="0" fillId="36" borderId="93" xfId="0" applyFont="1" applyFill="1" applyBorder="1"/>
    <xf numFmtId="2" fontId="0" fillId="36" borderId="94" xfId="0" applyNumberFormat="1" applyFont="1" applyFill="1" applyBorder="1" applyAlignment="1">
      <alignment horizontal="center"/>
    </xf>
    <xf numFmtId="0" fontId="36" fillId="37" borderId="95" xfId="0" applyFont="1" applyFill="1" applyBorder="1"/>
    <xf numFmtId="0" fontId="0" fillId="38" borderId="95" xfId="0" applyFont="1" applyFill="1" applyBorder="1"/>
    <xf numFmtId="0" fontId="0" fillId="0" borderId="95" xfId="0" applyFont="1" applyBorder="1"/>
    <xf numFmtId="0" fontId="0" fillId="38" borderId="96" xfId="0" applyFont="1" applyFill="1" applyBorder="1"/>
    <xf numFmtId="0" fontId="36" fillId="35" borderId="93" xfId="0" applyFont="1" applyFill="1" applyBorder="1" applyAlignment="1">
      <alignment horizontal="center"/>
    </xf>
    <xf numFmtId="0" fontId="36" fillId="37" borderId="95" xfId="0" applyFont="1" applyFill="1" applyBorder="1" applyAlignment="1">
      <alignment horizontal="center"/>
    </xf>
    <xf numFmtId="0" fontId="0" fillId="0" borderId="37" xfId="0" applyBorder="1" applyAlignment="1">
      <alignment horizontal="center"/>
    </xf>
    <xf numFmtId="0" fontId="0" fillId="0" borderId="97" xfId="0" applyBorder="1" applyAlignment="1">
      <alignment horizontal="center"/>
    </xf>
    <xf numFmtId="0" fontId="0" fillId="0" borderId="98" xfId="0" applyBorder="1" applyAlignment="1">
      <alignment horizontal="center"/>
    </xf>
    <xf numFmtId="0" fontId="0" fillId="34" borderId="99" xfId="0" applyFont="1" applyFill="1" applyBorder="1"/>
    <xf numFmtId="0" fontId="0" fillId="0" borderId="99" xfId="0" applyFont="1" applyBorder="1"/>
    <xf numFmtId="164" fontId="0" fillId="0" borderId="0" xfId="1" applyNumberFormat="1" applyFont="1" applyAlignment="1">
      <alignment horizontal="right"/>
    </xf>
    <xf numFmtId="0" fontId="16" fillId="0" borderId="0" xfId="0" applyFont="1" applyAlignment="1"/>
    <xf numFmtId="0" fontId="0" fillId="39" borderId="93" xfId="0" applyFont="1" applyFill="1" applyBorder="1"/>
    <xf numFmtId="2" fontId="0" fillId="39" borderId="94" xfId="0" applyNumberFormat="1" applyFont="1" applyFill="1" applyBorder="1" applyAlignment="1">
      <alignment horizontal="center"/>
    </xf>
    <xf numFmtId="0" fontId="0" fillId="0" borderId="0" xfId="0" applyAlignment="1">
      <alignment horizontal="center"/>
    </xf>
    <xf numFmtId="0" fontId="11" fillId="9" borderId="40" xfId="4" applyFont="1" applyFill="1" applyBorder="1" applyAlignment="1">
      <alignment vertical="center"/>
    </xf>
    <xf numFmtId="0" fontId="13" fillId="0" borderId="0" xfId="0" applyFont="1"/>
    <xf numFmtId="0" fontId="0" fillId="0" borderId="0" xfId="0" applyAlignment="1">
      <alignment vertical="center" wrapText="1"/>
    </xf>
    <xf numFmtId="0" fontId="0" fillId="0" borderId="7" xfId="0" applyBorder="1" applyAlignment="1">
      <alignment horizontal="center"/>
    </xf>
    <xf numFmtId="0" fontId="0" fillId="0" borderId="16" xfId="0" applyBorder="1" applyAlignment="1">
      <alignment horizontal="center"/>
    </xf>
    <xf numFmtId="0" fontId="0" fillId="0" borderId="2" xfId="0" applyBorder="1" applyAlignment="1">
      <alignment horizontal="center"/>
    </xf>
    <xf numFmtId="170" fontId="0" fillId="0" borderId="23" xfId="1" applyNumberFormat="1" applyFont="1" applyBorder="1" applyAlignment="1">
      <alignment horizontal="center" vertical="center" wrapText="1"/>
    </xf>
    <xf numFmtId="170" fontId="0" fillId="0" borderId="23" xfId="1" applyNumberFormat="1" applyFont="1" applyBorder="1" applyAlignment="1">
      <alignment horizontal="center"/>
    </xf>
    <xf numFmtId="170" fontId="0" fillId="0" borderId="5" xfId="1" applyNumberFormat="1" applyFont="1" applyBorder="1" applyAlignment="1">
      <alignment horizontal="center"/>
    </xf>
    <xf numFmtId="170" fontId="0" fillId="0" borderId="7" xfId="1" applyNumberFormat="1" applyFont="1" applyBorder="1" applyAlignment="1">
      <alignment horizontal="center"/>
    </xf>
    <xf numFmtId="170" fontId="0" fillId="0" borderId="19" xfId="1" applyNumberFormat="1" applyFont="1" applyBorder="1" applyAlignment="1">
      <alignment horizontal="center" vertical="center" wrapText="1"/>
    </xf>
    <xf numFmtId="170" fontId="0" fillId="0" borderId="18" xfId="1" applyNumberFormat="1" applyFont="1" applyBorder="1" applyAlignment="1">
      <alignment horizontal="center" vertical="center" wrapText="1"/>
    </xf>
    <xf numFmtId="170" fontId="0" fillId="0" borderId="17" xfId="1" applyNumberFormat="1" applyFont="1" applyBorder="1" applyAlignment="1">
      <alignment horizontal="center" vertical="center" wrapText="1"/>
    </xf>
    <xf numFmtId="170" fontId="0" fillId="0" borderId="4" xfId="1" applyNumberFormat="1" applyFont="1" applyBorder="1" applyAlignment="1">
      <alignment horizontal="center" vertical="center" wrapText="1"/>
    </xf>
    <xf numFmtId="0" fontId="4" fillId="3" borderId="3" xfId="0" applyFont="1" applyFill="1" applyBorder="1" applyAlignment="1">
      <alignment horizontal="center"/>
    </xf>
    <xf numFmtId="0" fontId="0" fillId="19" borderId="16" xfId="0" applyFill="1" applyBorder="1" applyAlignment="1">
      <alignment horizontal="center"/>
    </xf>
    <xf numFmtId="170" fontId="0" fillId="19" borderId="19" xfId="1" applyNumberFormat="1" applyFont="1" applyFill="1" applyBorder="1" applyAlignment="1">
      <alignment horizontal="center" vertical="center" wrapText="1"/>
    </xf>
    <xf numFmtId="170" fontId="0" fillId="19" borderId="18" xfId="1" applyNumberFormat="1" applyFont="1" applyFill="1" applyBorder="1" applyAlignment="1">
      <alignment horizontal="center" vertical="center" wrapText="1"/>
    </xf>
    <xf numFmtId="6" fontId="0" fillId="19" borderId="16" xfId="0" applyNumberFormat="1" applyFill="1" applyBorder="1" applyAlignment="1">
      <alignment horizontal="center" vertical="center"/>
    </xf>
    <xf numFmtId="6" fontId="0" fillId="19" borderId="18" xfId="0" applyNumberFormat="1" applyFill="1" applyBorder="1" applyAlignment="1">
      <alignment horizontal="center" vertical="center"/>
    </xf>
    <xf numFmtId="8" fontId="0" fillId="19" borderId="0" xfId="0" applyNumberFormat="1" applyFill="1" applyBorder="1" applyAlignment="1">
      <alignment horizontal="center" vertical="center"/>
    </xf>
    <xf numFmtId="0" fontId="0" fillId="19" borderId="18" xfId="0" applyFill="1" applyBorder="1" applyAlignment="1">
      <alignment horizontal="center" vertical="center"/>
    </xf>
    <xf numFmtId="6" fontId="0" fillId="0" borderId="106" xfId="0" applyNumberFormat="1" applyBorder="1" applyAlignment="1">
      <alignment horizontal="center" vertical="center"/>
    </xf>
    <xf numFmtId="6" fontId="0" fillId="0" borderId="107" xfId="0" applyNumberFormat="1" applyBorder="1" applyAlignment="1">
      <alignment horizontal="center" vertical="center"/>
    </xf>
    <xf numFmtId="8" fontId="0" fillId="0" borderId="103" xfId="0" applyNumberFormat="1" applyBorder="1" applyAlignment="1">
      <alignment horizontal="center" vertical="center"/>
    </xf>
    <xf numFmtId="8" fontId="0" fillId="0" borderId="105" xfId="0" applyNumberFormat="1" applyBorder="1" applyAlignment="1">
      <alignment horizontal="center" vertical="center"/>
    </xf>
    <xf numFmtId="0" fontId="0" fillId="0" borderId="107" xfId="0" applyBorder="1" applyAlignment="1">
      <alignment horizontal="center" vertical="center"/>
    </xf>
    <xf numFmtId="0" fontId="4" fillId="3" borderId="3" xfId="0" applyFont="1" applyFill="1" applyBorder="1" applyAlignment="1">
      <alignment horizontal="center" vertical="center"/>
    </xf>
    <xf numFmtId="0" fontId="0" fillId="18" borderId="8" xfId="0" applyFill="1" applyBorder="1"/>
    <xf numFmtId="0" fontId="0" fillId="18" borderId="9" xfId="0" applyFill="1" applyBorder="1"/>
    <xf numFmtId="0" fontId="0" fillId="3" borderId="16" xfId="0" applyFill="1" applyBorder="1" applyAlignment="1">
      <alignment horizontal="left" vertical="top"/>
    </xf>
    <xf numFmtId="0" fontId="0" fillId="0" borderId="110" xfId="0" applyBorder="1" applyAlignment="1">
      <alignment vertical="center" wrapText="1"/>
    </xf>
    <xf numFmtId="0" fontId="0" fillId="3" borderId="111" xfId="0" applyFill="1" applyBorder="1" applyAlignment="1">
      <alignment horizontal="left" vertical="top"/>
    </xf>
    <xf numFmtId="0" fontId="0" fillId="0" borderId="102" xfId="0" applyBorder="1" applyAlignment="1">
      <alignment vertical="center" wrapText="1"/>
    </xf>
    <xf numFmtId="0" fontId="0" fillId="3" borderId="81" xfId="0" applyFill="1" applyBorder="1" applyAlignment="1">
      <alignment horizontal="left" vertical="top"/>
    </xf>
    <xf numFmtId="0" fontId="0" fillId="0" borderId="112" xfId="0" applyBorder="1" applyAlignment="1">
      <alignment vertical="center" wrapText="1"/>
    </xf>
    <xf numFmtId="0" fontId="0" fillId="3" borderId="113" xfId="0" applyFill="1" applyBorder="1" applyAlignment="1">
      <alignment horizontal="left" vertical="top"/>
    </xf>
    <xf numFmtId="0" fontId="0" fillId="0" borderId="114" xfId="0" applyBorder="1" applyAlignment="1">
      <alignment vertical="center" wrapText="1"/>
    </xf>
    <xf numFmtId="0" fontId="4" fillId="18" borderId="8" xfId="0" applyFont="1" applyFill="1" applyBorder="1" applyAlignment="1">
      <alignment horizontal="center" vertical="center"/>
    </xf>
    <xf numFmtId="0" fontId="4" fillId="18" borderId="9" xfId="0" applyFont="1" applyFill="1" applyBorder="1"/>
    <xf numFmtId="0" fontId="0" fillId="11" borderId="18" xfId="0" applyFill="1" applyBorder="1" applyAlignment="1">
      <alignment vertical="top" wrapText="1"/>
    </xf>
    <xf numFmtId="0" fontId="4" fillId="18" borderId="8" xfId="0" applyFont="1" applyFill="1" applyBorder="1"/>
    <xf numFmtId="0" fontId="0" fillId="11" borderId="0" xfId="0" applyFill="1"/>
    <xf numFmtId="0" fontId="0" fillId="11" borderId="109" xfId="0" applyFill="1" applyBorder="1"/>
    <xf numFmtId="0" fontId="0" fillId="11" borderId="0" xfId="0" applyFill="1" applyBorder="1" applyAlignment="1">
      <alignment horizontal="center" vertical="center"/>
    </xf>
    <xf numFmtId="0" fontId="0" fillId="11" borderId="0" xfId="0" applyFill="1" applyAlignment="1">
      <alignment horizontal="center" vertical="center"/>
    </xf>
    <xf numFmtId="0" fontId="8" fillId="11" borderId="7" xfId="0" applyFont="1" applyFill="1" applyBorder="1" applyAlignment="1">
      <alignment horizontal="center" vertical="center"/>
    </xf>
    <xf numFmtId="0" fontId="0" fillId="11" borderId="102" xfId="0" applyFill="1" applyBorder="1"/>
    <xf numFmtId="0" fontId="0" fillId="0" borderId="0" xfId="0" applyAlignment="1">
      <alignment horizontal="center"/>
    </xf>
    <xf numFmtId="0" fontId="18" fillId="0" borderId="0" xfId="0" applyFont="1"/>
    <xf numFmtId="0" fontId="4" fillId="3" borderId="8" xfId="0" applyFont="1" applyFill="1" applyBorder="1"/>
    <xf numFmtId="0" fontId="0" fillId="3" borderId="21" xfId="0" applyFill="1" applyBorder="1"/>
    <xf numFmtId="0" fontId="0" fillId="0" borderId="2" xfId="0" applyBorder="1"/>
    <xf numFmtId="0" fontId="0" fillId="0" borderId="37" xfId="0" applyBorder="1"/>
    <xf numFmtId="2" fontId="0" fillId="0" borderId="37" xfId="0" applyNumberFormat="1" applyBorder="1" applyAlignment="1">
      <alignment horizontal="center"/>
    </xf>
    <xf numFmtId="0" fontId="4" fillId="3" borderId="41" xfId="0" applyFont="1" applyFill="1" applyBorder="1" applyAlignment="1">
      <alignment horizontal="center"/>
    </xf>
    <xf numFmtId="0" fontId="0" fillId="0" borderId="38" xfId="0" applyBorder="1"/>
    <xf numFmtId="0" fontId="38" fillId="0" borderId="0" xfId="0" applyFont="1"/>
    <xf numFmtId="0" fontId="4" fillId="0" borderId="45" xfId="0" applyFont="1" applyBorder="1"/>
    <xf numFmtId="0" fontId="0" fillId="0" borderId="120" xfId="0" applyBorder="1"/>
    <xf numFmtId="0" fontId="0" fillId="0" borderId="121" xfId="0" applyBorder="1"/>
    <xf numFmtId="0" fontId="0" fillId="0" borderId="123" xfId="0" applyBorder="1"/>
    <xf numFmtId="0" fontId="0" fillId="0" borderId="124" xfId="0" applyNumberFormat="1" applyFont="1" applyBorder="1" applyAlignment="1">
      <alignment horizontal="center"/>
    </xf>
    <xf numFmtId="0" fontId="36" fillId="33" borderId="126" xfId="0" applyFont="1" applyFill="1" applyBorder="1" applyAlignment="1">
      <alignment horizontal="center"/>
    </xf>
    <xf numFmtId="0" fontId="0" fillId="34" borderId="126" xfId="0" applyNumberFormat="1" applyFont="1" applyFill="1" applyBorder="1" applyAlignment="1">
      <alignment horizontal="center"/>
    </xf>
    <xf numFmtId="0" fontId="0" fillId="34" borderId="127" xfId="0" applyFont="1" applyFill="1" applyBorder="1" applyAlignment="1">
      <alignment horizontal="center"/>
    </xf>
    <xf numFmtId="0" fontId="0" fillId="0" borderId="126" xfId="0" applyNumberFormat="1" applyFont="1" applyBorder="1" applyAlignment="1">
      <alignment horizontal="center"/>
    </xf>
    <xf numFmtId="0" fontId="0" fillId="0" borderId="127" xfId="0" applyFont="1" applyBorder="1" applyAlignment="1">
      <alignment horizontal="center"/>
    </xf>
    <xf numFmtId="0" fontId="36" fillId="33" borderId="127" xfId="0" applyFont="1" applyFill="1" applyBorder="1"/>
    <xf numFmtId="0" fontId="36" fillId="33" borderId="128" xfId="0" applyFont="1" applyFill="1" applyBorder="1" applyAlignment="1">
      <alignment horizontal="center"/>
    </xf>
    <xf numFmtId="0" fontId="36" fillId="33" borderId="0" xfId="0" applyFont="1" applyFill="1" applyBorder="1" applyAlignment="1">
      <alignment horizontal="center"/>
    </xf>
    <xf numFmtId="0" fontId="36" fillId="33" borderId="125" xfId="0" applyFont="1" applyFill="1" applyBorder="1" applyAlignment="1">
      <alignment horizontal="center"/>
    </xf>
    <xf numFmtId="0" fontId="36" fillId="33" borderId="128" xfId="0" applyFont="1" applyFill="1" applyBorder="1"/>
    <xf numFmtId="0" fontId="0" fillId="34" borderId="99" xfId="0" applyNumberFormat="1" applyFont="1" applyFill="1" applyBorder="1" applyAlignment="1">
      <alignment horizontal="left"/>
    </xf>
    <xf numFmtId="0" fontId="0" fillId="0" borderId="99" xfId="0" applyNumberFormat="1" applyFont="1" applyBorder="1" applyAlignment="1">
      <alignment horizontal="left"/>
    </xf>
    <xf numFmtId="0" fontId="0" fillId="34" borderId="126" xfId="0" applyNumberFormat="1" applyFont="1" applyFill="1" applyBorder="1" applyAlignment="1">
      <alignment horizontal="left"/>
    </xf>
    <xf numFmtId="0" fontId="0" fillId="0" borderId="126" xfId="0" applyNumberFormat="1" applyFont="1" applyBorder="1" applyAlignment="1">
      <alignment horizontal="left"/>
    </xf>
    <xf numFmtId="0" fontId="0" fillId="36" borderId="129" xfId="0" applyFont="1" applyFill="1" applyBorder="1"/>
    <xf numFmtId="2" fontId="0" fillId="36" borderId="97" xfId="0" applyNumberFormat="1" applyFont="1" applyFill="1" applyBorder="1" applyAlignment="1">
      <alignment horizontal="center"/>
    </xf>
    <xf numFmtId="0" fontId="0" fillId="39" borderId="130" xfId="0" applyFont="1" applyFill="1" applyBorder="1"/>
    <xf numFmtId="2" fontId="0" fillId="39" borderId="131" xfId="0" applyNumberFormat="1" applyFont="1" applyFill="1" applyBorder="1" applyAlignment="1">
      <alignment horizontal="center"/>
    </xf>
    <xf numFmtId="0" fontId="0" fillId="34" borderId="126" xfId="0" applyFont="1" applyFill="1" applyBorder="1" applyAlignment="1">
      <alignment horizontal="center"/>
    </xf>
    <xf numFmtId="0" fontId="0" fillId="0" borderId="126" xfId="0" applyFont="1" applyBorder="1" applyAlignment="1">
      <alignment horizontal="center"/>
    </xf>
    <xf numFmtId="0" fontId="13" fillId="0" borderId="0" xfId="0" applyFont="1" applyAlignment="1">
      <alignment vertical="center"/>
    </xf>
    <xf numFmtId="0" fontId="0" fillId="3" borderId="0" xfId="0" applyFill="1"/>
    <xf numFmtId="0" fontId="4" fillId="0" borderId="132" xfId="0" applyFont="1" applyBorder="1"/>
    <xf numFmtId="0" fontId="0" fillId="19" borderId="0" xfId="0" applyFill="1"/>
    <xf numFmtId="0" fontId="8" fillId="19" borderId="0" xfId="0" applyFont="1" applyFill="1"/>
    <xf numFmtId="0" fontId="0" fillId="19" borderId="0" xfId="0" applyFill="1" applyBorder="1"/>
    <xf numFmtId="0" fontId="0" fillId="19" borderId="0" xfId="0" applyFill="1" applyAlignment="1">
      <alignment vertical="top"/>
    </xf>
    <xf numFmtId="0" fontId="0" fillId="19" borderId="133" xfId="0" applyFill="1" applyBorder="1"/>
    <xf numFmtId="0" fontId="0" fillId="19" borderId="76" xfId="0" applyFill="1" applyBorder="1"/>
    <xf numFmtId="0" fontId="0" fillId="19" borderId="134" xfId="0" applyFill="1" applyBorder="1"/>
    <xf numFmtId="0" fontId="0" fillId="0" borderId="19" xfId="0" applyBorder="1"/>
    <xf numFmtId="0" fontId="0" fillId="0" borderId="6" xfId="0" applyBorder="1"/>
    <xf numFmtId="0" fontId="4" fillId="21" borderId="136" xfId="0" applyFont="1" applyFill="1" applyBorder="1" applyAlignment="1">
      <alignment horizontal="center"/>
    </xf>
    <xf numFmtId="0" fontId="40" fillId="0" borderId="0" xfId="0" applyFont="1" applyAlignment="1">
      <alignment vertical="center"/>
    </xf>
    <xf numFmtId="0" fontId="0" fillId="11" borderId="5" xfId="0" applyFill="1" applyBorder="1"/>
    <xf numFmtId="0" fontId="4" fillId="3" borderId="135" xfId="0" applyFont="1" applyFill="1" applyBorder="1" applyAlignment="1">
      <alignment horizontal="center"/>
    </xf>
    <xf numFmtId="0" fontId="0" fillId="11" borderId="37" xfId="0" applyFill="1" applyBorder="1"/>
    <xf numFmtId="166" fontId="0" fillId="0" borderId="0" xfId="0" applyNumberFormat="1"/>
    <xf numFmtId="0" fontId="0" fillId="0" borderId="0" xfId="0" applyFont="1" applyAlignment="1">
      <alignment horizontal="right"/>
    </xf>
    <xf numFmtId="0" fontId="0" fillId="0" borderId="0" xfId="0" applyAlignment="1">
      <alignment horizontal="center"/>
    </xf>
    <xf numFmtId="0" fontId="0" fillId="0" borderId="0" xfId="0" applyBorder="1" applyAlignment="1"/>
    <xf numFmtId="0" fontId="0" fillId="0" borderId="0" xfId="0" quotePrefix="1"/>
    <xf numFmtId="0" fontId="0" fillId="40" borderId="0" xfId="0" applyFill="1"/>
    <xf numFmtId="0" fontId="0" fillId="0" borderId="139" xfId="0" applyBorder="1" applyAlignment="1">
      <alignment horizontal="center"/>
    </xf>
    <xf numFmtId="0" fontId="0" fillId="0" borderId="140" xfId="0" applyBorder="1" applyAlignment="1">
      <alignment horizontal="center"/>
    </xf>
    <xf numFmtId="0" fontId="13" fillId="0" borderId="139" xfId="0" applyFont="1" applyBorder="1" applyAlignment="1">
      <alignment horizontal="center"/>
    </xf>
    <xf numFmtId="0" fontId="13" fillId="0" borderId="138" xfId="0" applyFont="1" applyBorder="1" applyAlignment="1">
      <alignment horizontal="center"/>
    </xf>
    <xf numFmtId="0" fontId="0" fillId="0" borderId="141" xfId="0" applyBorder="1" applyAlignment="1">
      <alignment horizontal="center"/>
    </xf>
    <xf numFmtId="0" fontId="0" fillId="0" borderId="142" xfId="0" applyBorder="1" applyAlignment="1">
      <alignment horizontal="center"/>
    </xf>
    <xf numFmtId="0" fontId="0" fillId="0" borderId="144" xfId="0" applyBorder="1" applyAlignment="1">
      <alignment horizontal="center"/>
    </xf>
    <xf numFmtId="0" fontId="0" fillId="0" borderId="145" xfId="0" applyBorder="1" applyAlignment="1">
      <alignment horizontal="center"/>
    </xf>
    <xf numFmtId="2" fontId="0" fillId="38" borderId="146" xfId="0" applyNumberFormat="1" applyFont="1" applyFill="1" applyBorder="1" applyAlignment="1">
      <alignment horizontal="center"/>
    </xf>
    <xf numFmtId="2" fontId="0" fillId="0" borderId="146" xfId="0" applyNumberFormat="1" applyFont="1" applyBorder="1" applyAlignment="1">
      <alignment horizontal="center"/>
    </xf>
    <xf numFmtId="2" fontId="0" fillId="38" borderId="147" xfId="0" applyNumberFormat="1" applyFont="1" applyFill="1" applyBorder="1" applyAlignment="1">
      <alignment horizontal="center"/>
    </xf>
    <xf numFmtId="2" fontId="0" fillId="38" borderId="143" xfId="0" applyNumberFormat="1" applyFont="1" applyFill="1" applyBorder="1" applyAlignment="1">
      <alignment horizontal="center"/>
    </xf>
    <xf numFmtId="0" fontId="0" fillId="0" borderId="148" xfId="0" applyBorder="1" applyAlignment="1">
      <alignment horizontal="center"/>
    </xf>
    <xf numFmtId="0" fontId="0" fillId="0" borderId="149" xfId="0" applyBorder="1" applyAlignment="1">
      <alignment horizontal="center"/>
    </xf>
    <xf numFmtId="0" fontId="0" fillId="0" borderId="150" xfId="0" applyBorder="1" applyAlignment="1">
      <alignment horizontal="center"/>
    </xf>
    <xf numFmtId="0" fontId="0" fillId="0" borderId="151" xfId="0" applyBorder="1" applyAlignment="1">
      <alignment horizontal="center"/>
    </xf>
    <xf numFmtId="0" fontId="0" fillId="0" borderId="152" xfId="0" applyBorder="1" applyAlignment="1">
      <alignment horizontal="center"/>
    </xf>
    <xf numFmtId="0" fontId="0" fillId="0" borderId="153" xfId="0" applyBorder="1" applyAlignment="1">
      <alignment horizontal="center"/>
    </xf>
    <xf numFmtId="0" fontId="13" fillId="27" borderId="40" xfId="4" applyFont="1" applyFill="1" applyBorder="1"/>
    <xf numFmtId="0" fontId="13" fillId="10" borderId="40" xfId="4" applyFont="1" applyFill="1" applyBorder="1" applyAlignment="1">
      <alignment vertical="center"/>
    </xf>
    <xf numFmtId="0" fontId="13" fillId="12" borderId="40" xfId="4" applyFont="1" applyFill="1" applyBorder="1" applyAlignment="1">
      <alignment vertical="center"/>
    </xf>
    <xf numFmtId="0" fontId="13" fillId="13" borderId="40" xfId="4" applyFont="1" applyFill="1" applyBorder="1" applyAlignment="1">
      <alignment vertical="center"/>
    </xf>
    <xf numFmtId="0" fontId="13" fillId="0" borderId="40" xfId="4" applyFont="1" applyBorder="1"/>
    <xf numFmtId="0" fontId="11" fillId="20" borderId="40" xfId="4" applyFont="1" applyFill="1" applyBorder="1" applyAlignment="1">
      <alignment vertical="center"/>
    </xf>
    <xf numFmtId="0" fontId="0" fillId="0" borderId="0" xfId="0" applyAlignment="1">
      <alignment horizontal="center"/>
    </xf>
    <xf numFmtId="0" fontId="3" fillId="0" borderId="6" xfId="0" applyFont="1" applyBorder="1" applyAlignment="1" applyProtection="1">
      <alignment horizontal="left"/>
      <protection locked="0" hidden="1"/>
    </xf>
    <xf numFmtId="0" fontId="3" fillId="3" borderId="17" xfId="0" applyFont="1" applyFill="1" applyBorder="1" applyAlignment="1" applyProtection="1">
      <alignment horizontal="center" vertical="center"/>
      <protection locked="0" hidden="1"/>
    </xf>
    <xf numFmtId="0" fontId="13" fillId="11" borderId="0" xfId="4" applyFont="1" applyFill="1" applyAlignment="1" applyProtection="1">
      <alignment horizontal="center"/>
      <protection locked="0" hidden="1"/>
    </xf>
    <xf numFmtId="2" fontId="3" fillId="11" borderId="5" xfId="0" applyNumberFormat="1" applyFont="1" applyFill="1" applyBorder="1" applyAlignment="1" applyProtection="1">
      <alignment horizontal="center"/>
      <protection locked="0" hidden="1"/>
    </xf>
    <xf numFmtId="1" fontId="3" fillId="11" borderId="15" xfId="0" applyNumberFormat="1" applyFont="1" applyFill="1" applyBorder="1" applyAlignment="1" applyProtection="1">
      <alignment horizontal="center"/>
      <protection locked="0" hidden="1"/>
    </xf>
    <xf numFmtId="2" fontId="3" fillId="0" borderId="0" xfId="0" applyNumberFormat="1" applyFont="1" applyBorder="1" applyAlignment="1" applyProtection="1">
      <alignment horizontal="center"/>
      <protection locked="0" hidden="1"/>
    </xf>
    <xf numFmtId="1" fontId="3" fillId="0" borderId="0" xfId="0" applyNumberFormat="1" applyFont="1" applyBorder="1" applyAlignment="1" applyProtection="1">
      <alignment horizontal="center"/>
      <protection locked="0" hidden="1"/>
    </xf>
    <xf numFmtId="0" fontId="3" fillId="0" borderId="0" xfId="0" applyFont="1" applyBorder="1" applyAlignment="1" applyProtection="1">
      <alignment horizontal="center"/>
      <protection locked="0" hidden="1"/>
    </xf>
    <xf numFmtId="1" fontId="3" fillId="0" borderId="0" xfId="0" applyNumberFormat="1" applyFont="1" applyAlignment="1" applyProtection="1">
      <alignment horizontal="center"/>
      <protection locked="0" hidden="1"/>
    </xf>
    <xf numFmtId="164" fontId="3" fillId="0" borderId="14" xfId="1" applyNumberFormat="1" applyFont="1" applyBorder="1" applyAlignment="1" applyProtection="1">
      <alignment horizontal="center"/>
      <protection locked="0" hidden="1"/>
    </xf>
    <xf numFmtId="164" fontId="3" fillId="0" borderId="0" xfId="1" applyNumberFormat="1" applyFont="1" applyBorder="1" applyAlignment="1" applyProtection="1">
      <alignment horizontal="center"/>
      <protection locked="0" hidden="1"/>
    </xf>
    <xf numFmtId="164" fontId="3" fillId="0" borderId="5" xfId="1" applyNumberFormat="1" applyFont="1" applyBorder="1" applyAlignment="1" applyProtection="1">
      <alignment horizontal="center"/>
      <protection locked="0" hidden="1"/>
    </xf>
    <xf numFmtId="164" fontId="3" fillId="0" borderId="43" xfId="1" applyNumberFormat="1" applyFont="1" applyBorder="1" applyAlignment="1" applyProtection="1">
      <alignment horizontal="center"/>
      <protection locked="0" hidden="1"/>
    </xf>
    <xf numFmtId="164" fontId="3" fillId="0" borderId="44" xfId="1" applyNumberFormat="1" applyFont="1" applyBorder="1" applyAlignment="1" applyProtection="1">
      <alignment horizontal="center"/>
      <protection locked="0" hidden="1"/>
    </xf>
    <xf numFmtId="0" fontId="3" fillId="0" borderId="16" xfId="0" applyFont="1" applyBorder="1" applyAlignment="1" applyProtection="1">
      <alignment horizontal="center"/>
      <protection locked="0" hidden="1"/>
    </xf>
    <xf numFmtId="1" fontId="3" fillId="0" borderId="0" xfId="3" applyNumberFormat="1" applyFont="1" applyBorder="1" applyAlignment="1" applyProtection="1">
      <alignment horizontal="center"/>
      <protection locked="0" hidden="1"/>
    </xf>
    <xf numFmtId="0" fontId="3" fillId="0" borderId="0" xfId="0" applyFont="1" applyProtection="1">
      <protection locked="0" hidden="1"/>
    </xf>
    <xf numFmtId="0" fontId="3" fillId="0" borderId="0" xfId="3" applyNumberFormat="1" applyFont="1" applyBorder="1" applyAlignment="1" applyProtection="1">
      <alignment horizontal="center"/>
      <protection locked="0" hidden="1"/>
    </xf>
    <xf numFmtId="0" fontId="0" fillId="0" borderId="0" xfId="0" applyBorder="1" applyAlignment="1" applyProtection="1">
      <alignment horizontal="center"/>
      <protection locked="0" hidden="1"/>
    </xf>
    <xf numFmtId="0" fontId="3" fillId="11" borderId="0" xfId="0" applyFont="1" applyFill="1" applyProtection="1">
      <protection locked="0" hidden="1"/>
    </xf>
    <xf numFmtId="164" fontId="3" fillId="7" borderId="0" xfId="1" applyNumberFormat="1" applyFont="1" applyFill="1" applyBorder="1" applyProtection="1">
      <protection locked="0" hidden="1"/>
    </xf>
    <xf numFmtId="164" fontId="3" fillId="0" borderId="0" xfId="1" applyNumberFormat="1" applyFont="1" applyProtection="1">
      <protection locked="0" hidden="1"/>
    </xf>
    <xf numFmtId="0" fontId="3" fillId="0" borderId="0" xfId="0" applyFont="1" applyBorder="1" applyProtection="1">
      <protection locked="0" hidden="1"/>
    </xf>
    <xf numFmtId="0" fontId="3" fillId="0" borderId="0" xfId="0" applyFont="1" applyAlignment="1" applyProtection="1">
      <alignment horizontal="center"/>
      <protection locked="0" hidden="1"/>
    </xf>
    <xf numFmtId="0" fontId="28" fillId="3" borderId="21" xfId="0" applyFont="1" applyFill="1" applyBorder="1" applyAlignment="1" applyProtection="1">
      <alignment horizontal="center"/>
      <protection locked="0" hidden="1"/>
    </xf>
    <xf numFmtId="2" fontId="3" fillId="0" borderId="0" xfId="3" applyNumberFormat="1" applyFont="1" applyBorder="1" applyAlignment="1" applyProtection="1">
      <alignment horizontal="center"/>
      <protection locked="0" hidden="1"/>
    </xf>
    <xf numFmtId="2" fontId="3" fillId="3" borderId="21" xfId="0" applyNumberFormat="1" applyFont="1" applyFill="1" applyBorder="1" applyAlignment="1" applyProtection="1">
      <alignment horizontal="center"/>
      <protection locked="0" hidden="1"/>
    </xf>
    <xf numFmtId="2" fontId="3" fillId="0" borderId="0" xfId="0" applyNumberFormat="1" applyFont="1" applyAlignment="1" applyProtection="1">
      <alignment horizontal="center"/>
      <protection locked="0" hidden="1"/>
    </xf>
    <xf numFmtId="0" fontId="3" fillId="0" borderId="20" xfId="0" applyFont="1" applyBorder="1" applyAlignment="1" applyProtection="1">
      <alignment horizontal="center"/>
      <protection locked="0" hidden="1"/>
    </xf>
    <xf numFmtId="0" fontId="3" fillId="0" borderId="18" xfId="0" applyFont="1" applyBorder="1" applyAlignment="1" applyProtection="1">
      <alignment horizontal="center"/>
      <protection locked="0" hidden="1"/>
    </xf>
    <xf numFmtId="0" fontId="4" fillId="3" borderId="21" xfId="0" applyFont="1" applyFill="1" applyBorder="1" applyAlignment="1" applyProtection="1">
      <alignment horizontal="right"/>
      <protection locked="0" hidden="1"/>
    </xf>
    <xf numFmtId="165" fontId="3" fillId="3" borderId="21" xfId="0" applyNumberFormat="1" applyFont="1" applyFill="1" applyBorder="1" applyAlignment="1" applyProtection="1">
      <alignment horizontal="center"/>
      <protection locked="0" hidden="1"/>
    </xf>
    <xf numFmtId="165" fontId="3" fillId="11" borderId="5" xfId="0" applyNumberFormat="1" applyFont="1" applyFill="1" applyBorder="1" applyAlignment="1" applyProtection="1">
      <alignment horizontal="center"/>
      <protection locked="0" hidden="1"/>
    </xf>
    <xf numFmtId="0" fontId="0" fillId="11" borderId="0" xfId="0" applyFont="1" applyFill="1" applyAlignment="1" applyProtection="1">
      <alignment horizontal="center"/>
      <protection locked="0" hidden="1"/>
    </xf>
    <xf numFmtId="164" fontId="3" fillId="11" borderId="19" xfId="1" applyNumberFormat="1" applyFont="1" applyFill="1" applyBorder="1" applyProtection="1">
      <protection locked="0" hidden="1"/>
    </xf>
    <xf numFmtId="164" fontId="5" fillId="11" borderId="16" xfId="0" applyNumberFormat="1" applyFont="1" applyFill="1" applyBorder="1" applyAlignment="1" applyProtection="1">
      <protection locked="0" hidden="1"/>
    </xf>
    <xf numFmtId="164" fontId="5" fillId="11" borderId="0" xfId="0" applyNumberFormat="1" applyFont="1" applyFill="1" applyBorder="1" applyAlignment="1" applyProtection="1">
      <protection locked="0" hidden="1"/>
    </xf>
    <xf numFmtId="164" fontId="0" fillId="19" borderId="19" xfId="1" applyNumberFormat="1" applyFont="1" applyFill="1" applyBorder="1" applyProtection="1">
      <protection locked="0" hidden="1"/>
    </xf>
    <xf numFmtId="164" fontId="13" fillId="19" borderId="0" xfId="1" applyNumberFormat="1" applyFont="1" applyFill="1" applyBorder="1" applyAlignment="1" applyProtection="1">
      <alignment horizontal="right" vertical="center"/>
      <protection locked="0" hidden="1"/>
    </xf>
    <xf numFmtId="164" fontId="33" fillId="19" borderId="83" xfId="1" applyNumberFormat="1" applyFont="1" applyFill="1" applyBorder="1" applyProtection="1">
      <protection locked="0" hidden="1"/>
    </xf>
    <xf numFmtId="164" fontId="33" fillId="19" borderId="77" xfId="1" applyNumberFormat="1" applyFont="1" applyFill="1" applyBorder="1" applyProtection="1">
      <protection locked="0" hidden="1"/>
    </xf>
    <xf numFmtId="164" fontId="33" fillId="19" borderId="77" xfId="1" applyNumberFormat="1" applyFont="1" applyFill="1" applyBorder="1" applyAlignment="1" applyProtection="1">
      <alignment horizontal="right" vertical="center"/>
      <protection locked="0" hidden="1"/>
    </xf>
    <xf numFmtId="164" fontId="23" fillId="11" borderId="84" xfId="1" applyNumberFormat="1" applyFont="1" applyFill="1" applyBorder="1" applyAlignment="1" applyProtection="1">
      <alignment vertical="center"/>
      <protection locked="0" hidden="1"/>
    </xf>
    <xf numFmtId="164" fontId="23" fillId="11" borderId="79" xfId="1" applyNumberFormat="1" applyFont="1" applyFill="1" applyBorder="1" applyAlignment="1" applyProtection="1">
      <alignment vertical="center"/>
      <protection locked="0" hidden="1"/>
    </xf>
    <xf numFmtId="164" fontId="30" fillId="11" borderId="19" xfId="1" applyNumberFormat="1" applyFont="1" applyFill="1" applyBorder="1" applyAlignment="1" applyProtection="1">
      <alignment horizontal="right" vertical="center"/>
      <protection locked="0" hidden="1"/>
    </xf>
    <xf numFmtId="164" fontId="30" fillId="11" borderId="0" xfId="1" applyNumberFormat="1" applyFont="1" applyFill="1" applyBorder="1" applyAlignment="1" applyProtection="1">
      <alignment horizontal="right" vertical="center"/>
      <protection locked="0" hidden="1"/>
    </xf>
    <xf numFmtId="164" fontId="4" fillId="11" borderId="2" xfId="1" applyNumberFormat="1" applyFont="1" applyFill="1" applyBorder="1" applyAlignment="1" applyProtection="1">
      <alignment vertical="center"/>
      <protection locked="0" hidden="1"/>
    </xf>
    <xf numFmtId="164" fontId="4" fillId="11" borderId="1" xfId="1" applyNumberFormat="1" applyFont="1" applyFill="1" applyBorder="1" applyAlignment="1" applyProtection="1">
      <alignment vertical="center"/>
      <protection locked="0" hidden="1"/>
    </xf>
    <xf numFmtId="164" fontId="3" fillId="11" borderId="23" xfId="1" applyNumberFormat="1" applyFont="1" applyFill="1" applyBorder="1" applyAlignment="1" applyProtection="1">
      <alignment vertical="center"/>
      <protection locked="0" hidden="1"/>
    </xf>
    <xf numFmtId="164" fontId="3" fillId="11" borderId="7" xfId="1" applyNumberFormat="1" applyFont="1" applyFill="1" applyBorder="1" applyAlignment="1" applyProtection="1">
      <alignment vertical="center"/>
      <protection locked="0" hidden="1"/>
    </xf>
    <xf numFmtId="164" fontId="3" fillId="11" borderId="5" xfId="1" applyNumberFormat="1" applyFont="1" applyFill="1" applyBorder="1" applyAlignment="1" applyProtection="1">
      <alignment vertical="center"/>
      <protection locked="0" hidden="1"/>
    </xf>
    <xf numFmtId="164" fontId="3" fillId="11" borderId="19" xfId="0" applyNumberFormat="1" applyFont="1" applyFill="1" applyBorder="1" applyProtection="1">
      <protection locked="0" hidden="1"/>
    </xf>
    <xf numFmtId="164" fontId="3" fillId="11" borderId="0" xfId="0" applyNumberFormat="1" applyFont="1" applyFill="1" applyBorder="1" applyProtection="1">
      <protection locked="0" hidden="1"/>
    </xf>
    <xf numFmtId="164" fontId="3" fillId="11" borderId="1" xfId="1" applyNumberFormat="1" applyFont="1" applyFill="1" applyBorder="1" applyProtection="1">
      <protection locked="0" hidden="1"/>
    </xf>
    <xf numFmtId="164" fontId="3" fillId="11" borderId="17" xfId="1" applyNumberFormat="1" applyFont="1" applyFill="1" applyBorder="1" applyProtection="1">
      <protection locked="0" hidden="1"/>
    </xf>
    <xf numFmtId="164" fontId="3" fillId="0" borderId="26" xfId="1" applyNumberFormat="1" applyFont="1" applyBorder="1" applyAlignment="1" applyProtection="1">
      <alignment horizontal="center"/>
      <protection locked="0" hidden="1"/>
    </xf>
    <xf numFmtId="0" fontId="3" fillId="0" borderId="0" xfId="0" applyFont="1" applyAlignment="1" applyProtection="1">
      <alignment horizontal="center" vertical="center"/>
      <protection locked="0" hidden="1"/>
    </xf>
    <xf numFmtId="0" fontId="3" fillId="0" borderId="21" xfId="0" applyFont="1" applyBorder="1" applyAlignment="1" applyProtection="1">
      <alignment horizontal="center" vertical="center"/>
      <protection locked="0" hidden="1"/>
    </xf>
    <xf numFmtId="0" fontId="3" fillId="0" borderId="5" xfId="0" applyFont="1" applyBorder="1" applyAlignment="1" applyProtection="1">
      <alignment horizontal="center" vertical="center"/>
      <protection locked="0" hidden="1"/>
    </xf>
    <xf numFmtId="0" fontId="3" fillId="0" borderId="1" xfId="0" applyNumberFormat="1" applyFont="1" applyBorder="1" applyAlignment="1" applyProtection="1">
      <alignment horizontal="center" vertical="center"/>
      <protection locked="0" hidden="1"/>
    </xf>
    <xf numFmtId="0" fontId="3" fillId="11" borderId="32" xfId="0" applyFont="1" applyFill="1" applyBorder="1" applyAlignment="1" applyProtection="1">
      <alignment horizontal="center" vertical="center"/>
      <protection locked="0" hidden="1"/>
    </xf>
    <xf numFmtId="1" fontId="3" fillId="11" borderId="31" xfId="0" applyNumberFormat="1" applyFont="1" applyFill="1" applyBorder="1" applyAlignment="1" applyProtection="1">
      <alignment horizontal="center" vertical="center"/>
      <protection locked="0" hidden="1"/>
    </xf>
    <xf numFmtId="164" fontId="3" fillId="0" borderId="0" xfId="1" applyNumberFormat="1" applyFont="1" applyAlignment="1" applyProtection="1">
      <alignment horizontal="center" vertical="center"/>
      <protection locked="0" hidden="1"/>
    </xf>
    <xf numFmtId="0" fontId="3" fillId="0" borderId="21" xfId="0" applyFont="1" applyBorder="1" applyAlignment="1" applyProtection="1">
      <alignment horizontal="center"/>
      <protection locked="0" hidden="1"/>
    </xf>
    <xf numFmtId="0" fontId="3" fillId="11" borderId="7" xfId="0" applyFont="1" applyFill="1" applyBorder="1" applyAlignment="1" applyProtection="1">
      <alignment horizontal="center" vertical="center"/>
      <protection locked="0" hidden="1"/>
    </xf>
    <xf numFmtId="0" fontId="3" fillId="11" borderId="41" xfId="0" applyFont="1" applyFill="1" applyBorder="1" applyAlignment="1" applyProtection="1">
      <alignment horizontal="center" vertical="center"/>
      <protection locked="0" hidden="1"/>
    </xf>
    <xf numFmtId="0" fontId="3" fillId="11" borderId="11" xfId="0" applyFont="1" applyFill="1" applyBorder="1" applyAlignment="1" applyProtection="1">
      <alignment horizontal="center" vertical="center"/>
      <protection locked="0" hidden="1"/>
    </xf>
    <xf numFmtId="1" fontId="3" fillId="11" borderId="41" xfId="0" applyNumberFormat="1" applyFont="1" applyFill="1" applyBorder="1" applyAlignment="1" applyProtection="1">
      <alignment horizontal="center" vertical="center"/>
      <protection locked="0" hidden="1"/>
    </xf>
    <xf numFmtId="0" fontId="3" fillId="11" borderId="42" xfId="0" applyFont="1" applyFill="1" applyBorder="1" applyAlignment="1" applyProtection="1">
      <alignment horizontal="center" vertical="center"/>
      <protection locked="0" hidden="1"/>
    </xf>
    <xf numFmtId="1" fontId="3" fillId="11" borderId="5" xfId="0" applyNumberFormat="1" applyFont="1" applyFill="1" applyBorder="1" applyAlignment="1" applyProtection="1">
      <alignment horizontal="center" vertical="center"/>
      <protection locked="0" hidden="1"/>
    </xf>
    <xf numFmtId="0" fontId="3" fillId="0" borderId="29" xfId="0" applyFont="1" applyBorder="1" applyAlignment="1" applyProtection="1">
      <alignment horizontal="center"/>
      <protection locked="0" hidden="1"/>
    </xf>
    <xf numFmtId="164" fontId="13" fillId="2" borderId="27" xfId="1" applyNumberFormat="1" applyFont="1" applyFill="1" applyBorder="1" applyAlignment="1" applyProtection="1">
      <alignment horizontal="right"/>
      <protection locked="0" hidden="1"/>
    </xf>
    <xf numFmtId="164" fontId="3" fillId="0" borderId="0" xfId="0" applyNumberFormat="1" applyFont="1" applyProtection="1">
      <protection locked="0" hidden="1"/>
    </xf>
    <xf numFmtId="164" fontId="0" fillId="0" borderId="0" xfId="0" applyNumberFormat="1" applyFont="1" applyBorder="1" applyAlignment="1" applyProtection="1">
      <alignment horizontal="center" wrapText="1"/>
      <protection locked="0" hidden="1"/>
    </xf>
    <xf numFmtId="0" fontId="11" fillId="0" borderId="1" xfId="0" applyFont="1" applyBorder="1" applyProtection="1">
      <protection locked="0" hidden="1"/>
    </xf>
    <xf numFmtId="1" fontId="0" fillId="0" borderId="64" xfId="3" applyNumberFormat="1" applyFont="1" applyBorder="1" applyAlignment="1" applyProtection="1">
      <alignment horizontal="center"/>
      <protection locked="0" hidden="1"/>
    </xf>
    <xf numFmtId="0" fontId="0" fillId="0" borderId="64" xfId="0" applyBorder="1" applyAlignment="1" applyProtection="1">
      <alignment horizontal="center"/>
      <protection locked="0" hidden="1"/>
    </xf>
    <xf numFmtId="0" fontId="0" fillId="0" borderId="54" xfId="0" applyBorder="1" applyAlignment="1" applyProtection="1">
      <alignment horizontal="center"/>
      <protection locked="0" hidden="1"/>
    </xf>
    <xf numFmtId="0" fontId="0" fillId="0" borderId="100" xfId="0" applyBorder="1" applyAlignment="1" applyProtection="1">
      <alignment horizontal="center"/>
      <protection locked="0" hidden="1"/>
    </xf>
    <xf numFmtId="0" fontId="3" fillId="0" borderId="16" xfId="0" applyFont="1" applyBorder="1" applyAlignment="1" applyProtection="1">
      <alignment horizontal="left"/>
      <protection locked="0" hidden="1"/>
    </xf>
    <xf numFmtId="2" fontId="0" fillId="19" borderId="117" xfId="0" applyNumberFormat="1" applyFill="1" applyBorder="1" applyAlignment="1" applyProtection="1">
      <alignment horizontal="center"/>
      <protection locked="0" hidden="1"/>
    </xf>
    <xf numFmtId="2" fontId="0" fillId="19" borderId="118" xfId="0" applyNumberFormat="1" applyFill="1" applyBorder="1" applyAlignment="1" applyProtection="1">
      <alignment horizontal="center"/>
      <protection locked="0" hidden="1"/>
    </xf>
    <xf numFmtId="0" fontId="0" fillId="0" borderId="16" xfId="0" applyBorder="1" applyProtection="1">
      <protection locked="0" hidden="1"/>
    </xf>
    <xf numFmtId="2" fontId="0" fillId="19" borderId="116" xfId="0" applyNumberFormat="1" applyFill="1" applyBorder="1" applyAlignment="1" applyProtection="1">
      <alignment horizontal="center"/>
      <protection locked="0" hidden="1"/>
    </xf>
    <xf numFmtId="9" fontId="0" fillId="11" borderId="19" xfId="3" applyFont="1" applyFill="1" applyBorder="1" applyAlignment="1" applyProtection="1">
      <alignment horizontal="center"/>
      <protection locked="0" hidden="1"/>
    </xf>
    <xf numFmtId="9" fontId="0" fillId="0" borderId="23" xfId="3" applyFont="1" applyBorder="1" applyAlignment="1" applyProtection="1">
      <alignment horizontal="center"/>
      <protection locked="0" hidden="1"/>
    </xf>
    <xf numFmtId="0" fontId="0" fillId="0" borderId="41" xfId="0" applyBorder="1" applyAlignment="1" applyProtection="1">
      <alignment horizontal="center"/>
      <protection locked="0" hidden="1"/>
    </xf>
    <xf numFmtId="0" fontId="0" fillId="0" borderId="39" xfId="0" applyBorder="1" applyAlignment="1" applyProtection="1">
      <alignment horizontal="center"/>
      <protection locked="0" hidden="1"/>
    </xf>
    <xf numFmtId="0" fontId="0" fillId="0" borderId="39" xfId="0" applyBorder="1" applyProtection="1">
      <protection locked="0" hidden="1"/>
    </xf>
    <xf numFmtId="9" fontId="0" fillId="19" borderId="58" xfId="0" applyNumberFormat="1" applyFill="1" applyBorder="1" applyAlignment="1" applyProtection="1">
      <alignment horizontal="center"/>
      <protection locked="0" hidden="1"/>
    </xf>
    <xf numFmtId="9" fontId="0" fillId="0" borderId="61" xfId="0" applyNumberFormat="1" applyFont="1" applyBorder="1" applyAlignment="1" applyProtection="1">
      <alignment horizontal="center"/>
      <protection locked="0" hidden="1"/>
    </xf>
    <xf numFmtId="9" fontId="0" fillId="19" borderId="63" xfId="0" applyNumberFormat="1" applyFont="1" applyFill="1" applyBorder="1" applyAlignment="1" applyProtection="1">
      <alignment horizontal="center"/>
      <protection locked="0" hidden="1"/>
    </xf>
    <xf numFmtId="9" fontId="0" fillId="0" borderId="47" xfId="0" applyNumberFormat="1" applyFont="1" applyBorder="1" applyAlignment="1" applyProtection="1">
      <alignment horizontal="center"/>
      <protection locked="0" hidden="1"/>
    </xf>
    <xf numFmtId="9" fontId="0" fillId="19" borderId="62" xfId="0" applyNumberFormat="1" applyFont="1" applyFill="1" applyBorder="1" applyAlignment="1" applyProtection="1">
      <alignment horizontal="center"/>
      <protection locked="0" hidden="1"/>
    </xf>
    <xf numFmtId="9" fontId="0" fillId="19" borderId="57" xfId="0" applyNumberFormat="1" applyFill="1" applyBorder="1" applyAlignment="1" applyProtection="1">
      <alignment horizontal="center"/>
      <protection locked="0" hidden="1"/>
    </xf>
    <xf numFmtId="9" fontId="0" fillId="0" borderId="59" xfId="0" applyNumberFormat="1" applyFont="1" applyBorder="1" applyAlignment="1" applyProtection="1">
      <alignment horizontal="center"/>
      <protection locked="0" hidden="1"/>
    </xf>
    <xf numFmtId="9" fontId="0" fillId="19" borderId="60" xfId="0" applyNumberFormat="1" applyFont="1" applyFill="1" applyBorder="1" applyAlignment="1" applyProtection="1">
      <alignment horizontal="center"/>
      <protection locked="0" hidden="1"/>
    </xf>
    <xf numFmtId="9" fontId="0" fillId="0" borderId="54" xfId="0" applyNumberFormat="1" applyFont="1" applyBorder="1" applyAlignment="1" applyProtection="1">
      <alignment horizontal="center"/>
      <protection locked="0" hidden="1"/>
    </xf>
    <xf numFmtId="0" fontId="0" fillId="0" borderId="0" xfId="0" applyProtection="1">
      <protection locked="0" hidden="1"/>
    </xf>
    <xf numFmtId="171" fontId="0" fillId="19" borderId="122" xfId="0" applyNumberFormat="1" applyFill="1" applyBorder="1" applyAlignment="1" applyProtection="1">
      <alignment horizontal="center"/>
      <protection locked="0" hidden="1"/>
    </xf>
    <xf numFmtId="171" fontId="4" fillId="19" borderId="119" xfId="0" applyNumberFormat="1" applyFont="1" applyFill="1" applyBorder="1" applyAlignment="1" applyProtection="1">
      <alignment horizontal="center"/>
      <protection locked="0" hidden="1"/>
    </xf>
    <xf numFmtId="16" fontId="4" fillId="29" borderId="52" xfId="0" applyNumberFormat="1" applyFont="1" applyFill="1" applyBorder="1" applyAlignment="1" applyProtection="1">
      <alignment horizontal="center"/>
      <protection locked="0" hidden="1"/>
    </xf>
    <xf numFmtId="16" fontId="4" fillId="30" borderId="52" xfId="0" applyNumberFormat="1" applyFont="1" applyFill="1" applyBorder="1" applyAlignment="1" applyProtection="1">
      <alignment horizontal="center"/>
      <protection locked="0" hidden="1"/>
    </xf>
    <xf numFmtId="0" fontId="4" fillId="24" borderId="56" xfId="0" applyFont="1" applyFill="1" applyBorder="1" applyAlignment="1" applyProtection="1">
      <alignment horizontal="center"/>
      <protection locked="0" hidden="1"/>
    </xf>
    <xf numFmtId="9" fontId="0" fillId="0" borderId="69" xfId="3" applyFont="1" applyBorder="1" applyAlignment="1" applyProtection="1">
      <alignment horizontal="center"/>
      <protection locked="0" hidden="1"/>
    </xf>
    <xf numFmtId="9" fontId="0" fillId="0" borderId="67" xfId="3" applyFont="1" applyBorder="1" applyAlignment="1" applyProtection="1">
      <alignment horizontal="center"/>
      <protection locked="0" hidden="1"/>
    </xf>
    <xf numFmtId="0" fontId="11" fillId="0" borderId="0" xfId="0" applyFont="1" applyProtection="1">
      <protection locked="0" hidden="1"/>
    </xf>
    <xf numFmtId="0" fontId="5" fillId="0" borderId="7" xfId="0" applyFont="1" applyFill="1" applyBorder="1" applyAlignment="1" applyProtection="1">
      <alignment horizontal="center"/>
      <protection locked="0" hidden="1"/>
    </xf>
    <xf numFmtId="0" fontId="4" fillId="19" borderId="0" xfId="0" applyFont="1" applyFill="1" applyAlignment="1" applyProtection="1">
      <alignment horizontal="center"/>
      <protection locked="0" hidden="1"/>
    </xf>
    <xf numFmtId="0" fontId="4" fillId="19" borderId="41" xfId="0" applyFont="1" applyFill="1" applyBorder="1" applyAlignment="1" applyProtection="1">
      <alignment horizontal="center"/>
      <protection locked="0" hidden="1"/>
    </xf>
    <xf numFmtId="0" fontId="5" fillId="0" borderId="16" xfId="0" applyFont="1" applyFill="1" applyBorder="1" applyAlignment="1" applyProtection="1">
      <alignment horizontal="center"/>
      <protection locked="0" hidden="1"/>
    </xf>
    <xf numFmtId="0" fontId="4" fillId="19" borderId="39" xfId="0" applyFont="1" applyFill="1" applyBorder="1" applyAlignment="1" applyProtection="1">
      <alignment horizontal="center"/>
      <protection locked="0" hidden="1"/>
    </xf>
    <xf numFmtId="0" fontId="5" fillId="0" borderId="45" xfId="0" applyFont="1" applyFill="1" applyBorder="1" applyAlignment="1" applyProtection="1">
      <alignment horizontal="center"/>
      <protection locked="0" hidden="1"/>
    </xf>
    <xf numFmtId="0" fontId="4" fillId="19" borderId="37" xfId="0" applyFont="1" applyFill="1" applyBorder="1" applyAlignment="1" applyProtection="1">
      <alignment horizontal="center"/>
      <protection locked="0" hidden="1"/>
    </xf>
    <xf numFmtId="0" fontId="4" fillId="19" borderId="38" xfId="0" applyFont="1" applyFill="1" applyBorder="1" applyAlignment="1" applyProtection="1">
      <alignment horizontal="center"/>
      <protection locked="0" hidden="1"/>
    </xf>
    <xf numFmtId="0" fontId="5" fillId="0" borderId="16" xfId="0" applyFont="1" applyBorder="1" applyAlignment="1" applyProtection="1">
      <alignment horizontal="center"/>
      <protection locked="0" hidden="1"/>
    </xf>
    <xf numFmtId="0" fontId="5" fillId="0" borderId="45" xfId="0" applyFont="1" applyBorder="1" applyAlignment="1" applyProtection="1">
      <alignment horizontal="center"/>
      <protection locked="0" hidden="1"/>
    </xf>
    <xf numFmtId="165" fontId="5" fillId="0" borderId="0" xfId="0" applyNumberFormat="1" applyFont="1" applyBorder="1" applyAlignment="1" applyProtection="1">
      <alignment horizontal="center"/>
      <protection locked="0" hidden="1"/>
    </xf>
    <xf numFmtId="1" fontId="5" fillId="0" borderId="0" xfId="0" applyNumberFormat="1" applyFont="1" applyBorder="1" applyAlignment="1" applyProtection="1">
      <alignment horizontal="center"/>
      <protection locked="0" hidden="1"/>
    </xf>
    <xf numFmtId="0" fontId="4" fillId="19" borderId="48" xfId="0" applyFont="1" applyFill="1" applyBorder="1" applyAlignment="1" applyProtection="1">
      <alignment horizontal="center"/>
      <protection locked="0" hidden="1"/>
    </xf>
    <xf numFmtId="0" fontId="5" fillId="0" borderId="0" xfId="0" applyFont="1" applyAlignment="1" applyProtection="1">
      <alignment horizontal="center"/>
      <protection locked="0" hidden="1"/>
    </xf>
    <xf numFmtId="0" fontId="5" fillId="0" borderId="49" xfId="0" applyFont="1" applyBorder="1" applyAlignment="1" applyProtection="1">
      <alignment horizontal="center"/>
      <protection locked="0" hidden="1"/>
    </xf>
    <xf numFmtId="0" fontId="4" fillId="19" borderId="50" xfId="0" applyFont="1" applyFill="1" applyBorder="1" applyAlignment="1" applyProtection="1">
      <alignment horizontal="center"/>
      <protection locked="0" hidden="1"/>
    </xf>
    <xf numFmtId="0" fontId="0" fillId="11" borderId="7" xfId="0" applyFill="1" applyBorder="1" applyProtection="1">
      <protection locked="0" hidden="1"/>
    </xf>
    <xf numFmtId="0" fontId="0" fillId="11" borderId="16" xfId="0" applyFill="1" applyBorder="1" applyProtection="1">
      <protection locked="0" hidden="1"/>
    </xf>
    <xf numFmtId="0" fontId="0" fillId="11" borderId="45" xfId="0" applyFill="1" applyBorder="1" applyProtection="1">
      <protection locked="0" hidden="1"/>
    </xf>
    <xf numFmtId="0" fontId="0" fillId="19" borderId="41" xfId="0" applyFill="1" applyBorder="1" applyAlignment="1" applyProtection="1">
      <alignment horizontal="center"/>
      <protection locked="0" hidden="1"/>
    </xf>
    <xf numFmtId="0" fontId="0" fillId="19" borderId="39" xfId="0" applyFill="1" applyBorder="1" applyAlignment="1" applyProtection="1">
      <alignment horizontal="center"/>
      <protection locked="0" hidden="1"/>
    </xf>
    <xf numFmtId="0" fontId="0" fillId="19" borderId="38" xfId="0" applyFill="1" applyBorder="1" applyAlignment="1" applyProtection="1">
      <alignment horizontal="center"/>
      <protection locked="0" hidden="1"/>
    </xf>
    <xf numFmtId="0" fontId="0" fillId="11" borderId="7" xfId="0" applyFont="1" applyFill="1" applyBorder="1" applyAlignment="1" applyProtection="1">
      <alignment vertical="center"/>
      <protection locked="0" hidden="1"/>
    </xf>
    <xf numFmtId="0" fontId="0" fillId="11" borderId="16" xfId="0" applyFont="1" applyFill="1" applyBorder="1" applyAlignment="1" applyProtection="1">
      <alignment vertical="center"/>
      <protection locked="0" hidden="1"/>
    </xf>
    <xf numFmtId="0" fontId="0" fillId="11" borderId="45" xfId="0" applyFont="1" applyFill="1" applyBorder="1" applyAlignment="1" applyProtection="1">
      <alignment vertical="center"/>
      <protection locked="0" hidden="1"/>
    </xf>
    <xf numFmtId="0" fontId="24" fillId="19" borderId="0" xfId="0" applyFont="1" applyFill="1" applyAlignment="1">
      <alignment horizontal="center"/>
    </xf>
    <xf numFmtId="166" fontId="13" fillId="6" borderId="1" xfId="0" applyNumberFormat="1" applyFont="1" applyFill="1" applyBorder="1" applyAlignment="1">
      <alignment horizontal="left" vertical="center"/>
    </xf>
    <xf numFmtId="166" fontId="13" fillId="6" borderId="4" xfId="0" applyNumberFormat="1" applyFont="1" applyFill="1" applyBorder="1" applyAlignment="1">
      <alignment horizontal="left" vertical="center"/>
    </xf>
    <xf numFmtId="0" fontId="39" fillId="19" borderId="0" xfId="0" applyFont="1" applyFill="1" applyAlignment="1">
      <alignment horizontal="center" vertical="center"/>
    </xf>
    <xf numFmtId="0" fontId="13" fillId="10" borderId="20" xfId="4" applyFont="1" applyFill="1" applyBorder="1" applyAlignment="1">
      <alignment horizontal="center" wrapText="1"/>
    </xf>
    <xf numFmtId="0" fontId="13" fillId="10" borderId="4" xfId="4" applyFont="1" applyFill="1" applyBorder="1" applyAlignment="1">
      <alignment horizontal="center" wrapText="1"/>
    </xf>
    <xf numFmtId="0" fontId="0" fillId="0" borderId="0" xfId="0" applyFont="1" applyAlignment="1">
      <alignment horizontal="right"/>
    </xf>
    <xf numFmtId="6" fontId="3" fillId="6" borderId="20" xfId="0" applyNumberFormat="1" applyFont="1" applyFill="1" applyBorder="1" applyAlignment="1">
      <alignment horizontal="center" vertical="center"/>
    </xf>
    <xf numFmtId="6" fontId="3" fillId="6" borderId="4" xfId="0" applyNumberFormat="1" applyFont="1" applyFill="1" applyBorder="1" applyAlignment="1">
      <alignment horizontal="center" vertical="center"/>
    </xf>
    <xf numFmtId="0" fontId="4" fillId="0" borderId="26" xfId="0" applyFont="1" applyBorder="1" applyAlignment="1">
      <alignment horizontal="center" wrapText="1"/>
    </xf>
    <xf numFmtId="0" fontId="4" fillId="0" borderId="25" xfId="0" applyFont="1" applyBorder="1" applyAlignment="1">
      <alignment horizontal="center" vertical="center" wrapText="1"/>
    </xf>
    <xf numFmtId="0" fontId="4" fillId="0" borderId="26" xfId="0" applyFont="1" applyBorder="1" applyAlignment="1">
      <alignment horizontal="center" vertical="center" wrapText="1"/>
    </xf>
    <xf numFmtId="0" fontId="13" fillId="11" borderId="8" xfId="4" applyFont="1" applyFill="1" applyBorder="1" applyAlignment="1" applyProtection="1">
      <alignment horizontal="center"/>
      <protection locked="0" hidden="1"/>
    </xf>
    <xf numFmtId="0" fontId="13" fillId="11" borderId="21" xfId="4" applyFont="1" applyFill="1" applyBorder="1" applyAlignment="1" applyProtection="1">
      <alignment horizontal="center"/>
      <protection locked="0" hidden="1"/>
    </xf>
    <xf numFmtId="0" fontId="4" fillId="11" borderId="0" xfId="0" applyFont="1" applyFill="1" applyBorder="1" applyAlignment="1">
      <alignment horizontal="right"/>
    </xf>
    <xf numFmtId="0" fontId="4" fillId="11" borderId="18" xfId="0" applyFont="1" applyFill="1" applyBorder="1" applyAlignment="1">
      <alignment horizontal="right"/>
    </xf>
    <xf numFmtId="0" fontId="0" fillId="11" borderId="0" xfId="0" applyFont="1" applyFill="1" applyBorder="1" applyAlignment="1">
      <alignment horizontal="right"/>
    </xf>
    <xf numFmtId="0" fontId="0" fillId="11" borderId="18" xfId="0" applyFont="1" applyFill="1" applyBorder="1" applyAlignment="1">
      <alignment horizontal="right"/>
    </xf>
    <xf numFmtId="0" fontId="4" fillId="3" borderId="22" xfId="0" applyFont="1" applyFill="1" applyBorder="1" applyAlignment="1">
      <alignment horizontal="center"/>
    </xf>
    <xf numFmtId="1" fontId="4" fillId="11" borderId="0" xfId="0" applyNumberFormat="1" applyFont="1" applyFill="1" applyBorder="1" applyAlignment="1">
      <alignment horizontal="right" vertical="center"/>
    </xf>
    <xf numFmtId="1" fontId="4" fillId="11" borderId="18" xfId="0" applyNumberFormat="1" applyFont="1" applyFill="1" applyBorder="1" applyAlignment="1">
      <alignment horizontal="right" vertical="center"/>
    </xf>
    <xf numFmtId="1" fontId="0" fillId="11" borderId="0" xfId="0" applyNumberFormat="1" applyFont="1" applyFill="1" applyBorder="1" applyAlignment="1">
      <alignment horizontal="right" vertical="center"/>
    </xf>
    <xf numFmtId="1" fontId="0" fillId="11" borderId="18" xfId="0" applyNumberFormat="1" applyFont="1" applyFill="1" applyBorder="1" applyAlignment="1">
      <alignment horizontal="right" vertical="center"/>
    </xf>
    <xf numFmtId="0" fontId="0" fillId="11" borderId="1" xfId="0" applyFont="1" applyFill="1" applyBorder="1" applyAlignment="1">
      <alignment horizontal="right"/>
    </xf>
    <xf numFmtId="0" fontId="0" fillId="11" borderId="4" xfId="0" applyFont="1" applyFill="1" applyBorder="1" applyAlignment="1">
      <alignment horizontal="right"/>
    </xf>
    <xf numFmtId="0" fontId="0" fillId="11" borderId="0" xfId="0" applyFont="1" applyFill="1" applyBorder="1" applyAlignment="1">
      <alignment horizontal="left" wrapText="1"/>
    </xf>
    <xf numFmtId="0" fontId="2" fillId="0" borderId="18" xfId="2" applyBorder="1" applyAlignment="1">
      <alignment horizontal="center" vertical="center"/>
    </xf>
    <xf numFmtId="0" fontId="2" fillId="0" borderId="4" xfId="2" applyBorder="1" applyAlignment="1">
      <alignment horizontal="center" vertical="center"/>
    </xf>
    <xf numFmtId="0" fontId="13" fillId="3" borderId="19" xfId="0" applyFont="1" applyFill="1" applyBorder="1" applyAlignment="1" applyProtection="1">
      <alignment horizontal="center" vertical="center"/>
      <protection locked="0" hidden="1"/>
    </xf>
    <xf numFmtId="0" fontId="13" fillId="3" borderId="17" xfId="0" applyFont="1" applyFill="1" applyBorder="1" applyAlignment="1" applyProtection="1">
      <alignment horizontal="center" vertical="center"/>
      <protection locked="0" hidden="1"/>
    </xf>
    <xf numFmtId="0" fontId="3" fillId="2" borderId="7" xfId="0" applyFont="1" applyFill="1" applyBorder="1" applyAlignment="1">
      <alignment horizontal="center" wrapText="1"/>
    </xf>
    <xf numFmtId="0" fontId="3" fillId="2" borderId="20" xfId="0" applyFont="1" applyFill="1" applyBorder="1" applyAlignment="1">
      <alignment horizontal="center" wrapText="1"/>
    </xf>
    <xf numFmtId="0" fontId="3" fillId="2" borderId="2" xfId="0" applyFont="1" applyFill="1" applyBorder="1" applyAlignment="1">
      <alignment horizontal="center" wrapText="1"/>
    </xf>
    <xf numFmtId="0" fontId="3" fillId="2" borderId="4" xfId="0" applyFont="1" applyFill="1" applyBorder="1" applyAlignment="1">
      <alignment horizontal="center" wrapText="1"/>
    </xf>
    <xf numFmtId="0" fontId="18" fillId="11" borderId="0" xfId="4" applyFont="1" applyFill="1" applyBorder="1" applyAlignment="1">
      <alignment horizontal="center"/>
    </xf>
    <xf numFmtId="0" fontId="19" fillId="11" borderId="0" xfId="4" applyFont="1" applyFill="1" applyBorder="1" applyAlignment="1">
      <alignment horizontal="center"/>
    </xf>
    <xf numFmtId="0" fontId="4" fillId="11" borderId="0" xfId="0" applyFont="1" applyFill="1" applyAlignment="1">
      <alignment horizontal="center"/>
    </xf>
    <xf numFmtId="0" fontId="23" fillId="11" borderId="5" xfId="4" applyFont="1" applyFill="1" applyBorder="1" applyAlignment="1">
      <alignment horizontal="right"/>
    </xf>
    <xf numFmtId="0" fontId="23" fillId="11" borderId="20" xfId="4" applyFont="1" applyFill="1" applyBorder="1" applyAlignment="1">
      <alignment horizontal="right"/>
    </xf>
    <xf numFmtId="0" fontId="13" fillId="11" borderId="0" xfId="4" applyFont="1" applyFill="1" applyBorder="1" applyAlignment="1">
      <alignment horizontal="right"/>
    </xf>
    <xf numFmtId="0" fontId="13" fillId="11" borderId="18" xfId="4" applyFont="1" applyFill="1" applyBorder="1" applyAlignment="1">
      <alignment horizontal="right"/>
    </xf>
    <xf numFmtId="0" fontId="13" fillId="11" borderId="0" xfId="4" applyFont="1" applyFill="1" applyBorder="1" applyAlignment="1">
      <alignment horizontal="center" vertical="center" wrapText="1"/>
    </xf>
    <xf numFmtId="0" fontId="0" fillId="11" borderId="0" xfId="0" applyFont="1" applyFill="1" applyAlignment="1">
      <alignment horizontal="right"/>
    </xf>
    <xf numFmtId="0" fontId="13" fillId="11" borderId="0" xfId="4" applyFont="1" applyFill="1" applyAlignment="1">
      <alignment horizontal="right"/>
    </xf>
    <xf numFmtId="0" fontId="30" fillId="5" borderId="7" xfId="4" applyFont="1" applyFill="1" applyBorder="1" applyAlignment="1">
      <alignment horizontal="center" vertical="center" textRotation="45" wrapText="1"/>
    </xf>
    <xf numFmtId="0" fontId="30" fillId="5" borderId="20" xfId="4" applyFont="1" applyFill="1" applyBorder="1" applyAlignment="1">
      <alignment horizontal="center" vertical="center" textRotation="45" wrapText="1"/>
    </xf>
    <xf numFmtId="0" fontId="30" fillId="5" borderId="16" xfId="4" applyFont="1" applyFill="1" applyBorder="1" applyAlignment="1">
      <alignment horizontal="center" vertical="center" textRotation="45" wrapText="1"/>
    </xf>
    <xf numFmtId="0" fontId="30" fillId="5" borderId="18" xfId="4" applyFont="1" applyFill="1" applyBorder="1" applyAlignment="1">
      <alignment horizontal="center" vertical="center" textRotation="45" wrapText="1"/>
    </xf>
    <xf numFmtId="0" fontId="13" fillId="8" borderId="7" xfId="4" applyFont="1" applyFill="1" applyBorder="1" applyAlignment="1">
      <alignment horizontal="center" vertical="center" textRotation="45" wrapText="1"/>
    </xf>
    <xf numFmtId="0" fontId="13" fillId="8" borderId="20" xfId="4" applyFont="1" applyFill="1" applyBorder="1" applyAlignment="1">
      <alignment horizontal="center" vertical="center" textRotation="45" wrapText="1"/>
    </xf>
    <xf numFmtId="0" fontId="13" fillId="8" borderId="16" xfId="4" applyFont="1" applyFill="1" applyBorder="1" applyAlignment="1">
      <alignment horizontal="center" vertical="center" textRotation="45" wrapText="1"/>
    </xf>
    <xf numFmtId="0" fontId="13" fillId="8" borderId="18" xfId="4" applyFont="1" applyFill="1" applyBorder="1" applyAlignment="1">
      <alignment horizontal="center" vertical="center" textRotation="45" wrapText="1"/>
    </xf>
    <xf numFmtId="0" fontId="4" fillId="18" borderId="0" xfId="0" applyFont="1" applyFill="1" applyAlignment="1" applyProtection="1">
      <alignment horizontal="center" vertical="center" wrapText="1"/>
      <protection locked="0" hidden="1"/>
    </xf>
    <xf numFmtId="0" fontId="4" fillId="18" borderId="1" xfId="0" applyFont="1" applyFill="1" applyBorder="1" applyAlignment="1" applyProtection="1">
      <alignment horizontal="center" vertical="center" wrapText="1"/>
      <protection locked="0" hidden="1"/>
    </xf>
    <xf numFmtId="0" fontId="0" fillId="3" borderId="11" xfId="0" applyFill="1" applyBorder="1" applyAlignment="1" applyProtection="1">
      <alignment horizontal="center" vertical="center" wrapText="1"/>
      <protection locked="0" hidden="1"/>
    </xf>
    <xf numFmtId="0" fontId="0" fillId="3" borderId="0" xfId="0" applyFill="1" applyBorder="1" applyAlignment="1" applyProtection="1">
      <alignment horizontal="center" vertical="center" wrapText="1"/>
      <protection locked="0" hidden="1"/>
    </xf>
    <xf numFmtId="0" fontId="0" fillId="3" borderId="11" xfId="0" applyFill="1" applyBorder="1" applyAlignment="1">
      <alignment horizontal="center" wrapText="1"/>
    </xf>
    <xf numFmtId="0" fontId="0" fillId="3" borderId="0" xfId="0" applyFill="1" applyBorder="1" applyAlignment="1">
      <alignment horizontal="center" wrapText="1"/>
    </xf>
    <xf numFmtId="0" fontId="0" fillId="0" borderId="56" xfId="0" applyBorder="1" applyAlignment="1" applyProtection="1">
      <alignment horizontal="center"/>
      <protection locked="0" hidden="1"/>
    </xf>
    <xf numFmtId="0" fontId="0" fillId="0" borderId="65" xfId="0" applyBorder="1" applyAlignment="1" applyProtection="1">
      <alignment horizontal="center"/>
      <protection locked="0" hidden="1"/>
    </xf>
    <xf numFmtId="9" fontId="0" fillId="19" borderId="33" xfId="0" applyNumberFormat="1" applyFill="1" applyBorder="1" applyAlignment="1" applyProtection="1">
      <alignment horizontal="center"/>
      <protection locked="0" hidden="1"/>
    </xf>
    <xf numFmtId="9" fontId="0" fillId="19" borderId="34" xfId="0" applyNumberFormat="1" applyFill="1" applyBorder="1" applyAlignment="1" applyProtection="1">
      <alignment horizontal="center"/>
      <protection locked="0" hidden="1"/>
    </xf>
    <xf numFmtId="9" fontId="0" fillId="19" borderId="35" xfId="0" applyNumberFormat="1" applyFill="1" applyBorder="1" applyAlignment="1" applyProtection="1">
      <alignment horizontal="center"/>
      <protection locked="0" hidden="1"/>
    </xf>
    <xf numFmtId="9" fontId="0" fillId="19" borderId="23" xfId="3" applyFont="1" applyFill="1" applyBorder="1" applyAlignment="1" applyProtection="1">
      <alignment horizontal="center" vertical="center"/>
      <protection locked="0" hidden="1"/>
    </xf>
    <xf numFmtId="9" fontId="0" fillId="19" borderId="17" xfId="3" applyFont="1" applyFill="1" applyBorder="1" applyAlignment="1" applyProtection="1">
      <alignment horizontal="center" vertical="center"/>
      <protection locked="0" hidden="1"/>
    </xf>
    <xf numFmtId="9" fontId="0" fillId="19" borderId="33" xfId="3" applyNumberFormat="1" applyFont="1" applyFill="1" applyBorder="1" applyAlignment="1" applyProtection="1">
      <alignment horizontal="center"/>
      <protection locked="0" hidden="1"/>
    </xf>
    <xf numFmtId="9" fontId="0" fillId="19" borderId="34" xfId="3" applyNumberFormat="1" applyFont="1" applyFill="1" applyBorder="1" applyAlignment="1" applyProtection="1">
      <alignment horizontal="center"/>
      <protection locked="0" hidden="1"/>
    </xf>
    <xf numFmtId="9" fontId="0" fillId="19" borderId="35" xfId="3" applyNumberFormat="1" applyFont="1" applyFill="1" applyBorder="1" applyAlignment="1" applyProtection="1">
      <alignment horizontal="center"/>
      <protection locked="0" hidden="1"/>
    </xf>
    <xf numFmtId="9" fontId="0" fillId="0" borderId="55" xfId="3" applyFont="1" applyBorder="1" applyAlignment="1" applyProtection="1">
      <alignment horizontal="center"/>
      <protection locked="0" hidden="1"/>
    </xf>
    <xf numFmtId="9" fontId="0" fillId="0" borderId="10" xfId="3" applyFont="1" applyBorder="1" applyAlignment="1" applyProtection="1">
      <alignment horizontal="center"/>
      <protection locked="0" hidden="1"/>
    </xf>
    <xf numFmtId="0" fontId="0" fillId="18" borderId="21" xfId="0" applyFill="1" applyBorder="1" applyAlignment="1">
      <alignment horizontal="center"/>
    </xf>
    <xf numFmtId="0" fontId="0" fillId="18" borderId="9" xfId="0" applyFill="1" applyBorder="1" applyAlignment="1">
      <alignment horizontal="center"/>
    </xf>
    <xf numFmtId="0" fontId="0" fillId="3" borderId="11" xfId="0" applyFill="1" applyBorder="1" applyAlignment="1">
      <alignment horizontal="center" vertical="center"/>
    </xf>
    <xf numFmtId="0" fontId="0" fillId="3" borderId="53" xfId="0" applyFill="1" applyBorder="1" applyAlignment="1">
      <alignment horizontal="center" vertical="center"/>
    </xf>
    <xf numFmtId="0" fontId="0" fillId="3" borderId="0" xfId="0" applyFill="1" applyBorder="1" applyAlignment="1">
      <alignment horizontal="center" vertical="center"/>
    </xf>
    <xf numFmtId="0" fontId="0" fillId="3" borderId="47" xfId="0" applyFill="1" applyBorder="1" applyAlignment="1">
      <alignment horizontal="center" vertical="center"/>
    </xf>
    <xf numFmtId="0" fontId="0" fillId="18" borderId="71" xfId="0" applyFill="1" applyBorder="1" applyAlignment="1">
      <alignment horizontal="center"/>
    </xf>
    <xf numFmtId="0" fontId="0" fillId="18" borderId="137" xfId="0" applyFill="1" applyBorder="1" applyAlignment="1">
      <alignment horizontal="center"/>
    </xf>
    <xf numFmtId="0" fontId="0" fillId="3" borderId="11" xfId="0" applyFill="1" applyBorder="1" applyAlignment="1">
      <alignment horizontal="center" vertical="center" wrapText="1"/>
    </xf>
    <xf numFmtId="0" fontId="0" fillId="3" borderId="53"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54" xfId="0" applyFill="1" applyBorder="1" applyAlignment="1">
      <alignment horizontal="center" vertical="center" wrapText="1"/>
    </xf>
    <xf numFmtId="0" fontId="0" fillId="3" borderId="56" xfId="0" applyFill="1" applyBorder="1" applyAlignment="1">
      <alignment horizontal="center"/>
    </xf>
    <xf numFmtId="0" fontId="0" fillId="3" borderId="65" xfId="0" applyFill="1" applyBorder="1" applyAlignment="1">
      <alignment horizontal="center"/>
    </xf>
    <xf numFmtId="9" fontId="0" fillId="19" borderId="19" xfId="3" applyFont="1" applyFill="1" applyBorder="1" applyAlignment="1" applyProtection="1">
      <alignment horizontal="center" vertical="center"/>
      <protection locked="0" hidden="1"/>
    </xf>
    <xf numFmtId="0" fontId="0" fillId="0" borderId="23" xfId="0" applyBorder="1" applyAlignment="1">
      <alignment horizontal="center" vertical="center"/>
    </xf>
    <xf numFmtId="0" fontId="0" fillId="0" borderId="17" xfId="0" applyBorder="1" applyAlignment="1">
      <alignment horizontal="center" vertical="center"/>
    </xf>
    <xf numFmtId="0" fontId="2" fillId="0" borderId="36" xfId="2" applyBorder="1" applyAlignment="1" applyProtection="1">
      <alignment horizontal="center" vertical="center"/>
      <protection locked="0" hidden="1"/>
    </xf>
    <xf numFmtId="0" fontId="2" fillId="0" borderId="30" xfId="2" applyBorder="1" applyAlignment="1" applyProtection="1">
      <alignment horizontal="center" vertical="center"/>
      <protection locked="0" hidden="1"/>
    </xf>
    <xf numFmtId="0" fontId="2" fillId="0" borderId="6" xfId="2" applyBorder="1" applyAlignment="1" applyProtection="1">
      <alignment horizontal="center" vertical="center"/>
      <protection locked="0" hidden="1"/>
    </xf>
    <xf numFmtId="0" fontId="2" fillId="0" borderId="0" xfId="2" applyBorder="1" applyAlignment="1" applyProtection="1">
      <alignment horizontal="center" vertical="center"/>
      <protection locked="0" hidden="1"/>
    </xf>
    <xf numFmtId="9" fontId="0" fillId="0" borderId="52" xfId="3" applyFont="1" applyBorder="1" applyAlignment="1" applyProtection="1">
      <alignment horizontal="center"/>
      <protection locked="0" hidden="1"/>
    </xf>
    <xf numFmtId="9" fontId="0" fillId="0" borderId="11" xfId="3" applyFont="1" applyBorder="1" applyAlignment="1" applyProtection="1">
      <alignment horizontal="center"/>
      <protection locked="0" hidden="1"/>
    </xf>
    <xf numFmtId="0" fontId="0" fillId="3" borderId="0" xfId="0" applyFill="1" applyBorder="1" applyAlignment="1">
      <alignment horizontal="center"/>
    </xf>
    <xf numFmtId="0" fontId="24" fillId="6" borderId="7" xfId="0" applyFont="1" applyFill="1" applyBorder="1" applyAlignment="1">
      <alignment horizontal="center" vertical="center"/>
    </xf>
    <xf numFmtId="0" fontId="24" fillId="6" borderId="5" xfId="0" applyFont="1" applyFill="1" applyBorder="1" applyAlignment="1">
      <alignment horizontal="center" vertical="center"/>
    </xf>
    <xf numFmtId="0" fontId="24" fillId="6" borderId="41" xfId="0" applyFont="1" applyFill="1" applyBorder="1" applyAlignment="1">
      <alignment horizontal="center" vertical="center"/>
    </xf>
    <xf numFmtId="0" fontId="24" fillId="6" borderId="45" xfId="0" applyFont="1" applyFill="1" applyBorder="1" applyAlignment="1">
      <alignment horizontal="center" vertical="center"/>
    </xf>
    <xf numFmtId="0" fontId="24" fillId="6" borderId="37" xfId="0" applyFont="1" applyFill="1" applyBorder="1" applyAlignment="1">
      <alignment horizontal="center" vertical="center"/>
    </xf>
    <xf numFmtId="0" fontId="24" fillId="6" borderId="38" xfId="0" applyFont="1" applyFill="1" applyBorder="1" applyAlignment="1">
      <alignment horizontal="center" vertical="center"/>
    </xf>
    <xf numFmtId="0" fontId="27" fillId="0" borderId="10" xfId="0" applyFont="1" applyBorder="1" applyAlignment="1" applyProtection="1">
      <alignment horizontal="center"/>
      <protection locked="0" hidden="1"/>
    </xf>
    <xf numFmtId="0" fontId="27" fillId="0" borderId="1" xfId="0" applyFont="1" applyBorder="1" applyAlignment="1">
      <alignment horizontal="center"/>
    </xf>
    <xf numFmtId="0" fontId="0" fillId="0" borderId="23" xfId="0" applyBorder="1" applyAlignment="1">
      <alignment horizontal="center" vertical="center" wrapText="1"/>
    </xf>
    <xf numFmtId="0" fontId="0" fillId="0" borderId="17" xfId="0" applyBorder="1" applyAlignment="1">
      <alignment horizontal="center" vertical="center" wrapText="1"/>
    </xf>
    <xf numFmtId="0" fontId="0" fillId="3" borderId="28" xfId="0" applyFill="1" applyBorder="1" applyAlignment="1">
      <alignment horizontal="center"/>
    </xf>
    <xf numFmtId="0" fontId="0" fillId="3" borderId="101" xfId="0" applyFill="1" applyBorder="1" applyAlignment="1">
      <alignment horizontal="center"/>
    </xf>
    <xf numFmtId="0" fontId="4" fillId="7" borderId="24" xfId="0" applyFont="1" applyFill="1" applyBorder="1" applyAlignment="1">
      <alignment horizontal="center"/>
    </xf>
    <xf numFmtId="0" fontId="4" fillId="7" borderId="74" xfId="0" applyFont="1" applyFill="1" applyBorder="1" applyAlignment="1">
      <alignment horizontal="center"/>
    </xf>
    <xf numFmtId="0" fontId="32" fillId="31" borderId="8" xfId="0" applyFont="1" applyFill="1" applyBorder="1" applyAlignment="1" applyProtection="1">
      <alignment horizontal="center" vertical="center"/>
      <protection locked="0" hidden="1"/>
    </xf>
    <xf numFmtId="0" fontId="32" fillId="31" borderId="21" xfId="0" applyFont="1" applyFill="1" applyBorder="1" applyAlignment="1" applyProtection="1">
      <alignment horizontal="center" vertical="center"/>
      <protection locked="0" hidden="1"/>
    </xf>
    <xf numFmtId="0" fontId="32" fillId="31" borderId="9" xfId="0" applyFont="1" applyFill="1" applyBorder="1" applyAlignment="1" applyProtection="1">
      <alignment horizontal="center" vertical="center"/>
      <protection locked="0" hidden="1"/>
    </xf>
    <xf numFmtId="0" fontId="0" fillId="0" borderId="1" xfId="0" applyBorder="1" applyAlignment="1">
      <alignment horizontal="center"/>
    </xf>
    <xf numFmtId="0" fontId="4" fillId="7" borderId="0" xfId="0" applyFont="1" applyFill="1" applyBorder="1" applyAlignment="1">
      <alignment horizontal="center"/>
    </xf>
    <xf numFmtId="0" fontId="4" fillId="7" borderId="39" xfId="0" applyFont="1" applyFill="1" applyBorder="1" applyAlignment="1">
      <alignment horizontal="center"/>
    </xf>
    <xf numFmtId="0" fontId="4" fillId="7" borderId="7" xfId="0" applyFont="1" applyFill="1" applyBorder="1" applyAlignment="1">
      <alignment horizontal="center"/>
    </xf>
    <xf numFmtId="0" fontId="4" fillId="7" borderId="41" xfId="0" applyFont="1" applyFill="1" applyBorder="1" applyAlignment="1">
      <alignment horizontal="center"/>
    </xf>
    <xf numFmtId="0" fontId="4" fillId="7" borderId="18" xfId="0" applyFont="1" applyFill="1" applyBorder="1" applyAlignment="1">
      <alignment horizontal="center"/>
    </xf>
    <xf numFmtId="0" fontId="32" fillId="31" borderId="8" xfId="2" applyFont="1" applyFill="1" applyBorder="1" applyAlignment="1">
      <alignment horizontal="center" vertical="center"/>
    </xf>
    <xf numFmtId="0" fontId="32" fillId="31" borderId="21" xfId="2" applyFont="1" applyFill="1" applyBorder="1" applyAlignment="1">
      <alignment horizontal="center" vertical="center"/>
    </xf>
    <xf numFmtId="0" fontId="32" fillId="31" borderId="9" xfId="2" applyFont="1" applyFill="1" applyBorder="1" applyAlignment="1">
      <alignment horizontal="center" vertical="center"/>
    </xf>
    <xf numFmtId="0" fontId="0" fillId="2" borderId="1" xfId="0" applyFont="1" applyFill="1" applyBorder="1" applyAlignment="1">
      <alignment horizontal="center"/>
    </xf>
    <xf numFmtId="0" fontId="4" fillId="7" borderId="28" xfId="0" applyFont="1" applyFill="1" applyBorder="1" applyAlignment="1">
      <alignment horizontal="center"/>
    </xf>
    <xf numFmtId="0" fontId="4" fillId="3" borderId="0" xfId="0" applyFont="1" applyFill="1" applyAlignment="1">
      <alignment horizontal="center"/>
    </xf>
    <xf numFmtId="0" fontId="10" fillId="3" borderId="0" xfId="4" applyFill="1" applyAlignment="1">
      <alignment horizontal="center"/>
    </xf>
    <xf numFmtId="0" fontId="0" fillId="3" borderId="0" xfId="0" applyFill="1"/>
    <xf numFmtId="0" fontId="0" fillId="0" borderId="86" xfId="0" applyBorder="1" applyAlignment="1">
      <alignment horizontal="left" vertical="top" wrapText="1"/>
    </xf>
    <xf numFmtId="0" fontId="0" fillId="0" borderId="18" xfId="0" applyBorder="1" applyAlignment="1">
      <alignment horizontal="left" vertical="top" wrapText="1"/>
    </xf>
    <xf numFmtId="0" fontId="1" fillId="3" borderId="81" xfId="0" applyFont="1" applyFill="1" applyBorder="1" applyAlignment="1">
      <alignment horizontal="left" vertical="top"/>
    </xf>
    <xf numFmtId="0" fontId="1" fillId="3" borderId="75" xfId="0" applyFont="1" applyFill="1" applyBorder="1" applyAlignment="1">
      <alignment horizontal="left" vertical="top"/>
    </xf>
    <xf numFmtId="0" fontId="0" fillId="0" borderId="85" xfId="0" applyBorder="1" applyAlignment="1">
      <alignment horizontal="left" vertical="top" wrapText="1"/>
    </xf>
    <xf numFmtId="0" fontId="1" fillId="3" borderId="16" xfId="0" applyFont="1" applyFill="1" applyBorder="1" applyAlignment="1">
      <alignment horizontal="left" vertical="top"/>
    </xf>
    <xf numFmtId="0" fontId="1" fillId="3" borderId="115" xfId="0" applyFont="1" applyFill="1" applyBorder="1" applyAlignment="1">
      <alignment horizontal="left" vertical="top" wrapText="1"/>
    </xf>
    <xf numFmtId="0" fontId="1" fillId="3" borderId="115" xfId="0" applyFont="1" applyFill="1" applyBorder="1" applyAlignment="1">
      <alignment horizontal="left" vertical="top"/>
    </xf>
    <xf numFmtId="0" fontId="1" fillId="3" borderId="16" xfId="0" applyFont="1" applyFill="1" applyBorder="1" applyAlignment="1">
      <alignment horizontal="left" vertical="top" wrapText="1"/>
    </xf>
    <xf numFmtId="0" fontId="0" fillId="0" borderId="4" xfId="0" applyBorder="1" applyAlignment="1">
      <alignment horizontal="left" vertical="top" wrapText="1"/>
    </xf>
    <xf numFmtId="0" fontId="1" fillId="3" borderId="2" xfId="0" applyFont="1" applyFill="1" applyBorder="1" applyAlignment="1">
      <alignment horizontal="left" vertical="top"/>
    </xf>
    <xf numFmtId="0" fontId="1" fillId="3" borderId="81" xfId="0" applyFont="1" applyFill="1" applyBorder="1" applyAlignment="1">
      <alignment horizontal="left" vertical="center"/>
    </xf>
    <xf numFmtId="0" fontId="1" fillId="3" borderId="75" xfId="0" applyFont="1" applyFill="1" applyBorder="1" applyAlignment="1">
      <alignment horizontal="left" vertical="center"/>
    </xf>
    <xf numFmtId="0" fontId="0" fillId="0" borderId="18" xfId="0" applyBorder="1" applyAlignment="1">
      <alignment horizontal="left" vertical="center" wrapText="1"/>
    </xf>
    <xf numFmtId="0" fontId="0" fillId="0" borderId="110" xfId="0" applyBorder="1" applyAlignment="1">
      <alignment horizontal="left" vertical="center" wrapText="1"/>
    </xf>
    <xf numFmtId="0" fontId="0" fillId="0" borderId="112" xfId="0" applyBorder="1" applyAlignment="1">
      <alignment horizontal="left" vertical="center" wrapText="1"/>
    </xf>
    <xf numFmtId="0" fontId="0" fillId="3" borderId="81" xfId="0" applyFill="1" applyBorder="1" applyAlignment="1">
      <alignment horizontal="left" vertical="top"/>
    </xf>
    <xf numFmtId="0" fontId="0" fillId="3" borderId="16" xfId="0" applyFill="1" applyBorder="1" applyAlignment="1">
      <alignment horizontal="left" vertical="top"/>
    </xf>
    <xf numFmtId="0" fontId="8" fillId="11" borderId="8" xfId="0" applyFont="1" applyFill="1" applyBorder="1" applyAlignment="1">
      <alignment horizontal="left"/>
    </xf>
    <xf numFmtId="0" fontId="8" fillId="11" borderId="9" xfId="0" applyFont="1" applyFill="1" applyBorder="1" applyAlignment="1">
      <alignment horizontal="left"/>
    </xf>
    <xf numFmtId="0" fontId="0" fillId="0" borderId="86" xfId="0" applyBorder="1" applyAlignment="1">
      <alignment horizontal="left" wrapText="1"/>
    </xf>
    <xf numFmtId="0" fontId="0" fillId="0" borderId="18" xfId="0" applyBorder="1" applyAlignment="1">
      <alignment horizontal="left" wrapText="1"/>
    </xf>
    <xf numFmtId="0" fontId="0" fillId="0" borderId="4" xfId="0" applyBorder="1" applyAlignment="1">
      <alignment horizontal="left" wrapText="1"/>
    </xf>
    <xf numFmtId="0" fontId="0" fillId="3" borderId="2" xfId="0" applyFill="1" applyBorder="1" applyAlignment="1">
      <alignment horizontal="left" vertical="top"/>
    </xf>
    <xf numFmtId="0" fontId="0" fillId="11" borderId="18" xfId="0" applyFill="1" applyBorder="1" applyAlignment="1">
      <alignment horizontal="left" vertical="top" wrapText="1"/>
    </xf>
    <xf numFmtId="0" fontId="6" fillId="26" borderId="87" xfId="0" applyFont="1" applyFill="1" applyBorder="1" applyAlignment="1">
      <alignment horizontal="center"/>
    </xf>
    <xf numFmtId="0" fontId="6" fillId="26" borderId="88" xfId="0" applyFont="1" applyFill="1" applyBorder="1" applyAlignment="1">
      <alignment horizontal="center"/>
    </xf>
    <xf numFmtId="0" fontId="6" fillId="26" borderId="89" xfId="0" applyFont="1" applyFill="1" applyBorder="1" applyAlignment="1">
      <alignment horizontal="center"/>
    </xf>
    <xf numFmtId="0" fontId="24" fillId="6" borderId="0" xfId="0" applyFont="1" applyFill="1" applyAlignment="1">
      <alignment horizontal="center" vertical="center"/>
    </xf>
    <xf numFmtId="0" fontId="24" fillId="26" borderId="0" xfId="0" applyFont="1" applyFill="1" applyAlignment="1">
      <alignment horizontal="center" vertical="center"/>
    </xf>
    <xf numFmtId="0" fontId="25" fillId="5" borderId="8" xfId="0" applyFont="1" applyFill="1" applyBorder="1" applyAlignment="1">
      <alignment horizontal="center"/>
    </xf>
    <xf numFmtId="0" fontId="25" fillId="5" borderId="21" xfId="0" applyFont="1" applyFill="1" applyBorder="1" applyAlignment="1">
      <alignment horizontal="center"/>
    </xf>
    <xf numFmtId="0" fontId="25" fillId="5" borderId="9" xfId="0" applyFont="1" applyFill="1" applyBorder="1" applyAlignment="1">
      <alignment horizontal="center"/>
    </xf>
    <xf numFmtId="0" fontId="25" fillId="32" borderId="8" xfId="0" applyFont="1" applyFill="1" applyBorder="1" applyAlignment="1">
      <alignment horizontal="center"/>
    </xf>
    <xf numFmtId="0" fontId="25" fillId="32" borderId="21" xfId="0" applyFont="1" applyFill="1" applyBorder="1" applyAlignment="1">
      <alignment horizontal="center"/>
    </xf>
    <xf numFmtId="0" fontId="25" fillId="32" borderId="9" xfId="0" applyFont="1" applyFill="1" applyBorder="1" applyAlignment="1">
      <alignment horizontal="center"/>
    </xf>
    <xf numFmtId="0" fontId="0" fillId="0" borderId="0" xfId="0" applyAlignment="1">
      <alignment horizontal="center"/>
    </xf>
    <xf numFmtId="0" fontId="23" fillId="3" borderId="8" xfId="0" applyFont="1" applyFill="1" applyBorder="1" applyAlignment="1">
      <alignment horizontal="center"/>
    </xf>
    <xf numFmtId="0" fontId="23" fillId="3" borderId="21" xfId="0" applyFont="1" applyFill="1" applyBorder="1" applyAlignment="1">
      <alignment horizontal="center"/>
    </xf>
    <xf numFmtId="0" fontId="23" fillId="3" borderId="9" xfId="0" applyFont="1" applyFill="1" applyBorder="1" applyAlignment="1">
      <alignment horizontal="center"/>
    </xf>
    <xf numFmtId="0" fontId="4" fillId="3" borderId="3" xfId="0" applyFont="1" applyFill="1" applyBorder="1" applyAlignment="1">
      <alignment horizontal="center" vertical="center"/>
    </xf>
    <xf numFmtId="6" fontId="0" fillId="0" borderId="16" xfId="0" applyNumberFormat="1" applyBorder="1" applyAlignment="1">
      <alignment horizontal="center" vertical="center"/>
    </xf>
    <xf numFmtId="6" fontId="0" fillId="0" borderId="2" xfId="0" applyNumberFormat="1" applyBorder="1" applyAlignment="1">
      <alignment horizontal="center" vertical="center"/>
    </xf>
    <xf numFmtId="0" fontId="0" fillId="0" borderId="107" xfId="0" applyBorder="1" applyAlignment="1">
      <alignment horizontal="center" vertical="center"/>
    </xf>
    <xf numFmtId="0" fontId="0" fillId="0" borderId="108" xfId="0" applyBorder="1" applyAlignment="1">
      <alignment horizontal="center" vertical="center"/>
    </xf>
    <xf numFmtId="0" fontId="0" fillId="0" borderId="18" xfId="0" applyBorder="1" applyAlignment="1">
      <alignment horizontal="center" vertical="center"/>
    </xf>
    <xf numFmtId="0" fontId="0" fillId="0" borderId="4" xfId="0" applyBorder="1" applyAlignment="1">
      <alignment horizontal="center" vertical="center"/>
    </xf>
    <xf numFmtId="0" fontId="0" fillId="0" borderId="103" xfId="0" applyBorder="1" applyAlignment="1">
      <alignment horizontal="center" vertical="center" wrapText="1"/>
    </xf>
    <xf numFmtId="0" fontId="0" fillId="0" borderId="104" xfId="0" applyBorder="1" applyAlignment="1">
      <alignment horizontal="center" vertical="center" wrapText="1"/>
    </xf>
    <xf numFmtId="0" fontId="0" fillId="0" borderId="0" xfId="0" applyBorder="1" applyAlignment="1">
      <alignment horizontal="center" vertical="center" wrapText="1"/>
    </xf>
    <xf numFmtId="0" fontId="0" fillId="0" borderId="1" xfId="0" applyBorder="1" applyAlignment="1">
      <alignment horizontal="center" vertical="center" wrapText="1"/>
    </xf>
  </cellXfs>
  <cellStyles count="5">
    <cellStyle name="Currency" xfId="1" builtinId="4"/>
    <cellStyle name="Hyperlink" xfId="4" builtinId="8"/>
    <cellStyle name="Normal" xfId="0" builtinId="0"/>
    <cellStyle name="Normal 2" xfId="2" xr:uid="{00000000-0005-0000-0000-000003000000}"/>
    <cellStyle name="Percent" xfId="3" builtinId="5"/>
  </cellStyles>
  <dxfs count="328">
    <dxf>
      <font>
        <color rgb="FFFF0000"/>
      </font>
    </dxf>
    <dxf>
      <font>
        <color rgb="FF00B050"/>
      </font>
    </dxf>
    <dxf>
      <numFmt numFmtId="0" formatCode="General"/>
    </dxf>
    <dxf>
      <numFmt numFmtId="164" formatCode="_(&quot;$&quot;* #,##0_);_(&quot;$&quot;* \(#,##0\);_(&quot;$&quot;* &quot;-&quot;??_);_(@_)"/>
    </dxf>
    <dxf>
      <numFmt numFmtId="0" formatCode="General"/>
    </dxf>
    <dxf>
      <numFmt numFmtId="0" formatCode="General"/>
    </dxf>
    <dxf>
      <numFmt numFmtId="0" formatCode="General"/>
    </dxf>
    <dxf>
      <numFmt numFmtId="0" formatCode="General"/>
    </dxf>
    <dxf>
      <numFmt numFmtId="164" formatCode="_(&quot;$&quot;* #,##0_);_(&quot;$&quot;* \(#,##0\);_(&quot;$&quot;* &quot;-&quot;??_);_(@_)"/>
    </dxf>
    <dxf>
      <numFmt numFmtId="0" formatCode="General"/>
    </dxf>
    <dxf>
      <numFmt numFmtId="0" formatCode="General"/>
    </dxf>
    <dxf>
      <numFmt numFmtId="0" formatCode="General"/>
    </dxf>
    <dxf>
      <numFmt numFmtId="0" formatCode="General"/>
    </dxf>
    <dxf>
      <numFmt numFmtId="164" formatCode="_(&quot;$&quot;* #,##0_);_(&quot;$&quot;* \(#,##0\);_(&quot;$&quot;* &quot;-&quot;??_);_(@_)"/>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theme="1"/>
        <name val="Calibri"/>
        <family val="2"/>
        <scheme val="minor"/>
      </font>
      <border diagonalUp="0" diagonalDown="0">
        <left style="thin">
          <color theme="9" tint="0.39997558519241921"/>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style="thin">
          <color theme="9" tint="0.39997558519241921"/>
        </right>
        <top style="thin">
          <color theme="9" tint="0.39997558519241921"/>
        </top>
        <bottom/>
      </border>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style="thin">
          <color theme="9" tint="0.39997558519241921"/>
        </top>
        <bottom/>
      </border>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style="thin">
          <color theme="9" tint="0.39997558519241921"/>
        </top>
        <bottom/>
      </border>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right/>
        <top style="thin">
          <color theme="9" tint="0.39997558519241921"/>
        </top>
        <bottom/>
      </border>
    </dxf>
    <dxf>
      <font>
        <b val="0"/>
        <i val="0"/>
        <strike val="0"/>
        <condense val="0"/>
        <extend val="0"/>
        <outline val="0"/>
        <shadow val="0"/>
        <u val="none"/>
        <vertAlign val="baseline"/>
        <sz val="11"/>
        <color theme="1"/>
        <name val="Calibri"/>
        <family val="2"/>
        <scheme val="minor"/>
      </font>
      <numFmt numFmtId="0" formatCode="General"/>
      <alignment horizontal="left" vertical="bottom" textRotation="0" wrapText="0" indent="0" justifyLastLine="0" shrinkToFit="0" readingOrder="0"/>
      <border diagonalUp="0" diagonalDown="0" outline="0">
        <left/>
        <right/>
        <top style="thin">
          <color theme="9" tint="0.39997558519241921"/>
        </top>
        <bottom/>
      </border>
    </dxf>
    <dxf>
      <border outline="0">
        <right style="thin">
          <color theme="9" tint="0.39997558519241921"/>
        </right>
        <top style="thin">
          <color theme="9" tint="0.39997558519241921"/>
        </top>
        <bottom style="thin">
          <color theme="9" tint="0.39997558519241921"/>
        </bottom>
      </border>
    </dxf>
    <dxf>
      <font>
        <b val="0"/>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bottom" textRotation="0" wrapText="0" indent="0" justifyLastLine="0" shrinkToFit="0" readingOrder="0"/>
      <border diagonalUp="0" diagonalDown="0" outline="0">
        <left style="thin">
          <color theme="9" tint="0.39997558519241921"/>
        </left>
        <right style="thin">
          <color theme="9" tint="0.39997558519241921"/>
        </right>
        <top/>
        <bottom/>
      </border>
    </dxf>
    <dxf>
      <alignment horizontal="center" vertical="bottom" textRotation="0" wrapText="0" indent="0" justifyLastLine="0" shrinkToFit="0" readingOrder="0"/>
    </dxf>
    <dxf>
      <numFmt numFmtId="0" formatCode="General"/>
    </dxf>
    <dxf>
      <alignment horizontal="general" vertical="bottom" textRotation="0" wrapText="1"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dxf>
    <dxf>
      <alignment horizontal="general" vertical="bottom" textRotation="0" wrapText="1"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dxf>
    <dxf>
      <numFmt numFmtId="0" formatCode="General"/>
    </dxf>
    <dxf>
      <font>
        <color rgb="FF9C0006"/>
      </font>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dxf>
    <dxf>
      <font>
        <color rgb="FF9C0006"/>
      </font>
    </dxf>
    <dxf>
      <numFmt numFmtId="0" formatCode="General"/>
    </dxf>
    <dxf>
      <numFmt numFmtId="0" formatCode="General"/>
      <alignment horizontal="left" vertical="bottom" textRotation="0" wrapText="0" indent="0" justifyLastLine="0" shrinkToFit="0" readingOrder="0"/>
    </dxf>
    <dxf>
      <numFmt numFmtId="19" formatCode="m/d/yyyy"/>
      <alignment horizontal="right" vertical="bottom" textRotation="0" wrapText="0" indent="0" justifyLastLine="0" shrinkToFit="0" readingOrder="0"/>
    </dxf>
    <dxf>
      <numFmt numFmtId="0" formatCode="General"/>
      <alignment horizontal="left" vertical="bottom" textRotation="0" wrapText="0" indent="0" justifyLastLine="0" shrinkToFit="0" readingOrder="0"/>
    </dxf>
    <dxf>
      <numFmt numFmtId="0" formatCode="General"/>
    </dxf>
    <dxf>
      <font>
        <b/>
      </font>
      <fill>
        <patternFill patternType="solid">
          <fgColor indexed="64"/>
          <bgColor theme="2"/>
        </patternFill>
      </fill>
    </dxf>
    <dxf>
      <font>
        <color rgb="FFFF0000"/>
      </font>
    </dxf>
    <dxf>
      <numFmt numFmtId="164" formatCode="_(&quot;$&quot;* #,##0_);_(&quot;$&quot;* \(#,##0\);_(&quot;$&quot;* &quot;-&quot;??_);_(@_)"/>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0" formatCode="General"/>
    </dxf>
    <dxf>
      <numFmt numFmtId="0" formatCode="General"/>
    </dxf>
    <dxf>
      <numFmt numFmtId="0" formatCode="General"/>
    </dxf>
    <dxf>
      <font>
        <b/>
      </font>
      <fill>
        <patternFill patternType="solid">
          <fgColor indexed="64"/>
          <bgColor theme="2"/>
        </patternFill>
      </fill>
    </dxf>
    <dxf>
      <numFmt numFmtId="0" formatCode="General"/>
      <alignment horizontal="left" vertical="bottom" textRotation="0" wrapText="0" indent="0" justifyLastLine="0" shrinkToFit="0" readingOrder="0"/>
    </dxf>
    <dxf>
      <numFmt numFmtId="0" formatCode="General"/>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ill>
        <patternFill>
          <bgColor theme="8" tint="0.79998168889431442"/>
        </patternFill>
      </fill>
      <border>
        <left style="thin">
          <color theme="4"/>
        </left>
        <right style="thin">
          <color theme="4"/>
        </right>
        <top style="thin">
          <color theme="4"/>
        </top>
        <bottom style="thin">
          <color theme="4"/>
        </bottom>
      </border>
    </dxf>
    <dxf>
      <fill>
        <patternFill>
          <bgColor theme="5" tint="0.79998168889431442"/>
        </patternFill>
      </fill>
      <border>
        <left style="thin">
          <color theme="5" tint="-0.24994659260841701"/>
        </left>
        <right style="thin">
          <color theme="5" tint="-0.24994659260841701"/>
        </right>
        <top style="thin">
          <color theme="5" tint="-0.24994659260841701"/>
        </top>
        <bottom style="thin">
          <color theme="5" tint="-0.24994659260841701"/>
        </bottom>
      </border>
    </dxf>
    <dxf>
      <font>
        <color theme="0"/>
      </font>
      <fill>
        <patternFill>
          <bgColor rgb="FF00B0F0"/>
        </patternFill>
      </fill>
    </dxf>
    <dxf>
      <font>
        <color theme="4"/>
      </font>
      <fill>
        <patternFill>
          <bgColor rgb="FFFDE766"/>
        </patternFill>
      </fill>
    </dxf>
    <dxf>
      <font>
        <color theme="7" tint="0.39994506668294322"/>
      </font>
      <fill>
        <patternFill>
          <bgColor rgb="FFC00000"/>
        </patternFill>
      </fill>
    </dxf>
    <dxf>
      <font>
        <color theme="0"/>
      </font>
      <fill>
        <patternFill>
          <bgColor rgb="FFFF0000"/>
        </patternFill>
      </fill>
    </dxf>
    <dxf>
      <font>
        <color theme="2"/>
      </font>
      <fill>
        <patternFill>
          <bgColor theme="1"/>
        </patternFill>
      </fill>
    </dxf>
    <dxf>
      <font>
        <color theme="0"/>
      </font>
      <fill>
        <patternFill>
          <bgColor rgb="FF00B050"/>
        </patternFill>
      </fill>
    </dxf>
    <dxf>
      <font>
        <color rgb="FFFFFF00"/>
      </font>
      <fill>
        <patternFill>
          <bgColor rgb="FFFF0000"/>
        </patternFill>
      </fill>
    </dxf>
    <dxf>
      <font>
        <color theme="0"/>
      </font>
      <fill>
        <patternFill>
          <bgColor rgb="FF0070C0"/>
        </patternFill>
      </fill>
    </dxf>
    <dxf>
      <font>
        <color theme="0" tint="-0.14996795556505021"/>
      </font>
      <fill>
        <patternFill>
          <bgColor theme="8" tint="-0.24994659260841701"/>
        </patternFill>
      </fill>
    </dxf>
    <dxf>
      <font>
        <color rgb="FFFFFF00"/>
      </font>
      <fill>
        <patternFill>
          <bgColor rgb="FF0085FF"/>
        </patternFill>
      </fill>
    </dxf>
    <dxf>
      <font>
        <color theme="1"/>
      </font>
      <fill>
        <patternFill>
          <bgColor rgb="FFFF0000"/>
        </patternFill>
      </fill>
    </dxf>
    <dxf>
      <font>
        <color rgb="FFFFC000"/>
      </font>
      <fill>
        <patternFill>
          <bgColor rgb="FF012051"/>
        </patternFill>
      </fill>
    </dxf>
    <dxf>
      <font>
        <color theme="0"/>
      </font>
      <fill>
        <patternFill>
          <bgColor rgb="FF3080DB"/>
        </patternFill>
      </fill>
    </dxf>
    <dxf>
      <font>
        <color rgb="FFFFBA2B"/>
      </font>
      <fill>
        <patternFill>
          <bgColor rgb="FF590C7A"/>
        </patternFill>
      </fill>
    </dxf>
    <dxf>
      <font>
        <color theme="0"/>
      </font>
      <fill>
        <patternFill>
          <bgColor rgb="FF5A70A2"/>
        </patternFill>
      </fill>
    </dxf>
    <dxf>
      <fill>
        <patternFill>
          <bgColor rgb="FFE41A27"/>
        </patternFill>
      </fill>
    </dxf>
    <dxf>
      <font>
        <color rgb="FFEDE9D0"/>
      </font>
      <fill>
        <patternFill>
          <bgColor rgb="FF004419"/>
        </patternFill>
      </fill>
    </dxf>
    <dxf>
      <font>
        <color rgb="FFF3FEFF"/>
      </font>
      <fill>
        <patternFill>
          <bgColor rgb="FF03487B"/>
        </patternFill>
      </fill>
    </dxf>
    <dxf>
      <font>
        <color rgb="FFC38C0B"/>
      </font>
      <fill>
        <patternFill>
          <bgColor rgb="FF001F51"/>
        </patternFill>
      </fill>
    </dxf>
    <dxf>
      <font>
        <color theme="5"/>
      </font>
      <fill>
        <patternFill>
          <bgColor rgb="FF036EC8"/>
        </patternFill>
      </fill>
    </dxf>
    <dxf>
      <font>
        <color theme="0"/>
      </font>
      <fill>
        <patternFill>
          <bgColor rgb="FF3E70BE"/>
        </patternFill>
      </fill>
    </dxf>
    <dxf>
      <font>
        <color theme="0"/>
      </font>
      <fill>
        <patternFill>
          <bgColor rgb="FF0064B0"/>
        </patternFill>
      </fill>
    </dxf>
    <dxf>
      <font>
        <color theme="8" tint="-0.499984740745262"/>
      </font>
      <fill>
        <patternFill>
          <bgColor theme="0"/>
        </patternFill>
      </fill>
      <border>
        <left/>
        <right/>
        <top/>
        <bottom/>
      </border>
    </dxf>
    <dxf>
      <font>
        <color rgb="FF400C6B"/>
      </font>
      <fill>
        <patternFill>
          <bgColor rgb="FFF78C00"/>
        </patternFill>
      </fill>
    </dxf>
    <dxf>
      <font>
        <color theme="0"/>
      </font>
      <fill>
        <patternFill>
          <bgColor rgb="FFBC1013"/>
        </patternFill>
      </fill>
    </dxf>
    <dxf>
      <font>
        <color theme="0"/>
      </font>
      <fill>
        <patternFill>
          <bgColor rgb="FF5A2A80"/>
        </patternFill>
      </fill>
    </dxf>
    <dxf>
      <font>
        <color rgb="FFBBC6CD"/>
      </font>
      <fill>
        <patternFill>
          <bgColor rgb="FF021621"/>
        </patternFill>
      </fill>
    </dxf>
    <dxf>
      <font>
        <color theme="2"/>
      </font>
      <fill>
        <patternFill>
          <bgColor rgb="FFCD0F41"/>
        </patternFill>
      </fill>
    </dxf>
    <dxf>
      <font>
        <color rgb="FFFFCB59"/>
      </font>
      <fill>
        <patternFill>
          <bgColor rgb="FF1E554A"/>
        </patternFill>
      </fill>
    </dxf>
    <dxf>
      <font>
        <color rgb="FFFF0000"/>
      </font>
      <fill>
        <patternFill>
          <bgColor rgb="FF0A2C57"/>
        </patternFill>
      </fill>
    </dxf>
    <dxf>
      <font>
        <strike/>
      </font>
    </dxf>
    <dxf>
      <font>
        <color theme="2" tint="-0.24994659260841701"/>
      </font>
    </dxf>
    <dxf>
      <fill>
        <patternFill>
          <bgColor rgb="FFFEA0A0"/>
        </patternFill>
      </fill>
    </dxf>
    <dxf>
      <font>
        <strike val="0"/>
        <color theme="2" tint="-9.9948118533890809E-2"/>
      </font>
    </dxf>
    <dxf>
      <font>
        <strike val="0"/>
        <color theme="2" tint="-9.9948118533890809E-2"/>
      </font>
    </dxf>
    <dxf>
      <font>
        <strike/>
      </font>
    </dxf>
    <dxf>
      <font>
        <color theme="2" tint="-0.24994659260841701"/>
      </font>
    </dxf>
    <dxf>
      <font>
        <color rgb="FFFF0000"/>
      </font>
    </dxf>
    <dxf>
      <font>
        <color theme="2" tint="-9.9948118533890809E-2"/>
      </font>
    </dxf>
    <dxf>
      <font>
        <color rgb="FFFF0000"/>
      </font>
    </dxf>
    <dxf>
      <font>
        <color theme="2" tint="-9.9948118533890809E-2"/>
      </font>
    </dxf>
    <dxf>
      <font>
        <color theme="2" tint="-9.9948118533890809E-2"/>
      </font>
    </dxf>
    <dxf>
      <font>
        <color rgb="FFFF0000"/>
      </font>
    </dxf>
    <dxf>
      <font>
        <color theme="2" tint="-9.9948118533890809E-2"/>
      </font>
    </dxf>
    <dxf>
      <font>
        <color rgb="FFFF0000"/>
      </font>
    </dxf>
    <dxf>
      <font>
        <color theme="2" tint="-9.9948118533890809E-2"/>
      </font>
    </dxf>
    <dxf>
      <font>
        <color theme="2" tint="-9.9948118533890809E-2"/>
      </font>
    </dxf>
    <dxf>
      <font>
        <color theme="0"/>
      </font>
      <fill>
        <patternFill>
          <bgColor rgb="FF00B0F0"/>
        </patternFill>
      </fill>
    </dxf>
    <dxf>
      <font>
        <color theme="4"/>
      </font>
      <fill>
        <patternFill>
          <bgColor rgb="FFFDE766"/>
        </patternFill>
      </fill>
    </dxf>
    <dxf>
      <font>
        <color theme="7" tint="0.39994506668294322"/>
      </font>
      <fill>
        <patternFill>
          <bgColor rgb="FFC00000"/>
        </patternFill>
      </fill>
    </dxf>
    <dxf>
      <font>
        <color theme="0"/>
      </font>
      <fill>
        <patternFill>
          <bgColor rgb="FFFF0000"/>
        </patternFill>
      </fill>
    </dxf>
    <dxf>
      <font>
        <color theme="2"/>
      </font>
      <fill>
        <patternFill>
          <bgColor theme="1"/>
        </patternFill>
      </fill>
    </dxf>
    <dxf>
      <font>
        <color theme="0"/>
      </font>
      <fill>
        <patternFill>
          <bgColor rgb="FF00B050"/>
        </patternFill>
      </fill>
    </dxf>
    <dxf>
      <font>
        <color rgb="FFFFFF00"/>
      </font>
      <fill>
        <patternFill>
          <bgColor rgb="FFFF0000"/>
        </patternFill>
      </fill>
    </dxf>
    <dxf>
      <font>
        <color theme="0"/>
      </font>
      <fill>
        <patternFill>
          <bgColor rgb="FF0070C0"/>
        </patternFill>
      </fill>
    </dxf>
    <dxf>
      <font>
        <color theme="0" tint="-0.14996795556505021"/>
      </font>
      <fill>
        <patternFill>
          <bgColor theme="8" tint="-0.24994659260841701"/>
        </patternFill>
      </fill>
    </dxf>
    <dxf>
      <font>
        <color rgb="FFFFFF00"/>
      </font>
      <fill>
        <patternFill>
          <bgColor rgb="FF0085FF"/>
        </patternFill>
      </fill>
    </dxf>
    <dxf>
      <font>
        <color theme="1"/>
      </font>
      <fill>
        <patternFill>
          <bgColor rgb="FFFF0000"/>
        </patternFill>
      </fill>
    </dxf>
    <dxf>
      <font>
        <color rgb="FFFFC000"/>
      </font>
      <fill>
        <patternFill>
          <bgColor rgb="FF012051"/>
        </patternFill>
      </fill>
    </dxf>
    <dxf>
      <font>
        <color theme="0"/>
      </font>
      <fill>
        <patternFill>
          <bgColor rgb="FF3080DB"/>
        </patternFill>
      </fill>
    </dxf>
    <dxf>
      <font>
        <color rgb="FFFFBA2B"/>
      </font>
      <fill>
        <patternFill>
          <bgColor rgb="FF590C7A"/>
        </patternFill>
      </fill>
    </dxf>
    <dxf>
      <font>
        <color theme="0"/>
      </font>
      <fill>
        <patternFill>
          <bgColor rgb="FF5A70A2"/>
        </patternFill>
      </fill>
    </dxf>
    <dxf>
      <fill>
        <patternFill>
          <bgColor rgb="FFE41A27"/>
        </patternFill>
      </fill>
    </dxf>
    <dxf>
      <font>
        <color rgb="FFEDE9D0"/>
      </font>
      <fill>
        <patternFill>
          <bgColor rgb="FF004419"/>
        </patternFill>
      </fill>
    </dxf>
    <dxf>
      <font>
        <color rgb="FFF3FEFF"/>
      </font>
      <fill>
        <patternFill>
          <bgColor rgb="FF03487B"/>
        </patternFill>
      </fill>
    </dxf>
    <dxf>
      <font>
        <color rgb="FFC38C0B"/>
      </font>
      <fill>
        <patternFill>
          <bgColor rgb="FF001F51"/>
        </patternFill>
      </fill>
    </dxf>
    <dxf>
      <font>
        <color theme="5"/>
      </font>
      <fill>
        <patternFill>
          <bgColor rgb="FF036EC8"/>
        </patternFill>
      </fill>
    </dxf>
    <dxf>
      <font>
        <color theme="0"/>
      </font>
      <fill>
        <patternFill>
          <bgColor rgb="FF3E70BE"/>
        </patternFill>
      </fill>
    </dxf>
    <dxf>
      <font>
        <color theme="0"/>
      </font>
      <fill>
        <patternFill>
          <bgColor rgb="FF0064B0"/>
        </patternFill>
      </fill>
    </dxf>
    <dxf>
      <font>
        <color theme="8" tint="-0.499984740745262"/>
      </font>
      <fill>
        <patternFill>
          <bgColor theme="0"/>
        </patternFill>
      </fill>
      <border>
        <left/>
        <right/>
        <top/>
        <bottom/>
      </border>
    </dxf>
    <dxf>
      <font>
        <color rgb="FF400C6B"/>
      </font>
      <fill>
        <patternFill>
          <bgColor rgb="FFF78C00"/>
        </patternFill>
      </fill>
    </dxf>
    <dxf>
      <font>
        <color theme="0"/>
      </font>
      <fill>
        <patternFill>
          <bgColor rgb="FFBC1013"/>
        </patternFill>
      </fill>
    </dxf>
    <dxf>
      <font>
        <color theme="0"/>
      </font>
      <fill>
        <patternFill>
          <bgColor rgb="FF5A2A80"/>
        </patternFill>
      </fill>
    </dxf>
    <dxf>
      <font>
        <color rgb="FFBBC6CD"/>
      </font>
      <fill>
        <patternFill>
          <bgColor rgb="FF021621"/>
        </patternFill>
      </fill>
    </dxf>
    <dxf>
      <font>
        <color theme="2"/>
      </font>
      <fill>
        <patternFill>
          <bgColor rgb="FFCD0F41"/>
        </patternFill>
      </fill>
    </dxf>
    <dxf>
      <font>
        <color rgb="FFFFCB59"/>
      </font>
      <fill>
        <patternFill>
          <bgColor rgb="FF1E554A"/>
        </patternFill>
      </fill>
    </dxf>
    <dxf>
      <font>
        <color rgb="FFFF0000"/>
      </font>
      <fill>
        <patternFill>
          <bgColor rgb="FF0A2C57"/>
        </patternFill>
      </fill>
    </dxf>
    <dxf>
      <font>
        <color rgb="FF00B050"/>
      </font>
    </dxf>
    <dxf>
      <font>
        <color rgb="FFFF0000"/>
      </font>
    </dxf>
    <dxf>
      <font>
        <color rgb="FFFF0000"/>
      </font>
    </dxf>
    <dxf>
      <font>
        <color rgb="FF00B050"/>
      </font>
    </dxf>
    <dxf>
      <font>
        <color rgb="FFFF0000"/>
      </font>
    </dxf>
    <dxf>
      <font>
        <color rgb="FF00B050"/>
      </font>
    </dxf>
    <dxf>
      <font>
        <color rgb="FFFF0000"/>
      </font>
    </dxf>
    <dxf>
      <font>
        <color rgb="FF00B050"/>
      </font>
    </dxf>
    <dxf>
      <fill>
        <patternFill>
          <bgColor theme="5" tint="0.79998168889431442"/>
        </patternFill>
      </fill>
      <border>
        <top style="thin">
          <color theme="5" tint="-0.24994659260841701"/>
        </top>
        <bottom style="thin">
          <color theme="5" tint="-0.24994659260841701"/>
        </bottom>
        <vertical/>
        <horizontal/>
      </border>
    </dxf>
    <dxf>
      <fill>
        <patternFill>
          <bgColor theme="8" tint="0.79998168889431442"/>
        </patternFill>
      </fill>
      <border>
        <top style="thin">
          <color theme="8" tint="-0.24994659260841701"/>
        </top>
        <bottom style="thin">
          <color theme="8" tint="-0.24994659260841701"/>
        </bottom>
        <vertical/>
        <horizontal/>
      </border>
    </dxf>
    <dxf>
      <fill>
        <patternFill>
          <bgColor theme="5" tint="0.7999816888943144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8" tint="0.79998168889431442"/>
        </patternFill>
      </fill>
      <border>
        <left style="thin">
          <color theme="4"/>
        </left>
        <right style="thin">
          <color theme="4"/>
        </right>
        <top style="thin">
          <color theme="4"/>
        </top>
        <bottom style="thin">
          <color theme="4"/>
        </bottom>
      </border>
    </dxf>
    <dxf>
      <font>
        <color theme="2" tint="-0.24994659260841701"/>
      </font>
    </dxf>
    <dxf>
      <font>
        <color theme="2" tint="-9.9948118533890809E-2"/>
      </font>
    </dxf>
    <dxf>
      <font>
        <strike/>
      </font>
    </dxf>
    <dxf>
      <fill>
        <patternFill>
          <bgColor theme="5" tint="0.7999816888943144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8" tint="0.79998168889431442"/>
        </patternFill>
      </fill>
      <border>
        <left style="thin">
          <color theme="4"/>
        </left>
        <right style="thin">
          <color theme="4"/>
        </right>
        <top style="thin">
          <color theme="4"/>
        </top>
        <bottom style="thin">
          <color theme="4"/>
        </bottom>
      </border>
    </dxf>
    <dxf>
      <fill>
        <patternFill>
          <bgColor theme="5" tint="0.7999816888943144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8" tint="0.79998168889431442"/>
        </patternFill>
      </fill>
      <border>
        <left style="thin">
          <color theme="4"/>
        </left>
        <right style="thin">
          <color theme="4"/>
        </right>
        <top style="thin">
          <color theme="4"/>
        </top>
        <bottom style="thin">
          <color theme="4"/>
        </bottom>
      </border>
    </dxf>
    <dxf>
      <font>
        <b/>
        <i val="0"/>
      </font>
    </dxf>
    <dxf>
      <font>
        <color theme="0"/>
      </font>
      <fill>
        <patternFill>
          <bgColor rgb="FF00B0F0"/>
        </patternFill>
      </fill>
    </dxf>
    <dxf>
      <font>
        <color theme="4"/>
      </font>
      <fill>
        <patternFill>
          <bgColor rgb="FFFDE766"/>
        </patternFill>
      </fill>
    </dxf>
    <dxf>
      <font>
        <color theme="7" tint="0.39994506668294322"/>
      </font>
      <fill>
        <patternFill>
          <bgColor rgb="FFC00000"/>
        </patternFill>
      </fill>
    </dxf>
    <dxf>
      <font>
        <color theme="0"/>
      </font>
      <fill>
        <patternFill>
          <bgColor rgb="FFFF0000"/>
        </patternFill>
      </fill>
    </dxf>
    <dxf>
      <font>
        <color theme="2"/>
      </font>
      <fill>
        <patternFill>
          <bgColor theme="1"/>
        </patternFill>
      </fill>
    </dxf>
    <dxf>
      <font>
        <color theme="0"/>
      </font>
      <fill>
        <patternFill>
          <bgColor rgb="FF00B050"/>
        </patternFill>
      </fill>
    </dxf>
    <dxf>
      <font>
        <color rgb="FFFFFF00"/>
      </font>
      <fill>
        <patternFill>
          <bgColor rgb="FFFF0000"/>
        </patternFill>
      </fill>
    </dxf>
    <dxf>
      <font>
        <color theme="0"/>
      </font>
      <fill>
        <patternFill>
          <bgColor rgb="FF0070C0"/>
        </patternFill>
      </fill>
    </dxf>
    <dxf>
      <font>
        <color theme="0" tint="-0.14996795556505021"/>
      </font>
      <fill>
        <patternFill>
          <bgColor theme="8" tint="-0.24994659260841701"/>
        </patternFill>
      </fill>
    </dxf>
    <dxf>
      <font>
        <color rgb="FFFFFF00"/>
      </font>
      <fill>
        <patternFill>
          <bgColor rgb="FF0085FF"/>
        </patternFill>
      </fill>
    </dxf>
    <dxf>
      <font>
        <color theme="1"/>
      </font>
      <fill>
        <patternFill>
          <bgColor rgb="FFFF0000"/>
        </patternFill>
      </fill>
    </dxf>
    <dxf>
      <font>
        <color rgb="FFFFC000"/>
      </font>
      <fill>
        <patternFill>
          <bgColor rgb="FF012051"/>
        </patternFill>
      </fill>
    </dxf>
    <dxf>
      <font>
        <color theme="0"/>
      </font>
      <fill>
        <patternFill>
          <bgColor rgb="FF3080DB"/>
        </patternFill>
      </fill>
    </dxf>
    <dxf>
      <font>
        <color rgb="FFFFBA2B"/>
      </font>
      <fill>
        <patternFill>
          <bgColor rgb="FF590C7A"/>
        </patternFill>
      </fill>
    </dxf>
    <dxf>
      <font>
        <color theme="0"/>
      </font>
      <fill>
        <patternFill>
          <bgColor rgb="FF5A70A2"/>
        </patternFill>
      </fill>
    </dxf>
    <dxf>
      <fill>
        <patternFill>
          <bgColor rgb="FFE41A27"/>
        </patternFill>
      </fill>
    </dxf>
    <dxf>
      <font>
        <color rgb="FFEDE9D0"/>
      </font>
      <fill>
        <patternFill>
          <bgColor rgb="FF004419"/>
        </patternFill>
      </fill>
    </dxf>
    <dxf>
      <font>
        <color rgb="FFF3FEFF"/>
      </font>
      <fill>
        <patternFill>
          <bgColor rgb="FF03487B"/>
        </patternFill>
      </fill>
    </dxf>
    <dxf>
      <font>
        <color rgb="FFC38C0B"/>
      </font>
      <fill>
        <patternFill>
          <bgColor rgb="FF001F51"/>
        </patternFill>
      </fill>
    </dxf>
    <dxf>
      <font>
        <color theme="5"/>
      </font>
      <fill>
        <patternFill>
          <bgColor rgb="FF036EC8"/>
        </patternFill>
      </fill>
    </dxf>
    <dxf>
      <font>
        <color theme="0"/>
      </font>
      <fill>
        <patternFill>
          <bgColor rgb="FF3E70BE"/>
        </patternFill>
      </fill>
    </dxf>
    <dxf>
      <font>
        <color theme="0"/>
      </font>
      <fill>
        <patternFill>
          <bgColor rgb="FF0064B0"/>
        </patternFill>
      </fill>
    </dxf>
    <dxf>
      <font>
        <color theme="8" tint="-0.499984740745262"/>
      </font>
      <fill>
        <patternFill>
          <bgColor theme="0"/>
        </patternFill>
      </fill>
      <border>
        <left/>
        <right/>
        <top/>
        <bottom/>
      </border>
    </dxf>
    <dxf>
      <font>
        <color rgb="FF400C6B"/>
      </font>
      <fill>
        <patternFill>
          <bgColor rgb="FFF78C00"/>
        </patternFill>
      </fill>
    </dxf>
    <dxf>
      <font>
        <color theme="0"/>
      </font>
      <fill>
        <patternFill>
          <bgColor rgb="FFBC1013"/>
        </patternFill>
      </fill>
    </dxf>
    <dxf>
      <font>
        <color theme="0"/>
      </font>
      <fill>
        <patternFill>
          <bgColor rgb="FF5A2A80"/>
        </patternFill>
      </fill>
    </dxf>
    <dxf>
      <font>
        <color rgb="FFBBC6CD"/>
      </font>
      <fill>
        <patternFill>
          <bgColor rgb="FF021621"/>
        </patternFill>
      </fill>
    </dxf>
    <dxf>
      <font>
        <color theme="2"/>
      </font>
      <fill>
        <patternFill>
          <bgColor rgb="FFCD0F41"/>
        </patternFill>
      </fill>
    </dxf>
    <dxf>
      <font>
        <color rgb="FFFFCB59"/>
      </font>
      <fill>
        <patternFill>
          <bgColor rgb="FF1E554A"/>
        </patternFill>
      </fill>
    </dxf>
    <dxf>
      <font>
        <color rgb="FFFF0000"/>
      </font>
      <fill>
        <patternFill>
          <bgColor rgb="FF0A2C57"/>
        </patternFill>
      </fill>
    </dxf>
    <dxf>
      <font>
        <color rgb="FFFF0000"/>
      </font>
      <fill>
        <patternFill>
          <bgColor theme="5" tint="0.79998168889431442"/>
        </patternFill>
      </fill>
    </dxf>
    <dxf>
      <font>
        <color theme="2" tint="-9.9948118533890809E-2"/>
      </font>
    </dxf>
  </dxfs>
  <tableStyles count="0" defaultTableStyle="TableStyleMedium2" defaultPivotStyle="PivotStyleLight16"/>
  <colors>
    <mruColors>
      <color rgb="FFF7941E"/>
      <color rgb="FFF78C00"/>
      <color rgb="FFFEA0A0"/>
      <color rgb="FFFF9981"/>
      <color rgb="FFFFFFFF"/>
      <color rgb="FFFEE59D"/>
      <color rgb="FFFDBF2D"/>
      <color rgb="FFFD9884"/>
      <color rgb="FFEF8943"/>
      <color rgb="FF00C06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Shot Frequency</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9467492106863425E-2"/>
          <c:y val="0.13431012264143316"/>
          <c:w val="0.85675604940734307"/>
          <c:h val="0.81459773418794434"/>
        </c:manualLayout>
      </c:layout>
      <c:doughnutChart>
        <c:varyColors val="1"/>
        <c:ser>
          <c:idx val="0"/>
          <c:order val="0"/>
          <c:tx>
            <c:strRef>
              <c:f>'Team Shooting'!$I$9:$N$9</c:f>
              <c:strCache>
                <c:ptCount val="6"/>
                <c:pt idx="0">
                  <c:v>Minnesota Timberwolves</c:v>
                </c:pt>
              </c:strCache>
            </c:strRef>
          </c:tx>
          <c:dPt>
            <c:idx val="0"/>
            <c:bubble3D val="0"/>
            <c:spPr>
              <a:solidFill>
                <a:schemeClr val="bg1"/>
              </a:solidFill>
              <a:ln w="0">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6F59-4E16-92EA-6D39D7E5B2FA}"/>
              </c:ext>
            </c:extLst>
          </c:dPt>
          <c:dPt>
            <c:idx val="1"/>
            <c:bubble3D val="0"/>
            <c:spPr>
              <a:solidFill>
                <a:schemeClr val="tx1"/>
              </a:solidFill>
              <a:ln w="0">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4-6F59-4E16-92EA-6D39D7E5B2FA}"/>
              </c:ext>
            </c:extLst>
          </c:dPt>
          <c:dLbls>
            <c:dLbl>
              <c:idx val="0"/>
              <c:tx>
                <c:rich>
                  <a:bodyPr/>
                  <a:lstStyle/>
                  <a:p>
                    <a:fld id="{2233898B-9108-4419-8C46-C2CAC0C14628}" type="VALUE">
                      <a:rPr lang="en-US">
                        <a:solidFill>
                          <a:sysClr val="windowText" lastClr="000000"/>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6F59-4E16-92EA-6D39D7E5B2F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numRef>
              <c:f>'Team Shooting'!$AE$8:$AF$8</c:f>
              <c:numCache>
                <c:formatCode>General</c:formatCode>
                <c:ptCount val="2"/>
                <c:pt idx="0">
                  <c:v>13.8</c:v>
                </c:pt>
              </c:numCache>
            </c:numRef>
          </c:cat>
          <c:val>
            <c:numRef>
              <c:f>'Team Shooting'!$E$40:$F$40</c:f>
              <c:numCache>
                <c:formatCode>0%</c:formatCode>
                <c:ptCount val="2"/>
                <c:pt idx="0">
                  <c:v>0.66359999999999997</c:v>
                </c:pt>
                <c:pt idx="1">
                  <c:v>0.33640000000000003</c:v>
                </c:pt>
              </c:numCache>
            </c:numRef>
          </c:val>
          <c:extLst>
            <c:ext xmlns:c16="http://schemas.microsoft.com/office/drawing/2014/chart" uri="{C3380CC4-5D6E-409C-BE32-E72D297353CC}">
              <c16:uniqueId val="{00000000-6F59-4E16-92EA-6D39D7E5B2FA}"/>
            </c:ext>
          </c:extLst>
        </c:ser>
        <c:ser>
          <c:idx val="1"/>
          <c:order val="1"/>
          <c:tx>
            <c:strRef>
              <c:f>'Team Shooting'!$I$16:$N$16</c:f>
              <c:strCache>
                <c:ptCount val="6"/>
                <c:pt idx="0">
                  <c:v>League Averages</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6F59-4E16-92EA-6D39D7E5B2FA}"/>
              </c:ext>
            </c:extLst>
          </c:dPt>
          <c:dPt>
            <c:idx val="1"/>
            <c:bubble3D val="0"/>
            <c:spPr>
              <a:solidFill>
                <a:srgbClr val="FF00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6-6F59-4E16-92EA-6D39D7E5B2FA}"/>
              </c:ext>
            </c:extLst>
          </c:dPt>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F59-4E16-92EA-6D39D7E5B2FA}"/>
                </c:ext>
              </c:extLst>
            </c:dLbl>
            <c:dLbl>
              <c:idx val="1"/>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F59-4E16-92EA-6D39D7E5B2F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numRef>
              <c:f>'Team Shooting'!$AE$8:$AF$8</c:f>
              <c:numCache>
                <c:formatCode>General</c:formatCode>
                <c:ptCount val="2"/>
                <c:pt idx="0">
                  <c:v>13.8</c:v>
                </c:pt>
              </c:numCache>
            </c:numRef>
          </c:cat>
          <c:val>
            <c:numRef>
              <c:f>'Team Shooting'!$C$40:$D$40</c:f>
              <c:numCache>
                <c:formatCode>0%</c:formatCode>
                <c:ptCount val="2"/>
                <c:pt idx="0">
                  <c:v>0.74199999999999999</c:v>
                </c:pt>
                <c:pt idx="1">
                  <c:v>0.25800000000000001</c:v>
                </c:pt>
              </c:numCache>
            </c:numRef>
          </c:val>
          <c:extLst>
            <c:ext xmlns:c16="http://schemas.microsoft.com/office/drawing/2014/chart" uri="{C3380CC4-5D6E-409C-BE32-E72D297353CC}">
              <c16:uniqueId val="{00000001-6F59-4E16-92EA-6D39D7E5B2FA}"/>
            </c:ext>
          </c:extLst>
        </c:ser>
        <c:dLbls>
          <c:showLegendKey val="0"/>
          <c:showVal val="0"/>
          <c:showCatName val="0"/>
          <c:showSerName val="0"/>
          <c:showPercent val="0"/>
          <c:showBubbleSize val="0"/>
          <c:showLeaderLines val="1"/>
        </c:dLbls>
        <c:firstSliceAng val="0"/>
        <c:holeSize val="52"/>
      </c:doughnut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png"/><Relationship Id="rId13" Type="http://schemas.openxmlformats.org/officeDocument/2006/relationships/image" Target="../media/image8.svg"/><Relationship Id="rId18" Type="http://schemas.openxmlformats.org/officeDocument/2006/relationships/hyperlink" Target="http://museumminute.wordpress.com/2012/07/05/vote-for-my-new-twitter-handle/" TargetMode="External"/><Relationship Id="rId3" Type="http://schemas.openxmlformats.org/officeDocument/2006/relationships/hyperlink" Target="http://www.spotrac.com/" TargetMode="External"/><Relationship Id="rId7" Type="http://schemas.openxmlformats.org/officeDocument/2006/relationships/hyperlink" Target="http://www.cbafaq.com/salarycap.htm" TargetMode="External"/><Relationship Id="rId12" Type="http://schemas.openxmlformats.org/officeDocument/2006/relationships/image" Target="../media/image7.png"/><Relationship Id="rId17" Type="http://schemas.openxmlformats.org/officeDocument/2006/relationships/image" Target="../media/image10.jpg"/><Relationship Id="rId2" Type="http://schemas.openxmlformats.org/officeDocument/2006/relationships/image" Target="../media/image1.jpeg"/><Relationship Id="rId16" Type="http://schemas.openxmlformats.org/officeDocument/2006/relationships/hyperlink" Target="https://twitter.com/theJacksonitis" TargetMode="External"/><Relationship Id="rId1" Type="http://schemas.openxmlformats.org/officeDocument/2006/relationships/hyperlink" Target="https://www.basketball-reference.com/" TargetMode="External"/><Relationship Id="rId6" Type="http://schemas.openxmlformats.org/officeDocument/2006/relationships/image" Target="../media/image3.png"/><Relationship Id="rId11" Type="http://schemas.openxmlformats.org/officeDocument/2006/relationships/image" Target="../media/image6.svg"/><Relationship Id="rId5" Type="http://schemas.openxmlformats.org/officeDocument/2006/relationships/hyperlink" Target="http://stats.nba.com/" TargetMode="External"/><Relationship Id="rId15" Type="http://schemas.openxmlformats.org/officeDocument/2006/relationships/image" Target="../media/image9.png"/><Relationship Id="rId10" Type="http://schemas.openxmlformats.org/officeDocument/2006/relationships/image" Target="../media/image5.png"/><Relationship Id="rId19" Type="http://schemas.openxmlformats.org/officeDocument/2006/relationships/image" Target="../media/image11.png"/><Relationship Id="rId4" Type="http://schemas.openxmlformats.org/officeDocument/2006/relationships/image" Target="../media/image2.png"/><Relationship Id="rId9" Type="http://schemas.openxmlformats.org/officeDocument/2006/relationships/hyperlink" Target="mailto:jstrand894@gmail.com?subject=Basketball%20Analysis%20Tool" TargetMode="External"/><Relationship Id="rId14" Type="http://schemas.openxmlformats.org/officeDocument/2006/relationships/hyperlink" Target="http://www.linkedin.com/in/jacksonstrandmn" TargetMode="External"/></Relationships>
</file>

<file path=xl/drawings/_rels/drawing2.xml.rels><?xml version="1.0" encoding="UTF-8" standalone="yes"?>
<Relationships xmlns="http://schemas.openxmlformats.org/package/2006/relationships"><Relationship Id="rId3" Type="http://schemas.openxmlformats.org/officeDocument/2006/relationships/hyperlink" Target="#Glossary!A1"/><Relationship Id="rId2" Type="http://schemas.openxmlformats.org/officeDocument/2006/relationships/hyperlink" Target="#'Team Ranking'!A1"/><Relationship Id="rId1" Type="http://schemas.openxmlformats.org/officeDocument/2006/relationships/hyperlink" Target="#'Team Shooting'!A1"/><Relationship Id="rId6" Type="http://schemas.openxmlformats.org/officeDocument/2006/relationships/hyperlink" Target="#'Player Salaries'!B5"/><Relationship Id="rId5" Type="http://schemas.openxmlformats.org/officeDocument/2006/relationships/hyperlink" Target="#'Roster Analysis'!A1"/><Relationship Id="rId4" Type="http://schemas.openxmlformats.org/officeDocument/2006/relationships/hyperlink" Target="#Glossary!H2:I2"/></Relationships>
</file>

<file path=xl/drawings/_rels/drawing3.xml.rels><?xml version="1.0" encoding="UTF-8" standalone="yes"?>
<Relationships xmlns="http://schemas.openxmlformats.org/package/2006/relationships"><Relationship Id="rId3" Type="http://schemas.openxmlformats.org/officeDocument/2006/relationships/hyperlink" Target="#'Team Shooting Raw'!A1"/><Relationship Id="rId2" Type="http://schemas.openxmlformats.org/officeDocument/2006/relationships/chart" Target="../charts/chart1.xml"/><Relationship Id="rId1" Type="http://schemas.openxmlformats.org/officeDocument/2006/relationships/hyperlink" Target="#'Roster Analysis'!A1"/></Relationships>
</file>

<file path=xl/drawings/_rels/drawing5.xml.rels><?xml version="1.0" encoding="UTF-8" standalone="yes"?>
<Relationships xmlns="http://schemas.openxmlformats.org/package/2006/relationships"><Relationship Id="rId2" Type="http://schemas.openxmlformats.org/officeDocument/2006/relationships/hyperlink" Target="#'Team Stats'!A1"/><Relationship Id="rId1" Type="http://schemas.openxmlformats.org/officeDocument/2006/relationships/hyperlink" Target="#'Roster Analysis'!A1"/></Relationships>
</file>

<file path=xl/drawings/_rels/drawing6.xml.rels><?xml version="1.0" encoding="UTF-8" standalone="yes"?>
<Relationships xmlns="http://schemas.openxmlformats.org/package/2006/relationships"><Relationship Id="rId3" Type="http://schemas.openxmlformats.org/officeDocument/2006/relationships/hyperlink" Target="#'Roster Analysis'!A1"/><Relationship Id="rId2" Type="http://schemas.openxmlformats.org/officeDocument/2006/relationships/image" Target="../media/image12.png"/><Relationship Id="rId1" Type="http://schemas.openxmlformats.org/officeDocument/2006/relationships/hyperlink" Target="http://www.spotrac.com/nba/free-agents/" TargetMode="External"/></Relationships>
</file>

<file path=xl/drawings/_rels/drawing7.xml.rels><?xml version="1.0" encoding="UTF-8" standalone="yes"?>
<Relationships xmlns="http://schemas.openxmlformats.org/package/2006/relationships"><Relationship Id="rId3" Type="http://schemas.openxmlformats.org/officeDocument/2006/relationships/hyperlink" Target="#'Roster Analysis'!A1"/><Relationship Id="rId2" Type="http://schemas.openxmlformats.org/officeDocument/2006/relationships/image" Target="../media/image13.png"/><Relationship Id="rId1" Type="http://schemas.openxmlformats.org/officeDocument/2006/relationships/hyperlink" Target="https://www.basketball-reference.com/contracts/players.html" TargetMode="External"/></Relationships>
</file>

<file path=xl/drawings/_rels/drawing8.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hyperlink" Target="https://www.basketball-reference.com/friv/injuries.fcgi" TargetMode="External"/><Relationship Id="rId1" Type="http://schemas.openxmlformats.org/officeDocument/2006/relationships/hyperlink" Target="#'Roster Analysis'!A1"/></Relationships>
</file>

<file path=xl/drawings/_rels/drawing9.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hyperlink" Target="http://stats.nba.com/help/faq/" TargetMode="External"/><Relationship Id="rId1" Type="http://schemas.openxmlformats.org/officeDocument/2006/relationships/hyperlink" Target="#'Roster Analysis'!A1"/><Relationship Id="rId5" Type="http://schemas.openxmlformats.org/officeDocument/2006/relationships/image" Target="../media/image13.png"/><Relationship Id="rId4" Type="http://schemas.openxmlformats.org/officeDocument/2006/relationships/hyperlink" Target="https://www.basketball-reference.com/about/glossary.html" TargetMode="External"/></Relationships>
</file>

<file path=xl/drawings/_rels/drawing10.xml.rels><?xml version="1.0" encoding="UTF-8" standalone="yes"?>
<Relationships xmlns="http://schemas.openxmlformats.org/package/2006/relationships"><Relationship Id="rId3" Type="http://schemas.openxmlformats.org/officeDocument/2006/relationships/hyperlink" Target="#'Roster Analysis'!A1"/><Relationship Id="rId2" Type="http://schemas.openxmlformats.org/officeDocument/2006/relationships/image" Target="../media/image13.png"/><Relationship Id="rId1" Type="http://schemas.openxmlformats.org/officeDocument/2006/relationships/hyperlink" Target="https://www.basketball-reference.com/leagues/NBA_2018_per_game.html" TargetMode="External"/><Relationship Id="rId4" Type="http://schemas.openxmlformats.org/officeDocument/2006/relationships/hyperlink" Target="#Glossary!E2:F2"/></Relationships>
</file>

<file path=xl/drawings/_rels/drawing11.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hyperlink" Target="https://www.basketball-reference.com/leagues/NBA_2018_per_game.html" TargetMode="External"/><Relationship Id="rId1" Type="http://schemas.openxmlformats.org/officeDocument/2006/relationships/hyperlink" Target="#'Roster Analysis'!A1"/><Relationship Id="rId4" Type="http://schemas.openxmlformats.org/officeDocument/2006/relationships/hyperlink" Target="#Glossary!B2:C2"/></Relationships>
</file>

<file path=xl/drawings/_rels/drawing12.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hyperlink" Target="https://www.basketball-reference.com/leagues/NBA_2018_totals.html" TargetMode="External"/></Relationships>
</file>

<file path=xl/drawings/_rels/drawing13.xml.rels><?xml version="1.0" encoding="UTF-8" standalone="yes"?>
<Relationships xmlns="http://schemas.openxmlformats.org/package/2006/relationships"><Relationship Id="rId8" Type="http://schemas.openxmlformats.org/officeDocument/2006/relationships/hyperlink" Target="https://www.basketball-reference.com/leagues/NBA_2018.html#team-stats-base::none" TargetMode="External"/><Relationship Id="rId13" Type="http://schemas.openxmlformats.org/officeDocument/2006/relationships/hyperlink" Target="http://stats.nba.com/teams/advanced/?sort=W&amp;dir=-1&amp;Season=2017-18&amp;SeasonType=Regular%20Season&amp;LastNGames=5" TargetMode="External"/><Relationship Id="rId3" Type="http://schemas.openxmlformats.org/officeDocument/2006/relationships/hyperlink" Target="#'League Advanced'!B109:B140"/><Relationship Id="rId7" Type="http://schemas.openxmlformats.org/officeDocument/2006/relationships/image" Target="../media/image13.png"/><Relationship Id="rId12" Type="http://schemas.openxmlformats.org/officeDocument/2006/relationships/hyperlink" Target="http://stats.nba.com/teams/advanced/?sort=W&amp;dir=-1" TargetMode="External"/><Relationship Id="rId2" Type="http://schemas.openxmlformats.org/officeDocument/2006/relationships/hyperlink" Target="#'League Advanced'!B74:B105"/><Relationship Id="rId1" Type="http://schemas.openxmlformats.org/officeDocument/2006/relationships/hyperlink" Target="#'League Advanced'!B39:B70"/><Relationship Id="rId6" Type="http://schemas.openxmlformats.org/officeDocument/2006/relationships/hyperlink" Target="https://www.basketball-reference.com/leagues/NBA_2018.html#opponent-stats-base::none" TargetMode="External"/><Relationship Id="rId11" Type="http://schemas.openxmlformats.org/officeDocument/2006/relationships/hyperlink" Target="http://stats.nba.com/teams/advanced/?sort=W&amp;dir=-1&amp;Season=2017-18&amp;SeasonType=Regular%20Season&amp;LastNGames=15" TargetMode="External"/><Relationship Id="rId5" Type="http://schemas.openxmlformats.org/officeDocument/2006/relationships/hyperlink" Target="#'Team Ranking'!A1"/><Relationship Id="rId10" Type="http://schemas.openxmlformats.org/officeDocument/2006/relationships/image" Target="../media/image3.png"/><Relationship Id="rId4" Type="http://schemas.openxmlformats.org/officeDocument/2006/relationships/hyperlink" Target="#'Team Stats'!A1"/><Relationship Id="rId9" Type="http://schemas.openxmlformats.org/officeDocument/2006/relationships/hyperlink" Target="http://stats.nba.com/teams/advanced/?sort=W&amp;dir=-1&amp;Season=2017-18&amp;SeasonType=Regular%20Season&amp;LastNGames=10" TargetMode="External"/></Relationships>
</file>

<file path=xl/drawings/_rels/drawing14.xml.rels><?xml version="1.0" encoding="UTF-8" standalone="yes"?>
<Relationships xmlns="http://schemas.openxmlformats.org/package/2006/relationships"><Relationship Id="rId3" Type="http://schemas.openxmlformats.org/officeDocument/2006/relationships/hyperlink" Target="https://www.basketball-reference.com/leagues/NBA_2018.html#team_shooting::none" TargetMode="External"/><Relationship Id="rId2" Type="http://schemas.openxmlformats.org/officeDocument/2006/relationships/hyperlink" Target="#'Roster Analysis'!A1"/><Relationship Id="rId1" Type="http://schemas.openxmlformats.org/officeDocument/2006/relationships/hyperlink" Target="#'Team Shooting'!A1"/><Relationship Id="rId6" Type="http://schemas.openxmlformats.org/officeDocument/2006/relationships/hyperlink" Target="#'Team Shooting Raw'!A1"/><Relationship Id="rId5" Type="http://schemas.openxmlformats.org/officeDocument/2006/relationships/hyperlink" Target="https://www.basketball-reference.com/leagues/NBA_2018.html#opponent_shooting::none" TargetMode="External"/><Relationship Id="rId4" Type="http://schemas.openxmlformats.org/officeDocument/2006/relationships/image" Target="../media/image13.png"/></Relationships>
</file>

<file path=xl/drawings/_rels/drawing15.xml.rels><?xml version="1.0" encoding="UTF-8" standalone="yes"?>
<Relationships xmlns="http://schemas.openxmlformats.org/package/2006/relationships"><Relationship Id="rId3" Type="http://schemas.openxmlformats.org/officeDocument/2006/relationships/hyperlink" Target="#'Roster Analysis'!A1"/><Relationship Id="rId2" Type="http://schemas.openxmlformats.org/officeDocument/2006/relationships/image" Target="../media/image13.png"/><Relationship Id="rId1" Type="http://schemas.openxmlformats.org/officeDocument/2006/relationships/hyperlink" Target="https://www.basketball-reference.com/leagues/NBA_2018.html" TargetMode="External"/></Relationships>
</file>

<file path=xl/drawings/_rels/drawing16.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hyperlink" Target="http://www.spotrac.com/nba/option/" TargetMode="External"/><Relationship Id="rId1" Type="http://schemas.openxmlformats.org/officeDocument/2006/relationships/hyperlink" Target="#'Roster Analysis'!A1"/><Relationship Id="rId5" Type="http://schemas.openxmlformats.org/officeDocument/2006/relationships/hyperlink" Target="http://www.spotrac.com/nba/option/2020/" TargetMode="External"/><Relationship Id="rId4" Type="http://schemas.openxmlformats.org/officeDocument/2006/relationships/hyperlink" Target="http://www.spotrac.com/nba/option/2019/" TargetMode="External"/></Relationships>
</file>

<file path=xl/drawings/drawing1.xml><?xml version="1.0" encoding="utf-8"?>
<xdr:wsDr xmlns:xdr="http://schemas.openxmlformats.org/drawingml/2006/spreadsheetDrawing" xmlns:a="http://schemas.openxmlformats.org/drawingml/2006/main">
  <xdr:twoCellAnchor>
    <xdr:from>
      <xdr:col>0</xdr:col>
      <xdr:colOff>129540</xdr:colOff>
      <xdr:row>13</xdr:row>
      <xdr:rowOff>49306</xdr:rowOff>
    </xdr:from>
    <xdr:to>
      <xdr:col>3</xdr:col>
      <xdr:colOff>327660</xdr:colOff>
      <xdr:row>22</xdr:row>
      <xdr:rowOff>91440</xdr:rowOff>
    </xdr:to>
    <xdr:grpSp>
      <xdr:nvGrpSpPr>
        <xdr:cNvPr id="5" name="Group 4">
          <a:extLst>
            <a:ext uri="{FF2B5EF4-FFF2-40B4-BE49-F238E27FC236}">
              <a16:creationId xmlns:a16="http://schemas.microsoft.com/office/drawing/2014/main" id="{B372E1B2-9CB5-42E5-B5B3-CCFEDAF5D44B}"/>
            </a:ext>
          </a:extLst>
        </xdr:cNvPr>
        <xdr:cNvGrpSpPr/>
      </xdr:nvGrpSpPr>
      <xdr:grpSpPr>
        <a:xfrm>
          <a:off x="129540" y="2866801"/>
          <a:ext cx="3276600" cy="1816959"/>
          <a:chOff x="22860" y="2506980"/>
          <a:chExt cx="3284220" cy="1760220"/>
        </a:xfrm>
        <a:effectLst>
          <a:outerShdw blurRad="50800" dist="38100" dir="2700000" algn="tl" rotWithShape="0">
            <a:prstClr val="black">
              <a:alpha val="40000"/>
            </a:prstClr>
          </a:outerShdw>
        </a:effectLst>
      </xdr:grpSpPr>
      <xdr:sp macro="" textlink="">
        <xdr:nvSpPr>
          <xdr:cNvPr id="3" name="Rectangle 2">
            <a:extLst>
              <a:ext uri="{FF2B5EF4-FFF2-40B4-BE49-F238E27FC236}">
                <a16:creationId xmlns:a16="http://schemas.microsoft.com/office/drawing/2014/main" id="{D5E9F698-FC82-4348-BF98-E0759C04C1C5}"/>
              </a:ext>
            </a:extLst>
          </xdr:cNvPr>
          <xdr:cNvSpPr/>
        </xdr:nvSpPr>
        <xdr:spPr>
          <a:xfrm>
            <a:off x="22860" y="2506980"/>
            <a:ext cx="3284220" cy="1760220"/>
          </a:xfrm>
          <a:prstGeom prst="rect">
            <a:avLst/>
          </a:prstGeom>
          <a:solidFill>
            <a:sysClr val="window" lastClr="FFFFFF"/>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31" name="Group 30">
            <a:extLst>
              <a:ext uri="{FF2B5EF4-FFF2-40B4-BE49-F238E27FC236}">
                <a16:creationId xmlns:a16="http://schemas.microsoft.com/office/drawing/2014/main" id="{FE90D271-9257-4FA8-AA17-764CA974362F}"/>
              </a:ext>
            </a:extLst>
          </xdr:cNvPr>
          <xdr:cNvGrpSpPr/>
        </xdr:nvGrpSpPr>
        <xdr:grpSpPr>
          <a:xfrm>
            <a:off x="76201" y="2540830"/>
            <a:ext cx="3144519" cy="1647514"/>
            <a:chOff x="53341" y="2601790"/>
            <a:chExt cx="3144519" cy="1647514"/>
          </a:xfrm>
        </xdr:grpSpPr>
        <xdr:grpSp>
          <xdr:nvGrpSpPr>
            <xdr:cNvPr id="29" name="Group 28">
              <a:extLst>
                <a:ext uri="{FF2B5EF4-FFF2-40B4-BE49-F238E27FC236}">
                  <a16:creationId xmlns:a16="http://schemas.microsoft.com/office/drawing/2014/main" id="{B7BD5734-A697-4631-B7C1-49A3504ABBE0}"/>
                </a:ext>
              </a:extLst>
            </xdr:cNvPr>
            <xdr:cNvGrpSpPr/>
          </xdr:nvGrpSpPr>
          <xdr:grpSpPr>
            <a:xfrm>
              <a:off x="59689" y="2601790"/>
              <a:ext cx="3138171" cy="1633205"/>
              <a:chOff x="3161029" y="577612"/>
              <a:chExt cx="3138171" cy="1539023"/>
            </a:xfrm>
          </xdr:grpSpPr>
          <xdr:pic>
            <xdr:nvPicPr>
              <xdr:cNvPr id="2" name="Picture 1" descr="See the source image">
                <a:hlinkClick xmlns:r="http://schemas.openxmlformats.org/officeDocument/2006/relationships" r:id="rId1" tooltip="Basketball Reference"/>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61029" y="621144"/>
                <a:ext cx="1095897" cy="1012840"/>
              </a:xfrm>
              <a:prstGeom prst="rect">
                <a:avLst/>
              </a:prstGeom>
              <a:noFill/>
              <a:effectLst/>
              <a:extLst>
                <a:ext uri="{909E8E84-426E-40DD-AFC4-6F175D3DCCD1}">
                  <a14:hiddenFill xmlns:a14="http://schemas.microsoft.com/office/drawing/2010/main">
                    <a:solidFill>
                      <a:srgbClr val="FFFFFF"/>
                    </a:solidFill>
                  </a14:hiddenFill>
                </a:ext>
              </a:extLst>
            </xdr:spPr>
          </xdr:pic>
          <xdr:pic>
            <xdr:nvPicPr>
              <xdr:cNvPr id="4" name="Picture 3">
                <a:hlinkClick xmlns:r="http://schemas.openxmlformats.org/officeDocument/2006/relationships" r:id="rId3" tooltip="Spotrac"/>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4"/>
              <a:stretch>
                <a:fillRect/>
              </a:stretch>
            </xdr:blipFill>
            <xdr:spPr>
              <a:xfrm>
                <a:off x="4333240" y="1399540"/>
                <a:ext cx="1965960" cy="717095"/>
              </a:xfrm>
              <a:prstGeom prst="rect">
                <a:avLst/>
              </a:prstGeom>
              <a:effectLst/>
            </xdr:spPr>
          </xdr:pic>
          <xdr:pic>
            <xdr:nvPicPr>
              <xdr:cNvPr id="28" name="Picture 27" descr="See the source image">
                <a:hlinkClick xmlns:r="http://schemas.openxmlformats.org/officeDocument/2006/relationships" r:id="rId5" tooltip="NBA Advanced Stats"/>
                <a:extLst>
                  <a:ext uri="{FF2B5EF4-FFF2-40B4-BE49-F238E27FC236}">
                    <a16:creationId xmlns:a16="http://schemas.microsoft.com/office/drawing/2014/main" id="{FF79EE1E-65E5-465D-9C13-D17B63B4BA11}"/>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t="16494" r="-226" b="17532"/>
              <a:stretch/>
            </xdr:blipFill>
            <xdr:spPr bwMode="auto">
              <a:xfrm>
                <a:off x="4381500" y="577612"/>
                <a:ext cx="1844039" cy="816929"/>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30" name="Picture 29">
              <a:hlinkClick xmlns:r="http://schemas.openxmlformats.org/officeDocument/2006/relationships" r:id="rId7" tooltip="Larry Coon's NBA Salary Cap FAQ"/>
              <a:extLst>
                <a:ext uri="{FF2B5EF4-FFF2-40B4-BE49-F238E27FC236}">
                  <a16:creationId xmlns:a16="http://schemas.microsoft.com/office/drawing/2014/main" id="{DD16E800-5FF5-4442-B05E-826EFFB3A3FC}"/>
                </a:ext>
              </a:extLst>
            </xdr:cNvPr>
            <xdr:cNvPicPr>
              <a:picLocks noChangeAspect="1"/>
            </xdr:cNvPicPr>
          </xdr:nvPicPr>
          <xdr:blipFill>
            <a:blip xmlns:r="http://schemas.openxmlformats.org/officeDocument/2006/relationships" r:embed="rId8"/>
            <a:stretch>
              <a:fillRect/>
            </a:stretch>
          </xdr:blipFill>
          <xdr:spPr>
            <a:xfrm>
              <a:off x="53341" y="3797167"/>
              <a:ext cx="1127759" cy="452137"/>
            </a:xfrm>
            <a:prstGeom prst="rect">
              <a:avLst/>
            </a:prstGeom>
            <a:effectLst/>
          </xdr:spPr>
        </xdr:pic>
      </xdr:grpSp>
    </xdr:grpSp>
    <xdr:clientData/>
  </xdr:twoCellAnchor>
  <xdr:twoCellAnchor>
    <xdr:from>
      <xdr:col>1</xdr:col>
      <xdr:colOff>60960</xdr:colOff>
      <xdr:row>1</xdr:row>
      <xdr:rowOff>114300</xdr:rowOff>
    </xdr:from>
    <xdr:to>
      <xdr:col>3</xdr:col>
      <xdr:colOff>426720</xdr:colOff>
      <xdr:row>3</xdr:row>
      <xdr:rowOff>137160</xdr:rowOff>
    </xdr:to>
    <xdr:grpSp>
      <xdr:nvGrpSpPr>
        <xdr:cNvPr id="32" name="Group 31">
          <a:extLst>
            <a:ext uri="{FF2B5EF4-FFF2-40B4-BE49-F238E27FC236}">
              <a16:creationId xmlns:a16="http://schemas.microsoft.com/office/drawing/2014/main" id="{B6D1E6AC-FC64-4ACE-8B14-BF133FDC86F1}"/>
            </a:ext>
          </a:extLst>
        </xdr:cNvPr>
        <xdr:cNvGrpSpPr/>
      </xdr:nvGrpSpPr>
      <xdr:grpSpPr>
        <a:xfrm>
          <a:off x="1960880" y="449580"/>
          <a:ext cx="1547495" cy="469900"/>
          <a:chOff x="83820" y="640080"/>
          <a:chExt cx="1554480" cy="670560"/>
        </a:xfrm>
      </xdr:grpSpPr>
      <xdr:grpSp>
        <xdr:nvGrpSpPr>
          <xdr:cNvPr id="11" name="Group 10">
            <a:hlinkClick xmlns:r="http://schemas.openxmlformats.org/officeDocument/2006/relationships" r:id="rId9" tooltip="Email me!"/>
            <a:extLst>
              <a:ext uri="{FF2B5EF4-FFF2-40B4-BE49-F238E27FC236}">
                <a16:creationId xmlns:a16="http://schemas.microsoft.com/office/drawing/2014/main" id="{BCD0E41B-3F92-4D52-A10C-15F8F3824B06}"/>
              </a:ext>
            </a:extLst>
          </xdr:cNvPr>
          <xdr:cNvGrpSpPr/>
        </xdr:nvGrpSpPr>
        <xdr:grpSpPr>
          <a:xfrm>
            <a:off x="83820" y="640080"/>
            <a:ext cx="1432560" cy="670560"/>
            <a:chOff x="1447800" y="1135380"/>
            <a:chExt cx="1432560" cy="647700"/>
          </a:xfrm>
          <a:effectLst>
            <a:outerShdw blurRad="50800" dist="38100" dir="2700000" algn="tl" rotWithShape="0">
              <a:prstClr val="black">
                <a:alpha val="40000"/>
              </a:prstClr>
            </a:outerShdw>
          </a:effectLst>
        </xdr:grpSpPr>
        <xdr:sp macro="" textlink="">
          <xdr:nvSpPr>
            <xdr:cNvPr id="7" name="Rectangle 6">
              <a:extLst>
                <a:ext uri="{FF2B5EF4-FFF2-40B4-BE49-F238E27FC236}">
                  <a16:creationId xmlns:a16="http://schemas.microsoft.com/office/drawing/2014/main" id="{F754642E-9128-44DF-B4E8-108B4AE5518D}"/>
                </a:ext>
              </a:extLst>
            </xdr:cNvPr>
            <xdr:cNvSpPr/>
          </xdr:nvSpPr>
          <xdr:spPr>
            <a:xfrm>
              <a:off x="1447800" y="1135380"/>
              <a:ext cx="1432560" cy="64770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1100"/>
            </a:p>
          </xdr:txBody>
        </xdr:sp>
        <xdr:pic>
          <xdr:nvPicPr>
            <xdr:cNvPr id="6" name="Graphic 5" descr="Envelope">
              <a:extLst>
                <a:ext uri="{FF2B5EF4-FFF2-40B4-BE49-F238E27FC236}">
                  <a16:creationId xmlns:a16="http://schemas.microsoft.com/office/drawing/2014/main" id="{2FD2E1FC-2A0B-453B-8986-8939028BAB54}"/>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518920" y="1264920"/>
              <a:ext cx="287019" cy="382616"/>
            </a:xfrm>
            <a:prstGeom prst="rect">
              <a:avLst/>
            </a:prstGeom>
          </xdr:spPr>
        </xdr:pic>
      </xdr:grpSp>
      <xdr:sp macro="" textlink="">
        <xdr:nvSpPr>
          <xdr:cNvPr id="12" name="Rectangle 11">
            <a:extLst>
              <a:ext uri="{FF2B5EF4-FFF2-40B4-BE49-F238E27FC236}">
                <a16:creationId xmlns:a16="http://schemas.microsoft.com/office/drawing/2014/main" id="{12577CF6-4E97-40B1-9454-BE9315E85B2A}"/>
              </a:ext>
            </a:extLst>
          </xdr:cNvPr>
          <xdr:cNvSpPr/>
        </xdr:nvSpPr>
        <xdr:spPr>
          <a:xfrm>
            <a:off x="403860" y="845820"/>
            <a:ext cx="1234440" cy="25908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800">
                <a:solidFill>
                  <a:sysClr val="windowText" lastClr="000000"/>
                </a:solidFill>
              </a:rPr>
              <a:t>jstrand894@gmail.com</a:t>
            </a:r>
          </a:p>
        </xdr:txBody>
      </xdr:sp>
    </xdr:grpSp>
    <xdr:clientData/>
  </xdr:twoCellAnchor>
  <xdr:twoCellAnchor>
    <xdr:from>
      <xdr:col>1</xdr:col>
      <xdr:colOff>60960</xdr:colOff>
      <xdr:row>4</xdr:row>
      <xdr:rowOff>16933</xdr:rowOff>
    </xdr:from>
    <xdr:to>
      <xdr:col>3</xdr:col>
      <xdr:colOff>541020</xdr:colOff>
      <xdr:row>6</xdr:row>
      <xdr:rowOff>77893</xdr:rowOff>
    </xdr:to>
    <xdr:grpSp>
      <xdr:nvGrpSpPr>
        <xdr:cNvPr id="19" name="Group 18">
          <a:extLst>
            <a:ext uri="{FF2B5EF4-FFF2-40B4-BE49-F238E27FC236}">
              <a16:creationId xmlns:a16="http://schemas.microsoft.com/office/drawing/2014/main" id="{CE1CA6CE-7C43-4DC9-816D-BA6C532A3442}"/>
            </a:ext>
          </a:extLst>
        </xdr:cNvPr>
        <xdr:cNvGrpSpPr/>
      </xdr:nvGrpSpPr>
      <xdr:grpSpPr>
        <a:xfrm>
          <a:off x="1960880" y="1002453"/>
          <a:ext cx="1661795" cy="467360"/>
          <a:chOff x="922020" y="1097280"/>
          <a:chExt cx="1668780" cy="647700"/>
        </a:xfrm>
        <a:effectLst>
          <a:outerShdw blurRad="50800" dist="38100" dir="2700000" algn="tl" rotWithShape="0">
            <a:prstClr val="black">
              <a:alpha val="40000"/>
            </a:prstClr>
          </a:outerShdw>
        </a:effectLst>
      </xdr:grpSpPr>
      <xdr:grpSp>
        <xdr:nvGrpSpPr>
          <xdr:cNvPr id="14" name="Group 13">
            <a:extLst>
              <a:ext uri="{FF2B5EF4-FFF2-40B4-BE49-F238E27FC236}">
                <a16:creationId xmlns:a16="http://schemas.microsoft.com/office/drawing/2014/main" id="{369DE7C9-21BB-4626-B8C7-DD028AFC3C84}"/>
              </a:ext>
            </a:extLst>
          </xdr:cNvPr>
          <xdr:cNvGrpSpPr/>
        </xdr:nvGrpSpPr>
        <xdr:grpSpPr>
          <a:xfrm>
            <a:off x="922020" y="1097280"/>
            <a:ext cx="1668780" cy="647700"/>
            <a:chOff x="1447800" y="1135380"/>
            <a:chExt cx="1668780" cy="647700"/>
          </a:xfrm>
        </xdr:grpSpPr>
        <xdr:sp macro="" textlink="">
          <xdr:nvSpPr>
            <xdr:cNvPr id="17" name="Rectangle 16">
              <a:extLst>
                <a:ext uri="{FF2B5EF4-FFF2-40B4-BE49-F238E27FC236}">
                  <a16:creationId xmlns:a16="http://schemas.microsoft.com/office/drawing/2014/main" id="{0ECE5FE7-BEB5-457F-AC6D-92ACC94F8A82}"/>
                </a:ext>
              </a:extLst>
            </xdr:cNvPr>
            <xdr:cNvSpPr/>
          </xdr:nvSpPr>
          <xdr:spPr>
            <a:xfrm>
              <a:off x="1447800" y="1135380"/>
              <a:ext cx="1432560" cy="64770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1100"/>
            </a:p>
          </xdr:txBody>
        </xdr:sp>
        <xdr:sp macro="" textlink="">
          <xdr:nvSpPr>
            <xdr:cNvPr id="16" name="Rectangle 15">
              <a:extLst>
                <a:ext uri="{FF2B5EF4-FFF2-40B4-BE49-F238E27FC236}">
                  <a16:creationId xmlns:a16="http://schemas.microsoft.com/office/drawing/2014/main" id="{DC1A68A2-3604-4E92-AB2B-D99F7C0E3C80}"/>
                </a:ext>
              </a:extLst>
            </xdr:cNvPr>
            <xdr:cNvSpPr/>
          </xdr:nvSpPr>
          <xdr:spPr>
            <a:xfrm>
              <a:off x="1882140" y="1333500"/>
              <a:ext cx="1234440" cy="25146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00">
                  <a:solidFill>
                    <a:sysClr val="windowText" lastClr="000000"/>
                  </a:solidFill>
                </a:rPr>
                <a:t>612-354-9303</a:t>
              </a:r>
            </a:p>
          </xdr:txBody>
        </xdr:sp>
      </xdr:grpSp>
      <xdr:pic>
        <xdr:nvPicPr>
          <xdr:cNvPr id="8" name="Graphic 7" descr="Receiver">
            <a:extLst>
              <a:ext uri="{FF2B5EF4-FFF2-40B4-BE49-F238E27FC236}">
                <a16:creationId xmlns:a16="http://schemas.microsoft.com/office/drawing/2014/main" id="{EF2D0C4A-0752-4228-A289-7F142C9D6726}"/>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018680" y="1249011"/>
            <a:ext cx="274320" cy="371216"/>
          </a:xfrm>
          <a:prstGeom prst="rect">
            <a:avLst/>
          </a:prstGeom>
        </xdr:spPr>
      </xdr:pic>
    </xdr:grpSp>
    <xdr:clientData/>
  </xdr:twoCellAnchor>
  <xdr:twoCellAnchor>
    <xdr:from>
      <xdr:col>1</xdr:col>
      <xdr:colOff>60960</xdr:colOff>
      <xdr:row>6</xdr:row>
      <xdr:rowOff>155786</xdr:rowOff>
    </xdr:from>
    <xdr:to>
      <xdr:col>3</xdr:col>
      <xdr:colOff>541020</xdr:colOff>
      <xdr:row>9</xdr:row>
      <xdr:rowOff>18626</xdr:rowOff>
    </xdr:to>
    <xdr:grpSp>
      <xdr:nvGrpSpPr>
        <xdr:cNvPr id="26" name="Group 25">
          <a:hlinkClick xmlns:r="http://schemas.openxmlformats.org/officeDocument/2006/relationships" r:id="rId14" tooltip="Click to view my LinkedIn"/>
          <a:extLst>
            <a:ext uri="{FF2B5EF4-FFF2-40B4-BE49-F238E27FC236}">
              <a16:creationId xmlns:a16="http://schemas.microsoft.com/office/drawing/2014/main" id="{0CAACFE5-EA28-42F1-8336-2D9C7D3C931D}"/>
            </a:ext>
          </a:extLst>
        </xdr:cNvPr>
        <xdr:cNvGrpSpPr/>
      </xdr:nvGrpSpPr>
      <xdr:grpSpPr>
        <a:xfrm>
          <a:off x="1960880" y="1547706"/>
          <a:ext cx="1661795" cy="472440"/>
          <a:chOff x="1592580" y="640080"/>
          <a:chExt cx="1668780" cy="647700"/>
        </a:xfrm>
        <a:effectLst>
          <a:outerShdw blurRad="50800" dist="38100" dir="2700000" algn="tl" rotWithShape="0">
            <a:prstClr val="black">
              <a:alpha val="40000"/>
            </a:prstClr>
          </a:outerShdw>
        </a:effectLst>
      </xdr:grpSpPr>
      <xdr:grpSp>
        <xdr:nvGrpSpPr>
          <xdr:cNvPr id="21" name="Group 20">
            <a:extLst>
              <a:ext uri="{FF2B5EF4-FFF2-40B4-BE49-F238E27FC236}">
                <a16:creationId xmlns:a16="http://schemas.microsoft.com/office/drawing/2014/main" id="{81940BAF-AE86-4D60-B051-EB23EE808461}"/>
              </a:ext>
            </a:extLst>
          </xdr:cNvPr>
          <xdr:cNvGrpSpPr/>
        </xdr:nvGrpSpPr>
        <xdr:grpSpPr>
          <a:xfrm>
            <a:off x="1592580" y="640080"/>
            <a:ext cx="1668780" cy="647700"/>
            <a:chOff x="1447800" y="1135380"/>
            <a:chExt cx="1668780" cy="647700"/>
          </a:xfrm>
        </xdr:grpSpPr>
        <xdr:sp macro="" textlink="">
          <xdr:nvSpPr>
            <xdr:cNvPr id="23" name="Rectangle 22">
              <a:extLst>
                <a:ext uri="{FF2B5EF4-FFF2-40B4-BE49-F238E27FC236}">
                  <a16:creationId xmlns:a16="http://schemas.microsoft.com/office/drawing/2014/main" id="{DA5EE436-E5BC-48E4-B500-91DEB6DE8DCB}"/>
                </a:ext>
              </a:extLst>
            </xdr:cNvPr>
            <xdr:cNvSpPr/>
          </xdr:nvSpPr>
          <xdr:spPr>
            <a:xfrm>
              <a:off x="1447800" y="1135380"/>
              <a:ext cx="1432560" cy="64770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1100"/>
            </a:p>
          </xdr:txBody>
        </xdr:sp>
        <xdr:sp macro="" textlink="">
          <xdr:nvSpPr>
            <xdr:cNvPr id="24" name="Rectangle 23">
              <a:extLst>
                <a:ext uri="{FF2B5EF4-FFF2-40B4-BE49-F238E27FC236}">
                  <a16:creationId xmlns:a16="http://schemas.microsoft.com/office/drawing/2014/main" id="{152B7472-6D4C-4FC5-B14A-9F1B4C11987D}"/>
                </a:ext>
              </a:extLst>
            </xdr:cNvPr>
            <xdr:cNvSpPr/>
          </xdr:nvSpPr>
          <xdr:spPr>
            <a:xfrm>
              <a:off x="1882140" y="1333500"/>
              <a:ext cx="1234440" cy="25146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00">
                  <a:solidFill>
                    <a:sysClr val="windowText" lastClr="000000"/>
                  </a:solidFill>
                </a:rPr>
                <a:t>Jackson Strand</a:t>
              </a:r>
            </a:p>
          </xdr:txBody>
        </xdr:sp>
      </xdr:grpSp>
      <xdr:pic>
        <xdr:nvPicPr>
          <xdr:cNvPr id="10" name="Picture 9">
            <a:extLst>
              <a:ext uri="{FF2B5EF4-FFF2-40B4-BE49-F238E27FC236}">
                <a16:creationId xmlns:a16="http://schemas.microsoft.com/office/drawing/2014/main" id="{B6239C20-228A-4C51-856F-9ECDE2EEAB97}"/>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696721" y="767292"/>
            <a:ext cx="292100" cy="388620"/>
          </a:xfrm>
          <a:prstGeom prst="rect">
            <a:avLst/>
          </a:prstGeom>
        </xdr:spPr>
      </xdr:pic>
    </xdr:grpSp>
    <xdr:clientData/>
  </xdr:twoCellAnchor>
  <xdr:twoCellAnchor>
    <xdr:from>
      <xdr:col>1</xdr:col>
      <xdr:colOff>60960</xdr:colOff>
      <xdr:row>9</xdr:row>
      <xdr:rowOff>96520</xdr:rowOff>
    </xdr:from>
    <xdr:to>
      <xdr:col>3</xdr:col>
      <xdr:colOff>304800</xdr:colOff>
      <xdr:row>11</xdr:row>
      <xdr:rowOff>157480</xdr:rowOff>
    </xdr:to>
    <xdr:grpSp>
      <xdr:nvGrpSpPr>
        <xdr:cNvPr id="18" name="Group 17">
          <a:hlinkClick xmlns:r="http://schemas.openxmlformats.org/officeDocument/2006/relationships" r:id="rId16"/>
          <a:extLst>
            <a:ext uri="{FF2B5EF4-FFF2-40B4-BE49-F238E27FC236}">
              <a16:creationId xmlns:a16="http://schemas.microsoft.com/office/drawing/2014/main" id="{090E75DD-5084-466D-9C54-C6B45E5C41D4}"/>
            </a:ext>
          </a:extLst>
        </xdr:cNvPr>
        <xdr:cNvGrpSpPr/>
      </xdr:nvGrpSpPr>
      <xdr:grpSpPr>
        <a:xfrm>
          <a:off x="1960880" y="2098040"/>
          <a:ext cx="1422400" cy="470535"/>
          <a:chOff x="1592580" y="1394460"/>
          <a:chExt cx="1432560" cy="670560"/>
        </a:xfrm>
        <a:effectLst>
          <a:outerShdw blurRad="50800" dist="38100" dir="2700000" algn="tl" rotWithShape="0">
            <a:prstClr val="black">
              <a:alpha val="40000"/>
            </a:prstClr>
          </a:outerShdw>
        </a:effectLst>
      </xdr:grpSpPr>
      <xdr:sp macro="" textlink="">
        <xdr:nvSpPr>
          <xdr:cNvPr id="33" name="Rectangle 32">
            <a:extLst>
              <a:ext uri="{FF2B5EF4-FFF2-40B4-BE49-F238E27FC236}">
                <a16:creationId xmlns:a16="http://schemas.microsoft.com/office/drawing/2014/main" id="{350485C3-C7B3-4F83-A8ED-D24A6AF71484}"/>
              </a:ext>
            </a:extLst>
          </xdr:cNvPr>
          <xdr:cNvSpPr/>
        </xdr:nvSpPr>
        <xdr:spPr>
          <a:xfrm>
            <a:off x="1592580" y="1394460"/>
            <a:ext cx="1432560" cy="67056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ysClr val="windowText" lastClr="000000"/>
                </a:solidFill>
              </a:rPr>
              <a:t>                   Twitter</a:t>
            </a:r>
          </a:p>
        </xdr:txBody>
      </xdr:sp>
      <xdr:pic>
        <xdr:nvPicPr>
          <xdr:cNvPr id="13" name="Picture 12">
            <a:extLst>
              <a:ext uri="{FF2B5EF4-FFF2-40B4-BE49-F238E27FC236}">
                <a16:creationId xmlns:a16="http://schemas.microsoft.com/office/drawing/2014/main" id="{DBC815EF-F551-40F9-AFB2-ABC82E671B16}"/>
              </a:ext>
            </a:extLst>
          </xdr:cNvPr>
          <xdr:cNvPicPr>
            <a:picLocks/>
          </xdr:cNvPicPr>
        </xdr:nvPicPr>
        <xdr:blipFill>
          <a:blip xmlns:r="http://schemas.openxmlformats.org/officeDocument/2006/relationships" r:embed="rId17">
            <a:extLst>
              <a:ext uri="{28A0092B-C50C-407E-A947-70E740481C1C}">
                <a14:useLocalDpi xmlns:a14="http://schemas.microsoft.com/office/drawing/2010/main" val="0"/>
              </a:ext>
              <a:ext uri="{837473B0-CC2E-450A-ABE3-18F120FF3D39}">
                <a1611:picAttrSrcUrl xmlns:a1611="http://schemas.microsoft.com/office/drawing/2016/11/main" r:id="rId18"/>
              </a:ext>
            </a:extLst>
          </a:blip>
          <a:stretch>
            <a:fillRect/>
          </a:stretch>
        </xdr:blipFill>
        <xdr:spPr>
          <a:xfrm>
            <a:off x="1668780" y="1542546"/>
            <a:ext cx="411480" cy="402336"/>
          </a:xfrm>
          <a:prstGeom prst="rect">
            <a:avLst/>
          </a:prstGeom>
        </xdr:spPr>
      </xdr:pic>
    </xdr:grpSp>
    <xdr:clientData/>
  </xdr:twoCellAnchor>
  <xdr:twoCellAnchor editAs="oneCell">
    <xdr:from>
      <xdr:col>0</xdr:col>
      <xdr:colOff>350520</xdr:colOff>
      <xdr:row>2</xdr:row>
      <xdr:rowOff>192506</xdr:rowOff>
    </xdr:from>
    <xdr:to>
      <xdr:col>0</xdr:col>
      <xdr:colOff>1531620</xdr:colOff>
      <xdr:row>8</xdr:row>
      <xdr:rowOff>120014</xdr:rowOff>
    </xdr:to>
    <xdr:pic>
      <xdr:nvPicPr>
        <xdr:cNvPr id="15" name="Picture 14">
          <a:extLst>
            <a:ext uri="{FF2B5EF4-FFF2-40B4-BE49-F238E27FC236}">
              <a16:creationId xmlns:a16="http://schemas.microsoft.com/office/drawing/2014/main" id="{77EB47B0-BDA3-48DC-9BDC-D278B7192FD9}"/>
            </a:ext>
          </a:extLst>
        </xdr:cNvPr>
        <xdr:cNvPicPr>
          <a:picLocks noChangeAspect="1"/>
        </xdr:cNvPicPr>
      </xdr:nvPicPr>
      <xdr:blipFill rotWithShape="1">
        <a:blip xmlns:r="http://schemas.openxmlformats.org/officeDocument/2006/relationships" r:embed="rId19">
          <a:extLst>
            <a:ext uri="{28A0092B-C50C-407E-A947-70E740481C1C}">
              <a14:useLocalDpi xmlns:a14="http://schemas.microsoft.com/office/drawing/2010/main" val="0"/>
            </a:ext>
          </a:extLst>
        </a:blip>
        <a:srcRect l="7333" t="12166" r="4667" b="4667"/>
        <a:stretch/>
      </xdr:blipFill>
      <xdr:spPr>
        <a:xfrm>
          <a:off x="350520" y="764006"/>
          <a:ext cx="1181100" cy="1116228"/>
        </a:xfrm>
        <a:prstGeom prst="rect">
          <a:avLst/>
        </a:prstGeom>
        <a:ln>
          <a:solidFill>
            <a:schemeClr val="tx1"/>
          </a:solidFill>
        </a:ln>
        <a:effectLst>
          <a:outerShdw blurRad="50800" dist="38100" dir="2700000" algn="tl" rotWithShape="0">
            <a:prstClr val="black">
              <a:alpha val="40000"/>
            </a:prstClr>
          </a:out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9</xdr:col>
      <xdr:colOff>76201</xdr:colOff>
      <xdr:row>0</xdr:row>
      <xdr:rowOff>28575</xdr:rowOff>
    </xdr:from>
    <xdr:to>
      <xdr:col>10</xdr:col>
      <xdr:colOff>866776</xdr:colOff>
      <xdr:row>1</xdr:row>
      <xdr:rowOff>28575</xdr:rowOff>
    </xdr:to>
    <xdr:sp macro="" textlink="">
      <xdr:nvSpPr>
        <xdr:cNvPr id="3" name="Rectangle: Rounded Corners 2">
          <a:hlinkClick xmlns:r="http://schemas.openxmlformats.org/officeDocument/2006/relationships" r:id="rId1" tooltip="Click to view Team Shooting"/>
          <a:extLst>
            <a:ext uri="{FF2B5EF4-FFF2-40B4-BE49-F238E27FC236}">
              <a16:creationId xmlns:a16="http://schemas.microsoft.com/office/drawing/2014/main" id="{AA158720-F617-4510-81DB-9E771E14A94C}"/>
            </a:ext>
          </a:extLst>
        </xdr:cNvPr>
        <xdr:cNvSpPr/>
      </xdr:nvSpPr>
      <xdr:spPr>
        <a:xfrm>
          <a:off x="5029201" y="28575"/>
          <a:ext cx="1809750" cy="200025"/>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View Team Shooting</a:t>
          </a:r>
        </a:p>
      </xdr:txBody>
    </xdr:sp>
    <xdr:clientData/>
  </xdr:twoCellAnchor>
  <xdr:twoCellAnchor>
    <xdr:from>
      <xdr:col>9</xdr:col>
      <xdr:colOff>85726</xdr:colOff>
      <xdr:row>1</xdr:row>
      <xdr:rowOff>95250</xdr:rowOff>
    </xdr:from>
    <xdr:to>
      <xdr:col>10</xdr:col>
      <xdr:colOff>857251</xdr:colOff>
      <xdr:row>2</xdr:row>
      <xdr:rowOff>104775</xdr:rowOff>
    </xdr:to>
    <xdr:sp macro="" textlink="">
      <xdr:nvSpPr>
        <xdr:cNvPr id="4" name="Rectangle: Rounded Corners 3">
          <a:hlinkClick xmlns:r="http://schemas.openxmlformats.org/officeDocument/2006/relationships" r:id="rId2" tooltip="Click to view Team Ranking"/>
          <a:extLst>
            <a:ext uri="{FF2B5EF4-FFF2-40B4-BE49-F238E27FC236}">
              <a16:creationId xmlns:a16="http://schemas.microsoft.com/office/drawing/2014/main" id="{2FC8D386-3ACC-4391-BC57-2BC6390E5FE9}"/>
            </a:ext>
          </a:extLst>
        </xdr:cNvPr>
        <xdr:cNvSpPr/>
      </xdr:nvSpPr>
      <xdr:spPr>
        <a:xfrm>
          <a:off x="5086351" y="295275"/>
          <a:ext cx="1790700" cy="200025"/>
        </a:xfrm>
        <a:prstGeom prst="roundRect">
          <a:avLst/>
        </a:prstGeom>
        <a:solidFill>
          <a:schemeClr val="accent4">
            <a:lumMod val="60000"/>
            <a:lumOff val="4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View Team Ranking</a:t>
          </a:r>
        </a:p>
      </xdr:txBody>
    </xdr:sp>
    <xdr:clientData/>
  </xdr:twoCellAnchor>
  <xdr:twoCellAnchor>
    <xdr:from>
      <xdr:col>10</xdr:col>
      <xdr:colOff>952501</xdr:colOff>
      <xdr:row>0</xdr:row>
      <xdr:rowOff>28575</xdr:rowOff>
    </xdr:from>
    <xdr:to>
      <xdr:col>12</xdr:col>
      <xdr:colOff>723901</xdr:colOff>
      <xdr:row>1</xdr:row>
      <xdr:rowOff>28575</xdr:rowOff>
    </xdr:to>
    <xdr:sp macro="" textlink="">
      <xdr:nvSpPr>
        <xdr:cNvPr id="16" name="Rectangle: Rounded Corners 15">
          <a:hlinkClick xmlns:r="http://schemas.openxmlformats.org/officeDocument/2006/relationships" r:id="rId3" tooltip="Click to view Term Glossary"/>
          <a:extLst>
            <a:ext uri="{FF2B5EF4-FFF2-40B4-BE49-F238E27FC236}">
              <a16:creationId xmlns:a16="http://schemas.microsoft.com/office/drawing/2014/main" id="{0C16E296-0C97-40F2-9BCE-31C62214189D}"/>
            </a:ext>
          </a:extLst>
        </xdr:cNvPr>
        <xdr:cNvSpPr/>
      </xdr:nvSpPr>
      <xdr:spPr>
        <a:xfrm>
          <a:off x="6972301" y="28575"/>
          <a:ext cx="1809750" cy="200025"/>
        </a:xfrm>
        <a:prstGeom prst="roundRect">
          <a:avLst/>
        </a:prstGeom>
        <a:solidFill>
          <a:schemeClr val="accent2"/>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View Term</a:t>
          </a:r>
          <a:r>
            <a:rPr lang="en-US" sz="1100" baseline="0"/>
            <a:t> Glossary</a:t>
          </a:r>
          <a:endParaRPr lang="en-US" sz="1100"/>
        </a:p>
      </xdr:txBody>
    </xdr:sp>
    <xdr:clientData/>
  </xdr:twoCellAnchor>
  <xdr:twoCellAnchor>
    <xdr:from>
      <xdr:col>15</xdr:col>
      <xdr:colOff>123825</xdr:colOff>
      <xdr:row>3</xdr:row>
      <xdr:rowOff>0</xdr:rowOff>
    </xdr:from>
    <xdr:to>
      <xdr:col>20</xdr:col>
      <xdr:colOff>38100</xdr:colOff>
      <xdr:row>10</xdr:row>
      <xdr:rowOff>161925</xdr:rowOff>
    </xdr:to>
    <xdr:grpSp>
      <xdr:nvGrpSpPr>
        <xdr:cNvPr id="19" name="Group 18">
          <a:extLst>
            <a:ext uri="{FF2B5EF4-FFF2-40B4-BE49-F238E27FC236}">
              <a16:creationId xmlns:a16="http://schemas.microsoft.com/office/drawing/2014/main" id="{05CA6F0B-3474-4CA1-A1BD-DF3A8334DABA}"/>
            </a:ext>
          </a:extLst>
        </xdr:cNvPr>
        <xdr:cNvGrpSpPr/>
      </xdr:nvGrpSpPr>
      <xdr:grpSpPr>
        <a:xfrm>
          <a:off x="11268075" y="581025"/>
          <a:ext cx="2552700" cy="1495425"/>
          <a:chOff x="10944225" y="485775"/>
          <a:chExt cx="2381250" cy="1495425"/>
        </a:xfrm>
      </xdr:grpSpPr>
      <xdr:grpSp>
        <xdr:nvGrpSpPr>
          <xdr:cNvPr id="14" name="Group 13">
            <a:extLst>
              <a:ext uri="{FF2B5EF4-FFF2-40B4-BE49-F238E27FC236}">
                <a16:creationId xmlns:a16="http://schemas.microsoft.com/office/drawing/2014/main" id="{B7D8040E-DD8C-4230-ACF2-97BFFA583F4C}"/>
              </a:ext>
            </a:extLst>
          </xdr:cNvPr>
          <xdr:cNvGrpSpPr/>
        </xdr:nvGrpSpPr>
        <xdr:grpSpPr>
          <a:xfrm>
            <a:off x="10944225" y="485775"/>
            <a:ext cx="2381250" cy="1495425"/>
            <a:chOff x="11096625" y="1352550"/>
            <a:chExt cx="2381250" cy="1495425"/>
          </a:xfrm>
        </xdr:grpSpPr>
        <xdr:sp macro="" textlink="">
          <xdr:nvSpPr>
            <xdr:cNvPr id="5" name="Rectangle 4">
              <a:extLst>
                <a:ext uri="{FF2B5EF4-FFF2-40B4-BE49-F238E27FC236}">
                  <a16:creationId xmlns:a16="http://schemas.microsoft.com/office/drawing/2014/main" id="{1B481A54-4299-409A-B3CF-490700FBFE70}"/>
                </a:ext>
              </a:extLst>
            </xdr:cNvPr>
            <xdr:cNvSpPr/>
          </xdr:nvSpPr>
          <xdr:spPr>
            <a:xfrm>
              <a:off x="11096625" y="1352550"/>
              <a:ext cx="2362200" cy="1495425"/>
            </a:xfrm>
            <a:prstGeom prst="rect">
              <a:avLst/>
            </a:prstGeom>
            <a:solidFill>
              <a:sysClr val="window" lastClr="FFFFFF"/>
            </a:solidFill>
            <a:ln>
              <a:solidFill>
                <a:sysClr val="windowText" lastClr="00000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 name="TextBox 5">
              <a:extLst>
                <a:ext uri="{FF2B5EF4-FFF2-40B4-BE49-F238E27FC236}">
                  <a16:creationId xmlns:a16="http://schemas.microsoft.com/office/drawing/2014/main" id="{60C37015-918D-405B-BFF5-10871A43F8F4}"/>
                </a:ext>
              </a:extLst>
            </xdr:cNvPr>
            <xdr:cNvSpPr txBox="1"/>
          </xdr:nvSpPr>
          <xdr:spPr>
            <a:xfrm>
              <a:off x="11210925" y="1476375"/>
              <a:ext cx="504825" cy="200025"/>
            </a:xfrm>
            <a:prstGeom prst="rect">
              <a:avLst/>
            </a:prstGeom>
            <a:solidFill>
              <a:schemeClr val="accent1">
                <a:lumMod val="20000"/>
                <a:lumOff val="80000"/>
              </a:schemeClr>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UFA</a:t>
              </a:r>
            </a:p>
          </xdr:txBody>
        </xdr:sp>
        <xdr:sp macro="" textlink="">
          <xdr:nvSpPr>
            <xdr:cNvPr id="7" name="TextBox 6">
              <a:extLst>
                <a:ext uri="{FF2B5EF4-FFF2-40B4-BE49-F238E27FC236}">
                  <a16:creationId xmlns:a16="http://schemas.microsoft.com/office/drawing/2014/main" id="{59F196C0-0700-4D49-B6C1-553F937862C1}"/>
                </a:ext>
              </a:extLst>
            </xdr:cNvPr>
            <xdr:cNvSpPr txBox="1"/>
          </xdr:nvSpPr>
          <xdr:spPr>
            <a:xfrm>
              <a:off x="11677650" y="1438275"/>
              <a:ext cx="180022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Unrestricted Free Agent</a:t>
              </a:r>
            </a:p>
          </xdr:txBody>
        </xdr:sp>
        <xdr:sp macro="" textlink="">
          <xdr:nvSpPr>
            <xdr:cNvPr id="8" name="TextBox 7">
              <a:extLst>
                <a:ext uri="{FF2B5EF4-FFF2-40B4-BE49-F238E27FC236}">
                  <a16:creationId xmlns:a16="http://schemas.microsoft.com/office/drawing/2014/main" id="{27839BB3-9510-438B-8AFC-078E7A20950E}"/>
                </a:ext>
              </a:extLst>
            </xdr:cNvPr>
            <xdr:cNvSpPr txBox="1"/>
          </xdr:nvSpPr>
          <xdr:spPr>
            <a:xfrm>
              <a:off x="11210925" y="1752600"/>
              <a:ext cx="504825" cy="200025"/>
            </a:xfrm>
            <a:prstGeom prst="rect">
              <a:avLst/>
            </a:prstGeom>
            <a:solidFill>
              <a:schemeClr val="accent2">
                <a:lumMod val="20000"/>
                <a:lumOff val="80000"/>
              </a:schemeClr>
            </a:solidFill>
            <a:ln w="9525" cmpd="sng">
              <a:solidFill>
                <a:schemeClr val="accent2">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RFA</a:t>
              </a:r>
            </a:p>
          </xdr:txBody>
        </xdr:sp>
        <xdr:sp macro="" textlink="">
          <xdr:nvSpPr>
            <xdr:cNvPr id="9" name="TextBox 8">
              <a:extLst>
                <a:ext uri="{FF2B5EF4-FFF2-40B4-BE49-F238E27FC236}">
                  <a16:creationId xmlns:a16="http://schemas.microsoft.com/office/drawing/2014/main" id="{CC3B196C-234B-4125-9E46-A4E4ED9CF466}"/>
                </a:ext>
              </a:extLst>
            </xdr:cNvPr>
            <xdr:cNvSpPr txBox="1"/>
          </xdr:nvSpPr>
          <xdr:spPr>
            <a:xfrm>
              <a:off x="11677650" y="1704975"/>
              <a:ext cx="180022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Restricted Free Agent</a:t>
              </a:r>
            </a:p>
          </xdr:txBody>
        </xdr:sp>
        <xdr:sp macro="" textlink="">
          <xdr:nvSpPr>
            <xdr:cNvPr id="10" name="TextBox 9">
              <a:extLst>
                <a:ext uri="{FF2B5EF4-FFF2-40B4-BE49-F238E27FC236}">
                  <a16:creationId xmlns:a16="http://schemas.microsoft.com/office/drawing/2014/main" id="{2BF3398D-51BA-4AEB-9AAD-EE2F497531D7}"/>
                </a:ext>
              </a:extLst>
            </xdr:cNvPr>
            <xdr:cNvSpPr txBox="1"/>
          </xdr:nvSpPr>
          <xdr:spPr>
            <a:xfrm>
              <a:off x="11210925" y="2038350"/>
              <a:ext cx="504825" cy="200025"/>
            </a:xfrm>
            <a:prstGeom prst="rect">
              <a:avLst/>
            </a:prstGeom>
            <a:noFill/>
            <a:ln w="9525" cmpd="sng">
              <a:solidFill>
                <a:schemeClr val="bg1">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rgbClr val="FF0000"/>
                  </a:solidFill>
                </a:rPr>
                <a:t>$</a:t>
              </a:r>
              <a:r>
                <a:rPr lang="en-US" sz="1100" baseline="0">
                  <a:solidFill>
                    <a:srgbClr val="FF0000"/>
                  </a:solidFill>
                </a:rPr>
                <a:t> 123</a:t>
              </a:r>
              <a:endParaRPr lang="en-US" sz="1100">
                <a:solidFill>
                  <a:srgbClr val="FF0000"/>
                </a:solidFill>
              </a:endParaRPr>
            </a:p>
          </xdr:txBody>
        </xdr:sp>
        <xdr:sp macro="" textlink="">
          <xdr:nvSpPr>
            <xdr:cNvPr id="11" name="TextBox 10">
              <a:extLst>
                <a:ext uri="{FF2B5EF4-FFF2-40B4-BE49-F238E27FC236}">
                  <a16:creationId xmlns:a16="http://schemas.microsoft.com/office/drawing/2014/main" id="{D018CE89-37C9-4F45-98A2-66BF28BC748A}"/>
                </a:ext>
              </a:extLst>
            </xdr:cNvPr>
            <xdr:cNvSpPr txBox="1"/>
          </xdr:nvSpPr>
          <xdr:spPr>
            <a:xfrm>
              <a:off x="11677650" y="2000250"/>
              <a:ext cx="180022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Team Option</a:t>
              </a:r>
            </a:p>
          </xdr:txBody>
        </xdr:sp>
        <xdr:sp macro="" textlink="">
          <xdr:nvSpPr>
            <xdr:cNvPr id="12" name="TextBox 11">
              <a:extLst>
                <a:ext uri="{FF2B5EF4-FFF2-40B4-BE49-F238E27FC236}">
                  <a16:creationId xmlns:a16="http://schemas.microsoft.com/office/drawing/2014/main" id="{283EEEF1-7FCC-4E21-B7D7-2048ACF3559B}"/>
                </a:ext>
              </a:extLst>
            </xdr:cNvPr>
            <xdr:cNvSpPr txBox="1"/>
          </xdr:nvSpPr>
          <xdr:spPr>
            <a:xfrm>
              <a:off x="11210925" y="2314575"/>
              <a:ext cx="504825" cy="200025"/>
            </a:xfrm>
            <a:prstGeom prst="rect">
              <a:avLst/>
            </a:prstGeom>
            <a:noFill/>
            <a:ln w="9525" cmpd="sng">
              <a:solidFill>
                <a:schemeClr val="bg1">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rgbClr val="00B050"/>
                  </a:solidFill>
                </a:rPr>
                <a:t>$</a:t>
              </a:r>
              <a:r>
                <a:rPr lang="en-US" sz="1100" baseline="0">
                  <a:solidFill>
                    <a:srgbClr val="00B050"/>
                  </a:solidFill>
                </a:rPr>
                <a:t> 123</a:t>
              </a:r>
              <a:endParaRPr lang="en-US" sz="1100">
                <a:solidFill>
                  <a:srgbClr val="00B050"/>
                </a:solidFill>
              </a:endParaRPr>
            </a:p>
          </xdr:txBody>
        </xdr:sp>
        <xdr:sp macro="" textlink="">
          <xdr:nvSpPr>
            <xdr:cNvPr id="13" name="TextBox 12">
              <a:extLst>
                <a:ext uri="{FF2B5EF4-FFF2-40B4-BE49-F238E27FC236}">
                  <a16:creationId xmlns:a16="http://schemas.microsoft.com/office/drawing/2014/main" id="{FAB6E535-9445-4E29-9C00-8BF9FA5AB372}"/>
                </a:ext>
              </a:extLst>
            </xdr:cNvPr>
            <xdr:cNvSpPr txBox="1"/>
          </xdr:nvSpPr>
          <xdr:spPr>
            <a:xfrm>
              <a:off x="11677650" y="2286000"/>
              <a:ext cx="180022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Player Option</a:t>
              </a:r>
            </a:p>
          </xdr:txBody>
        </xdr:sp>
      </xdr:grpSp>
      <xdr:sp macro="" textlink="">
        <xdr:nvSpPr>
          <xdr:cNvPr id="17" name="TextBox 16">
            <a:extLst>
              <a:ext uri="{FF2B5EF4-FFF2-40B4-BE49-F238E27FC236}">
                <a16:creationId xmlns:a16="http://schemas.microsoft.com/office/drawing/2014/main" id="{3611DB5F-DC24-4FE2-B1AB-97B9D02C3027}"/>
              </a:ext>
            </a:extLst>
          </xdr:cNvPr>
          <xdr:cNvSpPr txBox="1"/>
        </xdr:nvSpPr>
        <xdr:spPr>
          <a:xfrm>
            <a:off x="11058525" y="1724025"/>
            <a:ext cx="504825"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RANK</a:t>
            </a:r>
          </a:p>
        </xdr:txBody>
      </xdr:sp>
      <xdr:sp macro="" textlink="">
        <xdr:nvSpPr>
          <xdr:cNvPr id="18" name="TextBox 17">
            <a:extLst>
              <a:ext uri="{FF2B5EF4-FFF2-40B4-BE49-F238E27FC236}">
                <a16:creationId xmlns:a16="http://schemas.microsoft.com/office/drawing/2014/main" id="{B607A038-2C94-4A81-AD75-57800CBA692F}"/>
              </a:ext>
            </a:extLst>
          </xdr:cNvPr>
          <xdr:cNvSpPr txBox="1"/>
        </xdr:nvSpPr>
        <xdr:spPr>
          <a:xfrm>
            <a:off x="11525250" y="1685925"/>
            <a:ext cx="180022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Percentile</a:t>
            </a:r>
            <a:r>
              <a:rPr lang="en-US" sz="1100" baseline="0"/>
              <a:t> value</a:t>
            </a:r>
          </a:p>
        </xdr:txBody>
      </xdr:sp>
    </xdr:grpSp>
    <xdr:clientData/>
  </xdr:twoCellAnchor>
  <xdr:twoCellAnchor>
    <xdr:from>
      <xdr:col>19</xdr:col>
      <xdr:colOff>533399</xdr:colOff>
      <xdr:row>9</xdr:row>
      <xdr:rowOff>104774</xdr:rowOff>
    </xdr:from>
    <xdr:to>
      <xdr:col>19</xdr:col>
      <xdr:colOff>743711</xdr:colOff>
      <xdr:row>10</xdr:row>
      <xdr:rowOff>123825</xdr:rowOff>
    </xdr:to>
    <xdr:sp macro="" textlink="">
      <xdr:nvSpPr>
        <xdr:cNvPr id="2" name="Oval 1">
          <a:hlinkClick xmlns:r="http://schemas.openxmlformats.org/officeDocument/2006/relationships" r:id="rId4" tooltip="Click for More Information"/>
          <a:extLst>
            <a:ext uri="{FF2B5EF4-FFF2-40B4-BE49-F238E27FC236}">
              <a16:creationId xmlns:a16="http://schemas.microsoft.com/office/drawing/2014/main" id="{8B00F8A1-CDF0-45F4-B421-77D024FF58E9}"/>
            </a:ext>
          </a:extLst>
        </xdr:cNvPr>
        <xdr:cNvSpPr>
          <a:spLocks noChangeAspect="1"/>
        </xdr:cNvSpPr>
      </xdr:nvSpPr>
      <xdr:spPr>
        <a:xfrm>
          <a:off x="13544549" y="1828799"/>
          <a:ext cx="210312" cy="209551"/>
        </a:xfrm>
        <a:prstGeom prst="ellipse">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t>
          </a:r>
        </a:p>
      </xdr:txBody>
    </xdr:sp>
    <xdr:clientData/>
  </xdr:twoCellAnchor>
  <xdr:twoCellAnchor>
    <xdr:from>
      <xdr:col>0</xdr:col>
      <xdr:colOff>133350</xdr:colOff>
      <xdr:row>52</xdr:row>
      <xdr:rowOff>152400</xdr:rowOff>
    </xdr:from>
    <xdr:to>
      <xdr:col>0</xdr:col>
      <xdr:colOff>1476375</xdr:colOff>
      <xdr:row>55</xdr:row>
      <xdr:rowOff>0</xdr:rowOff>
    </xdr:to>
    <xdr:sp macro="" textlink="">
      <xdr:nvSpPr>
        <xdr:cNvPr id="15" name="Rectangle 14">
          <a:hlinkClick xmlns:r="http://schemas.openxmlformats.org/officeDocument/2006/relationships" r:id="rId5"/>
          <a:extLst>
            <a:ext uri="{FF2B5EF4-FFF2-40B4-BE49-F238E27FC236}">
              <a16:creationId xmlns:a16="http://schemas.microsoft.com/office/drawing/2014/main" id="{4F9C17B6-6CC2-4C58-B775-09D328DE01E4}"/>
            </a:ext>
          </a:extLst>
        </xdr:cNvPr>
        <xdr:cNvSpPr/>
      </xdr:nvSpPr>
      <xdr:spPr>
        <a:xfrm>
          <a:off x="133350" y="10086975"/>
          <a:ext cx="1343025" cy="419100"/>
        </a:xfrm>
        <a:prstGeom prst="rect">
          <a:avLst/>
        </a:prstGeom>
        <a:solidFill>
          <a:schemeClr val="accent3">
            <a:lumMod val="40000"/>
            <a:lumOff val="6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ysClr val="windowText" lastClr="000000"/>
              </a:solidFill>
            </a:rPr>
            <a:t>Back to top ↑</a:t>
          </a:r>
        </a:p>
      </xdr:txBody>
    </xdr:sp>
    <xdr:clientData/>
  </xdr:twoCellAnchor>
  <xdr:twoCellAnchor>
    <xdr:from>
      <xdr:col>10</xdr:col>
      <xdr:colOff>952501</xdr:colOff>
      <xdr:row>1</xdr:row>
      <xdr:rowOff>95250</xdr:rowOff>
    </xdr:from>
    <xdr:to>
      <xdr:col>12</xdr:col>
      <xdr:colOff>723901</xdr:colOff>
      <xdr:row>2</xdr:row>
      <xdr:rowOff>104775</xdr:rowOff>
    </xdr:to>
    <xdr:sp macro="" textlink="">
      <xdr:nvSpPr>
        <xdr:cNvPr id="20" name="Rectangle: Rounded Corners 19">
          <a:hlinkClick xmlns:r="http://schemas.openxmlformats.org/officeDocument/2006/relationships" r:id="rId6" tooltip="Click to view all player salaries"/>
          <a:extLst>
            <a:ext uri="{FF2B5EF4-FFF2-40B4-BE49-F238E27FC236}">
              <a16:creationId xmlns:a16="http://schemas.microsoft.com/office/drawing/2014/main" id="{92C8E025-D86C-44FF-A7AB-4888C7554D09}"/>
            </a:ext>
          </a:extLst>
        </xdr:cNvPr>
        <xdr:cNvSpPr/>
      </xdr:nvSpPr>
      <xdr:spPr>
        <a:xfrm>
          <a:off x="6972301" y="295275"/>
          <a:ext cx="1809750" cy="200025"/>
        </a:xfrm>
        <a:prstGeom prst="roundRect">
          <a:avLst/>
        </a:prstGeom>
        <a:solidFill>
          <a:schemeClr val="accent1">
            <a:lumMod val="40000"/>
            <a:lumOff val="6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View all</a:t>
          </a:r>
          <a:r>
            <a:rPr lang="en-US" sz="1100" baseline="0">
              <a:solidFill>
                <a:sysClr val="windowText" lastClr="000000"/>
              </a:solidFill>
            </a:rPr>
            <a:t> player salaries</a:t>
          </a:r>
          <a:endParaRPr lang="en-US" sz="110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78797</xdr:colOff>
      <xdr:row>0</xdr:row>
      <xdr:rowOff>88323</xdr:rowOff>
    </xdr:from>
    <xdr:to>
      <xdr:col>5</xdr:col>
      <xdr:colOff>432954</xdr:colOff>
      <xdr:row>2</xdr:row>
      <xdr:rowOff>147205</xdr:rowOff>
    </xdr:to>
    <xdr:sp macro="" textlink="">
      <xdr:nvSpPr>
        <xdr:cNvPr id="2" name="Rectangle: Rounded Corners 1">
          <a:hlinkClick xmlns:r="http://schemas.openxmlformats.org/officeDocument/2006/relationships" r:id="rId1" tooltip="Click to Change Teams"/>
          <a:extLst>
            <a:ext uri="{FF2B5EF4-FFF2-40B4-BE49-F238E27FC236}">
              <a16:creationId xmlns:a16="http://schemas.microsoft.com/office/drawing/2014/main" id="{DDB04F12-6703-4923-9F88-32738D2E53AC}"/>
            </a:ext>
          </a:extLst>
        </xdr:cNvPr>
        <xdr:cNvSpPr/>
      </xdr:nvSpPr>
      <xdr:spPr>
        <a:xfrm>
          <a:off x="1897206" y="88323"/>
          <a:ext cx="1566430" cy="448541"/>
        </a:xfrm>
        <a:prstGeom prst="roundRect">
          <a:avLst/>
        </a:prstGeom>
        <a:solidFill>
          <a:srgbClr val="7030A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t>Back</a:t>
          </a:r>
          <a:r>
            <a:rPr lang="en-US" sz="900" baseline="0"/>
            <a:t> to Roster Analysis &amp; Change Team</a:t>
          </a:r>
          <a:endParaRPr lang="en-US" sz="900"/>
        </a:p>
      </xdr:txBody>
    </xdr:sp>
    <xdr:clientData/>
  </xdr:twoCellAnchor>
  <xdr:twoCellAnchor>
    <xdr:from>
      <xdr:col>8</xdr:col>
      <xdr:colOff>466874</xdr:colOff>
      <xdr:row>22</xdr:row>
      <xdr:rowOff>172465</xdr:rowOff>
    </xdr:from>
    <xdr:to>
      <xdr:col>12</xdr:col>
      <xdr:colOff>649505</xdr:colOff>
      <xdr:row>37</xdr:row>
      <xdr:rowOff>35579</xdr:rowOff>
    </xdr:to>
    <xdr:graphicFrame macro="">
      <xdr:nvGraphicFramePr>
        <xdr:cNvPr id="16" name="Chart 15">
          <a:extLst>
            <a:ext uri="{FF2B5EF4-FFF2-40B4-BE49-F238E27FC236}">
              <a16:creationId xmlns:a16="http://schemas.microsoft.com/office/drawing/2014/main" id="{30C320D2-7D30-41A3-AB03-BD20F4B276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161837</xdr:colOff>
      <xdr:row>7</xdr:row>
      <xdr:rowOff>81886</xdr:rowOff>
    </xdr:from>
    <xdr:to>
      <xdr:col>7</xdr:col>
      <xdr:colOff>125292</xdr:colOff>
      <xdr:row>26</xdr:row>
      <xdr:rowOff>44516</xdr:rowOff>
    </xdr:to>
    <xdr:grpSp>
      <xdr:nvGrpSpPr>
        <xdr:cNvPr id="38" name="Group 37">
          <a:extLst>
            <a:ext uri="{FF2B5EF4-FFF2-40B4-BE49-F238E27FC236}">
              <a16:creationId xmlns:a16="http://schemas.microsoft.com/office/drawing/2014/main" id="{5D204961-5DC5-4386-9986-4FC80B4F96C3}"/>
            </a:ext>
          </a:extLst>
        </xdr:cNvPr>
        <xdr:cNvGrpSpPr/>
      </xdr:nvGrpSpPr>
      <xdr:grpSpPr>
        <a:xfrm>
          <a:off x="752387" y="1434436"/>
          <a:ext cx="3630580" cy="3620230"/>
          <a:chOff x="9086850" y="3429000"/>
          <a:chExt cx="3648075" cy="3638550"/>
        </a:xfrm>
      </xdr:grpSpPr>
      <xdr:grpSp>
        <xdr:nvGrpSpPr>
          <xdr:cNvPr id="37" name="Group 36">
            <a:extLst>
              <a:ext uri="{FF2B5EF4-FFF2-40B4-BE49-F238E27FC236}">
                <a16:creationId xmlns:a16="http://schemas.microsoft.com/office/drawing/2014/main" id="{870ECDAF-E292-4ECC-ADF5-3A7F24355B60}"/>
              </a:ext>
            </a:extLst>
          </xdr:cNvPr>
          <xdr:cNvGrpSpPr/>
        </xdr:nvGrpSpPr>
        <xdr:grpSpPr>
          <a:xfrm>
            <a:off x="9086850" y="3429000"/>
            <a:ext cx="3648075" cy="3638550"/>
            <a:chOff x="14420850" y="3581400"/>
            <a:chExt cx="3648075" cy="3638550"/>
          </a:xfrm>
        </xdr:grpSpPr>
        <xdr:grpSp>
          <xdr:nvGrpSpPr>
            <xdr:cNvPr id="36" name="Group 35">
              <a:extLst>
                <a:ext uri="{FF2B5EF4-FFF2-40B4-BE49-F238E27FC236}">
                  <a16:creationId xmlns:a16="http://schemas.microsoft.com/office/drawing/2014/main" id="{4EE6D1DF-0237-423F-A41A-4C3A3A35FCC0}"/>
                </a:ext>
              </a:extLst>
            </xdr:cNvPr>
            <xdr:cNvGrpSpPr/>
          </xdr:nvGrpSpPr>
          <xdr:grpSpPr>
            <a:xfrm>
              <a:off x="14420850" y="3581400"/>
              <a:ext cx="3638550" cy="3638550"/>
              <a:chOff x="9096375" y="3409950"/>
              <a:chExt cx="3638550" cy="3638550"/>
            </a:xfrm>
          </xdr:grpSpPr>
          <xdr:grpSp>
            <xdr:nvGrpSpPr>
              <xdr:cNvPr id="35" name="Group 34">
                <a:extLst>
                  <a:ext uri="{FF2B5EF4-FFF2-40B4-BE49-F238E27FC236}">
                    <a16:creationId xmlns:a16="http://schemas.microsoft.com/office/drawing/2014/main" id="{EF3C5AD1-5B5A-452B-BA23-6675F569129C}"/>
                  </a:ext>
                </a:extLst>
              </xdr:cNvPr>
              <xdr:cNvGrpSpPr/>
            </xdr:nvGrpSpPr>
            <xdr:grpSpPr>
              <a:xfrm>
                <a:off x="9096375" y="3409950"/>
                <a:ext cx="3638550" cy="3638550"/>
                <a:chOff x="9096375" y="3409950"/>
                <a:chExt cx="3638550" cy="3638550"/>
              </a:xfrm>
            </xdr:grpSpPr>
            <xdr:sp macro="" textlink="">
              <xdr:nvSpPr>
                <xdr:cNvPr id="27" name="Rectangle 26">
                  <a:extLst>
                    <a:ext uri="{FF2B5EF4-FFF2-40B4-BE49-F238E27FC236}">
                      <a16:creationId xmlns:a16="http://schemas.microsoft.com/office/drawing/2014/main" id="{BA49B142-3958-474F-912C-58F1E714EECD}"/>
                    </a:ext>
                  </a:extLst>
                </xdr:cNvPr>
                <xdr:cNvSpPr/>
              </xdr:nvSpPr>
              <xdr:spPr>
                <a:xfrm>
                  <a:off x="9122487" y="4383873"/>
                  <a:ext cx="3581400" cy="2638425"/>
                </a:xfrm>
                <a:prstGeom prst="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 name="Flowchart: Delay 3">
                  <a:extLst>
                    <a:ext uri="{FF2B5EF4-FFF2-40B4-BE49-F238E27FC236}">
                      <a16:creationId xmlns:a16="http://schemas.microsoft.com/office/drawing/2014/main" id="{091D916A-2F66-413E-87E9-1599FBF8C3C3}"/>
                    </a:ext>
                  </a:extLst>
                </xdr:cNvPr>
                <xdr:cNvSpPr/>
              </xdr:nvSpPr>
              <xdr:spPr>
                <a:xfrm rot="5400000">
                  <a:off x="9769525" y="3959278"/>
                  <a:ext cx="2306536" cy="3186114"/>
                </a:xfrm>
                <a:custGeom>
                  <a:avLst/>
                  <a:gdLst>
                    <a:gd name="connsiteX0" fmla="*/ 0 w 1604961"/>
                    <a:gd name="connsiteY0" fmla="*/ 0 h 1990725"/>
                    <a:gd name="connsiteX1" fmla="*/ 802481 w 1604961"/>
                    <a:gd name="connsiteY1" fmla="*/ 0 h 1990725"/>
                    <a:gd name="connsiteX2" fmla="*/ 1604962 w 1604961"/>
                    <a:gd name="connsiteY2" fmla="*/ 995363 h 1990725"/>
                    <a:gd name="connsiteX3" fmla="*/ 802481 w 1604961"/>
                    <a:gd name="connsiteY3" fmla="*/ 1990726 h 1990725"/>
                    <a:gd name="connsiteX4" fmla="*/ 0 w 1604961"/>
                    <a:gd name="connsiteY4" fmla="*/ 1990725 h 1990725"/>
                    <a:gd name="connsiteX5" fmla="*/ 0 w 1604961"/>
                    <a:gd name="connsiteY5" fmla="*/ 0 h 1990725"/>
                    <a:gd name="connsiteX0" fmla="*/ 0 w 1604962"/>
                    <a:gd name="connsiteY0" fmla="*/ 0 h 1990726"/>
                    <a:gd name="connsiteX1" fmla="*/ 802481 w 1604962"/>
                    <a:gd name="connsiteY1" fmla="*/ 0 h 1990726"/>
                    <a:gd name="connsiteX2" fmla="*/ 1604962 w 1604962"/>
                    <a:gd name="connsiteY2" fmla="*/ 995363 h 1990726"/>
                    <a:gd name="connsiteX3" fmla="*/ 802481 w 1604962"/>
                    <a:gd name="connsiteY3" fmla="*/ 1990726 h 1990726"/>
                    <a:gd name="connsiteX4" fmla="*/ 180975 w 1604962"/>
                    <a:gd name="connsiteY4" fmla="*/ 1990725 h 1990726"/>
                    <a:gd name="connsiteX5" fmla="*/ 0 w 1604962"/>
                    <a:gd name="connsiteY5" fmla="*/ 0 h 1990726"/>
                    <a:gd name="connsiteX0" fmla="*/ 0 w 1433512"/>
                    <a:gd name="connsiteY0" fmla="*/ 0 h 1990726"/>
                    <a:gd name="connsiteX1" fmla="*/ 631031 w 1433512"/>
                    <a:gd name="connsiteY1" fmla="*/ 0 h 1990726"/>
                    <a:gd name="connsiteX2" fmla="*/ 1433512 w 1433512"/>
                    <a:gd name="connsiteY2" fmla="*/ 995363 h 1990726"/>
                    <a:gd name="connsiteX3" fmla="*/ 631031 w 1433512"/>
                    <a:gd name="connsiteY3" fmla="*/ 1990726 h 1990726"/>
                    <a:gd name="connsiteX4" fmla="*/ 9525 w 1433512"/>
                    <a:gd name="connsiteY4" fmla="*/ 1990725 h 1990726"/>
                    <a:gd name="connsiteX5" fmla="*/ 0 w 1433512"/>
                    <a:gd name="connsiteY5" fmla="*/ 0 h 1990726"/>
                    <a:gd name="connsiteX0" fmla="*/ 0 w 1433512"/>
                    <a:gd name="connsiteY0" fmla="*/ 0 h 1990726"/>
                    <a:gd name="connsiteX1" fmla="*/ 631031 w 1433512"/>
                    <a:gd name="connsiteY1" fmla="*/ 0 h 1990726"/>
                    <a:gd name="connsiteX2" fmla="*/ 1433512 w 1433512"/>
                    <a:gd name="connsiteY2" fmla="*/ 995363 h 1990726"/>
                    <a:gd name="connsiteX3" fmla="*/ 631031 w 1433512"/>
                    <a:gd name="connsiteY3" fmla="*/ 1990726 h 1990726"/>
                    <a:gd name="connsiteX4" fmla="*/ 304800 w 1433512"/>
                    <a:gd name="connsiteY4" fmla="*/ 1990725 h 1990726"/>
                    <a:gd name="connsiteX5" fmla="*/ 0 w 1433512"/>
                    <a:gd name="connsiteY5" fmla="*/ 0 h 1990726"/>
                    <a:gd name="connsiteX0" fmla="*/ 0 w 1128712"/>
                    <a:gd name="connsiteY0" fmla="*/ 0 h 1990726"/>
                    <a:gd name="connsiteX1" fmla="*/ 326231 w 1128712"/>
                    <a:gd name="connsiteY1" fmla="*/ 0 h 1990726"/>
                    <a:gd name="connsiteX2" fmla="*/ 1128712 w 1128712"/>
                    <a:gd name="connsiteY2" fmla="*/ 995363 h 1990726"/>
                    <a:gd name="connsiteX3" fmla="*/ 326231 w 1128712"/>
                    <a:gd name="connsiteY3" fmla="*/ 1990726 h 1990726"/>
                    <a:gd name="connsiteX4" fmla="*/ 0 w 1128712"/>
                    <a:gd name="connsiteY4" fmla="*/ 1990725 h 1990726"/>
                    <a:gd name="connsiteX5" fmla="*/ 0 w 1128712"/>
                    <a:gd name="connsiteY5" fmla="*/ 0 h 1990726"/>
                    <a:gd name="connsiteX0" fmla="*/ 0 w 1128712"/>
                    <a:gd name="connsiteY0" fmla="*/ 0 h 1990726"/>
                    <a:gd name="connsiteX1" fmla="*/ 326231 w 1128712"/>
                    <a:gd name="connsiteY1" fmla="*/ 0 h 1990726"/>
                    <a:gd name="connsiteX2" fmla="*/ 1128712 w 1128712"/>
                    <a:gd name="connsiteY2" fmla="*/ 995363 h 1990726"/>
                    <a:gd name="connsiteX3" fmla="*/ 326231 w 1128712"/>
                    <a:gd name="connsiteY3" fmla="*/ 1990726 h 1990726"/>
                    <a:gd name="connsiteX4" fmla="*/ 154842 w 1128712"/>
                    <a:gd name="connsiteY4" fmla="*/ 1990725 h 1990726"/>
                    <a:gd name="connsiteX5" fmla="*/ 0 w 1128712"/>
                    <a:gd name="connsiteY5" fmla="*/ 0 h 1990726"/>
                    <a:gd name="connsiteX0" fmla="*/ 4075 w 973870"/>
                    <a:gd name="connsiteY0" fmla="*/ 0 h 2002523"/>
                    <a:gd name="connsiteX1" fmla="*/ 171389 w 973870"/>
                    <a:gd name="connsiteY1" fmla="*/ 11797 h 2002523"/>
                    <a:gd name="connsiteX2" fmla="*/ 973870 w 973870"/>
                    <a:gd name="connsiteY2" fmla="*/ 1007160 h 2002523"/>
                    <a:gd name="connsiteX3" fmla="*/ 171389 w 973870"/>
                    <a:gd name="connsiteY3" fmla="*/ 2002523 h 2002523"/>
                    <a:gd name="connsiteX4" fmla="*/ 0 w 973870"/>
                    <a:gd name="connsiteY4" fmla="*/ 2002522 h 2002523"/>
                    <a:gd name="connsiteX5" fmla="*/ 4075 w 973870"/>
                    <a:gd name="connsiteY5" fmla="*/ 0 h 2002523"/>
                    <a:gd name="connsiteX0" fmla="*/ 117 w 982136"/>
                    <a:gd name="connsiteY0" fmla="*/ 0 h 2014320"/>
                    <a:gd name="connsiteX1" fmla="*/ 179655 w 982136"/>
                    <a:gd name="connsiteY1" fmla="*/ 23594 h 2014320"/>
                    <a:gd name="connsiteX2" fmla="*/ 982136 w 982136"/>
                    <a:gd name="connsiteY2" fmla="*/ 1018957 h 2014320"/>
                    <a:gd name="connsiteX3" fmla="*/ 179655 w 982136"/>
                    <a:gd name="connsiteY3" fmla="*/ 2014320 h 2014320"/>
                    <a:gd name="connsiteX4" fmla="*/ 8266 w 982136"/>
                    <a:gd name="connsiteY4" fmla="*/ 2014319 h 2014320"/>
                    <a:gd name="connsiteX5" fmla="*/ 117 w 982136"/>
                    <a:gd name="connsiteY5" fmla="*/ 0 h 2014320"/>
                    <a:gd name="connsiteX0" fmla="*/ 4075 w 973870"/>
                    <a:gd name="connsiteY0" fmla="*/ 0 h 2014320"/>
                    <a:gd name="connsiteX1" fmla="*/ 171389 w 973870"/>
                    <a:gd name="connsiteY1" fmla="*/ 23594 h 2014320"/>
                    <a:gd name="connsiteX2" fmla="*/ 973870 w 973870"/>
                    <a:gd name="connsiteY2" fmla="*/ 1018957 h 2014320"/>
                    <a:gd name="connsiteX3" fmla="*/ 171389 w 973870"/>
                    <a:gd name="connsiteY3" fmla="*/ 2014320 h 2014320"/>
                    <a:gd name="connsiteX4" fmla="*/ 0 w 973870"/>
                    <a:gd name="connsiteY4" fmla="*/ 2014319 h 2014320"/>
                    <a:gd name="connsiteX5" fmla="*/ 4075 w 973870"/>
                    <a:gd name="connsiteY5" fmla="*/ 0 h 2014320"/>
                    <a:gd name="connsiteX0" fmla="*/ 4075 w 973870"/>
                    <a:gd name="connsiteY0" fmla="*/ 0 h 1990726"/>
                    <a:gd name="connsiteX1" fmla="*/ 171389 w 973870"/>
                    <a:gd name="connsiteY1" fmla="*/ 0 h 1990726"/>
                    <a:gd name="connsiteX2" fmla="*/ 973870 w 973870"/>
                    <a:gd name="connsiteY2" fmla="*/ 995363 h 1990726"/>
                    <a:gd name="connsiteX3" fmla="*/ 171389 w 973870"/>
                    <a:gd name="connsiteY3" fmla="*/ 1990726 h 1990726"/>
                    <a:gd name="connsiteX4" fmla="*/ 0 w 973870"/>
                    <a:gd name="connsiteY4" fmla="*/ 1990725 h 1990726"/>
                    <a:gd name="connsiteX5" fmla="*/ 4075 w 973870"/>
                    <a:gd name="connsiteY5" fmla="*/ 0 h 1990726"/>
                    <a:gd name="connsiteX0" fmla="*/ 14 w 1066756"/>
                    <a:gd name="connsiteY0" fmla="*/ 5951 h 1990726"/>
                    <a:gd name="connsiteX1" fmla="*/ 264275 w 1066756"/>
                    <a:gd name="connsiteY1" fmla="*/ 0 h 1990726"/>
                    <a:gd name="connsiteX2" fmla="*/ 1066756 w 1066756"/>
                    <a:gd name="connsiteY2" fmla="*/ 995363 h 1990726"/>
                    <a:gd name="connsiteX3" fmla="*/ 264275 w 1066756"/>
                    <a:gd name="connsiteY3" fmla="*/ 1990726 h 1990726"/>
                    <a:gd name="connsiteX4" fmla="*/ 92886 w 1066756"/>
                    <a:gd name="connsiteY4" fmla="*/ 1990725 h 1990726"/>
                    <a:gd name="connsiteX5" fmla="*/ 14 w 1066756"/>
                    <a:gd name="connsiteY5" fmla="*/ 5951 h 1990726"/>
                    <a:gd name="connsiteX0" fmla="*/ 357 w 1067099"/>
                    <a:gd name="connsiteY0" fmla="*/ 5951 h 1990726"/>
                    <a:gd name="connsiteX1" fmla="*/ 264618 w 1067099"/>
                    <a:gd name="connsiteY1" fmla="*/ 0 h 1990726"/>
                    <a:gd name="connsiteX2" fmla="*/ 1067099 w 1067099"/>
                    <a:gd name="connsiteY2" fmla="*/ 995363 h 1990726"/>
                    <a:gd name="connsiteX3" fmla="*/ 264618 w 1067099"/>
                    <a:gd name="connsiteY3" fmla="*/ 1990726 h 1990726"/>
                    <a:gd name="connsiteX4" fmla="*/ 690 w 1067099"/>
                    <a:gd name="connsiteY4" fmla="*/ 1984774 h 1990726"/>
                    <a:gd name="connsiteX5" fmla="*/ 357 w 1067099"/>
                    <a:gd name="connsiteY5" fmla="*/ 5951 h 199072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067099" h="1990726">
                      <a:moveTo>
                        <a:pt x="357" y="5951"/>
                      </a:moveTo>
                      <a:cubicBezTo>
                        <a:pt x="56128" y="5951"/>
                        <a:pt x="208847" y="0"/>
                        <a:pt x="264618" y="0"/>
                      </a:cubicBezTo>
                      <a:cubicBezTo>
                        <a:pt x="707816" y="0"/>
                        <a:pt x="1067099" y="445639"/>
                        <a:pt x="1067099" y="995363"/>
                      </a:cubicBezTo>
                      <a:cubicBezTo>
                        <a:pt x="1067099" y="1545087"/>
                        <a:pt x="707816" y="1990726"/>
                        <a:pt x="264618" y="1990726"/>
                      </a:cubicBezTo>
                      <a:lnTo>
                        <a:pt x="690" y="1984774"/>
                      </a:lnTo>
                      <a:cubicBezTo>
                        <a:pt x="2048" y="1317267"/>
                        <a:pt x="-1001" y="673458"/>
                        <a:pt x="357" y="5951"/>
                      </a:cubicBezTo>
                      <a:close/>
                    </a:path>
                  </a:pathLst>
                </a:custGeom>
                <a:solidFill>
                  <a:srgbClr val="00C060"/>
                </a:solidFill>
                <a:ln w="381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6" name="Oval 25">
                  <a:extLst>
                    <a:ext uri="{FF2B5EF4-FFF2-40B4-BE49-F238E27FC236}">
                      <a16:creationId xmlns:a16="http://schemas.microsoft.com/office/drawing/2014/main" id="{657086A4-3E8D-423C-B32E-EDF54311062E}"/>
                    </a:ext>
                  </a:extLst>
                </xdr:cNvPr>
                <xdr:cNvSpPr/>
              </xdr:nvSpPr>
              <xdr:spPr>
                <a:xfrm>
                  <a:off x="9620250" y="3505200"/>
                  <a:ext cx="2581275" cy="2771775"/>
                </a:xfrm>
                <a:prstGeom prst="ellipse">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 name="Oval 6">
                  <a:extLst>
                    <a:ext uri="{FF2B5EF4-FFF2-40B4-BE49-F238E27FC236}">
                      <a16:creationId xmlns:a16="http://schemas.microsoft.com/office/drawing/2014/main" id="{F078409C-ADD5-48F5-A97B-C7EB2F0ABAA7}"/>
                    </a:ext>
                  </a:extLst>
                </xdr:cNvPr>
                <xdr:cNvSpPr/>
              </xdr:nvSpPr>
              <xdr:spPr>
                <a:xfrm>
                  <a:off x="9896475" y="3686176"/>
                  <a:ext cx="2047875" cy="2009774"/>
                </a:xfrm>
                <a:prstGeom prst="ellipse">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 name="Teardrop 2">
                  <a:extLst>
                    <a:ext uri="{FF2B5EF4-FFF2-40B4-BE49-F238E27FC236}">
                      <a16:creationId xmlns:a16="http://schemas.microsoft.com/office/drawing/2014/main" id="{242B4800-F83B-4291-99BA-4FECB1C85357}"/>
                    </a:ext>
                  </a:extLst>
                </xdr:cNvPr>
                <xdr:cNvSpPr/>
              </xdr:nvSpPr>
              <xdr:spPr>
                <a:xfrm rot="18872491">
                  <a:off x="10407787" y="4136632"/>
                  <a:ext cx="998804" cy="951442"/>
                </a:xfrm>
                <a:prstGeom prst="teardrop">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 name="Rectangle 7">
                  <a:extLst>
                    <a:ext uri="{FF2B5EF4-FFF2-40B4-BE49-F238E27FC236}">
                      <a16:creationId xmlns:a16="http://schemas.microsoft.com/office/drawing/2014/main" id="{5ED29789-F436-4074-94C4-61BAB9AD796A}"/>
                    </a:ext>
                  </a:extLst>
                </xdr:cNvPr>
                <xdr:cNvSpPr/>
              </xdr:nvSpPr>
              <xdr:spPr>
                <a:xfrm>
                  <a:off x="10467975" y="4410075"/>
                  <a:ext cx="885825" cy="1476375"/>
                </a:xfrm>
                <a:prstGeom prst="rect">
                  <a:avLst/>
                </a:prstGeom>
                <a:no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 name="Flowchart: Connector 5">
                  <a:extLst>
                    <a:ext uri="{FF2B5EF4-FFF2-40B4-BE49-F238E27FC236}">
                      <a16:creationId xmlns:a16="http://schemas.microsoft.com/office/drawing/2014/main" id="{99DDF30E-A1AD-4BC1-B775-491A04276C75}"/>
                    </a:ext>
                  </a:extLst>
                </xdr:cNvPr>
                <xdr:cNvSpPr/>
              </xdr:nvSpPr>
              <xdr:spPr>
                <a:xfrm>
                  <a:off x="10744200" y="4410076"/>
                  <a:ext cx="304800" cy="295274"/>
                </a:xfrm>
                <a:prstGeom prst="flowChartConnector">
                  <a:avLst/>
                </a:prstGeom>
                <a:no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 name="Flowchart: Delay 3">
                  <a:extLst>
                    <a:ext uri="{FF2B5EF4-FFF2-40B4-BE49-F238E27FC236}">
                      <a16:creationId xmlns:a16="http://schemas.microsoft.com/office/drawing/2014/main" id="{5673C156-4E88-4605-8F80-375C59146937}"/>
                    </a:ext>
                  </a:extLst>
                </xdr:cNvPr>
                <xdr:cNvSpPr/>
              </xdr:nvSpPr>
              <xdr:spPr>
                <a:xfrm rot="5400000">
                  <a:off x="10774552" y="5732887"/>
                  <a:ext cx="267907" cy="566737"/>
                </a:xfrm>
                <a:custGeom>
                  <a:avLst/>
                  <a:gdLst>
                    <a:gd name="connsiteX0" fmla="*/ 0 w 1604961"/>
                    <a:gd name="connsiteY0" fmla="*/ 0 h 1990725"/>
                    <a:gd name="connsiteX1" fmla="*/ 802481 w 1604961"/>
                    <a:gd name="connsiteY1" fmla="*/ 0 h 1990725"/>
                    <a:gd name="connsiteX2" fmla="*/ 1604962 w 1604961"/>
                    <a:gd name="connsiteY2" fmla="*/ 995363 h 1990725"/>
                    <a:gd name="connsiteX3" fmla="*/ 802481 w 1604961"/>
                    <a:gd name="connsiteY3" fmla="*/ 1990726 h 1990725"/>
                    <a:gd name="connsiteX4" fmla="*/ 0 w 1604961"/>
                    <a:gd name="connsiteY4" fmla="*/ 1990725 h 1990725"/>
                    <a:gd name="connsiteX5" fmla="*/ 0 w 1604961"/>
                    <a:gd name="connsiteY5" fmla="*/ 0 h 1990725"/>
                    <a:gd name="connsiteX0" fmla="*/ 0 w 1604962"/>
                    <a:gd name="connsiteY0" fmla="*/ 0 h 1990726"/>
                    <a:gd name="connsiteX1" fmla="*/ 802481 w 1604962"/>
                    <a:gd name="connsiteY1" fmla="*/ 0 h 1990726"/>
                    <a:gd name="connsiteX2" fmla="*/ 1604962 w 1604962"/>
                    <a:gd name="connsiteY2" fmla="*/ 995363 h 1990726"/>
                    <a:gd name="connsiteX3" fmla="*/ 802481 w 1604962"/>
                    <a:gd name="connsiteY3" fmla="*/ 1990726 h 1990726"/>
                    <a:gd name="connsiteX4" fmla="*/ 180975 w 1604962"/>
                    <a:gd name="connsiteY4" fmla="*/ 1990725 h 1990726"/>
                    <a:gd name="connsiteX5" fmla="*/ 0 w 1604962"/>
                    <a:gd name="connsiteY5" fmla="*/ 0 h 1990726"/>
                    <a:gd name="connsiteX0" fmla="*/ 0 w 1433512"/>
                    <a:gd name="connsiteY0" fmla="*/ 0 h 1990726"/>
                    <a:gd name="connsiteX1" fmla="*/ 631031 w 1433512"/>
                    <a:gd name="connsiteY1" fmla="*/ 0 h 1990726"/>
                    <a:gd name="connsiteX2" fmla="*/ 1433512 w 1433512"/>
                    <a:gd name="connsiteY2" fmla="*/ 995363 h 1990726"/>
                    <a:gd name="connsiteX3" fmla="*/ 631031 w 1433512"/>
                    <a:gd name="connsiteY3" fmla="*/ 1990726 h 1990726"/>
                    <a:gd name="connsiteX4" fmla="*/ 9525 w 1433512"/>
                    <a:gd name="connsiteY4" fmla="*/ 1990725 h 1990726"/>
                    <a:gd name="connsiteX5" fmla="*/ 0 w 1433512"/>
                    <a:gd name="connsiteY5" fmla="*/ 0 h 1990726"/>
                    <a:gd name="connsiteX0" fmla="*/ 0 w 1433512"/>
                    <a:gd name="connsiteY0" fmla="*/ 0 h 1990726"/>
                    <a:gd name="connsiteX1" fmla="*/ 631031 w 1433512"/>
                    <a:gd name="connsiteY1" fmla="*/ 0 h 1990726"/>
                    <a:gd name="connsiteX2" fmla="*/ 1433512 w 1433512"/>
                    <a:gd name="connsiteY2" fmla="*/ 995363 h 1990726"/>
                    <a:gd name="connsiteX3" fmla="*/ 631031 w 1433512"/>
                    <a:gd name="connsiteY3" fmla="*/ 1990726 h 1990726"/>
                    <a:gd name="connsiteX4" fmla="*/ 304800 w 1433512"/>
                    <a:gd name="connsiteY4" fmla="*/ 1990725 h 1990726"/>
                    <a:gd name="connsiteX5" fmla="*/ 0 w 1433512"/>
                    <a:gd name="connsiteY5" fmla="*/ 0 h 1990726"/>
                    <a:gd name="connsiteX0" fmla="*/ 0 w 1128712"/>
                    <a:gd name="connsiteY0" fmla="*/ 0 h 1990726"/>
                    <a:gd name="connsiteX1" fmla="*/ 326231 w 1128712"/>
                    <a:gd name="connsiteY1" fmla="*/ 0 h 1990726"/>
                    <a:gd name="connsiteX2" fmla="*/ 1128712 w 1128712"/>
                    <a:gd name="connsiteY2" fmla="*/ 995363 h 1990726"/>
                    <a:gd name="connsiteX3" fmla="*/ 326231 w 1128712"/>
                    <a:gd name="connsiteY3" fmla="*/ 1990726 h 1990726"/>
                    <a:gd name="connsiteX4" fmla="*/ 0 w 1128712"/>
                    <a:gd name="connsiteY4" fmla="*/ 1990725 h 1990726"/>
                    <a:gd name="connsiteX5" fmla="*/ 0 w 1128712"/>
                    <a:gd name="connsiteY5" fmla="*/ 0 h 1990726"/>
                    <a:gd name="connsiteX0" fmla="*/ 0 w 1128712"/>
                    <a:gd name="connsiteY0" fmla="*/ 0 h 1990726"/>
                    <a:gd name="connsiteX1" fmla="*/ 326231 w 1128712"/>
                    <a:gd name="connsiteY1" fmla="*/ 0 h 1990726"/>
                    <a:gd name="connsiteX2" fmla="*/ 1128712 w 1128712"/>
                    <a:gd name="connsiteY2" fmla="*/ 995363 h 1990726"/>
                    <a:gd name="connsiteX3" fmla="*/ 326231 w 1128712"/>
                    <a:gd name="connsiteY3" fmla="*/ 1990726 h 1990726"/>
                    <a:gd name="connsiteX4" fmla="*/ 154842 w 1128712"/>
                    <a:gd name="connsiteY4" fmla="*/ 1990725 h 1990726"/>
                    <a:gd name="connsiteX5" fmla="*/ 0 w 1128712"/>
                    <a:gd name="connsiteY5" fmla="*/ 0 h 1990726"/>
                    <a:gd name="connsiteX0" fmla="*/ 4075 w 973870"/>
                    <a:gd name="connsiteY0" fmla="*/ 0 h 2002523"/>
                    <a:gd name="connsiteX1" fmla="*/ 171389 w 973870"/>
                    <a:gd name="connsiteY1" fmla="*/ 11797 h 2002523"/>
                    <a:gd name="connsiteX2" fmla="*/ 973870 w 973870"/>
                    <a:gd name="connsiteY2" fmla="*/ 1007160 h 2002523"/>
                    <a:gd name="connsiteX3" fmla="*/ 171389 w 973870"/>
                    <a:gd name="connsiteY3" fmla="*/ 2002523 h 2002523"/>
                    <a:gd name="connsiteX4" fmla="*/ 0 w 973870"/>
                    <a:gd name="connsiteY4" fmla="*/ 2002522 h 2002523"/>
                    <a:gd name="connsiteX5" fmla="*/ 4075 w 973870"/>
                    <a:gd name="connsiteY5" fmla="*/ 0 h 2002523"/>
                    <a:gd name="connsiteX0" fmla="*/ 117 w 982136"/>
                    <a:gd name="connsiteY0" fmla="*/ 0 h 2014320"/>
                    <a:gd name="connsiteX1" fmla="*/ 179655 w 982136"/>
                    <a:gd name="connsiteY1" fmla="*/ 23594 h 2014320"/>
                    <a:gd name="connsiteX2" fmla="*/ 982136 w 982136"/>
                    <a:gd name="connsiteY2" fmla="*/ 1018957 h 2014320"/>
                    <a:gd name="connsiteX3" fmla="*/ 179655 w 982136"/>
                    <a:gd name="connsiteY3" fmla="*/ 2014320 h 2014320"/>
                    <a:gd name="connsiteX4" fmla="*/ 8266 w 982136"/>
                    <a:gd name="connsiteY4" fmla="*/ 2014319 h 2014320"/>
                    <a:gd name="connsiteX5" fmla="*/ 117 w 982136"/>
                    <a:gd name="connsiteY5" fmla="*/ 0 h 2014320"/>
                    <a:gd name="connsiteX0" fmla="*/ 4075 w 973870"/>
                    <a:gd name="connsiteY0" fmla="*/ 0 h 2014320"/>
                    <a:gd name="connsiteX1" fmla="*/ 171389 w 973870"/>
                    <a:gd name="connsiteY1" fmla="*/ 23594 h 2014320"/>
                    <a:gd name="connsiteX2" fmla="*/ 973870 w 973870"/>
                    <a:gd name="connsiteY2" fmla="*/ 1018957 h 2014320"/>
                    <a:gd name="connsiteX3" fmla="*/ 171389 w 973870"/>
                    <a:gd name="connsiteY3" fmla="*/ 2014320 h 2014320"/>
                    <a:gd name="connsiteX4" fmla="*/ 0 w 973870"/>
                    <a:gd name="connsiteY4" fmla="*/ 2014319 h 2014320"/>
                    <a:gd name="connsiteX5" fmla="*/ 4075 w 973870"/>
                    <a:gd name="connsiteY5" fmla="*/ 0 h 2014320"/>
                    <a:gd name="connsiteX0" fmla="*/ 4075 w 973870"/>
                    <a:gd name="connsiteY0" fmla="*/ 0 h 1990726"/>
                    <a:gd name="connsiteX1" fmla="*/ 171389 w 973870"/>
                    <a:gd name="connsiteY1" fmla="*/ 0 h 1990726"/>
                    <a:gd name="connsiteX2" fmla="*/ 973870 w 973870"/>
                    <a:gd name="connsiteY2" fmla="*/ 995363 h 1990726"/>
                    <a:gd name="connsiteX3" fmla="*/ 171389 w 973870"/>
                    <a:gd name="connsiteY3" fmla="*/ 1990726 h 1990726"/>
                    <a:gd name="connsiteX4" fmla="*/ 0 w 973870"/>
                    <a:gd name="connsiteY4" fmla="*/ 1990725 h 1990726"/>
                    <a:gd name="connsiteX5" fmla="*/ 4075 w 973870"/>
                    <a:gd name="connsiteY5" fmla="*/ 0 h 199072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973870" h="1990726">
                      <a:moveTo>
                        <a:pt x="4075" y="0"/>
                      </a:moveTo>
                      <a:lnTo>
                        <a:pt x="171389" y="0"/>
                      </a:lnTo>
                      <a:cubicBezTo>
                        <a:pt x="614587" y="0"/>
                        <a:pt x="973870" y="445639"/>
                        <a:pt x="973870" y="995363"/>
                      </a:cubicBezTo>
                      <a:cubicBezTo>
                        <a:pt x="973870" y="1545087"/>
                        <a:pt x="614587" y="1990726"/>
                        <a:pt x="171389" y="1990726"/>
                      </a:cubicBezTo>
                      <a:lnTo>
                        <a:pt x="0" y="1990725"/>
                      </a:lnTo>
                      <a:cubicBezTo>
                        <a:pt x="1358" y="1323218"/>
                        <a:pt x="2717" y="667507"/>
                        <a:pt x="4075" y="0"/>
                      </a:cubicBezTo>
                      <a:close/>
                    </a:path>
                  </a:pathLst>
                </a:custGeom>
                <a:no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8" name="Rectangle 17">
                  <a:extLst>
                    <a:ext uri="{FF2B5EF4-FFF2-40B4-BE49-F238E27FC236}">
                      <a16:creationId xmlns:a16="http://schemas.microsoft.com/office/drawing/2014/main" id="{46DA245A-57E1-4B61-913B-58C940164CDF}"/>
                    </a:ext>
                  </a:extLst>
                </xdr:cNvPr>
                <xdr:cNvSpPr/>
              </xdr:nvSpPr>
              <xdr:spPr>
                <a:xfrm>
                  <a:off x="9121884" y="3433400"/>
                  <a:ext cx="3600450" cy="981075"/>
                </a:xfrm>
                <a:prstGeom prst="rect">
                  <a:avLst/>
                </a:prstGeom>
                <a:solidFill>
                  <a:schemeClr val="accent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0" name="TextBox 29">
                  <a:extLst>
                    <a:ext uri="{FF2B5EF4-FFF2-40B4-BE49-F238E27FC236}">
                      <a16:creationId xmlns:a16="http://schemas.microsoft.com/office/drawing/2014/main" id="{9208C3E8-2207-49BD-86C7-A7A65D9BD319}"/>
                    </a:ext>
                  </a:extLst>
                </xdr:cNvPr>
                <xdr:cNvSpPr txBox="1"/>
              </xdr:nvSpPr>
              <xdr:spPr>
                <a:xfrm>
                  <a:off x="10648950" y="5229225"/>
                  <a:ext cx="514350"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ysClr val="windowText" lastClr="000000"/>
                      </a:solidFill>
                    </a:rPr>
                    <a:t>3-10</a:t>
                  </a:r>
                </a:p>
                <a:p>
                  <a:pPr algn="ctr"/>
                  <a:endParaRPr lang="en-US" sz="1100">
                    <a:solidFill>
                      <a:schemeClr val="bg1"/>
                    </a:solidFill>
                  </a:endParaRPr>
                </a:p>
              </xdr:txBody>
            </xdr:sp>
            <xdr:sp macro="" textlink="">
              <xdr:nvSpPr>
                <xdr:cNvPr id="33" name="TextBox 32">
                  <a:extLst>
                    <a:ext uri="{FF2B5EF4-FFF2-40B4-BE49-F238E27FC236}">
                      <a16:creationId xmlns:a16="http://schemas.microsoft.com/office/drawing/2014/main" id="{8460B0B5-8A9A-4CE1-A620-D810336422EF}"/>
                    </a:ext>
                  </a:extLst>
                </xdr:cNvPr>
                <xdr:cNvSpPr txBox="1"/>
              </xdr:nvSpPr>
              <xdr:spPr>
                <a:xfrm>
                  <a:off x="10610850" y="6753225"/>
                  <a:ext cx="571500"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rPr>
                    <a:t>3P</a:t>
                  </a:r>
                </a:p>
              </xdr:txBody>
            </xdr:sp>
            <xdr:sp macro="" textlink="">
              <xdr:nvSpPr>
                <xdr:cNvPr id="34" name="Rectangle 33">
                  <a:extLst>
                    <a:ext uri="{FF2B5EF4-FFF2-40B4-BE49-F238E27FC236}">
                      <a16:creationId xmlns:a16="http://schemas.microsoft.com/office/drawing/2014/main" id="{9C2A1DB5-6D18-4FDA-99E2-511D39C0EAE8}"/>
                    </a:ext>
                  </a:extLst>
                </xdr:cNvPr>
                <xdr:cNvSpPr/>
              </xdr:nvSpPr>
              <xdr:spPr>
                <a:xfrm>
                  <a:off x="9096375" y="3409950"/>
                  <a:ext cx="3638550" cy="3638550"/>
                </a:xfrm>
                <a:prstGeom prst="rect">
                  <a:avLst/>
                </a:prstGeom>
                <a:noFill/>
                <a:ln w="571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28" name="TextBox 27">
                <a:extLst>
                  <a:ext uri="{FF2B5EF4-FFF2-40B4-BE49-F238E27FC236}">
                    <a16:creationId xmlns:a16="http://schemas.microsoft.com/office/drawing/2014/main" id="{421F6C44-B651-4E74-901F-EE72955C2F46}"/>
                  </a:ext>
                </a:extLst>
              </xdr:cNvPr>
              <xdr:cNvSpPr txBox="1"/>
            </xdr:nvSpPr>
            <xdr:spPr>
              <a:xfrm>
                <a:off x="9420225" y="3705225"/>
                <a:ext cx="2971800" cy="742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solidFill>
                      <a:schemeClr val="bg1"/>
                    </a:solidFill>
                  </a:rPr>
                  <a:t>Shot Distance</a:t>
                </a:r>
                <a:r>
                  <a:rPr lang="en-US" sz="2400" baseline="0">
                    <a:solidFill>
                      <a:schemeClr val="bg1"/>
                    </a:solidFill>
                  </a:rPr>
                  <a:t> Chart</a:t>
                </a:r>
              </a:p>
              <a:p>
                <a:endParaRPr lang="en-US" sz="1100"/>
              </a:p>
            </xdr:txBody>
          </xdr:sp>
          <xdr:sp macro="" textlink="">
            <xdr:nvSpPr>
              <xdr:cNvPr id="31" name="TextBox 30">
                <a:extLst>
                  <a:ext uri="{FF2B5EF4-FFF2-40B4-BE49-F238E27FC236}">
                    <a16:creationId xmlns:a16="http://schemas.microsoft.com/office/drawing/2014/main" id="{5675B23C-8296-47FD-9876-A242B19C1A6A}"/>
                  </a:ext>
                </a:extLst>
              </xdr:cNvPr>
              <xdr:cNvSpPr txBox="1"/>
            </xdr:nvSpPr>
            <xdr:spPr>
              <a:xfrm>
                <a:off x="10620375" y="5905500"/>
                <a:ext cx="571500"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ysClr val="windowText" lastClr="000000"/>
                    </a:solidFill>
                  </a:rPr>
                  <a:t>10-16</a:t>
                </a:r>
              </a:p>
              <a:p>
                <a:pPr algn="ctr"/>
                <a:endParaRPr lang="en-US" sz="1100">
                  <a:solidFill>
                    <a:sysClr val="windowText" lastClr="000000"/>
                  </a:solidFill>
                </a:endParaRPr>
              </a:p>
            </xdr:txBody>
          </xdr:sp>
          <xdr:sp macro="" textlink="">
            <xdr:nvSpPr>
              <xdr:cNvPr id="32" name="TextBox 31">
                <a:extLst>
                  <a:ext uri="{FF2B5EF4-FFF2-40B4-BE49-F238E27FC236}">
                    <a16:creationId xmlns:a16="http://schemas.microsoft.com/office/drawing/2014/main" id="{CCE29BE8-60FF-40C9-BC9E-1F0B11F6895E}"/>
                  </a:ext>
                </a:extLst>
              </xdr:cNvPr>
              <xdr:cNvSpPr txBox="1"/>
            </xdr:nvSpPr>
            <xdr:spPr>
              <a:xfrm>
                <a:off x="10601325" y="6372225"/>
                <a:ext cx="571500"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rPr>
                  <a:t>16&lt;3</a:t>
                </a:r>
              </a:p>
            </xdr:txBody>
          </xdr:sp>
        </xdr:grpSp>
        <xdr:cxnSp macro="">
          <xdr:nvCxnSpPr>
            <xdr:cNvPr id="22" name="Straight Connector 21">
              <a:extLst>
                <a:ext uri="{FF2B5EF4-FFF2-40B4-BE49-F238E27FC236}">
                  <a16:creationId xmlns:a16="http://schemas.microsoft.com/office/drawing/2014/main" id="{74FED877-EBDB-499B-AEDD-09E6F7F1B45E}"/>
                </a:ext>
              </a:extLst>
            </xdr:cNvPr>
            <xdr:cNvCxnSpPr/>
          </xdr:nvCxnSpPr>
          <xdr:spPr>
            <a:xfrm>
              <a:off x="14420850" y="4581525"/>
              <a:ext cx="3648075" cy="0"/>
            </a:xfrm>
            <a:prstGeom prst="line">
              <a:avLst/>
            </a:prstGeom>
            <a:ln/>
          </xdr:spPr>
          <xdr:style>
            <a:lnRef idx="3">
              <a:schemeClr val="dk1"/>
            </a:lnRef>
            <a:fillRef idx="0">
              <a:schemeClr val="dk1"/>
            </a:fillRef>
            <a:effectRef idx="2">
              <a:schemeClr val="dk1"/>
            </a:effectRef>
            <a:fontRef idx="minor">
              <a:schemeClr val="tx1"/>
            </a:fontRef>
          </xdr:style>
        </xdr:cxnSp>
      </xdr:grpSp>
      <xdr:sp macro="" textlink="">
        <xdr:nvSpPr>
          <xdr:cNvPr id="29" name="TextBox 28">
            <a:extLst>
              <a:ext uri="{FF2B5EF4-FFF2-40B4-BE49-F238E27FC236}">
                <a16:creationId xmlns:a16="http://schemas.microsoft.com/office/drawing/2014/main" id="{0ACC62F8-D9AC-4EAB-8083-BD443250867C}"/>
              </a:ext>
            </a:extLst>
          </xdr:cNvPr>
          <xdr:cNvSpPr txBox="1"/>
        </xdr:nvSpPr>
        <xdr:spPr>
          <a:xfrm>
            <a:off x="10706100" y="4772025"/>
            <a:ext cx="390525"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rPr>
              <a:t>0-3</a:t>
            </a:r>
          </a:p>
        </xdr:txBody>
      </xdr:sp>
    </xdr:grpSp>
    <xdr:clientData/>
  </xdr:twoCellAnchor>
  <xdr:twoCellAnchor>
    <xdr:from>
      <xdr:col>11</xdr:col>
      <xdr:colOff>62345</xdr:colOff>
      <xdr:row>1</xdr:row>
      <xdr:rowOff>6062</xdr:rowOff>
    </xdr:from>
    <xdr:to>
      <xdr:col>13</xdr:col>
      <xdr:colOff>554181</xdr:colOff>
      <xdr:row>2</xdr:row>
      <xdr:rowOff>164523</xdr:rowOff>
    </xdr:to>
    <xdr:sp macro="" textlink="">
      <xdr:nvSpPr>
        <xdr:cNvPr id="40" name="Rectangle: Rounded Corners 39">
          <a:hlinkClick xmlns:r="http://schemas.openxmlformats.org/officeDocument/2006/relationships" r:id="rId3"/>
          <a:extLst>
            <a:ext uri="{FF2B5EF4-FFF2-40B4-BE49-F238E27FC236}">
              <a16:creationId xmlns:a16="http://schemas.microsoft.com/office/drawing/2014/main" id="{A3AD7DF9-9DE6-4CE4-95AE-FC4DF3CF9DC2}"/>
            </a:ext>
          </a:extLst>
        </xdr:cNvPr>
        <xdr:cNvSpPr/>
      </xdr:nvSpPr>
      <xdr:spPr>
        <a:xfrm>
          <a:off x="6729845" y="205221"/>
          <a:ext cx="1704109" cy="348961"/>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Veiw Raw Shooting Stats</a:t>
          </a:r>
        </a:p>
      </xdr:txBody>
    </xdr:sp>
    <xdr:clientData/>
  </xdr:twoCellAnchor>
</xdr:wsDr>
</file>

<file path=xl/drawings/drawing4.xml><?xml version="1.0" encoding="utf-8"?>
<c:userShapes xmlns:c="http://schemas.openxmlformats.org/drawingml/2006/chart">
  <cdr:relSizeAnchor xmlns:cdr="http://schemas.openxmlformats.org/drawingml/2006/chartDrawing">
    <cdr:from>
      <cdr:x>0.35664</cdr:x>
      <cdr:y>0.44877</cdr:y>
    </cdr:from>
    <cdr:to>
      <cdr:x>0.62283</cdr:x>
      <cdr:y>0.62208</cdr:y>
    </cdr:to>
    <cdr:sp macro="" textlink="">
      <cdr:nvSpPr>
        <cdr:cNvPr id="2" name="TextBox 1">
          <a:extLst xmlns:a="http://schemas.openxmlformats.org/drawingml/2006/main">
            <a:ext uri="{FF2B5EF4-FFF2-40B4-BE49-F238E27FC236}">
              <a16:creationId xmlns:a16="http://schemas.microsoft.com/office/drawing/2014/main" id="{3FFD8EA2-4195-4785-BA7F-954903A6FC8A}"/>
            </a:ext>
          </a:extLst>
        </cdr:cNvPr>
        <cdr:cNvSpPr txBox="1"/>
      </cdr:nvSpPr>
      <cdr:spPr>
        <a:xfrm xmlns:a="http://schemas.openxmlformats.org/drawingml/2006/main">
          <a:off x="922531" y="1220921"/>
          <a:ext cx="688565" cy="47151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US" sz="1200"/>
            <a:t>League</a:t>
          </a:r>
          <a:r>
            <a:rPr lang="en-US" sz="1200" baseline="0"/>
            <a:t> Average</a:t>
          </a:r>
        </a:p>
        <a:p xmlns:a="http://schemas.openxmlformats.org/drawingml/2006/main">
          <a:endParaRPr lang="en-US" sz="1100"/>
        </a:p>
      </cdr:txBody>
    </cdr:sp>
  </cdr:relSizeAnchor>
  <cdr:relSizeAnchor xmlns:cdr="http://schemas.openxmlformats.org/drawingml/2006/chartDrawing">
    <cdr:from>
      <cdr:x>0.03853</cdr:x>
      <cdr:y>0.13259</cdr:y>
    </cdr:from>
    <cdr:to>
      <cdr:x>0.28721</cdr:x>
      <cdr:y>0.30243</cdr:y>
    </cdr:to>
    <cdr:sp macro="" textlink="">
      <cdr:nvSpPr>
        <cdr:cNvPr id="4" name="TextBox 1">
          <a:extLst xmlns:a="http://schemas.openxmlformats.org/drawingml/2006/main">
            <a:ext uri="{FF2B5EF4-FFF2-40B4-BE49-F238E27FC236}">
              <a16:creationId xmlns:a16="http://schemas.microsoft.com/office/drawing/2014/main" id="{4A4DCF4F-0E01-4A22-B569-538CD8075E57}"/>
            </a:ext>
          </a:extLst>
        </cdr:cNvPr>
        <cdr:cNvSpPr txBox="1"/>
      </cdr:nvSpPr>
      <cdr:spPr>
        <a:xfrm xmlns:a="http://schemas.openxmlformats.org/drawingml/2006/main">
          <a:off x="104778" y="383926"/>
          <a:ext cx="676257" cy="49178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100" b="1" baseline="0"/>
            <a:t>3-pts</a:t>
          </a:r>
        </a:p>
        <a:p xmlns:a="http://schemas.openxmlformats.org/drawingml/2006/main">
          <a:endParaRPr lang="en-US" sz="1100"/>
        </a:p>
      </cdr:txBody>
    </cdr:sp>
  </cdr:relSizeAnchor>
  <cdr:relSizeAnchor xmlns:cdr="http://schemas.openxmlformats.org/drawingml/2006/chartDrawing">
    <cdr:from>
      <cdr:x>0.69819</cdr:x>
      <cdr:y>0.14175</cdr:y>
    </cdr:from>
    <cdr:to>
      <cdr:x>0.94687</cdr:x>
      <cdr:y>0.31159</cdr:y>
    </cdr:to>
    <cdr:sp macro="" textlink="">
      <cdr:nvSpPr>
        <cdr:cNvPr id="5" name="TextBox 1">
          <a:extLst xmlns:a="http://schemas.openxmlformats.org/drawingml/2006/main">
            <a:ext uri="{FF2B5EF4-FFF2-40B4-BE49-F238E27FC236}">
              <a16:creationId xmlns:a16="http://schemas.microsoft.com/office/drawing/2014/main" id="{4A4DCF4F-0E01-4A22-B569-538CD8075E57}"/>
            </a:ext>
          </a:extLst>
        </cdr:cNvPr>
        <cdr:cNvSpPr txBox="1"/>
      </cdr:nvSpPr>
      <cdr:spPr>
        <a:xfrm xmlns:a="http://schemas.openxmlformats.org/drawingml/2006/main">
          <a:off x="1898657" y="410439"/>
          <a:ext cx="676257" cy="49178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100" b="1"/>
            <a:t>2-pts</a:t>
          </a:r>
          <a:endParaRPr lang="en-US" sz="1100" b="1" baseline="0"/>
        </a:p>
        <a:p xmlns:a="http://schemas.openxmlformats.org/drawingml/2006/main">
          <a:endParaRPr lang="en-US" sz="1100"/>
        </a:p>
      </cdr:txBody>
    </cdr:sp>
  </cdr:relSizeAnchor>
</c:userShapes>
</file>

<file path=xl/drawings/drawing5.xml><?xml version="1.0" encoding="utf-8"?>
<xdr:wsDr xmlns:xdr="http://schemas.openxmlformats.org/drawingml/2006/spreadsheetDrawing" xmlns:a="http://schemas.openxmlformats.org/drawingml/2006/main">
  <xdr:twoCellAnchor>
    <xdr:from>
      <xdr:col>3</xdr:col>
      <xdr:colOff>86591</xdr:colOff>
      <xdr:row>0</xdr:row>
      <xdr:rowOff>25975</xdr:rowOff>
    </xdr:from>
    <xdr:to>
      <xdr:col>4</xdr:col>
      <xdr:colOff>571500</xdr:colOff>
      <xdr:row>2</xdr:row>
      <xdr:rowOff>181840</xdr:rowOff>
    </xdr:to>
    <xdr:sp macro="" textlink="">
      <xdr:nvSpPr>
        <xdr:cNvPr id="4" name="Rectangle: Rounded Corners 3">
          <a:hlinkClick xmlns:r="http://schemas.openxmlformats.org/officeDocument/2006/relationships" r:id="rId1" tooltip="Click to return to Roster Analysis tab"/>
          <a:extLst>
            <a:ext uri="{FF2B5EF4-FFF2-40B4-BE49-F238E27FC236}">
              <a16:creationId xmlns:a16="http://schemas.microsoft.com/office/drawing/2014/main" id="{F12FE4FE-C43D-4E7A-810B-38D0633F8911}"/>
            </a:ext>
          </a:extLst>
        </xdr:cNvPr>
        <xdr:cNvSpPr/>
      </xdr:nvSpPr>
      <xdr:spPr>
        <a:xfrm>
          <a:off x="1853046" y="25975"/>
          <a:ext cx="1073727" cy="536865"/>
        </a:xfrm>
        <a:prstGeom prst="roundRect">
          <a:avLst/>
        </a:prstGeom>
        <a:solidFill>
          <a:srgbClr val="7030A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Goto Roster Analysis to change teams</a:t>
          </a:r>
        </a:p>
      </xdr:txBody>
    </xdr:sp>
    <xdr:clientData/>
  </xdr:twoCellAnchor>
  <xdr:twoCellAnchor>
    <xdr:from>
      <xdr:col>5</xdr:col>
      <xdr:colOff>48491</xdr:colOff>
      <xdr:row>0</xdr:row>
      <xdr:rowOff>57149</xdr:rowOff>
    </xdr:from>
    <xdr:to>
      <xdr:col>8</xdr:col>
      <xdr:colOff>8659</xdr:colOff>
      <xdr:row>1</xdr:row>
      <xdr:rowOff>147205</xdr:rowOff>
    </xdr:to>
    <xdr:sp macro="" textlink="">
      <xdr:nvSpPr>
        <xdr:cNvPr id="5" name="Rectangle: Rounded Corners 4">
          <a:hlinkClick xmlns:r="http://schemas.openxmlformats.org/officeDocument/2006/relationships" r:id="rId2" tooltip="Click to view league advanced stats"/>
          <a:extLst>
            <a:ext uri="{FF2B5EF4-FFF2-40B4-BE49-F238E27FC236}">
              <a16:creationId xmlns:a16="http://schemas.microsoft.com/office/drawing/2014/main" id="{0A12F975-ABC4-4D38-AF8E-BB23BF29526A}"/>
            </a:ext>
          </a:extLst>
        </xdr:cNvPr>
        <xdr:cNvSpPr/>
      </xdr:nvSpPr>
      <xdr:spPr>
        <a:xfrm>
          <a:off x="3079173" y="57149"/>
          <a:ext cx="1778577" cy="280556"/>
        </a:xfrm>
        <a:prstGeom prst="roundRect">
          <a:avLst/>
        </a:prstGeom>
        <a:solidFill>
          <a:schemeClr val="accent4"/>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Goto Team</a:t>
          </a:r>
          <a:r>
            <a:rPr lang="en-US" sz="900" baseline="0">
              <a:solidFill>
                <a:sysClr val="windowText" lastClr="000000"/>
              </a:solidFill>
            </a:rPr>
            <a:t> Advanced Stats</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266700</xdr:colOff>
      <xdr:row>0</xdr:row>
      <xdr:rowOff>85725</xdr:rowOff>
    </xdr:from>
    <xdr:to>
      <xdr:col>0</xdr:col>
      <xdr:colOff>1257300</xdr:colOff>
      <xdr:row>1</xdr:row>
      <xdr:rowOff>142875</xdr:rowOff>
    </xdr:to>
    <xdr:pic>
      <xdr:nvPicPr>
        <xdr:cNvPr id="2" name="Picture 1" descr="See the source image">
          <a:hlinkClick xmlns:r="http://schemas.openxmlformats.org/officeDocument/2006/relationships" r:id="rId1" tooltip="Click to view Spotrac source for this tab"/>
          <a:extLst>
            <a:ext uri="{FF2B5EF4-FFF2-40B4-BE49-F238E27FC236}">
              <a16:creationId xmlns:a16="http://schemas.microsoft.com/office/drawing/2014/main" id="{4301094C-D291-4A52-89D2-B50D8E86582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66700" y="85725"/>
          <a:ext cx="99060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0</xdr:row>
      <xdr:rowOff>76200</xdr:rowOff>
    </xdr:from>
    <xdr:to>
      <xdr:col>7</xdr:col>
      <xdr:colOff>304800</xdr:colOff>
      <xdr:row>1</xdr:row>
      <xdr:rowOff>85725</xdr:rowOff>
    </xdr:to>
    <xdr:sp macro="" textlink="">
      <xdr:nvSpPr>
        <xdr:cNvPr id="3" name="Rectangle: Rounded Corners 2">
          <a:hlinkClick xmlns:r="http://schemas.openxmlformats.org/officeDocument/2006/relationships" r:id="rId3"/>
          <a:extLst>
            <a:ext uri="{FF2B5EF4-FFF2-40B4-BE49-F238E27FC236}">
              <a16:creationId xmlns:a16="http://schemas.microsoft.com/office/drawing/2014/main" id="{085B04DD-8BA0-413C-8077-94C0874B5ED1}"/>
            </a:ext>
          </a:extLst>
        </xdr:cNvPr>
        <xdr:cNvSpPr/>
      </xdr:nvSpPr>
      <xdr:spPr>
        <a:xfrm>
          <a:off x="3762375" y="76200"/>
          <a:ext cx="1419225" cy="200025"/>
        </a:xfrm>
        <a:prstGeom prst="roundRect">
          <a:avLst/>
        </a:prstGeom>
        <a:solidFill>
          <a:srgbClr val="7030A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t>Backto Roster Analysis</a:t>
          </a:r>
        </a:p>
      </xdr:txBody>
    </xdr:sp>
    <xdr:clientData/>
  </xdr:twoCellAnchor>
  <xdr:twoCellAnchor>
    <xdr:from>
      <xdr:col>0</xdr:col>
      <xdr:colOff>1600200</xdr:colOff>
      <xdr:row>0</xdr:row>
      <xdr:rowOff>57150</xdr:rowOff>
    </xdr:from>
    <xdr:to>
      <xdr:col>4</xdr:col>
      <xdr:colOff>314325</xdr:colOff>
      <xdr:row>1</xdr:row>
      <xdr:rowOff>123825</xdr:rowOff>
    </xdr:to>
    <xdr:sp macro="" textlink="">
      <xdr:nvSpPr>
        <xdr:cNvPr id="4" name="Rectangle 3">
          <a:extLst>
            <a:ext uri="{FF2B5EF4-FFF2-40B4-BE49-F238E27FC236}">
              <a16:creationId xmlns:a16="http://schemas.microsoft.com/office/drawing/2014/main" id="{E4D1828C-AE6A-40E5-AD0B-AD6AEB3A3B2A}"/>
            </a:ext>
          </a:extLst>
        </xdr:cNvPr>
        <xdr:cNvSpPr/>
      </xdr:nvSpPr>
      <xdr:spPr>
        <a:xfrm>
          <a:off x="1600200" y="57150"/>
          <a:ext cx="1819275" cy="257175"/>
        </a:xfrm>
        <a:prstGeom prst="rect">
          <a:avLst/>
        </a:prstGeom>
        <a:solidFill>
          <a:schemeClr val="accent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2018 Free Agents</a:t>
          </a:r>
        </a:p>
      </xdr:txBody>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1</xdr:col>
      <xdr:colOff>92653</xdr:colOff>
      <xdr:row>0</xdr:row>
      <xdr:rowOff>35503</xdr:rowOff>
    </xdr:from>
    <xdr:to>
      <xdr:col>1</xdr:col>
      <xdr:colOff>1572788</xdr:colOff>
      <xdr:row>2</xdr:row>
      <xdr:rowOff>144815</xdr:rowOff>
    </xdr:to>
    <xdr:grpSp>
      <xdr:nvGrpSpPr>
        <xdr:cNvPr id="7" name="Group 6">
          <a:hlinkClick xmlns:r="http://schemas.openxmlformats.org/officeDocument/2006/relationships" r:id="rId1" tooltip="Click to view Basketball Reference source for this tab"/>
          <a:extLst>
            <a:ext uri="{FF2B5EF4-FFF2-40B4-BE49-F238E27FC236}">
              <a16:creationId xmlns:a16="http://schemas.microsoft.com/office/drawing/2014/main" id="{DE4346FD-F5E7-4746-9CB8-2913054B9839}"/>
            </a:ext>
          </a:extLst>
        </xdr:cNvPr>
        <xdr:cNvGrpSpPr>
          <a:grpSpLocks noChangeAspect="1"/>
        </xdr:cNvGrpSpPr>
      </xdr:nvGrpSpPr>
      <xdr:grpSpPr>
        <a:xfrm>
          <a:off x="92653" y="35503"/>
          <a:ext cx="1480135" cy="490312"/>
          <a:chOff x="104775" y="57150"/>
          <a:chExt cx="1457325" cy="476250"/>
        </a:xfrm>
      </xdr:grpSpPr>
      <xdr:sp macro="" textlink="">
        <xdr:nvSpPr>
          <xdr:cNvPr id="5" name="Rectangle 4">
            <a:extLst>
              <a:ext uri="{FF2B5EF4-FFF2-40B4-BE49-F238E27FC236}">
                <a16:creationId xmlns:a16="http://schemas.microsoft.com/office/drawing/2014/main" id="{69F4D672-B79F-4863-88AC-BA54123A906A}"/>
              </a:ext>
            </a:extLst>
          </xdr:cNvPr>
          <xdr:cNvSpPr/>
        </xdr:nvSpPr>
        <xdr:spPr>
          <a:xfrm>
            <a:off x="104775" y="57150"/>
            <a:ext cx="1457325" cy="476250"/>
          </a:xfrm>
          <a:prstGeom prst="rect">
            <a:avLst/>
          </a:prstGeom>
          <a:solidFill>
            <a:srgbClr val="F7941E"/>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4" name="Picture 3">
            <a:extLst>
              <a:ext uri="{FF2B5EF4-FFF2-40B4-BE49-F238E27FC236}">
                <a16:creationId xmlns:a16="http://schemas.microsoft.com/office/drawing/2014/main" id="{8DBD3D9F-8B8B-4C60-8E6A-5FF9CB29A52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9600" y="71438"/>
            <a:ext cx="447675" cy="447675"/>
          </a:xfrm>
          <a:prstGeom prst="rect">
            <a:avLst/>
          </a:prstGeom>
          <a:ln w="3175">
            <a:noFill/>
          </a:ln>
          <a:effectLst/>
        </xdr:spPr>
      </xdr:pic>
    </xdr:grpSp>
    <xdr:clientData/>
  </xdr:twoCellAnchor>
  <xdr:twoCellAnchor>
    <xdr:from>
      <xdr:col>2</xdr:col>
      <xdr:colOff>112568</xdr:colOff>
      <xdr:row>0</xdr:row>
      <xdr:rowOff>35503</xdr:rowOff>
    </xdr:from>
    <xdr:to>
      <xdr:col>4</xdr:col>
      <xdr:colOff>805295</xdr:colOff>
      <xdr:row>2</xdr:row>
      <xdr:rowOff>147205</xdr:rowOff>
    </xdr:to>
    <xdr:sp macro="" textlink="">
      <xdr:nvSpPr>
        <xdr:cNvPr id="2" name="Rectangle 1">
          <a:extLst>
            <a:ext uri="{FF2B5EF4-FFF2-40B4-BE49-F238E27FC236}">
              <a16:creationId xmlns:a16="http://schemas.microsoft.com/office/drawing/2014/main" id="{5FD59EFA-251B-4A6B-B7E3-BCD4DFB9BB1E}"/>
            </a:ext>
          </a:extLst>
        </xdr:cNvPr>
        <xdr:cNvSpPr/>
      </xdr:nvSpPr>
      <xdr:spPr>
        <a:xfrm>
          <a:off x="1766454" y="35503"/>
          <a:ext cx="2242705" cy="492702"/>
        </a:xfrm>
        <a:prstGeom prst="rect">
          <a:avLst/>
        </a:prstGeom>
        <a:solidFill>
          <a:schemeClr val="accent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0">
              <a:solidFill>
                <a:schemeClr val="bg1"/>
              </a:solidFill>
            </a:rPr>
            <a:t>All Current League Salaries</a:t>
          </a:r>
        </a:p>
      </xdr:txBody>
    </xdr:sp>
    <xdr:clientData/>
  </xdr:twoCellAnchor>
  <xdr:twoCellAnchor>
    <xdr:from>
      <xdr:col>4</xdr:col>
      <xdr:colOff>1004453</xdr:colOff>
      <xdr:row>0</xdr:row>
      <xdr:rowOff>181841</xdr:rowOff>
    </xdr:from>
    <xdr:to>
      <xdr:col>6</xdr:col>
      <xdr:colOff>355022</xdr:colOff>
      <xdr:row>2</xdr:row>
      <xdr:rowOff>17318</xdr:rowOff>
    </xdr:to>
    <xdr:sp macro="" textlink="">
      <xdr:nvSpPr>
        <xdr:cNvPr id="3" name="Rectangle: Rounded Corners 2">
          <a:hlinkClick xmlns:r="http://schemas.openxmlformats.org/officeDocument/2006/relationships" r:id="rId3" tooltip="Click to return to Roster Analysis"/>
          <a:extLst>
            <a:ext uri="{FF2B5EF4-FFF2-40B4-BE49-F238E27FC236}">
              <a16:creationId xmlns:a16="http://schemas.microsoft.com/office/drawing/2014/main" id="{B29AEEA6-C91D-4E2D-A61C-CC43A4D0DFB6}"/>
            </a:ext>
          </a:extLst>
        </xdr:cNvPr>
        <xdr:cNvSpPr/>
      </xdr:nvSpPr>
      <xdr:spPr>
        <a:xfrm>
          <a:off x="4208317" y="181841"/>
          <a:ext cx="1653887" cy="216477"/>
        </a:xfrm>
        <a:prstGeom prst="roundRect">
          <a:avLst/>
        </a:prstGeom>
        <a:solidFill>
          <a:srgbClr val="7030A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Return</a:t>
          </a:r>
          <a:r>
            <a:rPr lang="en-US" sz="1100" baseline="0">
              <a:solidFill>
                <a:schemeClr val="bg1"/>
              </a:solidFill>
            </a:rPr>
            <a:t> to Roster Analysis</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695325</xdr:colOff>
      <xdr:row>0</xdr:row>
      <xdr:rowOff>157543</xdr:rowOff>
    </xdr:from>
    <xdr:to>
      <xdr:col>4</xdr:col>
      <xdr:colOff>1133475</xdr:colOff>
      <xdr:row>1</xdr:row>
      <xdr:rowOff>186118</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1BB2076C-F77B-42FE-877E-B1366B2C9C3F}"/>
            </a:ext>
          </a:extLst>
        </xdr:cNvPr>
        <xdr:cNvSpPr/>
      </xdr:nvSpPr>
      <xdr:spPr>
        <a:xfrm>
          <a:off x="3800475" y="157543"/>
          <a:ext cx="1933575" cy="219075"/>
        </a:xfrm>
        <a:prstGeom prst="roundRect">
          <a:avLst/>
        </a:prstGeom>
        <a:solidFill>
          <a:srgbClr val="7030A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Back to Roster Analysis</a:t>
          </a:r>
        </a:p>
      </xdr:txBody>
    </xdr:sp>
    <xdr:clientData/>
  </xdr:twoCellAnchor>
  <xdr:twoCellAnchor editAs="oneCell">
    <xdr:from>
      <xdr:col>0</xdr:col>
      <xdr:colOff>57149</xdr:colOff>
      <xdr:row>0</xdr:row>
      <xdr:rowOff>47624</xdr:rowOff>
    </xdr:from>
    <xdr:to>
      <xdr:col>0</xdr:col>
      <xdr:colOff>1457325</xdr:colOff>
      <xdr:row>2</xdr:row>
      <xdr:rowOff>104775</xdr:rowOff>
    </xdr:to>
    <xdr:grpSp>
      <xdr:nvGrpSpPr>
        <xdr:cNvPr id="3" name="Group 2">
          <a:hlinkClick xmlns:r="http://schemas.openxmlformats.org/officeDocument/2006/relationships" r:id="rId2" tooltip="Click to view Basketball Reference Source for this tab"/>
          <a:extLst>
            <a:ext uri="{FF2B5EF4-FFF2-40B4-BE49-F238E27FC236}">
              <a16:creationId xmlns:a16="http://schemas.microsoft.com/office/drawing/2014/main" id="{C58CB491-6AF8-47C8-9326-56E98881ED8E}"/>
            </a:ext>
          </a:extLst>
        </xdr:cNvPr>
        <xdr:cNvGrpSpPr>
          <a:grpSpLocks noChangeAspect="1"/>
        </xdr:cNvGrpSpPr>
      </xdr:nvGrpSpPr>
      <xdr:grpSpPr>
        <a:xfrm>
          <a:off x="57149" y="47624"/>
          <a:ext cx="1400176" cy="438151"/>
          <a:chOff x="104775" y="57150"/>
          <a:chExt cx="1457324" cy="476250"/>
        </a:xfrm>
      </xdr:grpSpPr>
      <xdr:sp macro="" textlink="">
        <xdr:nvSpPr>
          <xdr:cNvPr id="4" name="Rectangle 3">
            <a:extLst>
              <a:ext uri="{FF2B5EF4-FFF2-40B4-BE49-F238E27FC236}">
                <a16:creationId xmlns:a16="http://schemas.microsoft.com/office/drawing/2014/main" id="{B53AFEB0-9056-448D-9619-5F67CE5D7F6F}"/>
              </a:ext>
            </a:extLst>
          </xdr:cNvPr>
          <xdr:cNvSpPr/>
        </xdr:nvSpPr>
        <xdr:spPr>
          <a:xfrm>
            <a:off x="104775" y="57150"/>
            <a:ext cx="1457324" cy="476250"/>
          </a:xfrm>
          <a:prstGeom prst="rect">
            <a:avLst/>
          </a:prstGeom>
          <a:solidFill>
            <a:srgbClr val="F7941E"/>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5" name="Picture 4">
            <a:extLst>
              <a:ext uri="{FF2B5EF4-FFF2-40B4-BE49-F238E27FC236}">
                <a16:creationId xmlns:a16="http://schemas.microsoft.com/office/drawing/2014/main" id="{64AC6841-4B89-4D39-9629-6E1E136C30E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09600" y="71438"/>
            <a:ext cx="447675" cy="447675"/>
          </a:xfrm>
          <a:prstGeom prst="rect">
            <a:avLst/>
          </a:prstGeom>
          <a:ln w="3175">
            <a:noFill/>
          </a:ln>
          <a:effectLst/>
        </xdr:spPr>
      </xdr:pic>
    </xdr:grpSp>
    <xdr:clientData/>
  </xdr:twoCellAnchor>
  <xdr:twoCellAnchor>
    <xdr:from>
      <xdr:col>1</xdr:col>
      <xdr:colOff>114300</xdr:colOff>
      <xdr:row>0</xdr:row>
      <xdr:rowOff>47624</xdr:rowOff>
    </xdr:from>
    <xdr:to>
      <xdr:col>2</xdr:col>
      <xdr:colOff>514350</xdr:colOff>
      <xdr:row>2</xdr:row>
      <xdr:rowOff>105536</xdr:rowOff>
    </xdr:to>
    <xdr:sp macro="" textlink="">
      <xdr:nvSpPr>
        <xdr:cNvPr id="6" name="Rectangle 5">
          <a:extLst>
            <a:ext uri="{FF2B5EF4-FFF2-40B4-BE49-F238E27FC236}">
              <a16:creationId xmlns:a16="http://schemas.microsoft.com/office/drawing/2014/main" id="{10A3FDB4-2ED8-410A-8850-C967006C40DB}"/>
            </a:ext>
          </a:extLst>
        </xdr:cNvPr>
        <xdr:cNvSpPr/>
      </xdr:nvSpPr>
      <xdr:spPr>
        <a:xfrm>
          <a:off x="1628775" y="47624"/>
          <a:ext cx="1990725" cy="438912"/>
        </a:xfrm>
        <a:prstGeom prst="rect">
          <a:avLst/>
        </a:prstGeom>
        <a:solidFill>
          <a:srgbClr val="FF998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0">
              <a:solidFill>
                <a:sysClr val="windowText" lastClr="000000"/>
              </a:solidFill>
            </a:rPr>
            <a:t>2017-2018</a:t>
          </a:r>
          <a:r>
            <a:rPr lang="en-US" sz="1400" b="0" baseline="0">
              <a:solidFill>
                <a:sysClr val="windowText" lastClr="000000"/>
              </a:solidFill>
            </a:rPr>
            <a:t> Injury Report</a:t>
          </a:r>
          <a:endParaRPr lang="en-US" sz="1400" b="0">
            <a:solidFill>
              <a:sysClr val="windowText" lastClr="000000"/>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2</xdr:col>
      <xdr:colOff>428624</xdr:colOff>
      <xdr:row>0</xdr:row>
      <xdr:rowOff>21431</xdr:rowOff>
    </xdr:from>
    <xdr:to>
      <xdr:col>2</xdr:col>
      <xdr:colOff>2583656</xdr:colOff>
      <xdr:row>1</xdr:row>
      <xdr:rowOff>130968</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88A37FCD-4844-47C5-8B8B-D7173ECA3D32}"/>
            </a:ext>
          </a:extLst>
        </xdr:cNvPr>
        <xdr:cNvSpPr/>
      </xdr:nvSpPr>
      <xdr:spPr>
        <a:xfrm>
          <a:off x="2119312" y="21431"/>
          <a:ext cx="2155032" cy="300037"/>
        </a:xfrm>
        <a:prstGeom prst="roundRect">
          <a:avLst/>
        </a:prstGeom>
        <a:solidFill>
          <a:srgbClr val="7030A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a:t>Return to Roster Analysis Tool</a:t>
          </a:r>
        </a:p>
      </xdr:txBody>
    </xdr:sp>
    <xdr:clientData/>
  </xdr:twoCellAnchor>
  <xdr:twoCellAnchor>
    <xdr:from>
      <xdr:col>1</xdr:col>
      <xdr:colOff>424579</xdr:colOff>
      <xdr:row>30</xdr:row>
      <xdr:rowOff>36731</xdr:rowOff>
    </xdr:from>
    <xdr:to>
      <xdr:col>2</xdr:col>
      <xdr:colOff>3299510</xdr:colOff>
      <xdr:row>40</xdr:row>
      <xdr:rowOff>163731</xdr:rowOff>
    </xdr:to>
    <xdr:grpSp>
      <xdr:nvGrpSpPr>
        <xdr:cNvPr id="3" name="Group 2">
          <a:extLst>
            <a:ext uri="{FF2B5EF4-FFF2-40B4-BE49-F238E27FC236}">
              <a16:creationId xmlns:a16="http://schemas.microsoft.com/office/drawing/2014/main" id="{F7D50583-1AB4-4F03-AFA6-16496F62A519}"/>
            </a:ext>
          </a:extLst>
        </xdr:cNvPr>
        <xdr:cNvGrpSpPr/>
      </xdr:nvGrpSpPr>
      <xdr:grpSpPr>
        <a:xfrm>
          <a:off x="1141755" y="5751731"/>
          <a:ext cx="3861049" cy="2032000"/>
          <a:chOff x="16684314" y="361702"/>
          <a:chExt cx="3861049" cy="2032000"/>
        </a:xfrm>
      </xdr:grpSpPr>
      <xdr:sp macro="" textlink="">
        <xdr:nvSpPr>
          <xdr:cNvPr id="7" name="Rectangle 6">
            <a:extLst>
              <a:ext uri="{FF2B5EF4-FFF2-40B4-BE49-F238E27FC236}">
                <a16:creationId xmlns:a16="http://schemas.microsoft.com/office/drawing/2014/main" id="{C98CE2E7-3772-40D9-9E55-ADA2F9C13F4C}"/>
              </a:ext>
            </a:extLst>
          </xdr:cNvPr>
          <xdr:cNvSpPr/>
        </xdr:nvSpPr>
        <xdr:spPr>
          <a:xfrm>
            <a:off x="16684314" y="361702"/>
            <a:ext cx="3861049" cy="2032000"/>
          </a:xfrm>
          <a:prstGeom prst="rect">
            <a:avLst/>
          </a:prstGeom>
          <a:solidFill>
            <a:srgbClr val="1D428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en-US" sz="1100" b="0">
                <a:solidFill>
                  <a:schemeClr val="bg1"/>
                </a:solidFill>
              </a:rPr>
              <a:t>More Information</a:t>
            </a:r>
            <a:r>
              <a:rPr lang="en-US" sz="1100">
                <a:solidFill>
                  <a:schemeClr val="bg1"/>
                </a:solidFill>
              </a:rPr>
              <a:t>:</a:t>
            </a:r>
          </a:p>
        </xdr:txBody>
      </xdr:sp>
      <xdr:grpSp>
        <xdr:nvGrpSpPr>
          <xdr:cNvPr id="12" name="Group 11">
            <a:hlinkClick xmlns:r="http://schemas.openxmlformats.org/officeDocument/2006/relationships" r:id="rId2" tooltip="Visit NBA Stats FAQ"/>
            <a:extLst>
              <a:ext uri="{FF2B5EF4-FFF2-40B4-BE49-F238E27FC236}">
                <a16:creationId xmlns:a16="http://schemas.microsoft.com/office/drawing/2014/main" id="{BF36FED2-FA01-443C-B4C2-F3C0C2E75170}"/>
              </a:ext>
            </a:extLst>
          </xdr:cNvPr>
          <xdr:cNvGrpSpPr/>
        </xdr:nvGrpSpPr>
        <xdr:grpSpPr>
          <a:xfrm>
            <a:off x="16768981" y="700368"/>
            <a:ext cx="3556248" cy="714286"/>
            <a:chOff x="11609917" y="4095750"/>
            <a:chExt cx="3558115" cy="714286"/>
          </a:xfrm>
        </xdr:grpSpPr>
        <xdr:pic>
          <xdr:nvPicPr>
            <xdr:cNvPr id="4" name="Picture 3">
              <a:extLst>
                <a:ext uri="{FF2B5EF4-FFF2-40B4-BE49-F238E27FC236}">
                  <a16:creationId xmlns:a16="http://schemas.microsoft.com/office/drawing/2014/main" id="{FA368FE4-25D5-4667-8C0D-981DA16A9B43}"/>
                </a:ext>
              </a:extLst>
            </xdr:cNvPr>
            <xdr:cNvPicPr>
              <a:picLocks noChangeAspect="1"/>
            </xdr:cNvPicPr>
          </xdr:nvPicPr>
          <xdr:blipFill>
            <a:blip xmlns:r="http://schemas.openxmlformats.org/officeDocument/2006/relationships" r:embed="rId3"/>
            <a:stretch>
              <a:fillRect/>
            </a:stretch>
          </xdr:blipFill>
          <xdr:spPr>
            <a:xfrm>
              <a:off x="11609917" y="4095750"/>
              <a:ext cx="1342857" cy="714286"/>
            </a:xfrm>
            <a:prstGeom prst="rect">
              <a:avLst/>
            </a:prstGeom>
          </xdr:spPr>
        </xdr:pic>
        <xdr:sp macro="" textlink="">
          <xdr:nvSpPr>
            <xdr:cNvPr id="9" name="Rectangle 8">
              <a:extLst>
                <a:ext uri="{FF2B5EF4-FFF2-40B4-BE49-F238E27FC236}">
                  <a16:creationId xmlns:a16="http://schemas.microsoft.com/office/drawing/2014/main" id="{67D3A119-3666-403F-BE38-0DD3BA616F32}"/>
                </a:ext>
              </a:extLst>
            </xdr:cNvPr>
            <xdr:cNvSpPr/>
          </xdr:nvSpPr>
          <xdr:spPr>
            <a:xfrm>
              <a:off x="12871450" y="4275668"/>
              <a:ext cx="2296582" cy="42333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a:solidFill>
                    <a:schemeClr val="bg1"/>
                  </a:solidFill>
                </a:rPr>
                <a:t>NBA Advanced Stats FAQ</a:t>
              </a:r>
            </a:p>
          </xdr:txBody>
        </xdr:sp>
      </xdr:grpSp>
      <xdr:grpSp>
        <xdr:nvGrpSpPr>
          <xdr:cNvPr id="14" name="Group 13">
            <a:hlinkClick xmlns:r="http://schemas.openxmlformats.org/officeDocument/2006/relationships" r:id="rId4" tooltip="Visit Basketball Reference Stats Glossary"/>
            <a:extLst>
              <a:ext uri="{FF2B5EF4-FFF2-40B4-BE49-F238E27FC236}">
                <a16:creationId xmlns:a16="http://schemas.microsoft.com/office/drawing/2014/main" id="{E1A54962-63B8-4A46-9EE2-114422C43AF7}"/>
              </a:ext>
            </a:extLst>
          </xdr:cNvPr>
          <xdr:cNvGrpSpPr/>
        </xdr:nvGrpSpPr>
        <xdr:grpSpPr>
          <a:xfrm>
            <a:off x="17080562" y="1453111"/>
            <a:ext cx="3233459" cy="718504"/>
            <a:chOff x="11914650" y="4848493"/>
            <a:chExt cx="3233459" cy="718504"/>
          </a:xfrm>
        </xdr:grpSpPr>
        <xdr:pic>
          <xdr:nvPicPr>
            <xdr:cNvPr id="6" name="Picture 5">
              <a:extLst>
                <a:ext uri="{FF2B5EF4-FFF2-40B4-BE49-F238E27FC236}">
                  <a16:creationId xmlns:a16="http://schemas.microsoft.com/office/drawing/2014/main" id="{36F4798E-2922-4BB6-9DB7-7C5D374EFB6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914650" y="4848493"/>
              <a:ext cx="704010" cy="718504"/>
            </a:xfrm>
            <a:prstGeom prst="rect">
              <a:avLst/>
            </a:prstGeom>
            <a:ln w="3175">
              <a:noFill/>
            </a:ln>
            <a:effectLst/>
          </xdr:spPr>
        </xdr:pic>
        <xdr:sp macro="" textlink="">
          <xdr:nvSpPr>
            <xdr:cNvPr id="10" name="Rectangle 9">
              <a:extLst>
                <a:ext uri="{FF2B5EF4-FFF2-40B4-BE49-F238E27FC236}">
                  <a16:creationId xmlns:a16="http://schemas.microsoft.com/office/drawing/2014/main" id="{BEF55020-593B-4567-985D-F3BC662392AD}"/>
                </a:ext>
              </a:extLst>
            </xdr:cNvPr>
            <xdr:cNvSpPr/>
          </xdr:nvSpPr>
          <xdr:spPr>
            <a:xfrm>
              <a:off x="12852848" y="5033186"/>
              <a:ext cx="2295261" cy="42333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a:solidFill>
                    <a:schemeClr val="bg1"/>
                  </a:solidFill>
                </a:rPr>
                <a:t>Basketball</a:t>
              </a:r>
              <a:r>
                <a:rPr lang="en-US" sz="1200" baseline="0">
                  <a:solidFill>
                    <a:schemeClr val="bg1"/>
                  </a:solidFill>
                </a:rPr>
                <a:t> Reference Glossary</a:t>
              </a:r>
              <a:endParaRPr lang="en-US" sz="1200">
                <a:solidFill>
                  <a:schemeClr val="bg1"/>
                </a:solidFill>
              </a:endParaRPr>
            </a:p>
          </xdr:txBody>
        </xdr:sp>
      </xdr:grpSp>
    </xdr:grpSp>
    <xdr:clientData/>
  </xdr:twoCellAnchor>
</xdr:wsDr>
</file>

<file path=xl/drawings/drawing10.xml><?xml version="1.0" encoding="utf-8"?>
<xdr:wsDr xmlns:xdr="http://schemas.openxmlformats.org/drawingml/2006/spreadsheetDrawing" xmlns:a="http://schemas.openxmlformats.org/drawingml/2006/main">
  <xdr:twoCellAnchor editAs="absolute">
    <xdr:from>
      <xdr:col>0</xdr:col>
      <xdr:colOff>123825</xdr:colOff>
      <xdr:row>0</xdr:row>
      <xdr:rowOff>104775</xdr:rowOff>
    </xdr:from>
    <xdr:to>
      <xdr:col>1</xdr:col>
      <xdr:colOff>1425119</xdr:colOff>
      <xdr:row>3</xdr:row>
      <xdr:rowOff>85725</xdr:rowOff>
    </xdr:to>
    <xdr:grpSp>
      <xdr:nvGrpSpPr>
        <xdr:cNvPr id="5" name="Group 4">
          <a:hlinkClick xmlns:r="http://schemas.openxmlformats.org/officeDocument/2006/relationships" r:id="rId1" tooltip="Click to visit Basketball Reference source for this page"/>
          <a:extLst>
            <a:ext uri="{FF2B5EF4-FFF2-40B4-BE49-F238E27FC236}">
              <a16:creationId xmlns:a16="http://schemas.microsoft.com/office/drawing/2014/main" id="{FA50069F-3E6C-4B96-B57B-A3EAE272B4D3}"/>
            </a:ext>
          </a:extLst>
        </xdr:cNvPr>
        <xdr:cNvGrpSpPr>
          <a:grpSpLocks noChangeAspect="1"/>
        </xdr:cNvGrpSpPr>
      </xdr:nvGrpSpPr>
      <xdr:grpSpPr>
        <a:xfrm>
          <a:off x="123825" y="104775"/>
          <a:ext cx="1663244" cy="552450"/>
          <a:chOff x="742949" y="38100"/>
          <a:chExt cx="914401" cy="287269"/>
        </a:xfrm>
      </xdr:grpSpPr>
      <xdr:sp macro="" textlink="">
        <xdr:nvSpPr>
          <xdr:cNvPr id="6" name="Rectangle 5">
            <a:extLst>
              <a:ext uri="{FF2B5EF4-FFF2-40B4-BE49-F238E27FC236}">
                <a16:creationId xmlns:a16="http://schemas.microsoft.com/office/drawing/2014/main" id="{FC1E4497-AD31-4FB7-92D5-E0304C236358}"/>
              </a:ext>
            </a:extLst>
          </xdr:cNvPr>
          <xdr:cNvSpPr/>
        </xdr:nvSpPr>
        <xdr:spPr>
          <a:xfrm>
            <a:off x="742949" y="38100"/>
            <a:ext cx="914401" cy="287269"/>
          </a:xfrm>
          <a:prstGeom prst="rect">
            <a:avLst/>
          </a:prstGeom>
          <a:solidFill>
            <a:srgbClr val="F7941E"/>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7" name="Picture 6">
            <a:extLst>
              <a:ext uri="{FF2B5EF4-FFF2-40B4-BE49-F238E27FC236}">
                <a16:creationId xmlns:a16="http://schemas.microsoft.com/office/drawing/2014/main" id="{459F0A91-2F9A-4489-8DA9-274721633FF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67546" y="53818"/>
            <a:ext cx="265206" cy="270510"/>
          </a:xfrm>
          <a:prstGeom prst="rect">
            <a:avLst/>
          </a:prstGeom>
          <a:ln w="3175">
            <a:noFill/>
          </a:ln>
          <a:effectLst/>
        </xdr:spPr>
      </xdr:pic>
    </xdr:grpSp>
    <xdr:clientData/>
  </xdr:twoCellAnchor>
  <xdr:twoCellAnchor editAs="absolute">
    <xdr:from>
      <xdr:col>2</xdr:col>
      <xdr:colOff>47625</xdr:colOff>
      <xdr:row>0</xdr:row>
      <xdr:rowOff>106680</xdr:rowOff>
    </xdr:from>
    <xdr:to>
      <xdr:col>7</xdr:col>
      <xdr:colOff>314325</xdr:colOff>
      <xdr:row>3</xdr:row>
      <xdr:rowOff>83820</xdr:rowOff>
    </xdr:to>
    <xdr:sp macro="" textlink="">
      <xdr:nvSpPr>
        <xdr:cNvPr id="8" name="Rectangle 7">
          <a:extLst>
            <a:ext uri="{FF2B5EF4-FFF2-40B4-BE49-F238E27FC236}">
              <a16:creationId xmlns:a16="http://schemas.microsoft.com/office/drawing/2014/main" id="{D97B7384-0797-49BD-83C8-FD2F95F6682D}"/>
            </a:ext>
          </a:extLst>
        </xdr:cNvPr>
        <xdr:cNvSpPr>
          <a:spLocks noChangeAspect="1"/>
        </xdr:cNvSpPr>
      </xdr:nvSpPr>
      <xdr:spPr>
        <a:xfrm>
          <a:off x="2066925" y="106680"/>
          <a:ext cx="2276475" cy="548640"/>
        </a:xfrm>
        <a:prstGeom prst="rect">
          <a:avLst/>
        </a:prstGeom>
        <a:solidFill>
          <a:schemeClr val="accent1">
            <a:lumMod val="20000"/>
            <a:lumOff val="80000"/>
          </a:schemeClr>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ysClr val="windowText" lastClr="000000"/>
              </a:solidFill>
            </a:rPr>
            <a:t>Player Advanced Stats</a:t>
          </a:r>
        </a:p>
      </xdr:txBody>
    </xdr:sp>
    <xdr:clientData/>
  </xdr:twoCellAnchor>
  <xdr:twoCellAnchor editAs="absolute">
    <xdr:from>
      <xdr:col>8</xdr:col>
      <xdr:colOff>9526</xdr:colOff>
      <xdr:row>1</xdr:row>
      <xdr:rowOff>9525</xdr:rowOff>
    </xdr:from>
    <xdr:to>
      <xdr:col>10</xdr:col>
      <xdr:colOff>361950</xdr:colOff>
      <xdr:row>2</xdr:row>
      <xdr:rowOff>180975</xdr:rowOff>
    </xdr:to>
    <xdr:sp macro="" textlink="">
      <xdr:nvSpPr>
        <xdr:cNvPr id="9" name="Rectangle: Rounded Corners 8">
          <a:hlinkClick xmlns:r="http://schemas.openxmlformats.org/officeDocument/2006/relationships" r:id="rId3" tooltip="Click to return to Roster Analysis tab"/>
          <a:extLst>
            <a:ext uri="{FF2B5EF4-FFF2-40B4-BE49-F238E27FC236}">
              <a16:creationId xmlns:a16="http://schemas.microsoft.com/office/drawing/2014/main" id="{ED88C6B0-7EF4-477B-A70B-CB7E93B3E334}"/>
            </a:ext>
          </a:extLst>
        </xdr:cNvPr>
        <xdr:cNvSpPr>
          <a:spLocks noChangeAspect="1"/>
        </xdr:cNvSpPr>
      </xdr:nvSpPr>
      <xdr:spPr>
        <a:xfrm>
          <a:off x="4476751" y="200025"/>
          <a:ext cx="1304924" cy="361950"/>
        </a:xfrm>
        <a:prstGeom prst="roundRect">
          <a:avLst/>
        </a:prstGeom>
        <a:solidFill>
          <a:srgbClr val="7030A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t>Backto Roster Analysis</a:t>
          </a:r>
        </a:p>
      </xdr:txBody>
    </xdr:sp>
    <xdr:clientData/>
  </xdr:twoCellAnchor>
  <xdr:twoCellAnchor editAs="absolute">
    <xdr:from>
      <xdr:col>11</xdr:col>
      <xdr:colOff>142876</xdr:colOff>
      <xdr:row>1</xdr:row>
      <xdr:rowOff>9525</xdr:rowOff>
    </xdr:from>
    <xdr:to>
      <xdr:col>13</xdr:col>
      <xdr:colOff>314325</xdr:colOff>
      <xdr:row>2</xdr:row>
      <xdr:rowOff>180975</xdr:rowOff>
    </xdr:to>
    <xdr:sp macro="" textlink="">
      <xdr:nvSpPr>
        <xdr:cNvPr id="10" name="Rectangle: Rounded Corners 9">
          <a:hlinkClick xmlns:r="http://schemas.openxmlformats.org/officeDocument/2006/relationships" r:id="rId4" tooltip="Click to view Advanced Stats term glossary"/>
          <a:extLst>
            <a:ext uri="{FF2B5EF4-FFF2-40B4-BE49-F238E27FC236}">
              <a16:creationId xmlns:a16="http://schemas.microsoft.com/office/drawing/2014/main" id="{74B44A24-731F-4597-80E5-41FC8E8174B6}"/>
            </a:ext>
          </a:extLst>
        </xdr:cNvPr>
        <xdr:cNvSpPr>
          <a:spLocks noChangeAspect="1"/>
        </xdr:cNvSpPr>
      </xdr:nvSpPr>
      <xdr:spPr>
        <a:xfrm>
          <a:off x="5962651" y="200025"/>
          <a:ext cx="1304924" cy="361950"/>
        </a:xfrm>
        <a:prstGeom prst="roundRect">
          <a:avLst/>
        </a:prstGeom>
        <a:solidFill>
          <a:srgbClr val="F78C0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ysClr val="windowText" lastClr="000000"/>
              </a:solidFill>
            </a:rPr>
            <a:t>Goto Glossary</a:t>
          </a:r>
        </a:p>
      </xdr:txBody>
    </xdr:sp>
    <xdr:clientData/>
  </xdr:twoCellAnchor>
</xdr:wsDr>
</file>

<file path=xl/drawings/drawing11.xml><?xml version="1.0" encoding="utf-8"?>
<xdr:wsDr xmlns:xdr="http://schemas.openxmlformats.org/drawingml/2006/spreadsheetDrawing" xmlns:a="http://schemas.openxmlformats.org/drawingml/2006/main">
  <xdr:twoCellAnchor editAs="absolute">
    <xdr:from>
      <xdr:col>8</xdr:col>
      <xdr:colOff>228599</xdr:colOff>
      <xdr:row>0</xdr:row>
      <xdr:rowOff>183737</xdr:rowOff>
    </xdr:from>
    <xdr:to>
      <xdr:col>12</xdr:col>
      <xdr:colOff>190500</xdr:colOff>
      <xdr:row>2</xdr:row>
      <xdr:rowOff>187740</xdr:rowOff>
    </xdr:to>
    <xdr:sp macro="" textlink="">
      <xdr:nvSpPr>
        <xdr:cNvPr id="2" name="Rectangle: Rounded Corners 1">
          <a:hlinkClick xmlns:r="http://schemas.openxmlformats.org/officeDocument/2006/relationships" r:id="rId1" tooltip="Click to return to Roster Analysis tab"/>
          <a:extLst>
            <a:ext uri="{FF2B5EF4-FFF2-40B4-BE49-F238E27FC236}">
              <a16:creationId xmlns:a16="http://schemas.microsoft.com/office/drawing/2014/main" id="{CCDC7FCF-5E6B-4EF3-91C7-7B5381D61470}"/>
            </a:ext>
          </a:extLst>
        </xdr:cNvPr>
        <xdr:cNvSpPr>
          <a:spLocks noChangeAspect="1"/>
        </xdr:cNvSpPr>
      </xdr:nvSpPr>
      <xdr:spPr>
        <a:xfrm>
          <a:off x="4000499" y="183737"/>
          <a:ext cx="1295401" cy="385003"/>
        </a:xfrm>
        <a:prstGeom prst="roundRect">
          <a:avLst/>
        </a:prstGeom>
        <a:solidFill>
          <a:srgbClr val="7030A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t>Backto Roster Analysis</a:t>
          </a:r>
        </a:p>
      </xdr:txBody>
    </xdr:sp>
    <xdr:clientData/>
  </xdr:twoCellAnchor>
  <xdr:twoCellAnchor editAs="absolute">
    <xdr:from>
      <xdr:col>0</xdr:col>
      <xdr:colOff>66674</xdr:colOff>
      <xdr:row>0</xdr:row>
      <xdr:rowOff>76868</xdr:rowOff>
    </xdr:from>
    <xdr:to>
      <xdr:col>1</xdr:col>
      <xdr:colOff>1613486</xdr:colOff>
      <xdr:row>3</xdr:row>
      <xdr:rowOff>104108</xdr:rowOff>
    </xdr:to>
    <xdr:grpSp>
      <xdr:nvGrpSpPr>
        <xdr:cNvPr id="6" name="Group 5">
          <a:hlinkClick xmlns:r="http://schemas.openxmlformats.org/officeDocument/2006/relationships" r:id="rId2" tooltip="Click to visit Basketball Reference source for this page"/>
          <a:extLst>
            <a:ext uri="{FF2B5EF4-FFF2-40B4-BE49-F238E27FC236}">
              <a16:creationId xmlns:a16="http://schemas.microsoft.com/office/drawing/2014/main" id="{411EFEF0-2D40-4E08-9032-58E1BEF10C53}"/>
            </a:ext>
          </a:extLst>
        </xdr:cNvPr>
        <xdr:cNvGrpSpPr>
          <a:grpSpLocks noChangeAspect="1"/>
        </xdr:cNvGrpSpPr>
      </xdr:nvGrpSpPr>
      <xdr:grpSpPr>
        <a:xfrm>
          <a:off x="66674" y="76868"/>
          <a:ext cx="1813512" cy="598740"/>
          <a:chOff x="742949" y="38100"/>
          <a:chExt cx="914401" cy="287269"/>
        </a:xfrm>
      </xdr:grpSpPr>
      <xdr:sp macro="" textlink="">
        <xdr:nvSpPr>
          <xdr:cNvPr id="4" name="Rectangle 3">
            <a:extLst>
              <a:ext uri="{FF2B5EF4-FFF2-40B4-BE49-F238E27FC236}">
                <a16:creationId xmlns:a16="http://schemas.microsoft.com/office/drawing/2014/main" id="{A1AAE40E-711E-4C81-B568-2F0AC146407F}"/>
              </a:ext>
            </a:extLst>
          </xdr:cNvPr>
          <xdr:cNvSpPr/>
        </xdr:nvSpPr>
        <xdr:spPr>
          <a:xfrm>
            <a:off x="742949" y="38100"/>
            <a:ext cx="914401" cy="287269"/>
          </a:xfrm>
          <a:prstGeom prst="rect">
            <a:avLst/>
          </a:prstGeom>
          <a:solidFill>
            <a:srgbClr val="F7941E"/>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5" name="Picture 4">
            <a:extLst>
              <a:ext uri="{FF2B5EF4-FFF2-40B4-BE49-F238E27FC236}">
                <a16:creationId xmlns:a16="http://schemas.microsoft.com/office/drawing/2014/main" id="{5C63109B-EF46-48BD-ABF8-B42EC8E916A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67546" y="53818"/>
            <a:ext cx="265206" cy="270510"/>
          </a:xfrm>
          <a:prstGeom prst="rect">
            <a:avLst/>
          </a:prstGeom>
          <a:ln w="3175">
            <a:noFill/>
          </a:ln>
          <a:effectLst/>
        </xdr:spPr>
      </xdr:pic>
    </xdr:grpSp>
    <xdr:clientData/>
  </xdr:twoCellAnchor>
  <xdr:twoCellAnchor editAs="absolute">
    <xdr:from>
      <xdr:col>2</xdr:col>
      <xdr:colOff>123825</xdr:colOff>
      <xdr:row>0</xdr:row>
      <xdr:rowOff>66676</xdr:rowOff>
    </xdr:from>
    <xdr:to>
      <xdr:col>8</xdr:col>
      <xdr:colOff>142875</xdr:colOff>
      <xdr:row>3</xdr:row>
      <xdr:rowOff>114300</xdr:rowOff>
    </xdr:to>
    <xdr:sp macro="" textlink="">
      <xdr:nvSpPr>
        <xdr:cNvPr id="3" name="Rectangle 2">
          <a:extLst>
            <a:ext uri="{FF2B5EF4-FFF2-40B4-BE49-F238E27FC236}">
              <a16:creationId xmlns:a16="http://schemas.microsoft.com/office/drawing/2014/main" id="{632F1322-4EC6-4A5A-AF08-C671F87BA02F}"/>
            </a:ext>
          </a:extLst>
        </xdr:cNvPr>
        <xdr:cNvSpPr>
          <a:spLocks noChangeAspect="1"/>
        </xdr:cNvSpPr>
      </xdr:nvSpPr>
      <xdr:spPr>
        <a:xfrm>
          <a:off x="2047875" y="66676"/>
          <a:ext cx="1866900" cy="619124"/>
        </a:xfrm>
        <a:prstGeom prst="rect">
          <a:avLst/>
        </a:prstGeom>
        <a:solidFill>
          <a:schemeClr val="accent6">
            <a:lumMod val="20000"/>
            <a:lumOff val="80000"/>
          </a:schemeClr>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solidFill>
                <a:sysClr val="windowText" lastClr="000000"/>
              </a:solidFill>
            </a:rPr>
            <a:t>Player Per Game Stats</a:t>
          </a:r>
          <a:endParaRPr lang="en-US" sz="1050">
            <a:solidFill>
              <a:schemeClr val="lt1"/>
            </a:solidFill>
          </a:endParaRPr>
        </a:p>
      </xdr:txBody>
    </xdr:sp>
    <xdr:clientData/>
  </xdr:twoCellAnchor>
  <xdr:twoCellAnchor editAs="absolute">
    <xdr:from>
      <xdr:col>16</xdr:col>
      <xdr:colOff>342900</xdr:colOff>
      <xdr:row>1</xdr:row>
      <xdr:rowOff>4763</xdr:rowOff>
    </xdr:from>
    <xdr:to>
      <xdr:col>20</xdr:col>
      <xdr:colOff>238124</xdr:colOff>
      <xdr:row>2</xdr:row>
      <xdr:rowOff>176213</xdr:rowOff>
    </xdr:to>
    <xdr:sp macro="" textlink="">
      <xdr:nvSpPr>
        <xdr:cNvPr id="7" name="Rectangle: Rounded Corners 6">
          <a:hlinkClick xmlns:r="http://schemas.openxmlformats.org/officeDocument/2006/relationships" r:id="rId4" tooltip="Click to view Classic Stats term glossary"/>
          <a:extLst>
            <a:ext uri="{FF2B5EF4-FFF2-40B4-BE49-F238E27FC236}">
              <a16:creationId xmlns:a16="http://schemas.microsoft.com/office/drawing/2014/main" id="{EDF4021E-2034-4AEC-BE8A-FCD82896EF6B}"/>
            </a:ext>
          </a:extLst>
        </xdr:cNvPr>
        <xdr:cNvSpPr>
          <a:spLocks noChangeAspect="1"/>
        </xdr:cNvSpPr>
      </xdr:nvSpPr>
      <xdr:spPr>
        <a:xfrm>
          <a:off x="6781800" y="195263"/>
          <a:ext cx="1304924" cy="361950"/>
        </a:xfrm>
        <a:prstGeom prst="roundRect">
          <a:avLst/>
        </a:prstGeom>
        <a:solidFill>
          <a:srgbClr val="F78C0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ysClr val="windowText" lastClr="000000"/>
              </a:solidFill>
            </a:rPr>
            <a:t>Goto Glossary</a:t>
          </a:r>
        </a:p>
      </xdr:txBody>
    </xdr:sp>
    <xdr:clientData/>
  </xdr:twoCellAnchor>
</xdr:wsDr>
</file>

<file path=xl/drawings/drawing12.xml><?xml version="1.0" encoding="utf-8"?>
<xdr:wsDr xmlns:xdr="http://schemas.openxmlformats.org/drawingml/2006/spreadsheetDrawing" xmlns:a="http://schemas.openxmlformats.org/drawingml/2006/main">
  <xdr:twoCellAnchor editAs="absolute">
    <xdr:from>
      <xdr:col>0</xdr:col>
      <xdr:colOff>133350</xdr:colOff>
      <xdr:row>0</xdr:row>
      <xdr:rowOff>38100</xdr:rowOff>
    </xdr:from>
    <xdr:to>
      <xdr:col>1</xdr:col>
      <xdr:colOff>1300481</xdr:colOff>
      <xdr:row>2</xdr:row>
      <xdr:rowOff>133350</xdr:rowOff>
    </xdr:to>
    <xdr:grpSp>
      <xdr:nvGrpSpPr>
        <xdr:cNvPr id="2" name="Group 1">
          <a:hlinkClick xmlns:r="http://schemas.openxmlformats.org/officeDocument/2006/relationships" r:id="rId1" tooltip="Click to view Basketball Reference Source"/>
          <a:extLst>
            <a:ext uri="{FF2B5EF4-FFF2-40B4-BE49-F238E27FC236}">
              <a16:creationId xmlns:a16="http://schemas.microsoft.com/office/drawing/2014/main" id="{FA24BC1B-F821-4422-85F6-0AEC34D340B0}"/>
            </a:ext>
          </a:extLst>
        </xdr:cNvPr>
        <xdr:cNvGrpSpPr>
          <a:grpSpLocks noChangeAspect="1"/>
        </xdr:cNvGrpSpPr>
      </xdr:nvGrpSpPr>
      <xdr:grpSpPr>
        <a:xfrm>
          <a:off x="133350" y="38100"/>
          <a:ext cx="1433831" cy="476250"/>
          <a:chOff x="742949" y="38100"/>
          <a:chExt cx="914401" cy="287269"/>
        </a:xfrm>
      </xdr:grpSpPr>
      <xdr:sp macro="" textlink="">
        <xdr:nvSpPr>
          <xdr:cNvPr id="3" name="Rectangle 2">
            <a:extLst>
              <a:ext uri="{FF2B5EF4-FFF2-40B4-BE49-F238E27FC236}">
                <a16:creationId xmlns:a16="http://schemas.microsoft.com/office/drawing/2014/main" id="{4387CBC2-F049-45B6-8C6E-2AE10395FAB8}"/>
              </a:ext>
            </a:extLst>
          </xdr:cNvPr>
          <xdr:cNvSpPr/>
        </xdr:nvSpPr>
        <xdr:spPr>
          <a:xfrm>
            <a:off x="742949" y="38100"/>
            <a:ext cx="914401" cy="287269"/>
          </a:xfrm>
          <a:prstGeom prst="rect">
            <a:avLst/>
          </a:prstGeom>
          <a:solidFill>
            <a:srgbClr val="F7941E"/>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4" name="Picture 3">
            <a:extLst>
              <a:ext uri="{FF2B5EF4-FFF2-40B4-BE49-F238E27FC236}">
                <a16:creationId xmlns:a16="http://schemas.microsoft.com/office/drawing/2014/main" id="{87716D2B-9FCC-44CE-9848-6E677AD1AE7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67546" y="53818"/>
            <a:ext cx="265206" cy="270510"/>
          </a:xfrm>
          <a:prstGeom prst="rect">
            <a:avLst/>
          </a:prstGeom>
          <a:ln w="3175">
            <a:noFill/>
          </a:ln>
          <a:effectLst/>
        </xdr:spPr>
      </xdr:pic>
    </xdr:grpSp>
    <xdr:clientData/>
  </xdr:twoCellAnchor>
  <xdr:twoCellAnchor>
    <xdr:from>
      <xdr:col>2</xdr:col>
      <xdr:colOff>161925</xdr:colOff>
      <xdr:row>0</xdr:row>
      <xdr:rowOff>95250</xdr:rowOff>
    </xdr:from>
    <xdr:to>
      <xdr:col>10</xdr:col>
      <xdr:colOff>361950</xdr:colOff>
      <xdr:row>2</xdr:row>
      <xdr:rowOff>95250</xdr:rowOff>
    </xdr:to>
    <xdr:sp macro="" textlink="">
      <xdr:nvSpPr>
        <xdr:cNvPr id="5" name="Rectangle 4">
          <a:extLst>
            <a:ext uri="{FF2B5EF4-FFF2-40B4-BE49-F238E27FC236}">
              <a16:creationId xmlns:a16="http://schemas.microsoft.com/office/drawing/2014/main" id="{8A754C66-FD7F-4E2B-9D2C-7DE0FDD97948}"/>
            </a:ext>
          </a:extLst>
        </xdr:cNvPr>
        <xdr:cNvSpPr/>
      </xdr:nvSpPr>
      <xdr:spPr>
        <a:xfrm>
          <a:off x="2085975" y="95250"/>
          <a:ext cx="2647950" cy="381000"/>
        </a:xfrm>
        <a:prstGeom prst="rect">
          <a:avLst/>
        </a:prstGeom>
        <a:solidFill>
          <a:schemeClr val="accent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t>Player Stat Totals</a:t>
          </a: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9</xdr:col>
      <xdr:colOff>333375</xdr:colOff>
      <xdr:row>0</xdr:row>
      <xdr:rowOff>114301</xdr:rowOff>
    </xdr:from>
    <xdr:to>
      <xdr:col>11</xdr:col>
      <xdr:colOff>161925</xdr:colOff>
      <xdr:row>2</xdr:row>
      <xdr:rowOff>38101</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64CC96D8-2AE4-4D93-9916-61B1A7B74CFD}"/>
            </a:ext>
          </a:extLst>
        </xdr:cNvPr>
        <xdr:cNvSpPr/>
      </xdr:nvSpPr>
      <xdr:spPr>
        <a:xfrm>
          <a:off x="6010275" y="114301"/>
          <a:ext cx="1028700" cy="323850"/>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Goto Last 15</a:t>
          </a:r>
        </a:p>
      </xdr:txBody>
    </xdr:sp>
    <xdr:clientData/>
  </xdr:twoCellAnchor>
  <xdr:twoCellAnchor>
    <xdr:from>
      <xdr:col>11</xdr:col>
      <xdr:colOff>361950</xdr:colOff>
      <xdr:row>0</xdr:row>
      <xdr:rowOff>114301</xdr:rowOff>
    </xdr:from>
    <xdr:to>
      <xdr:col>12</xdr:col>
      <xdr:colOff>619125</xdr:colOff>
      <xdr:row>2</xdr:row>
      <xdr:rowOff>38101</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DA280703-9B67-4512-9899-A13A0F918D07}"/>
            </a:ext>
          </a:extLst>
        </xdr:cNvPr>
        <xdr:cNvSpPr/>
      </xdr:nvSpPr>
      <xdr:spPr>
        <a:xfrm>
          <a:off x="7239000" y="114301"/>
          <a:ext cx="1028700" cy="323850"/>
        </a:xfrm>
        <a:prstGeom prst="roundRect">
          <a:avLst/>
        </a:prstGeom>
        <a:solidFill>
          <a:schemeClr val="accent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Goto Last 10</a:t>
          </a:r>
        </a:p>
      </xdr:txBody>
    </xdr:sp>
    <xdr:clientData/>
  </xdr:twoCellAnchor>
  <xdr:twoCellAnchor>
    <xdr:from>
      <xdr:col>13</xdr:col>
      <xdr:colOff>180975</xdr:colOff>
      <xdr:row>0</xdr:row>
      <xdr:rowOff>114301</xdr:rowOff>
    </xdr:from>
    <xdr:to>
      <xdr:col>15</xdr:col>
      <xdr:colOff>38100</xdr:colOff>
      <xdr:row>2</xdr:row>
      <xdr:rowOff>38101</xdr:rowOff>
    </xdr:to>
    <xdr:sp macro="" textlink="">
      <xdr:nvSpPr>
        <xdr:cNvPr id="4" name="Rectangle: Rounded Corners 3">
          <a:hlinkClick xmlns:r="http://schemas.openxmlformats.org/officeDocument/2006/relationships" r:id="rId3"/>
          <a:extLst>
            <a:ext uri="{FF2B5EF4-FFF2-40B4-BE49-F238E27FC236}">
              <a16:creationId xmlns:a16="http://schemas.microsoft.com/office/drawing/2014/main" id="{6CD89778-3960-42F9-846B-63687404B569}"/>
            </a:ext>
          </a:extLst>
        </xdr:cNvPr>
        <xdr:cNvSpPr/>
      </xdr:nvSpPr>
      <xdr:spPr>
        <a:xfrm>
          <a:off x="8467725" y="114301"/>
          <a:ext cx="1028700" cy="323850"/>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Goto Last 5</a:t>
          </a:r>
        </a:p>
      </xdr:txBody>
    </xdr:sp>
    <xdr:clientData/>
  </xdr:twoCellAnchor>
  <xdr:twoCellAnchor>
    <xdr:from>
      <xdr:col>7</xdr:col>
      <xdr:colOff>352424</xdr:colOff>
      <xdr:row>105</xdr:row>
      <xdr:rowOff>123825</xdr:rowOff>
    </xdr:from>
    <xdr:to>
      <xdr:col>9</xdr:col>
      <xdr:colOff>200024</xdr:colOff>
      <xdr:row>107</xdr:row>
      <xdr:rowOff>47625</xdr:rowOff>
    </xdr:to>
    <xdr:sp macro="" textlink="">
      <xdr:nvSpPr>
        <xdr:cNvPr id="5" name="Rectangle: Rounded Corners 4">
          <a:hlinkClick xmlns:r="http://schemas.openxmlformats.org/officeDocument/2006/relationships" r:id="rId4"/>
          <a:extLst>
            <a:ext uri="{FF2B5EF4-FFF2-40B4-BE49-F238E27FC236}">
              <a16:creationId xmlns:a16="http://schemas.microsoft.com/office/drawing/2014/main" id="{8C9C8188-E898-44E4-994A-E61320FF314E}"/>
            </a:ext>
          </a:extLst>
        </xdr:cNvPr>
        <xdr:cNvSpPr/>
      </xdr:nvSpPr>
      <xdr:spPr>
        <a:xfrm>
          <a:off x="4781549" y="20183475"/>
          <a:ext cx="1095375" cy="323850"/>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Back to Top ↑</a:t>
          </a:r>
        </a:p>
      </xdr:txBody>
    </xdr:sp>
    <xdr:clientData/>
  </xdr:twoCellAnchor>
  <xdr:twoCellAnchor>
    <xdr:from>
      <xdr:col>7</xdr:col>
      <xdr:colOff>421902</xdr:colOff>
      <xdr:row>70</xdr:row>
      <xdr:rowOff>133350</xdr:rowOff>
    </xdr:from>
    <xdr:to>
      <xdr:col>9</xdr:col>
      <xdr:colOff>269502</xdr:colOff>
      <xdr:row>72</xdr:row>
      <xdr:rowOff>57150</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FB5D485A-05FF-4BC9-9EDE-57ACB5D7BE6E}"/>
            </a:ext>
          </a:extLst>
        </xdr:cNvPr>
        <xdr:cNvSpPr/>
      </xdr:nvSpPr>
      <xdr:spPr>
        <a:xfrm>
          <a:off x="4859431" y="13513174"/>
          <a:ext cx="1091453" cy="327211"/>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Back to Top ↑</a:t>
          </a:r>
        </a:p>
      </xdr:txBody>
    </xdr:sp>
    <xdr:clientData/>
  </xdr:twoCellAnchor>
  <xdr:twoCellAnchor>
    <xdr:from>
      <xdr:col>7</xdr:col>
      <xdr:colOff>419100</xdr:colOff>
      <xdr:row>35</xdr:row>
      <xdr:rowOff>123825</xdr:rowOff>
    </xdr:from>
    <xdr:to>
      <xdr:col>9</xdr:col>
      <xdr:colOff>266700</xdr:colOff>
      <xdr:row>37</xdr:row>
      <xdr:rowOff>47625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733321F0-7748-4A9E-A030-D1C4F2D22206}"/>
            </a:ext>
          </a:extLst>
        </xdr:cNvPr>
        <xdr:cNvSpPr/>
      </xdr:nvSpPr>
      <xdr:spPr>
        <a:xfrm>
          <a:off x="4848225" y="6810375"/>
          <a:ext cx="1095375" cy="323850"/>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Back to Top ↑</a:t>
          </a:r>
        </a:p>
      </xdr:txBody>
    </xdr:sp>
    <xdr:clientData/>
  </xdr:twoCellAnchor>
  <xdr:twoCellAnchor>
    <xdr:from>
      <xdr:col>7</xdr:col>
      <xdr:colOff>200024</xdr:colOff>
      <xdr:row>0</xdr:row>
      <xdr:rowOff>66674</xdr:rowOff>
    </xdr:from>
    <xdr:to>
      <xdr:col>9</xdr:col>
      <xdr:colOff>180974</xdr:colOff>
      <xdr:row>2</xdr:row>
      <xdr:rowOff>114299</xdr:rowOff>
    </xdr:to>
    <xdr:sp macro="" textlink="">
      <xdr:nvSpPr>
        <xdr:cNvPr id="8" name="Rectangle: Rounded Corners 7">
          <a:hlinkClick xmlns:r="http://schemas.openxmlformats.org/officeDocument/2006/relationships" r:id="rId5"/>
          <a:extLst>
            <a:ext uri="{FF2B5EF4-FFF2-40B4-BE49-F238E27FC236}">
              <a16:creationId xmlns:a16="http://schemas.microsoft.com/office/drawing/2014/main" id="{85FEA19E-8802-4EA6-82C8-4104FA5A6F31}"/>
            </a:ext>
          </a:extLst>
        </xdr:cNvPr>
        <xdr:cNvSpPr/>
      </xdr:nvSpPr>
      <xdr:spPr>
        <a:xfrm>
          <a:off x="4629149" y="66674"/>
          <a:ext cx="1228725" cy="447675"/>
        </a:xfrm>
        <a:prstGeom prst="roundRect">
          <a:avLst/>
        </a:prstGeom>
        <a:solidFill>
          <a:schemeClr val="accent4"/>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b="1">
              <a:solidFill>
                <a:sysClr val="windowText" lastClr="000000"/>
              </a:solidFill>
            </a:rPr>
            <a:t>Backto</a:t>
          </a:r>
          <a:r>
            <a:rPr lang="en-US" sz="1000" b="1" baseline="0">
              <a:solidFill>
                <a:sysClr val="windowText" lastClr="000000"/>
              </a:solidFill>
            </a:rPr>
            <a:t> Team Ranking</a:t>
          </a:r>
        </a:p>
      </xdr:txBody>
    </xdr:sp>
    <xdr:clientData/>
  </xdr:twoCellAnchor>
  <xdr:twoCellAnchor>
    <xdr:from>
      <xdr:col>24</xdr:col>
      <xdr:colOff>90700</xdr:colOff>
      <xdr:row>0</xdr:row>
      <xdr:rowOff>53726</xdr:rowOff>
    </xdr:from>
    <xdr:to>
      <xdr:col>27</xdr:col>
      <xdr:colOff>333072</xdr:colOff>
      <xdr:row>2</xdr:row>
      <xdr:rowOff>126564</xdr:rowOff>
    </xdr:to>
    <xdr:grpSp>
      <xdr:nvGrpSpPr>
        <xdr:cNvPr id="13" name="Group 12">
          <a:hlinkClick xmlns:r="http://schemas.openxmlformats.org/officeDocument/2006/relationships" r:id="rId6" tooltip="Click to view Basketball Reference Source"/>
          <a:extLst>
            <a:ext uri="{FF2B5EF4-FFF2-40B4-BE49-F238E27FC236}">
              <a16:creationId xmlns:a16="http://schemas.microsoft.com/office/drawing/2014/main" id="{788C8EB8-AB72-46DC-AAFD-529D15E51519}"/>
            </a:ext>
          </a:extLst>
        </xdr:cNvPr>
        <xdr:cNvGrpSpPr/>
      </xdr:nvGrpSpPr>
      <xdr:grpSpPr>
        <a:xfrm>
          <a:off x="14896783" y="53726"/>
          <a:ext cx="1417122" cy="475005"/>
          <a:chOff x="104775" y="57150"/>
          <a:chExt cx="1457325" cy="476250"/>
        </a:xfrm>
      </xdr:grpSpPr>
      <xdr:sp macro="" textlink="">
        <xdr:nvSpPr>
          <xdr:cNvPr id="14" name="Rectangle 13">
            <a:extLst>
              <a:ext uri="{FF2B5EF4-FFF2-40B4-BE49-F238E27FC236}">
                <a16:creationId xmlns:a16="http://schemas.microsoft.com/office/drawing/2014/main" id="{FB6C81C1-F7DE-415E-B55E-FBE4CC408740}"/>
              </a:ext>
            </a:extLst>
          </xdr:cNvPr>
          <xdr:cNvSpPr/>
        </xdr:nvSpPr>
        <xdr:spPr>
          <a:xfrm>
            <a:off x="104775" y="57150"/>
            <a:ext cx="1457325" cy="476250"/>
          </a:xfrm>
          <a:prstGeom prst="rect">
            <a:avLst/>
          </a:prstGeom>
          <a:solidFill>
            <a:srgbClr val="F7941E"/>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15" name="Picture 14">
            <a:extLst>
              <a:ext uri="{FF2B5EF4-FFF2-40B4-BE49-F238E27FC236}">
                <a16:creationId xmlns:a16="http://schemas.microsoft.com/office/drawing/2014/main" id="{FA7B94BA-F71D-4756-99BE-A771303DEFC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09600" y="71438"/>
            <a:ext cx="447675" cy="447675"/>
          </a:xfrm>
          <a:prstGeom prst="rect">
            <a:avLst/>
          </a:prstGeom>
          <a:ln w="3175">
            <a:noFill/>
          </a:ln>
          <a:effectLst/>
        </xdr:spPr>
      </xdr:pic>
    </xdr:grpSp>
    <xdr:clientData/>
  </xdr:twoCellAnchor>
  <xdr:twoCellAnchor>
    <xdr:from>
      <xdr:col>24</xdr:col>
      <xdr:colOff>90700</xdr:colOff>
      <xdr:row>35</xdr:row>
      <xdr:rowOff>53411</xdr:rowOff>
    </xdr:from>
    <xdr:to>
      <xdr:col>27</xdr:col>
      <xdr:colOff>333072</xdr:colOff>
      <xdr:row>37</xdr:row>
      <xdr:rowOff>126249</xdr:rowOff>
    </xdr:to>
    <xdr:grpSp>
      <xdr:nvGrpSpPr>
        <xdr:cNvPr id="16" name="Group 15">
          <a:hlinkClick xmlns:r="http://schemas.openxmlformats.org/officeDocument/2006/relationships" r:id="rId8" tooltip="Click to view Basketball Reference Source"/>
          <a:extLst>
            <a:ext uri="{FF2B5EF4-FFF2-40B4-BE49-F238E27FC236}">
              <a16:creationId xmlns:a16="http://schemas.microsoft.com/office/drawing/2014/main" id="{6CA2591D-9DEB-45A2-9F55-AFEC126BB47F}"/>
            </a:ext>
          </a:extLst>
        </xdr:cNvPr>
        <xdr:cNvGrpSpPr/>
      </xdr:nvGrpSpPr>
      <xdr:grpSpPr>
        <a:xfrm>
          <a:off x="14896783" y="6742078"/>
          <a:ext cx="1417122" cy="475004"/>
          <a:chOff x="104775" y="57150"/>
          <a:chExt cx="1457325" cy="476250"/>
        </a:xfrm>
      </xdr:grpSpPr>
      <xdr:sp macro="" textlink="">
        <xdr:nvSpPr>
          <xdr:cNvPr id="17" name="Rectangle 16">
            <a:extLst>
              <a:ext uri="{FF2B5EF4-FFF2-40B4-BE49-F238E27FC236}">
                <a16:creationId xmlns:a16="http://schemas.microsoft.com/office/drawing/2014/main" id="{DBE1D92A-3B44-4640-991C-D55C1BFB0A2F}"/>
              </a:ext>
            </a:extLst>
          </xdr:cNvPr>
          <xdr:cNvSpPr/>
        </xdr:nvSpPr>
        <xdr:spPr>
          <a:xfrm>
            <a:off x="104775" y="57150"/>
            <a:ext cx="1457325" cy="476250"/>
          </a:xfrm>
          <a:prstGeom prst="rect">
            <a:avLst/>
          </a:prstGeom>
          <a:solidFill>
            <a:srgbClr val="F7941E"/>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18" name="Picture 17">
            <a:extLst>
              <a:ext uri="{FF2B5EF4-FFF2-40B4-BE49-F238E27FC236}">
                <a16:creationId xmlns:a16="http://schemas.microsoft.com/office/drawing/2014/main" id="{F0C72A46-CA11-4BDD-8BAE-FFA9ACE0D75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09600" y="71438"/>
            <a:ext cx="447675" cy="447675"/>
          </a:xfrm>
          <a:prstGeom prst="rect">
            <a:avLst/>
          </a:prstGeom>
          <a:ln w="3175">
            <a:noFill/>
          </a:ln>
          <a:effectLst/>
        </xdr:spPr>
      </xdr:pic>
    </xdr:grpSp>
    <xdr:clientData/>
  </xdr:twoCellAnchor>
  <xdr:twoCellAnchor>
    <xdr:from>
      <xdr:col>2</xdr:col>
      <xdr:colOff>131233</xdr:colOff>
      <xdr:row>70</xdr:row>
      <xdr:rowOff>63501</xdr:rowOff>
    </xdr:from>
    <xdr:to>
      <xdr:col>6</xdr:col>
      <xdr:colOff>478615</xdr:colOff>
      <xdr:row>72</xdr:row>
      <xdr:rowOff>97119</xdr:rowOff>
    </xdr:to>
    <xdr:grpSp>
      <xdr:nvGrpSpPr>
        <xdr:cNvPr id="21" name="Group 20">
          <a:hlinkClick xmlns:r="http://schemas.openxmlformats.org/officeDocument/2006/relationships" r:id="rId9" tooltip="Click to view NBA.com stats source"/>
          <a:extLst>
            <a:ext uri="{FF2B5EF4-FFF2-40B4-BE49-F238E27FC236}">
              <a16:creationId xmlns:a16="http://schemas.microsoft.com/office/drawing/2014/main" id="{0AE9012A-A843-4D79-97C1-43739BB175B8}"/>
            </a:ext>
          </a:extLst>
        </xdr:cNvPr>
        <xdr:cNvGrpSpPr/>
      </xdr:nvGrpSpPr>
      <xdr:grpSpPr>
        <a:xfrm>
          <a:off x="2491316" y="13440834"/>
          <a:ext cx="1913716" cy="435785"/>
          <a:chOff x="13589000" y="15599834"/>
          <a:chExt cx="1913716" cy="435785"/>
        </a:xfrm>
      </xdr:grpSpPr>
      <xdr:sp macro="" textlink="">
        <xdr:nvSpPr>
          <xdr:cNvPr id="20" name="Rectangle 19">
            <a:extLst>
              <a:ext uri="{FF2B5EF4-FFF2-40B4-BE49-F238E27FC236}">
                <a16:creationId xmlns:a16="http://schemas.microsoft.com/office/drawing/2014/main" id="{8D725811-F263-4780-9D0A-B5C352804AC6}"/>
              </a:ext>
            </a:extLst>
          </xdr:cNvPr>
          <xdr:cNvSpPr/>
        </xdr:nvSpPr>
        <xdr:spPr>
          <a:xfrm>
            <a:off x="13589000" y="15599834"/>
            <a:ext cx="1913716" cy="435785"/>
          </a:xfrm>
          <a:prstGeom prst="rect">
            <a:avLst/>
          </a:prstGeom>
          <a:solidFill>
            <a:schemeClr val="bg2"/>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1200" b="1">
                <a:solidFill>
                  <a:sysClr val="windowText" lastClr="000000"/>
                </a:solidFill>
              </a:rPr>
              <a:t>Advanced Stats     </a:t>
            </a:r>
          </a:p>
        </xdr:txBody>
      </xdr:sp>
      <xdr:pic>
        <xdr:nvPicPr>
          <xdr:cNvPr id="19" name="Picture 18" descr="See the source image">
            <a:extLst>
              <a:ext uri="{FF2B5EF4-FFF2-40B4-BE49-F238E27FC236}">
                <a16:creationId xmlns:a16="http://schemas.microsoft.com/office/drawing/2014/main" id="{8C2CE1C9-777D-4B3D-8E59-D6B1586C32A4}"/>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3768918" y="15621000"/>
            <a:ext cx="588012" cy="398992"/>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xdr:col>
      <xdr:colOff>131233</xdr:colOff>
      <xdr:row>35</xdr:row>
      <xdr:rowOff>67734</xdr:rowOff>
    </xdr:from>
    <xdr:to>
      <xdr:col>6</xdr:col>
      <xdr:colOff>478615</xdr:colOff>
      <xdr:row>37</xdr:row>
      <xdr:rowOff>101353</xdr:rowOff>
    </xdr:to>
    <xdr:grpSp>
      <xdr:nvGrpSpPr>
        <xdr:cNvPr id="23" name="Group 22">
          <a:hlinkClick xmlns:r="http://schemas.openxmlformats.org/officeDocument/2006/relationships" r:id="rId11" tooltip="Click to veiw NBA.com stats source"/>
          <a:extLst>
            <a:ext uri="{FF2B5EF4-FFF2-40B4-BE49-F238E27FC236}">
              <a16:creationId xmlns:a16="http://schemas.microsoft.com/office/drawing/2014/main" id="{47340016-3669-47D1-9826-ACB661EBAA54}"/>
            </a:ext>
          </a:extLst>
        </xdr:cNvPr>
        <xdr:cNvGrpSpPr/>
      </xdr:nvGrpSpPr>
      <xdr:grpSpPr>
        <a:xfrm>
          <a:off x="2491316" y="6756401"/>
          <a:ext cx="1913716" cy="435785"/>
          <a:chOff x="13589000" y="15599834"/>
          <a:chExt cx="1913716" cy="435785"/>
        </a:xfrm>
      </xdr:grpSpPr>
      <xdr:sp macro="" textlink="">
        <xdr:nvSpPr>
          <xdr:cNvPr id="24" name="Rectangle 23">
            <a:hlinkClick xmlns:r="http://schemas.openxmlformats.org/officeDocument/2006/relationships" r:id="rId11"/>
            <a:extLst>
              <a:ext uri="{FF2B5EF4-FFF2-40B4-BE49-F238E27FC236}">
                <a16:creationId xmlns:a16="http://schemas.microsoft.com/office/drawing/2014/main" id="{98FB2684-CDB3-45E9-BE06-88490C176F99}"/>
              </a:ext>
            </a:extLst>
          </xdr:cNvPr>
          <xdr:cNvSpPr/>
        </xdr:nvSpPr>
        <xdr:spPr>
          <a:xfrm>
            <a:off x="13589000" y="15599834"/>
            <a:ext cx="1913716" cy="435785"/>
          </a:xfrm>
          <a:prstGeom prst="rect">
            <a:avLst/>
          </a:prstGeom>
          <a:solidFill>
            <a:schemeClr val="bg2"/>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1200" b="1">
                <a:solidFill>
                  <a:sysClr val="windowText" lastClr="000000"/>
                </a:solidFill>
              </a:rPr>
              <a:t>Advanced Stats     </a:t>
            </a:r>
          </a:p>
        </xdr:txBody>
      </xdr:sp>
      <xdr:pic>
        <xdr:nvPicPr>
          <xdr:cNvPr id="25" name="Picture 24" descr="See the source image">
            <a:extLst>
              <a:ext uri="{FF2B5EF4-FFF2-40B4-BE49-F238E27FC236}">
                <a16:creationId xmlns:a16="http://schemas.microsoft.com/office/drawing/2014/main" id="{E8E91C34-B87F-46D4-B241-D32C819AA916}"/>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3768918" y="15621000"/>
            <a:ext cx="588012" cy="398992"/>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xdr:col>
      <xdr:colOff>131233</xdr:colOff>
      <xdr:row>0</xdr:row>
      <xdr:rowOff>71967</xdr:rowOff>
    </xdr:from>
    <xdr:to>
      <xdr:col>6</xdr:col>
      <xdr:colOff>478615</xdr:colOff>
      <xdr:row>2</xdr:row>
      <xdr:rowOff>105585</xdr:rowOff>
    </xdr:to>
    <xdr:grpSp>
      <xdr:nvGrpSpPr>
        <xdr:cNvPr id="26" name="Group 25">
          <a:hlinkClick xmlns:r="http://schemas.openxmlformats.org/officeDocument/2006/relationships" r:id="rId12" tooltip="Click to view team stats for the entire season"/>
          <a:extLst>
            <a:ext uri="{FF2B5EF4-FFF2-40B4-BE49-F238E27FC236}">
              <a16:creationId xmlns:a16="http://schemas.microsoft.com/office/drawing/2014/main" id="{9AE4CBD6-08A5-4807-BE0D-840CE02FE22C}"/>
            </a:ext>
          </a:extLst>
        </xdr:cNvPr>
        <xdr:cNvGrpSpPr/>
      </xdr:nvGrpSpPr>
      <xdr:grpSpPr>
        <a:xfrm>
          <a:off x="2491316" y="71967"/>
          <a:ext cx="1913716" cy="435785"/>
          <a:chOff x="13589000" y="15599834"/>
          <a:chExt cx="1913716" cy="435785"/>
        </a:xfrm>
      </xdr:grpSpPr>
      <xdr:sp macro="" textlink="">
        <xdr:nvSpPr>
          <xdr:cNvPr id="27" name="Rectangle 26">
            <a:hlinkClick xmlns:r="http://schemas.openxmlformats.org/officeDocument/2006/relationships" r:id="rId11" tooltip="Click to view NBA.com stats source"/>
            <a:extLst>
              <a:ext uri="{FF2B5EF4-FFF2-40B4-BE49-F238E27FC236}">
                <a16:creationId xmlns:a16="http://schemas.microsoft.com/office/drawing/2014/main" id="{4707C8A6-4C5F-44D2-A483-61E0DFD0D030}"/>
              </a:ext>
            </a:extLst>
          </xdr:cNvPr>
          <xdr:cNvSpPr/>
        </xdr:nvSpPr>
        <xdr:spPr>
          <a:xfrm>
            <a:off x="13589000" y="15599834"/>
            <a:ext cx="1913716" cy="435785"/>
          </a:xfrm>
          <a:prstGeom prst="rect">
            <a:avLst/>
          </a:prstGeom>
          <a:solidFill>
            <a:schemeClr val="bg2"/>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1200" b="1">
                <a:solidFill>
                  <a:sysClr val="windowText" lastClr="000000"/>
                </a:solidFill>
              </a:rPr>
              <a:t>Advanced Stats     </a:t>
            </a:r>
          </a:p>
        </xdr:txBody>
      </xdr:sp>
      <xdr:pic>
        <xdr:nvPicPr>
          <xdr:cNvPr id="28" name="Picture 27" descr="See the source image">
            <a:extLst>
              <a:ext uri="{FF2B5EF4-FFF2-40B4-BE49-F238E27FC236}">
                <a16:creationId xmlns:a16="http://schemas.microsoft.com/office/drawing/2014/main" id="{ABBFAB56-367D-4246-A222-03C49F8682A5}"/>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3768918" y="15621000"/>
            <a:ext cx="588012" cy="398992"/>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xdr:col>
      <xdr:colOff>131233</xdr:colOff>
      <xdr:row>105</xdr:row>
      <xdr:rowOff>63500</xdr:rowOff>
    </xdr:from>
    <xdr:to>
      <xdr:col>6</xdr:col>
      <xdr:colOff>478615</xdr:colOff>
      <xdr:row>107</xdr:row>
      <xdr:rowOff>97118</xdr:rowOff>
    </xdr:to>
    <xdr:grpSp>
      <xdr:nvGrpSpPr>
        <xdr:cNvPr id="29" name="Group 28">
          <a:hlinkClick xmlns:r="http://schemas.openxmlformats.org/officeDocument/2006/relationships" r:id="rId13" tooltip="Click to view NBA.com stats source"/>
          <a:extLst>
            <a:ext uri="{FF2B5EF4-FFF2-40B4-BE49-F238E27FC236}">
              <a16:creationId xmlns:a16="http://schemas.microsoft.com/office/drawing/2014/main" id="{079B7EE9-A987-480E-A2CF-B95243F5C689}"/>
            </a:ext>
          </a:extLst>
        </xdr:cNvPr>
        <xdr:cNvGrpSpPr/>
      </xdr:nvGrpSpPr>
      <xdr:grpSpPr>
        <a:xfrm>
          <a:off x="2491316" y="20129500"/>
          <a:ext cx="1913716" cy="435785"/>
          <a:chOff x="13589000" y="15599834"/>
          <a:chExt cx="1913716" cy="435785"/>
        </a:xfrm>
      </xdr:grpSpPr>
      <xdr:sp macro="" textlink="">
        <xdr:nvSpPr>
          <xdr:cNvPr id="30" name="Rectangle 29">
            <a:hlinkClick xmlns:r="http://schemas.openxmlformats.org/officeDocument/2006/relationships" r:id="rId13" tooltip="Click to view team stats for the last 10 games"/>
            <a:extLst>
              <a:ext uri="{FF2B5EF4-FFF2-40B4-BE49-F238E27FC236}">
                <a16:creationId xmlns:a16="http://schemas.microsoft.com/office/drawing/2014/main" id="{A944EADC-B7BD-4426-9E67-FEF0D03FCFC9}"/>
              </a:ext>
            </a:extLst>
          </xdr:cNvPr>
          <xdr:cNvSpPr/>
        </xdr:nvSpPr>
        <xdr:spPr>
          <a:xfrm>
            <a:off x="13589000" y="15599834"/>
            <a:ext cx="1913716" cy="435785"/>
          </a:xfrm>
          <a:prstGeom prst="rect">
            <a:avLst/>
          </a:prstGeom>
          <a:solidFill>
            <a:schemeClr val="bg2"/>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1200" b="1">
                <a:solidFill>
                  <a:sysClr val="windowText" lastClr="000000"/>
                </a:solidFill>
              </a:rPr>
              <a:t>Advanced Stats     </a:t>
            </a:r>
          </a:p>
        </xdr:txBody>
      </xdr:sp>
      <xdr:pic>
        <xdr:nvPicPr>
          <xdr:cNvPr id="31" name="Picture 30" descr="See the source image">
            <a:extLst>
              <a:ext uri="{FF2B5EF4-FFF2-40B4-BE49-F238E27FC236}">
                <a16:creationId xmlns:a16="http://schemas.microsoft.com/office/drawing/2014/main" id="{35F0F5D1-51D0-4D01-B217-55F24686600A}"/>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3768918" y="15621000"/>
            <a:ext cx="588012" cy="398992"/>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wsDr>
</file>

<file path=xl/drawings/drawing14.xml><?xml version="1.0" encoding="utf-8"?>
<xdr:wsDr xmlns:xdr="http://schemas.openxmlformats.org/drawingml/2006/spreadsheetDrawing" xmlns:a="http://schemas.openxmlformats.org/drawingml/2006/main">
  <xdr:twoCellAnchor>
    <xdr:from>
      <xdr:col>7</xdr:col>
      <xdr:colOff>59528</xdr:colOff>
      <xdr:row>0</xdr:row>
      <xdr:rowOff>47625</xdr:rowOff>
    </xdr:from>
    <xdr:to>
      <xdr:col>8</xdr:col>
      <xdr:colOff>619124</xdr:colOff>
      <xdr:row>1</xdr:row>
      <xdr:rowOff>166688</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D82E365B-2E80-499A-87D4-66F7BE3DBB42}"/>
            </a:ext>
          </a:extLst>
        </xdr:cNvPr>
        <xdr:cNvSpPr/>
      </xdr:nvSpPr>
      <xdr:spPr>
        <a:xfrm>
          <a:off x="4190997" y="47625"/>
          <a:ext cx="2321721" cy="309563"/>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Back</a:t>
          </a:r>
          <a:r>
            <a:rPr lang="en-US" sz="1100" baseline="0"/>
            <a:t> to</a:t>
          </a:r>
          <a:r>
            <a:rPr lang="en-US" sz="1100"/>
            <a:t> Team Shooting</a:t>
          </a:r>
        </a:p>
      </xdr:txBody>
    </xdr:sp>
    <xdr:clientData/>
  </xdr:twoCellAnchor>
  <xdr:twoCellAnchor>
    <xdr:from>
      <xdr:col>8</xdr:col>
      <xdr:colOff>747714</xdr:colOff>
      <xdr:row>0</xdr:row>
      <xdr:rowOff>45245</xdr:rowOff>
    </xdr:from>
    <xdr:to>
      <xdr:col>9</xdr:col>
      <xdr:colOff>976312</xdr:colOff>
      <xdr:row>1</xdr:row>
      <xdr:rowOff>166689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9DFBE55C-E946-4517-8B89-6258DF706885}"/>
            </a:ext>
          </a:extLst>
        </xdr:cNvPr>
        <xdr:cNvSpPr/>
      </xdr:nvSpPr>
      <xdr:spPr>
        <a:xfrm>
          <a:off x="6641308" y="45245"/>
          <a:ext cx="2038348" cy="311944"/>
        </a:xfrm>
        <a:prstGeom prst="roundRect">
          <a:avLst/>
        </a:prstGeom>
        <a:solidFill>
          <a:srgbClr val="7030A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Goto Roster</a:t>
          </a:r>
          <a:r>
            <a:rPr lang="en-US" sz="1100" baseline="0"/>
            <a:t> Analysis</a:t>
          </a:r>
        </a:p>
      </xdr:txBody>
    </xdr:sp>
    <xdr:clientData/>
  </xdr:twoCellAnchor>
  <xdr:twoCellAnchor editAs="absolute">
    <xdr:from>
      <xdr:col>4</xdr:col>
      <xdr:colOff>11907</xdr:colOff>
      <xdr:row>0</xdr:row>
      <xdr:rowOff>130969</xdr:rowOff>
    </xdr:from>
    <xdr:to>
      <xdr:col>6</xdr:col>
      <xdr:colOff>433707</xdr:colOff>
      <xdr:row>2</xdr:row>
      <xdr:rowOff>226219</xdr:rowOff>
    </xdr:to>
    <xdr:grpSp>
      <xdr:nvGrpSpPr>
        <xdr:cNvPr id="4" name="Group 3">
          <a:hlinkClick xmlns:r="http://schemas.openxmlformats.org/officeDocument/2006/relationships" r:id="rId3" tooltip="Click to view Basketball Reference Source"/>
          <a:extLst>
            <a:ext uri="{FF2B5EF4-FFF2-40B4-BE49-F238E27FC236}">
              <a16:creationId xmlns:a16="http://schemas.microsoft.com/office/drawing/2014/main" id="{C344D179-DE06-46ED-93CC-DCB27F96EC3F}"/>
            </a:ext>
          </a:extLst>
        </xdr:cNvPr>
        <xdr:cNvGrpSpPr>
          <a:grpSpLocks noChangeAspect="1"/>
        </xdr:cNvGrpSpPr>
      </xdr:nvGrpSpPr>
      <xdr:grpSpPr>
        <a:xfrm>
          <a:off x="2583657" y="130969"/>
          <a:ext cx="1433831" cy="476250"/>
          <a:chOff x="742949" y="38100"/>
          <a:chExt cx="914401" cy="287269"/>
        </a:xfrm>
      </xdr:grpSpPr>
      <xdr:sp macro="" textlink="">
        <xdr:nvSpPr>
          <xdr:cNvPr id="5" name="Rectangle 4">
            <a:extLst>
              <a:ext uri="{FF2B5EF4-FFF2-40B4-BE49-F238E27FC236}">
                <a16:creationId xmlns:a16="http://schemas.microsoft.com/office/drawing/2014/main" id="{B010A06D-0A4E-4176-B7E1-2F02D3FB1997}"/>
              </a:ext>
            </a:extLst>
          </xdr:cNvPr>
          <xdr:cNvSpPr/>
        </xdr:nvSpPr>
        <xdr:spPr>
          <a:xfrm>
            <a:off x="742949" y="38100"/>
            <a:ext cx="914401" cy="287269"/>
          </a:xfrm>
          <a:prstGeom prst="rect">
            <a:avLst/>
          </a:prstGeom>
          <a:solidFill>
            <a:srgbClr val="F7941E"/>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6" name="Picture 5">
            <a:extLst>
              <a:ext uri="{FF2B5EF4-FFF2-40B4-BE49-F238E27FC236}">
                <a16:creationId xmlns:a16="http://schemas.microsoft.com/office/drawing/2014/main" id="{CFD18424-321A-427B-8161-3C1A7944BB8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67546" y="53818"/>
            <a:ext cx="265206" cy="270510"/>
          </a:xfrm>
          <a:prstGeom prst="rect">
            <a:avLst/>
          </a:prstGeom>
          <a:ln w="3175">
            <a:noFill/>
          </a:ln>
          <a:effectLst/>
        </xdr:spPr>
      </xdr:pic>
    </xdr:grpSp>
    <xdr:clientData/>
  </xdr:twoCellAnchor>
  <xdr:twoCellAnchor editAs="absolute">
    <xdr:from>
      <xdr:col>4</xdr:col>
      <xdr:colOff>11907</xdr:colOff>
      <xdr:row>35</xdr:row>
      <xdr:rowOff>119062</xdr:rowOff>
    </xdr:from>
    <xdr:to>
      <xdr:col>6</xdr:col>
      <xdr:colOff>433707</xdr:colOff>
      <xdr:row>37</xdr:row>
      <xdr:rowOff>214312</xdr:rowOff>
    </xdr:to>
    <xdr:grpSp>
      <xdr:nvGrpSpPr>
        <xdr:cNvPr id="7" name="Group 6">
          <a:hlinkClick xmlns:r="http://schemas.openxmlformats.org/officeDocument/2006/relationships" r:id="rId5" tooltip="Click to view Basketball Reference Source"/>
          <a:extLst>
            <a:ext uri="{FF2B5EF4-FFF2-40B4-BE49-F238E27FC236}">
              <a16:creationId xmlns:a16="http://schemas.microsoft.com/office/drawing/2014/main" id="{A4C8EEA4-E16F-4C2F-BFD7-B4FBEA4459B3}"/>
            </a:ext>
          </a:extLst>
        </xdr:cNvPr>
        <xdr:cNvGrpSpPr>
          <a:grpSpLocks noChangeAspect="1"/>
        </xdr:cNvGrpSpPr>
      </xdr:nvGrpSpPr>
      <xdr:grpSpPr>
        <a:xfrm>
          <a:off x="2583657" y="6929437"/>
          <a:ext cx="1433831" cy="476250"/>
          <a:chOff x="742949" y="38100"/>
          <a:chExt cx="914401" cy="287269"/>
        </a:xfrm>
      </xdr:grpSpPr>
      <xdr:sp macro="" textlink="">
        <xdr:nvSpPr>
          <xdr:cNvPr id="8" name="Rectangle 7">
            <a:extLst>
              <a:ext uri="{FF2B5EF4-FFF2-40B4-BE49-F238E27FC236}">
                <a16:creationId xmlns:a16="http://schemas.microsoft.com/office/drawing/2014/main" id="{BB33581F-361B-4ABF-9CB7-03E24A130330}"/>
              </a:ext>
            </a:extLst>
          </xdr:cNvPr>
          <xdr:cNvSpPr/>
        </xdr:nvSpPr>
        <xdr:spPr>
          <a:xfrm>
            <a:off x="742949" y="38100"/>
            <a:ext cx="914401" cy="287269"/>
          </a:xfrm>
          <a:prstGeom prst="rect">
            <a:avLst/>
          </a:prstGeom>
          <a:solidFill>
            <a:srgbClr val="F7941E"/>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9" name="Picture 8">
            <a:extLst>
              <a:ext uri="{FF2B5EF4-FFF2-40B4-BE49-F238E27FC236}">
                <a16:creationId xmlns:a16="http://schemas.microsoft.com/office/drawing/2014/main" id="{4ADFC603-9DDA-45D8-8FD5-80128DC056C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67546" y="53818"/>
            <a:ext cx="265206" cy="270510"/>
          </a:xfrm>
          <a:prstGeom prst="rect">
            <a:avLst/>
          </a:prstGeom>
          <a:ln w="3175">
            <a:noFill/>
          </a:ln>
          <a:effectLst/>
        </xdr:spPr>
      </xdr:pic>
    </xdr:grpSp>
    <xdr:clientData/>
  </xdr:twoCellAnchor>
  <xdr:twoCellAnchor>
    <xdr:from>
      <xdr:col>1</xdr:col>
      <xdr:colOff>130968</xdr:colOff>
      <xdr:row>69</xdr:row>
      <xdr:rowOff>130968</xdr:rowOff>
    </xdr:from>
    <xdr:to>
      <xdr:col>3</xdr:col>
      <xdr:colOff>83344</xdr:colOff>
      <xdr:row>71</xdr:row>
      <xdr:rowOff>59530</xdr:rowOff>
    </xdr:to>
    <xdr:sp macro="" textlink="">
      <xdr:nvSpPr>
        <xdr:cNvPr id="10" name="Rectangle: Rounded Corners 9">
          <a:hlinkClick xmlns:r="http://schemas.openxmlformats.org/officeDocument/2006/relationships" r:id="rId6"/>
          <a:extLst>
            <a:ext uri="{FF2B5EF4-FFF2-40B4-BE49-F238E27FC236}">
              <a16:creationId xmlns:a16="http://schemas.microsoft.com/office/drawing/2014/main" id="{B5A60FA2-12E0-49ED-A237-5178BBA32526}"/>
            </a:ext>
          </a:extLst>
        </xdr:cNvPr>
        <xdr:cNvSpPr/>
      </xdr:nvSpPr>
      <xdr:spPr>
        <a:xfrm>
          <a:off x="130968" y="13561218"/>
          <a:ext cx="2155032" cy="309562"/>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Return</a:t>
          </a:r>
          <a:r>
            <a:rPr lang="en-US" sz="1100" baseline="0"/>
            <a:t> to Top ↑</a:t>
          </a:r>
          <a:endParaRPr lang="en-US" sz="1100"/>
        </a:p>
      </xdr:txBody>
    </xdr:sp>
    <xdr:clientData/>
  </xdr:twoCellAnchor>
  <xdr:twoCellAnchor>
    <xdr:from>
      <xdr:col>1</xdr:col>
      <xdr:colOff>59530</xdr:colOff>
      <xdr:row>0</xdr:row>
      <xdr:rowOff>83343</xdr:rowOff>
    </xdr:from>
    <xdr:to>
      <xdr:col>3</xdr:col>
      <xdr:colOff>285750</xdr:colOff>
      <xdr:row>2</xdr:row>
      <xdr:rowOff>285749</xdr:rowOff>
    </xdr:to>
    <xdr:sp macro="" textlink="">
      <xdr:nvSpPr>
        <xdr:cNvPr id="11" name="Rectangle 10">
          <a:extLst>
            <a:ext uri="{FF2B5EF4-FFF2-40B4-BE49-F238E27FC236}">
              <a16:creationId xmlns:a16="http://schemas.microsoft.com/office/drawing/2014/main" id="{9EB2AF3C-2A1A-425F-AD91-57CE79D73D08}"/>
            </a:ext>
          </a:extLst>
        </xdr:cNvPr>
        <xdr:cNvSpPr/>
      </xdr:nvSpPr>
      <xdr:spPr>
        <a:xfrm>
          <a:off x="59530" y="83343"/>
          <a:ext cx="2428876" cy="583406"/>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0" i="0" u="none" strike="noStrike">
              <a:solidFill>
                <a:schemeClr val="lt1"/>
              </a:solidFill>
              <a:effectLst/>
              <a:latin typeface="+mn-lt"/>
              <a:ea typeface="+mn-ea"/>
              <a:cs typeface="+mn-cs"/>
            </a:rPr>
            <a:t>Team Shooting</a:t>
          </a:r>
          <a:r>
            <a:rPr lang="en-US" sz="2400"/>
            <a:t> </a:t>
          </a:r>
        </a:p>
      </xdr:txBody>
    </xdr:sp>
    <xdr:clientData/>
  </xdr:twoCellAnchor>
  <xdr:twoCellAnchor>
    <xdr:from>
      <xdr:col>1</xdr:col>
      <xdr:colOff>69055</xdr:colOff>
      <xdr:row>35</xdr:row>
      <xdr:rowOff>69056</xdr:rowOff>
    </xdr:from>
    <xdr:to>
      <xdr:col>3</xdr:col>
      <xdr:colOff>295275</xdr:colOff>
      <xdr:row>37</xdr:row>
      <xdr:rowOff>271462</xdr:rowOff>
    </xdr:to>
    <xdr:sp macro="" textlink="">
      <xdr:nvSpPr>
        <xdr:cNvPr id="12" name="Rectangle 11">
          <a:extLst>
            <a:ext uri="{FF2B5EF4-FFF2-40B4-BE49-F238E27FC236}">
              <a16:creationId xmlns:a16="http://schemas.microsoft.com/office/drawing/2014/main" id="{2C884124-EB59-4BA2-9C58-1F4A3D06BD6A}"/>
            </a:ext>
          </a:extLst>
        </xdr:cNvPr>
        <xdr:cNvSpPr/>
      </xdr:nvSpPr>
      <xdr:spPr>
        <a:xfrm>
          <a:off x="69055" y="6879431"/>
          <a:ext cx="2428876" cy="583406"/>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0" i="0" u="none" strike="noStrike">
              <a:solidFill>
                <a:schemeClr val="lt1"/>
              </a:solidFill>
              <a:effectLst/>
              <a:latin typeface="+mn-lt"/>
              <a:ea typeface="+mn-ea"/>
              <a:cs typeface="+mn-cs"/>
            </a:rPr>
            <a:t>Opponent Shooting</a:t>
          </a:r>
          <a:endParaRPr lang="en-US" sz="2000"/>
        </a:p>
      </xdr:txBody>
    </xdr:sp>
    <xdr:clientData/>
  </xdr:twoCellAnchor>
</xdr:wsDr>
</file>

<file path=xl/drawings/drawing15.xml><?xml version="1.0" encoding="utf-8"?>
<xdr:wsDr xmlns:xdr="http://schemas.openxmlformats.org/drawingml/2006/spreadsheetDrawing" xmlns:a="http://schemas.openxmlformats.org/drawingml/2006/main">
  <xdr:twoCellAnchor editAs="absolute">
    <xdr:from>
      <xdr:col>1</xdr:col>
      <xdr:colOff>0</xdr:colOff>
      <xdr:row>0</xdr:row>
      <xdr:rowOff>161925</xdr:rowOff>
    </xdr:from>
    <xdr:to>
      <xdr:col>2</xdr:col>
      <xdr:colOff>1433831</xdr:colOff>
      <xdr:row>3</xdr:row>
      <xdr:rowOff>57150</xdr:rowOff>
    </xdr:to>
    <xdr:grpSp>
      <xdr:nvGrpSpPr>
        <xdr:cNvPr id="3" name="Group 2">
          <a:hlinkClick xmlns:r="http://schemas.openxmlformats.org/officeDocument/2006/relationships" r:id="rId1" tooltip="Click to view Basketball Reference Source"/>
          <a:extLst>
            <a:ext uri="{FF2B5EF4-FFF2-40B4-BE49-F238E27FC236}">
              <a16:creationId xmlns:a16="http://schemas.microsoft.com/office/drawing/2014/main" id="{C1B3E066-D7BA-4F7B-B9C3-06BE89A4E973}"/>
            </a:ext>
          </a:extLst>
        </xdr:cNvPr>
        <xdr:cNvGrpSpPr>
          <a:grpSpLocks noChangeAspect="1"/>
        </xdr:cNvGrpSpPr>
      </xdr:nvGrpSpPr>
      <xdr:grpSpPr>
        <a:xfrm>
          <a:off x="657225" y="161925"/>
          <a:ext cx="1433831" cy="476250"/>
          <a:chOff x="742949" y="38100"/>
          <a:chExt cx="914401" cy="287269"/>
        </a:xfrm>
      </xdr:grpSpPr>
      <xdr:sp macro="" textlink="">
        <xdr:nvSpPr>
          <xdr:cNvPr id="4" name="Rectangle 3">
            <a:extLst>
              <a:ext uri="{FF2B5EF4-FFF2-40B4-BE49-F238E27FC236}">
                <a16:creationId xmlns:a16="http://schemas.microsoft.com/office/drawing/2014/main" id="{12C308D7-9537-4CF8-A3BB-C36E0B9CA4BE}"/>
              </a:ext>
            </a:extLst>
          </xdr:cNvPr>
          <xdr:cNvSpPr/>
        </xdr:nvSpPr>
        <xdr:spPr>
          <a:xfrm>
            <a:off x="742949" y="38100"/>
            <a:ext cx="914401" cy="287269"/>
          </a:xfrm>
          <a:prstGeom prst="rect">
            <a:avLst/>
          </a:prstGeom>
          <a:solidFill>
            <a:srgbClr val="F7941E"/>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5" name="Picture 4">
            <a:extLst>
              <a:ext uri="{FF2B5EF4-FFF2-40B4-BE49-F238E27FC236}">
                <a16:creationId xmlns:a16="http://schemas.microsoft.com/office/drawing/2014/main" id="{99E50518-40FE-4053-8FD4-6807F67FDFF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67546" y="53818"/>
            <a:ext cx="265206" cy="270510"/>
          </a:xfrm>
          <a:prstGeom prst="rect">
            <a:avLst/>
          </a:prstGeom>
          <a:ln w="3175">
            <a:noFill/>
          </a:ln>
          <a:effectLst/>
        </xdr:spPr>
      </xdr:pic>
    </xdr:grpSp>
    <xdr:clientData/>
  </xdr:twoCellAnchor>
  <xdr:twoCellAnchor>
    <xdr:from>
      <xdr:col>8</xdr:col>
      <xdr:colOff>66675</xdr:colOff>
      <xdr:row>1</xdr:row>
      <xdr:rowOff>38100</xdr:rowOff>
    </xdr:from>
    <xdr:to>
      <xdr:col>11</xdr:col>
      <xdr:colOff>19051</xdr:colOff>
      <xdr:row>2</xdr:row>
      <xdr:rowOff>142875</xdr:rowOff>
    </xdr:to>
    <xdr:sp macro="" textlink="">
      <xdr:nvSpPr>
        <xdr:cNvPr id="2" name="Rectangle: Rounded Corners 1">
          <a:hlinkClick xmlns:r="http://schemas.openxmlformats.org/officeDocument/2006/relationships" r:id="rId3" tooltip="Click to return to Roster Analysis"/>
          <a:extLst>
            <a:ext uri="{FF2B5EF4-FFF2-40B4-BE49-F238E27FC236}">
              <a16:creationId xmlns:a16="http://schemas.microsoft.com/office/drawing/2014/main" id="{46E5D43C-2CF2-4333-8F00-832F034618ED}"/>
            </a:ext>
          </a:extLst>
        </xdr:cNvPr>
        <xdr:cNvSpPr/>
      </xdr:nvSpPr>
      <xdr:spPr>
        <a:xfrm>
          <a:off x="4533900" y="228600"/>
          <a:ext cx="1743076" cy="295275"/>
        </a:xfrm>
        <a:prstGeom prst="roundRect">
          <a:avLst/>
        </a:prstGeom>
        <a:solidFill>
          <a:srgbClr val="7030A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Return to Roster Analysis</a:t>
          </a:r>
        </a:p>
      </xdr:txBody>
    </xdr:sp>
    <xdr:clientData/>
  </xdr:twoCellAnchor>
  <xdr:twoCellAnchor>
    <xdr:from>
      <xdr:col>3</xdr:col>
      <xdr:colOff>28575</xdr:colOff>
      <xdr:row>1</xdr:row>
      <xdr:rowOff>0</xdr:rowOff>
    </xdr:from>
    <xdr:to>
      <xdr:col>6</xdr:col>
      <xdr:colOff>628650</xdr:colOff>
      <xdr:row>3</xdr:row>
      <xdr:rowOff>85725</xdr:rowOff>
    </xdr:to>
    <xdr:sp macro="" textlink="">
      <xdr:nvSpPr>
        <xdr:cNvPr id="6" name="Rectangle 5">
          <a:extLst>
            <a:ext uri="{FF2B5EF4-FFF2-40B4-BE49-F238E27FC236}">
              <a16:creationId xmlns:a16="http://schemas.microsoft.com/office/drawing/2014/main" id="{3323827E-E0AF-4B13-AAEC-5655B27C2368}"/>
            </a:ext>
          </a:extLst>
        </xdr:cNvPr>
        <xdr:cNvSpPr/>
      </xdr:nvSpPr>
      <xdr:spPr>
        <a:xfrm>
          <a:off x="2276475" y="190500"/>
          <a:ext cx="2076450" cy="476250"/>
        </a:xfrm>
        <a:prstGeom prst="rect">
          <a:avLst/>
        </a:prstGeom>
        <a:solidFill>
          <a:schemeClr val="accent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t>League Standings</a:t>
          </a: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0</xdr:col>
      <xdr:colOff>57150</xdr:colOff>
      <xdr:row>0</xdr:row>
      <xdr:rowOff>57150</xdr:rowOff>
    </xdr:from>
    <xdr:to>
      <xdr:col>4</xdr:col>
      <xdr:colOff>47625</xdr:colOff>
      <xdr:row>1</xdr:row>
      <xdr:rowOff>180975</xdr:rowOff>
    </xdr:to>
    <xdr:sp macro="" textlink="">
      <xdr:nvSpPr>
        <xdr:cNvPr id="2" name="Rectangle: Rounded Corners 1">
          <a:hlinkClick xmlns:r="http://schemas.openxmlformats.org/officeDocument/2006/relationships" r:id="rId1" tooltip="Click to return to Roster Analysis"/>
          <a:extLst>
            <a:ext uri="{FF2B5EF4-FFF2-40B4-BE49-F238E27FC236}">
              <a16:creationId xmlns:a16="http://schemas.microsoft.com/office/drawing/2014/main" id="{BD7A596C-66B9-487B-ADE3-C0FD15B88C9D}"/>
            </a:ext>
          </a:extLst>
        </xdr:cNvPr>
        <xdr:cNvSpPr/>
      </xdr:nvSpPr>
      <xdr:spPr>
        <a:xfrm>
          <a:off x="57150" y="57150"/>
          <a:ext cx="2047875" cy="314325"/>
        </a:xfrm>
        <a:prstGeom prst="roundRect">
          <a:avLst/>
        </a:prstGeom>
        <a:solidFill>
          <a:srgbClr val="7030A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Back to Roster Analysis</a:t>
          </a:r>
        </a:p>
      </xdr:txBody>
    </xdr:sp>
    <xdr:clientData/>
  </xdr:twoCellAnchor>
  <xdr:twoCellAnchor>
    <xdr:from>
      <xdr:col>4</xdr:col>
      <xdr:colOff>28576</xdr:colOff>
      <xdr:row>2</xdr:row>
      <xdr:rowOff>123825</xdr:rowOff>
    </xdr:from>
    <xdr:to>
      <xdr:col>5</xdr:col>
      <xdr:colOff>590551</xdr:colOff>
      <xdr:row>4</xdr:row>
      <xdr:rowOff>123825</xdr:rowOff>
    </xdr:to>
    <xdr:grpSp>
      <xdr:nvGrpSpPr>
        <xdr:cNvPr id="6" name="Group 5">
          <a:hlinkClick xmlns:r="http://schemas.openxmlformats.org/officeDocument/2006/relationships" r:id="rId2" tooltip="Click to view Spotrac source for 2018 Free Agents"/>
          <a:extLst>
            <a:ext uri="{FF2B5EF4-FFF2-40B4-BE49-F238E27FC236}">
              <a16:creationId xmlns:a16="http://schemas.microsoft.com/office/drawing/2014/main" id="{C401C6FC-0D3F-4402-8607-12E26E5FC42D}"/>
            </a:ext>
          </a:extLst>
        </xdr:cNvPr>
        <xdr:cNvGrpSpPr>
          <a:grpSpLocks noChangeAspect="1"/>
        </xdr:cNvGrpSpPr>
      </xdr:nvGrpSpPr>
      <xdr:grpSpPr>
        <a:xfrm>
          <a:off x="2085976" y="504825"/>
          <a:ext cx="952500" cy="381000"/>
          <a:chOff x="6057900" y="1590675"/>
          <a:chExt cx="1809750" cy="723900"/>
        </a:xfrm>
        <a:effectLst>
          <a:outerShdw blurRad="50800" dist="38100" dir="2700000" algn="tl" rotWithShape="0">
            <a:prstClr val="black">
              <a:alpha val="40000"/>
            </a:prstClr>
          </a:outerShdw>
        </a:effectLst>
      </xdr:grpSpPr>
      <xdr:sp macro="" textlink="">
        <xdr:nvSpPr>
          <xdr:cNvPr id="4" name="Rectangle: Rounded Corners 3">
            <a:extLst>
              <a:ext uri="{FF2B5EF4-FFF2-40B4-BE49-F238E27FC236}">
                <a16:creationId xmlns:a16="http://schemas.microsoft.com/office/drawing/2014/main" id="{4368776C-5B7B-4DE3-81FB-319AA327F2AB}"/>
              </a:ext>
            </a:extLst>
          </xdr:cNvPr>
          <xdr:cNvSpPr/>
        </xdr:nvSpPr>
        <xdr:spPr>
          <a:xfrm>
            <a:off x="6057900" y="1590675"/>
            <a:ext cx="1809750" cy="723900"/>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5" name="Picture 4">
            <a:extLst>
              <a:ext uri="{FF2B5EF4-FFF2-40B4-BE49-F238E27FC236}">
                <a16:creationId xmlns:a16="http://schemas.microsoft.com/office/drawing/2014/main" id="{669D6058-AC55-477B-BFE9-78CE47E8FAF5}"/>
              </a:ext>
            </a:extLst>
          </xdr:cNvPr>
          <xdr:cNvPicPr>
            <a:picLocks noChangeAspect="1"/>
          </xdr:cNvPicPr>
        </xdr:nvPicPr>
        <xdr:blipFill>
          <a:blip xmlns:r="http://schemas.openxmlformats.org/officeDocument/2006/relationships" r:embed="rId3"/>
          <a:stretch>
            <a:fillRect/>
          </a:stretch>
        </xdr:blipFill>
        <xdr:spPr>
          <a:xfrm>
            <a:off x="6181725" y="1691172"/>
            <a:ext cx="1562100" cy="522906"/>
          </a:xfrm>
          <a:prstGeom prst="rect">
            <a:avLst/>
          </a:prstGeom>
        </xdr:spPr>
      </xdr:pic>
    </xdr:grpSp>
    <xdr:clientData/>
  </xdr:twoCellAnchor>
  <xdr:twoCellAnchor>
    <xdr:from>
      <xdr:col>0</xdr:col>
      <xdr:colOff>57150</xdr:colOff>
      <xdr:row>2</xdr:row>
      <xdr:rowOff>57151</xdr:rowOff>
    </xdr:from>
    <xdr:to>
      <xdr:col>3</xdr:col>
      <xdr:colOff>123825</xdr:colOff>
      <xdr:row>4</xdr:row>
      <xdr:rowOff>152401</xdr:rowOff>
    </xdr:to>
    <xdr:sp macro="" textlink="">
      <xdr:nvSpPr>
        <xdr:cNvPr id="7" name="Rectangle 6">
          <a:extLst>
            <a:ext uri="{FF2B5EF4-FFF2-40B4-BE49-F238E27FC236}">
              <a16:creationId xmlns:a16="http://schemas.microsoft.com/office/drawing/2014/main" id="{10C4BE1C-4A60-405A-8FE5-AEE1AC4DCE6C}"/>
            </a:ext>
          </a:extLst>
        </xdr:cNvPr>
        <xdr:cNvSpPr/>
      </xdr:nvSpPr>
      <xdr:spPr>
        <a:xfrm>
          <a:off x="57150" y="438151"/>
          <a:ext cx="1847850" cy="476250"/>
        </a:xfrm>
        <a:prstGeom prst="rect">
          <a:avLst/>
        </a:prstGeom>
        <a:solidFill>
          <a:schemeClr val="accent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a:t>2018</a:t>
          </a:r>
        </a:p>
      </xdr:txBody>
    </xdr:sp>
    <xdr:clientData/>
  </xdr:twoCellAnchor>
  <xdr:twoCellAnchor>
    <xdr:from>
      <xdr:col>10</xdr:col>
      <xdr:colOff>123826</xdr:colOff>
      <xdr:row>2</xdr:row>
      <xdr:rowOff>123825</xdr:rowOff>
    </xdr:from>
    <xdr:to>
      <xdr:col>13</xdr:col>
      <xdr:colOff>114301</xdr:colOff>
      <xdr:row>4</xdr:row>
      <xdr:rowOff>123825</xdr:rowOff>
    </xdr:to>
    <xdr:grpSp>
      <xdr:nvGrpSpPr>
        <xdr:cNvPr id="8" name="Group 7">
          <a:hlinkClick xmlns:r="http://schemas.openxmlformats.org/officeDocument/2006/relationships" r:id="rId4" tooltip="Click to view Spotrac source for 2019 Free Agents"/>
          <a:extLst>
            <a:ext uri="{FF2B5EF4-FFF2-40B4-BE49-F238E27FC236}">
              <a16:creationId xmlns:a16="http://schemas.microsoft.com/office/drawing/2014/main" id="{7BDEA163-3090-43E4-99BF-974ED7903B8B}"/>
            </a:ext>
          </a:extLst>
        </xdr:cNvPr>
        <xdr:cNvGrpSpPr>
          <a:grpSpLocks noChangeAspect="1"/>
        </xdr:cNvGrpSpPr>
      </xdr:nvGrpSpPr>
      <xdr:grpSpPr>
        <a:xfrm>
          <a:off x="6448426" y="504825"/>
          <a:ext cx="952500" cy="381000"/>
          <a:chOff x="6057900" y="1590675"/>
          <a:chExt cx="1809750" cy="723900"/>
        </a:xfrm>
        <a:effectLst>
          <a:outerShdw blurRad="50800" dist="38100" dir="2700000" algn="tl" rotWithShape="0">
            <a:prstClr val="black">
              <a:alpha val="40000"/>
            </a:prstClr>
          </a:outerShdw>
        </a:effectLst>
      </xdr:grpSpPr>
      <xdr:sp macro="" textlink="">
        <xdr:nvSpPr>
          <xdr:cNvPr id="9" name="Rectangle: Rounded Corners 8">
            <a:extLst>
              <a:ext uri="{FF2B5EF4-FFF2-40B4-BE49-F238E27FC236}">
                <a16:creationId xmlns:a16="http://schemas.microsoft.com/office/drawing/2014/main" id="{14467065-99DE-450F-8A33-0BF17F1F27BF}"/>
              </a:ext>
            </a:extLst>
          </xdr:cNvPr>
          <xdr:cNvSpPr/>
        </xdr:nvSpPr>
        <xdr:spPr>
          <a:xfrm>
            <a:off x="6057900" y="1590675"/>
            <a:ext cx="1809750" cy="723900"/>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10" name="Picture 9">
            <a:extLst>
              <a:ext uri="{FF2B5EF4-FFF2-40B4-BE49-F238E27FC236}">
                <a16:creationId xmlns:a16="http://schemas.microsoft.com/office/drawing/2014/main" id="{F2D7FF1D-DDE4-4DF0-A3FB-2E1A20ACAE0A}"/>
              </a:ext>
            </a:extLst>
          </xdr:cNvPr>
          <xdr:cNvPicPr>
            <a:picLocks noChangeAspect="1"/>
          </xdr:cNvPicPr>
        </xdr:nvPicPr>
        <xdr:blipFill>
          <a:blip xmlns:r="http://schemas.openxmlformats.org/officeDocument/2006/relationships" r:embed="rId3"/>
          <a:stretch>
            <a:fillRect/>
          </a:stretch>
        </xdr:blipFill>
        <xdr:spPr>
          <a:xfrm>
            <a:off x="6181725" y="1691172"/>
            <a:ext cx="1562100" cy="522906"/>
          </a:xfrm>
          <a:prstGeom prst="rect">
            <a:avLst/>
          </a:prstGeom>
        </xdr:spPr>
      </xdr:pic>
    </xdr:grpSp>
    <xdr:clientData/>
  </xdr:twoCellAnchor>
  <xdr:twoCellAnchor>
    <xdr:from>
      <xdr:col>8</xdr:col>
      <xdr:colOff>66675</xdr:colOff>
      <xdr:row>2</xdr:row>
      <xdr:rowOff>57151</xdr:rowOff>
    </xdr:from>
    <xdr:to>
      <xdr:col>9</xdr:col>
      <xdr:colOff>257175</xdr:colOff>
      <xdr:row>4</xdr:row>
      <xdr:rowOff>152401</xdr:rowOff>
    </xdr:to>
    <xdr:sp macro="" textlink="">
      <xdr:nvSpPr>
        <xdr:cNvPr id="11" name="Rectangle 10">
          <a:extLst>
            <a:ext uri="{FF2B5EF4-FFF2-40B4-BE49-F238E27FC236}">
              <a16:creationId xmlns:a16="http://schemas.microsoft.com/office/drawing/2014/main" id="{29DF6710-D139-44F6-9D97-91942BAB1A89}"/>
            </a:ext>
          </a:extLst>
        </xdr:cNvPr>
        <xdr:cNvSpPr/>
      </xdr:nvSpPr>
      <xdr:spPr>
        <a:xfrm>
          <a:off x="4600575" y="247651"/>
          <a:ext cx="1847850" cy="476250"/>
        </a:xfrm>
        <a:prstGeom prst="rect">
          <a:avLst/>
        </a:prstGeom>
        <a:solidFill>
          <a:schemeClr val="accent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a:t>2019</a:t>
          </a:r>
        </a:p>
      </xdr:txBody>
    </xdr:sp>
    <xdr:clientData/>
  </xdr:twoCellAnchor>
  <xdr:twoCellAnchor>
    <xdr:from>
      <xdr:col>19</xdr:col>
      <xdr:colOff>200026</xdr:colOff>
      <xdr:row>2</xdr:row>
      <xdr:rowOff>123825</xdr:rowOff>
    </xdr:from>
    <xdr:to>
      <xdr:col>21</xdr:col>
      <xdr:colOff>485776</xdr:colOff>
      <xdr:row>4</xdr:row>
      <xdr:rowOff>123825</xdr:rowOff>
    </xdr:to>
    <xdr:grpSp>
      <xdr:nvGrpSpPr>
        <xdr:cNvPr id="12" name="Group 11">
          <a:hlinkClick xmlns:r="http://schemas.openxmlformats.org/officeDocument/2006/relationships" r:id="rId5" tooltip="Click to view Spotrac source for 2020 Free Agents"/>
          <a:extLst>
            <a:ext uri="{FF2B5EF4-FFF2-40B4-BE49-F238E27FC236}">
              <a16:creationId xmlns:a16="http://schemas.microsoft.com/office/drawing/2014/main" id="{B962A235-4EA9-4ABA-AA8E-A46D9621E691}"/>
            </a:ext>
          </a:extLst>
        </xdr:cNvPr>
        <xdr:cNvGrpSpPr>
          <a:grpSpLocks noChangeAspect="1"/>
        </xdr:cNvGrpSpPr>
      </xdr:nvGrpSpPr>
      <xdr:grpSpPr>
        <a:xfrm>
          <a:off x="11277601" y="504825"/>
          <a:ext cx="952500" cy="381000"/>
          <a:chOff x="6057900" y="1590675"/>
          <a:chExt cx="1809750" cy="723900"/>
        </a:xfrm>
        <a:effectLst>
          <a:outerShdw blurRad="50800" dist="38100" dir="2700000" algn="tl" rotWithShape="0">
            <a:prstClr val="black">
              <a:alpha val="40000"/>
            </a:prstClr>
          </a:outerShdw>
        </a:effectLst>
      </xdr:grpSpPr>
      <xdr:sp macro="" textlink="">
        <xdr:nvSpPr>
          <xdr:cNvPr id="13" name="Rectangle: Rounded Corners 12">
            <a:extLst>
              <a:ext uri="{FF2B5EF4-FFF2-40B4-BE49-F238E27FC236}">
                <a16:creationId xmlns:a16="http://schemas.microsoft.com/office/drawing/2014/main" id="{0B150ADE-A735-4F34-9D92-542480C4A8FE}"/>
              </a:ext>
            </a:extLst>
          </xdr:cNvPr>
          <xdr:cNvSpPr/>
        </xdr:nvSpPr>
        <xdr:spPr>
          <a:xfrm>
            <a:off x="6057900" y="1590675"/>
            <a:ext cx="1809750" cy="723900"/>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14" name="Picture 13">
            <a:extLst>
              <a:ext uri="{FF2B5EF4-FFF2-40B4-BE49-F238E27FC236}">
                <a16:creationId xmlns:a16="http://schemas.microsoft.com/office/drawing/2014/main" id="{6EE83387-0496-41E0-92FD-1016A18F1A3A}"/>
              </a:ext>
            </a:extLst>
          </xdr:cNvPr>
          <xdr:cNvPicPr>
            <a:picLocks noChangeAspect="1"/>
          </xdr:cNvPicPr>
        </xdr:nvPicPr>
        <xdr:blipFill>
          <a:blip xmlns:r="http://schemas.openxmlformats.org/officeDocument/2006/relationships" r:embed="rId3"/>
          <a:stretch>
            <a:fillRect/>
          </a:stretch>
        </xdr:blipFill>
        <xdr:spPr>
          <a:xfrm>
            <a:off x="6181725" y="1691172"/>
            <a:ext cx="1562100" cy="522906"/>
          </a:xfrm>
          <a:prstGeom prst="rect">
            <a:avLst/>
          </a:prstGeom>
        </xdr:spPr>
      </xdr:pic>
    </xdr:grpSp>
    <xdr:clientData/>
  </xdr:twoCellAnchor>
  <xdr:twoCellAnchor>
    <xdr:from>
      <xdr:col>16</xdr:col>
      <xdr:colOff>57150</xdr:colOff>
      <xdr:row>2</xdr:row>
      <xdr:rowOff>57151</xdr:rowOff>
    </xdr:from>
    <xdr:to>
      <xdr:col>19</xdr:col>
      <xdr:colOff>19050</xdr:colOff>
      <xdr:row>4</xdr:row>
      <xdr:rowOff>152401</xdr:rowOff>
    </xdr:to>
    <xdr:sp macro="" textlink="">
      <xdr:nvSpPr>
        <xdr:cNvPr id="15" name="Rectangle 14">
          <a:extLst>
            <a:ext uri="{FF2B5EF4-FFF2-40B4-BE49-F238E27FC236}">
              <a16:creationId xmlns:a16="http://schemas.microsoft.com/office/drawing/2014/main" id="{FBDA936C-31B5-4DF3-82EF-C0EA0B1F9BBD}"/>
            </a:ext>
          </a:extLst>
        </xdr:cNvPr>
        <xdr:cNvSpPr/>
      </xdr:nvSpPr>
      <xdr:spPr>
        <a:xfrm>
          <a:off x="9610725" y="247651"/>
          <a:ext cx="1847850" cy="476250"/>
        </a:xfrm>
        <a:prstGeom prst="rect">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a:t>2019</a:t>
          </a:r>
        </a:p>
      </xdr:txBody>
    </xdr:sp>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0000000-0016-0000-0400-000000000000}" autoFormatId="16" applyNumberFormats="0" applyBorderFormats="0" applyFontFormats="0" applyPatternFormats="0" applyAlignmentFormats="0" applyWidthHeightFormats="0">
  <queryTableRefresh nextId="25" unboundColumnsRight="1">
    <queryTableFields count="16">
      <queryTableField id="23" name="Player (114)" tableColumnId="1"/>
      <queryTableField id="2" name="Team" tableColumnId="2"/>
      <queryTableField id="3" name="Pos." tableColumnId="3"/>
      <queryTableField id="4" name="Age" tableColumnId="4"/>
      <queryTableField id="5" name="Exp" tableColumnId="5"/>
      <queryTableField id="6" name="Type" tableColumnId="6"/>
      <queryTableField id="7" name="Rights" tableColumnId="7"/>
      <queryTableField id="8" name="GP" tableColumnId="8"/>
      <queryTableField id="9" name="MPG" tableColumnId="9"/>
      <queryTableField id="10" name="PPG" tableColumnId="10"/>
      <queryTableField id="11" name="RPG" tableColumnId="11"/>
      <queryTableField id="12" name="APG" tableColumnId="12"/>
      <queryTableField id="13" name="SPG" tableColumnId="13"/>
      <queryTableField id="14" name="BPG" tableColumnId="14"/>
      <queryTableField id="15" name="2017-2018 AAV" tableColumnId="15"/>
      <queryTableField id="16" dataBound="0" tableColumnId="1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removeDataOnSave="1" connectionId="12" xr16:uid="{00000000-0016-0000-0500-000001000000}" autoFormatId="16" applyNumberFormats="0" applyBorderFormats="0" applyFontFormats="0" applyPatternFormats="0" applyAlignmentFormats="0" applyWidthHeightFormats="0">
  <queryTableRefresh nextId="13">
    <queryTableFields count="11">
      <queryTableField id="1" name="Rk" tableColumnId="1"/>
      <queryTableField id="2" name="Player" tableColumnId="2"/>
      <queryTableField id="3" name="Tm" tableColumnId="3"/>
      <queryTableField id="4" name="Salary 2017-18" tableColumnId="4"/>
      <queryTableField id="5" name="Salary 2018-19" tableColumnId="5"/>
      <queryTableField id="6" name="Salary 2019-20" tableColumnId="6"/>
      <queryTableField id="7" name="Salary 2020-21" tableColumnId="7"/>
      <queryTableField id="8" name="Salary 2021-22" tableColumnId="8"/>
      <queryTableField id="9" name="Salary 2022-23" tableColumnId="9"/>
      <queryTableField id="10" name="Signed Using" tableColumnId="10"/>
      <queryTableField id="11" name="Guaranteed" tableColumnId="11"/>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5" xr16:uid="{00000000-0016-0000-0600-000002000000}" autoFormatId="16" applyNumberFormats="0" applyBorderFormats="0" applyFontFormats="0" applyPatternFormats="0" applyAlignmentFormats="0" applyWidthHeightFormats="0">
  <queryTableRefresh nextId="7">
    <queryTableFields count="5">
      <queryTableField id="1" name="Player" tableColumnId="1"/>
      <queryTableField id="2" name="Team" tableColumnId="2"/>
      <queryTableField id="3" name="Date" tableColumnId="3"/>
      <queryTableField id="4" name="Type" tableColumnId="4"/>
      <queryTableField id="5" name="Note"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9" xr16:uid="{00000000-0016-0000-0800-000003000000}" autoFormatId="16" applyNumberFormats="0" applyBorderFormats="0" applyFontFormats="0" applyPatternFormats="0" applyAlignmentFormats="0" applyWidthHeightFormats="0">
  <queryTableRefresh nextId="30">
    <queryTableFields count="27">
      <queryTableField id="1" name="Rk" tableColumnId="1"/>
      <queryTableField id="2" name="Player" tableColumnId="2"/>
      <queryTableField id="3" name="Pos" tableColumnId="3"/>
      <queryTableField id="4" name="Age" tableColumnId="4"/>
      <queryTableField id="5" name="Tm" tableColumnId="5"/>
      <queryTableField id="6" name="G" tableColumnId="6"/>
      <queryTableField id="7" name="MP" tableColumnId="7"/>
      <queryTableField id="8" name="PER" tableColumnId="8"/>
      <queryTableField id="9" name="TS%" tableColumnId="9"/>
      <queryTableField id="10" name="3PAr" tableColumnId="10"/>
      <queryTableField id="11" name="FTr" tableColumnId="11"/>
      <queryTableField id="12" name="ORB%" tableColumnId="12"/>
      <queryTableField id="13" name="DRB%" tableColumnId="13"/>
      <queryTableField id="14" name="TRB%" tableColumnId="14"/>
      <queryTableField id="15" name="AST%" tableColumnId="15"/>
      <queryTableField id="16" name="STL%" tableColumnId="16"/>
      <queryTableField id="17" name="BLK%" tableColumnId="17"/>
      <queryTableField id="18" name="TOV%" tableColumnId="18"/>
      <queryTableField id="19" name="USG%" tableColumnId="19"/>
      <queryTableField id="21" name="OWS" tableColumnId="21"/>
      <queryTableField id="22" name="DWS" tableColumnId="22"/>
      <queryTableField id="23" name="WS" tableColumnId="23"/>
      <queryTableField id="24" name="WS/48" tableColumnId="24"/>
      <queryTableField id="26" name="OBPM" tableColumnId="26"/>
      <queryTableField id="27" name="DBPM" tableColumnId="27"/>
      <queryTableField id="28" name="BPM" tableColumnId="28"/>
      <queryTableField id="29" name="VORP" tableColumnId="29"/>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10" xr16:uid="{00000000-0016-0000-0900-000004000000}" autoFormatId="16" applyNumberFormats="0" applyBorderFormats="0" applyFontFormats="0" applyPatternFormats="0" applyAlignmentFormats="0" applyWidthHeightFormats="0">
  <queryTableRefresh nextId="31">
    <queryTableFields count="30">
      <queryTableField id="1" name="Rk" tableColumnId="1"/>
      <queryTableField id="2" name="Player" tableColumnId="2"/>
      <queryTableField id="3" name="Pos" tableColumnId="3"/>
      <queryTableField id="4" name="Age" tableColumnId="4"/>
      <queryTableField id="5" name="Tm" tableColumnId="5"/>
      <queryTableField id="6" name="G" tableColumnId="6"/>
      <queryTableField id="7" name="GS" tableColumnId="7"/>
      <queryTableField id="8" name="MP" tableColumnId="8"/>
      <queryTableField id="9" name="FG" tableColumnId="9"/>
      <queryTableField id="10" name="FGA" tableColumnId="10"/>
      <queryTableField id="11" name="FG%" tableColumnId="11"/>
      <queryTableField id="12" name="3P" tableColumnId="12"/>
      <queryTableField id="13" name="3PA" tableColumnId="13"/>
      <queryTableField id="14" name="3P%" tableColumnId="14"/>
      <queryTableField id="15" name="2P" tableColumnId="15"/>
      <queryTableField id="16" name="2PA" tableColumnId="16"/>
      <queryTableField id="17" name="2P%" tableColumnId="17"/>
      <queryTableField id="18" name="eFG%" tableColumnId="18"/>
      <queryTableField id="19" name="FT" tableColumnId="19"/>
      <queryTableField id="20" name="FTA" tableColumnId="20"/>
      <queryTableField id="21" name="FT%" tableColumnId="21"/>
      <queryTableField id="22" name="ORB" tableColumnId="22"/>
      <queryTableField id="23" name="DRB" tableColumnId="23"/>
      <queryTableField id="24" name="TRB" tableColumnId="24"/>
      <queryTableField id="25" name="AST" tableColumnId="25"/>
      <queryTableField id="26" name="STL" tableColumnId="26"/>
      <queryTableField id="27" name="BLK" tableColumnId="27"/>
      <queryTableField id="28" name="TOV" tableColumnId="28"/>
      <queryTableField id="29" name="PF" tableColumnId="29"/>
      <queryTableField id="30" name="PS/G" tableColumnId="30"/>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2" connectionId="11" xr16:uid="{00000000-0016-0000-0A00-000005000000}" autoFormatId="16" applyNumberFormats="0" applyBorderFormats="0" applyFontFormats="0" applyPatternFormats="0" applyAlignmentFormats="0" applyWidthHeightFormats="0">
  <queryTableRefresh nextId="31">
    <queryTableFields count="30">
      <queryTableField id="1" name="Rk" tableColumnId="1"/>
      <queryTableField id="2" name="Player" tableColumnId="2"/>
      <queryTableField id="3" name="Pos" tableColumnId="3"/>
      <queryTableField id="4" name="Age" tableColumnId="4"/>
      <queryTableField id="5" name="Tm" tableColumnId="5"/>
      <queryTableField id="6" name="G" tableColumnId="6"/>
      <queryTableField id="7" name="GS" tableColumnId="7"/>
      <queryTableField id="8" name="MP" tableColumnId="8"/>
      <queryTableField id="9" name="FG" tableColumnId="9"/>
      <queryTableField id="10" name="FGA" tableColumnId="10"/>
      <queryTableField id="11" name="FG%" tableColumnId="11"/>
      <queryTableField id="12" name="3P" tableColumnId="12"/>
      <queryTableField id="13" name="3PA" tableColumnId="13"/>
      <queryTableField id="14" name="3P%" tableColumnId="14"/>
      <queryTableField id="15" name="2P" tableColumnId="15"/>
      <queryTableField id="16" name="2PA" tableColumnId="16"/>
      <queryTableField id="17" name="2P%" tableColumnId="17"/>
      <queryTableField id="18" name="eFG%" tableColumnId="18"/>
      <queryTableField id="19" name="FT" tableColumnId="19"/>
      <queryTableField id="20" name="FTA" tableColumnId="20"/>
      <queryTableField id="21" name="FT%" tableColumnId="21"/>
      <queryTableField id="22" name="ORB" tableColumnId="22"/>
      <queryTableField id="23" name="DRB" tableColumnId="23"/>
      <queryTableField id="24" name="TRB" tableColumnId="24"/>
      <queryTableField id="25" name="AST" tableColumnId="25"/>
      <queryTableField id="26" name="STL" tableColumnId="26"/>
      <queryTableField id="27" name="BLK" tableColumnId="27"/>
      <queryTableField id="28" name="TOV" tableColumnId="28"/>
      <queryTableField id="29" name="PF" tableColumnId="29"/>
      <queryTableField id="30" name="PTS" tableColumnId="30"/>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2" connectionId="18" xr16:uid="{00000000-0016-0000-0B00-000006000000}" autoFormatId="16" applyNumberFormats="0" applyBorderFormats="0" applyFontFormats="0" applyPatternFormats="0" applyAlignmentFormats="0" applyWidthHeightFormats="0">
  <queryTableRefresh nextId="21">
    <queryTableFields count="20">
      <queryTableField id="1" name="Column1" tableColumnId="1"/>
      <queryTableField id="2" name="TEAM" tableColumnId="2"/>
      <queryTableField id="3" name="GP" tableColumnId="3"/>
      <queryTableField id="4" name="W" tableColumnId="4"/>
      <queryTableField id="5" name="L" tableColumnId="5"/>
      <queryTableField id="6" name="MIN" tableColumnId="6"/>
      <queryTableField id="7" name="OffRtg" tableColumnId="7"/>
      <queryTableField id="8" name="DefRtg" tableColumnId="8"/>
      <queryTableField id="9" name="NetRtg" tableColumnId="9"/>
      <queryTableField id="10" name="AST%" tableColumnId="10"/>
      <queryTableField id="11" name="AST/TO" tableColumnId="11"/>
      <queryTableField id="12" name="AST Ratio" tableColumnId="12"/>
      <queryTableField id="13" name="OREB%" tableColumnId="13"/>
      <queryTableField id="14" name="DREB%" tableColumnId="14"/>
      <queryTableField id="15" name="REB%" tableColumnId="15"/>
      <queryTableField id="16" name="TOV%" tableColumnId="16"/>
      <queryTableField id="17" name="eFG%" tableColumnId="17"/>
      <queryTableField id="18" name="TS%" tableColumnId="18"/>
      <queryTableField id="19" name="PACE" tableColumnId="19"/>
      <queryTableField id="20" name="PIE" tableColumnId="20"/>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3" connectionId="16" xr16:uid="{00000000-0016-0000-0B00-000007000000}" autoFormatId="16" applyNumberFormats="0" applyBorderFormats="0" applyFontFormats="0" applyPatternFormats="0" applyAlignmentFormats="0" applyWidthHeightFormats="0">
  <queryTableRefresh nextId="21">
    <queryTableFields count="20">
      <queryTableField id="1" name="Column1" tableColumnId="1"/>
      <queryTableField id="2" name="TEAM" tableColumnId="2"/>
      <queryTableField id="3" name="GP" tableColumnId="3"/>
      <queryTableField id="4" name="W" tableColumnId="4"/>
      <queryTableField id="5" name="L" tableColumnId="5"/>
      <queryTableField id="6" name="MIN" tableColumnId="6"/>
      <queryTableField id="7" name="OffRtg" tableColumnId="7"/>
      <queryTableField id="8" name="DefRtg" tableColumnId="8"/>
      <queryTableField id="9" name="NetRtg" tableColumnId="9"/>
      <queryTableField id="10" name="AST%" tableColumnId="10"/>
      <queryTableField id="11" name="AST/TO" tableColumnId="11"/>
      <queryTableField id="12" name="AST Ratio" tableColumnId="12"/>
      <queryTableField id="13" name="OREB%" tableColumnId="13"/>
      <queryTableField id="14" name="DREB%" tableColumnId="14"/>
      <queryTableField id="15" name="REB%" tableColumnId="15"/>
      <queryTableField id="16" name="TOV%" tableColumnId="16"/>
      <queryTableField id="17" name="eFG%" tableColumnId="17"/>
      <queryTableField id="18" name="TS%" tableColumnId="18"/>
      <queryTableField id="19" name="PACE" tableColumnId="19"/>
      <queryTableField id="20" name="PIE" tableColumnId="20"/>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4" connectionId="15" xr16:uid="{00000000-0016-0000-0B00-000008000000}" autoFormatId="16" applyNumberFormats="0" applyBorderFormats="0" applyFontFormats="0" applyPatternFormats="0" applyAlignmentFormats="0" applyWidthHeightFormats="0">
  <queryTableRefresh nextId="21">
    <queryTableFields count="20">
      <queryTableField id="1" name="Column1" tableColumnId="1"/>
      <queryTableField id="2" name="TEAM" tableColumnId="2"/>
      <queryTableField id="3" name="GP" tableColumnId="3"/>
      <queryTableField id="4" name="W" tableColumnId="4"/>
      <queryTableField id="5" name="L" tableColumnId="5"/>
      <queryTableField id="6" name="MIN" tableColumnId="6"/>
      <queryTableField id="7" name="OffRtg" tableColumnId="7"/>
      <queryTableField id="8" name="DefRtg" tableColumnId="8"/>
      <queryTableField id="9" name="NetRtg" tableColumnId="9"/>
      <queryTableField id="10" name="AST%" tableColumnId="10"/>
      <queryTableField id="11" name="AST/TO" tableColumnId="11"/>
      <queryTableField id="12" name="AST Ratio" tableColumnId="12"/>
      <queryTableField id="13" name="OREB%" tableColumnId="13"/>
      <queryTableField id="14" name="DREB%" tableColumnId="14"/>
      <queryTableField id="15" name="REB%" tableColumnId="15"/>
      <queryTableField id="16" name="TOV%" tableColumnId="16"/>
      <queryTableField id="17" name="eFG%" tableColumnId="17"/>
      <queryTableField id="18" name="TS%" tableColumnId="18"/>
      <queryTableField id="19" name="PACE" tableColumnId="19"/>
      <queryTableField id="20" name="PIE" tableColumnId="20"/>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5" removeDataOnSave="1" connectionId="17" xr16:uid="{00000000-0016-0000-0B00-000009000000}" autoFormatId="16" applyNumberFormats="0" applyBorderFormats="0" applyFontFormats="0" applyPatternFormats="0" applyAlignmentFormats="0" applyWidthHeightFormats="0">
  <queryTableRefresh nextId="21">
    <queryTableFields count="20">
      <queryTableField id="1" name="Column1" tableColumnId="1"/>
      <queryTableField id="2" name="TEAM" tableColumnId="2"/>
      <queryTableField id="3" name="GP" tableColumnId="3"/>
      <queryTableField id="4" name="W" tableColumnId="4"/>
      <queryTableField id="5" name="L" tableColumnId="5"/>
      <queryTableField id="6" name="MIN" tableColumnId="6"/>
      <queryTableField id="7" name="OffRtg" tableColumnId="7"/>
      <queryTableField id="8" name="DefRtg" tableColumnId="8"/>
      <queryTableField id="9" name="NetRtg" tableColumnId="9"/>
      <queryTableField id="10" name="AST%" tableColumnId="10"/>
      <queryTableField id="11" name="AST/TO" tableColumnId="11"/>
      <queryTableField id="12" name="AST Ratio" tableColumnId="12"/>
      <queryTableField id="13" name="OREB%" tableColumnId="13"/>
      <queryTableField id="14" name="DREB%" tableColumnId="14"/>
      <queryTableField id="15" name="REB%" tableColumnId="15"/>
      <queryTableField id="16" name="TOV%" tableColumnId="16"/>
      <queryTableField id="17" name="eFG%" tableColumnId="17"/>
      <queryTableField id="18" name="TS%" tableColumnId="18"/>
      <queryTableField id="19" name="PACE" tableColumnId="19"/>
      <queryTableField id="20" name="PIE" tableColumnId="20"/>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6" connectionId="7" xr16:uid="{00000000-0016-0000-0B00-00000A000000}" autoFormatId="16" applyNumberFormats="0" applyBorderFormats="0" applyFontFormats="0" applyPatternFormats="0" applyAlignmentFormats="0" applyWidthHeightFormats="0">
  <queryTableRefresh nextId="26">
    <queryTableFields count="25">
      <queryTableField id="1" name="Rk" tableColumnId="1"/>
      <queryTableField id="2" name="Team" tableColumnId="2"/>
      <queryTableField id="3" name="G" tableColumnId="3"/>
      <queryTableField id="4" name="MP" tableColumnId="4"/>
      <queryTableField id="5" name="FG" tableColumnId="5"/>
      <queryTableField id="6" name="FGA" tableColumnId="6"/>
      <queryTableField id="7" name="FG%" tableColumnId="7"/>
      <queryTableField id="8" name="3P" tableColumnId="8"/>
      <queryTableField id="9" name="3PA" tableColumnId="9"/>
      <queryTableField id="10" name="3P%" tableColumnId="10"/>
      <queryTableField id="11" name="2P" tableColumnId="11"/>
      <queryTableField id="12" name="2PA" tableColumnId="12"/>
      <queryTableField id="13" name="2P%" tableColumnId="13"/>
      <queryTableField id="14" name="FT" tableColumnId="14"/>
      <queryTableField id="15" name="FTA" tableColumnId="15"/>
      <queryTableField id="16" name="FT%" tableColumnId="16"/>
      <queryTableField id="17" name="ORB" tableColumnId="17"/>
      <queryTableField id="18" name="DRB" tableColumnId="18"/>
      <queryTableField id="19" name="TRB" tableColumnId="19"/>
      <queryTableField id="20" name="AST" tableColumnId="20"/>
      <queryTableField id="21" name="STL" tableColumnId="21"/>
      <queryTableField id="22" name="BLK" tableColumnId="22"/>
      <queryTableField id="23" name="TOV" tableColumnId="23"/>
      <queryTableField id="24" name="PF" tableColumnId="24"/>
      <queryTableField id="25" name="PTS" tableColumnId="25"/>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7" connectionId="13" xr16:uid="{00000000-0016-0000-0B00-00000B000000}" autoFormatId="16" applyNumberFormats="0" applyBorderFormats="0" applyFontFormats="0" applyPatternFormats="0" applyAlignmentFormats="0" applyWidthHeightFormats="0">
  <queryTableRefresh nextId="26">
    <queryTableFields count="25">
      <queryTableField id="1" name="Rk" tableColumnId="1"/>
      <queryTableField id="2" name="Team" tableColumnId="2"/>
      <queryTableField id="3" name="G" tableColumnId="3"/>
      <queryTableField id="4" name="MP" tableColumnId="4"/>
      <queryTableField id="5" name="FG" tableColumnId="5"/>
      <queryTableField id="6" name="FGA" tableColumnId="6"/>
      <queryTableField id="7" name="FG%" tableColumnId="7"/>
      <queryTableField id="8" name="3P" tableColumnId="8"/>
      <queryTableField id="9" name="3PA" tableColumnId="9"/>
      <queryTableField id="10" name="3P%" tableColumnId="10"/>
      <queryTableField id="11" name="2P" tableColumnId="11"/>
      <queryTableField id="12" name="2PA" tableColumnId="12"/>
      <queryTableField id="13" name="2P%" tableColumnId="13"/>
      <queryTableField id="14" name="FT" tableColumnId="14"/>
      <queryTableField id="15" name="FTA" tableColumnId="15"/>
      <queryTableField id="16" name="FT%" tableColumnId="16"/>
      <queryTableField id="17" name="ORB" tableColumnId="17"/>
      <queryTableField id="18" name="DRB" tableColumnId="18"/>
      <queryTableField id="19" name="TRB" tableColumnId="19"/>
      <queryTableField id="20" name="AST" tableColumnId="20"/>
      <queryTableField id="21" name="STL" tableColumnId="21"/>
      <queryTableField id="22" name="BLK" tableColumnId="22"/>
      <queryTableField id="23" name="TOV" tableColumnId="23"/>
      <queryTableField id="24" name="PF" tableColumnId="24"/>
      <queryTableField id="25" name="PTS" tableColumnId="25"/>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ExternalData_4" connectionId="14" xr16:uid="{00000000-0016-0000-0C00-00000C000000}" autoFormatId="16" applyNumberFormats="0" applyBorderFormats="0" applyFontFormats="0" applyPatternFormats="0" applyAlignmentFormats="0" applyWidthHeightFormats="0">
  <queryTableRefresh nextId="29">
    <queryTableFields count="28">
      <queryTableField id="1" name="Rk" tableColumnId="1"/>
      <queryTableField id="2" name="Team" tableColumnId="2"/>
      <queryTableField id="3" name="G" tableColumnId="3"/>
      <queryTableField id="4" name="MP" tableColumnId="4"/>
      <queryTableField id="5" name="FG%" tableColumnId="5"/>
      <queryTableField id="6" name="Dist." tableColumnId="6"/>
      <queryTableField id="7" name="% of FGA by Distance 2P" tableColumnId="7"/>
      <queryTableField id="8" name="% of FGA by Distance 0-3" tableColumnId="8"/>
      <queryTableField id="9" name="% of FGA by Distance 3-10" tableColumnId="9"/>
      <queryTableField id="10" name="% of FGA by Distance 10-16" tableColumnId="10"/>
      <queryTableField id="11" name="% of FGA by Distance 16 &lt;3" tableColumnId="11"/>
      <queryTableField id="12" name="% of FGA by Distance 3P" tableColumnId="12"/>
      <queryTableField id="13" name="FG% by Distance 2P" tableColumnId="13"/>
      <queryTableField id="14" name="FG% by Distance 0-3" tableColumnId="14"/>
      <queryTableField id="15" name="FG% by Distance 3-10" tableColumnId="15"/>
      <queryTableField id="16" name="FG% by Distance 10-16" tableColumnId="16"/>
      <queryTableField id="17" name="FG% by Distance 16 &lt;3" tableColumnId="17"/>
      <queryTableField id="18" name="FG% by Distance 3P" tableColumnId="18"/>
      <queryTableField id="19" name="2-Pt Field Goals %Ast'd" tableColumnId="19"/>
      <queryTableField id="20" name="2-Pt Field Goals Dunks %FGA" tableColumnId="20"/>
      <queryTableField id="21" name="2-Pt Field Goals Dunks Md." tableColumnId="21"/>
      <queryTableField id="22" name="2-Pt Field Goals Layups %FGA" tableColumnId="22"/>
      <queryTableField id="23" name="2-Pt Field Goals Layups Md." tableColumnId="23"/>
      <queryTableField id="24" name="3-Pt Field Goals %Ast'd" tableColumnId="24"/>
      <queryTableField id="25" name="3-Pt Field Goals Corner %3PA" tableColumnId="25"/>
      <queryTableField id="26" name="3-Pt Field Goals Corner 3P%" tableColumnId="26"/>
      <queryTableField id="27" name="3-Pt Field Goals Heaves Att." tableColumnId="27"/>
      <queryTableField id="28" name="3-Pt Field Goals Heaves Md." tableColumnId="28"/>
    </queryTableFields>
  </queryTableRefresh>
</queryTable>
</file>

<file path=xl/queryTables/queryTable14.xml><?xml version="1.0" encoding="utf-8"?>
<queryTable xmlns="http://schemas.openxmlformats.org/spreadsheetml/2006/main" xmlns:mc="http://schemas.openxmlformats.org/markup-compatibility/2006" xmlns:xr16="http://schemas.microsoft.com/office/spreadsheetml/2017/revision16" mc:Ignorable="xr16" name="ExternalData_5" connectionId="8" xr16:uid="{00000000-0016-0000-0C00-00000D000000}" autoFormatId="16" applyNumberFormats="0" applyBorderFormats="0" applyFontFormats="0" applyPatternFormats="0" applyAlignmentFormats="0" applyWidthHeightFormats="0">
  <queryTableRefresh nextId="27">
    <queryTableFields count="26">
      <queryTableField id="1" name="Rk" tableColumnId="1"/>
      <queryTableField id="2" name="Team" tableColumnId="2"/>
      <queryTableField id="3" name="G" tableColumnId="3"/>
      <queryTableField id="4" name="MP" tableColumnId="4"/>
      <queryTableField id="5" name="FG%" tableColumnId="5"/>
      <queryTableField id="6" name="Dist." tableColumnId="6"/>
      <queryTableField id="7" name="% of FGA by Distance 2P" tableColumnId="7"/>
      <queryTableField id="8" name="% of FGA by Distance 0-3" tableColumnId="8"/>
      <queryTableField id="9" name="% of FGA by Distance 3-10" tableColumnId="9"/>
      <queryTableField id="10" name="% of FGA by Distance 10-16" tableColumnId="10"/>
      <queryTableField id="11" name="% of FGA by Distance 16 &lt;3" tableColumnId="11"/>
      <queryTableField id="12" name="% of FGA by Distance 3P" tableColumnId="12"/>
      <queryTableField id="13" name="FG% by Distance 2P" tableColumnId="13"/>
      <queryTableField id="14" name="FG% by Distance 0-3" tableColumnId="14"/>
      <queryTableField id="15" name="FG% by Distance 3-10" tableColumnId="15"/>
      <queryTableField id="16" name="FG% by Distance 10-16" tableColumnId="16"/>
      <queryTableField id="17" name="FG% by Distance 16 &lt;3" tableColumnId="17"/>
      <queryTableField id="18" name="FG% by Distance 3P" tableColumnId="18"/>
      <queryTableField id="19" name="2-Pt Field Goals %Ast'd" tableColumnId="19"/>
      <queryTableField id="20" name="2-Pt Field Goals Dunks %FGA" tableColumnId="20"/>
      <queryTableField id="21" name="2-Pt Field Goals Dunks Md." tableColumnId="21"/>
      <queryTableField id="22" name="2-Pt Field Goals Layups %FGA" tableColumnId="22"/>
      <queryTableField id="23" name="2-Pt Field Goals Layups Md." tableColumnId="23"/>
      <queryTableField id="24" name="3-Pt Field Goals %Ast'd" tableColumnId="24"/>
      <queryTableField id="25" name="3-Pt Field Goals Corner %3PA" tableColumnId="25"/>
      <queryTableField id="26" name="3-Pt Field Goals Corner 3P%" tableColumnId="26"/>
    </queryTableFields>
  </queryTableRefresh>
</queryTable>
</file>

<file path=xl/queryTables/queryTable15.xml><?xml version="1.0" encoding="utf-8"?>
<queryTable xmlns="http://schemas.openxmlformats.org/spreadsheetml/2006/main" xmlns:mc="http://schemas.openxmlformats.org/markup-compatibility/2006" xmlns:xr16="http://schemas.microsoft.com/office/spreadsheetml/2017/revision16" mc:Ignorable="xr16" name="ExternalData_1" connectionId="6" xr16:uid="{00000000-0016-0000-0D00-00000E000000}" autoFormatId="16" applyNumberFormats="0" applyBorderFormats="0" applyFontFormats="0" applyPatternFormats="0" applyAlignmentFormats="0" applyWidthHeightFormats="0">
  <queryTableRefresh nextId="29">
    <queryTableFields count="28">
      <queryTableField id="1" name="Column1" tableColumnId="1"/>
      <queryTableField id="2" name="TEAM" tableColumnId="2"/>
      <queryTableField id="3" name="GP" tableColumnId="3"/>
      <queryTableField id="4" name="W" tableColumnId="4"/>
      <queryTableField id="5" name="L" tableColumnId="5"/>
      <queryTableField id="6" name="WIN%" tableColumnId="6"/>
      <queryTableField id="7" name="MIN" tableColumnId="7"/>
      <queryTableField id="8" name="PTS" tableColumnId="8"/>
      <queryTableField id="9" name="FGM" tableColumnId="9"/>
      <queryTableField id="10" name="FGA" tableColumnId="10"/>
      <queryTableField id="11" name="FG%" tableColumnId="11"/>
      <queryTableField id="12" name="3PM" tableColumnId="12"/>
      <queryTableField id="13" name="3PA" tableColumnId="13"/>
      <queryTableField id="14" name="3P%" tableColumnId="14"/>
      <queryTableField id="15" name="FTM" tableColumnId="15"/>
      <queryTableField id="16" name="FTA" tableColumnId="16"/>
      <queryTableField id="17" name="FT%" tableColumnId="17"/>
      <queryTableField id="18" name="OREB" tableColumnId="18"/>
      <queryTableField id="19" name="DREB" tableColumnId="19"/>
      <queryTableField id="20" name="REB" tableColumnId="20"/>
      <queryTableField id="21" name="AST" tableColumnId="21"/>
      <queryTableField id="22" name="TOV" tableColumnId="22"/>
      <queryTableField id="23" name="STL" tableColumnId="23"/>
      <queryTableField id="24" name="BLK" tableColumnId="24"/>
      <queryTableField id="25" name="BLKA" tableColumnId="25"/>
      <queryTableField id="26" name="PF" tableColumnId="26"/>
      <queryTableField id="27" name="PFD" tableColumnId="27"/>
      <queryTableField id="28" name="+/-" tableColumnId="28"/>
    </queryTableFields>
  </queryTableRefresh>
</queryTable>
</file>

<file path=xl/queryTables/queryTable16.xml><?xml version="1.0" encoding="utf-8"?>
<queryTable xmlns="http://schemas.openxmlformats.org/spreadsheetml/2006/main" xmlns:mc="http://schemas.openxmlformats.org/markup-compatibility/2006" xmlns:xr16="http://schemas.microsoft.com/office/spreadsheetml/2017/revision16" mc:Ignorable="xr16" name="ExternalData_1" connectionId="2" xr16:uid="{00000000-0016-0000-0E00-00000F000000}" autoFormatId="16" applyNumberFormats="0" applyBorderFormats="0" applyFontFormats="0" applyPatternFormats="0" applyAlignmentFormats="0" applyWidthHeightFormats="0">
  <queryTableRefresh nextId="8">
    <queryTableFields count="7">
      <queryTableField id="1" name="Player" tableColumnId="1"/>
      <queryTableField id="2" name="Pos." tableColumnId="2"/>
      <queryTableField id="3" name="Age" tableColumnId="3"/>
      <queryTableField id="4" name="Exp" tableColumnId="4"/>
      <queryTableField id="5" name="Team" tableColumnId="5"/>
      <queryTableField id="6" name="Cap Hit" tableColumnId="6"/>
      <queryTableField id="7" name="Option" tableColumnId="7"/>
    </queryTableFields>
  </queryTableRefresh>
</queryTable>
</file>

<file path=xl/queryTables/queryTable17.xml><?xml version="1.0" encoding="utf-8"?>
<queryTable xmlns="http://schemas.openxmlformats.org/spreadsheetml/2006/main" xmlns:mc="http://schemas.openxmlformats.org/markup-compatibility/2006" xmlns:xr16="http://schemas.microsoft.com/office/spreadsheetml/2017/revision16" mc:Ignorable="xr16" name="ExternalData_2" connectionId="3" xr16:uid="{00000000-0016-0000-0E00-000010000000}" autoFormatId="16" applyNumberFormats="0" applyBorderFormats="0" applyFontFormats="0" applyPatternFormats="0" applyAlignmentFormats="0" applyWidthHeightFormats="0">
  <queryTableRefresh nextId="8">
    <queryTableFields count="7">
      <queryTableField id="1" name="Player" tableColumnId="1"/>
      <queryTableField id="2" name="Pos." tableColumnId="2"/>
      <queryTableField id="3" name="Age" tableColumnId="3"/>
      <queryTableField id="4" name="Exp" tableColumnId="4"/>
      <queryTableField id="5" name="Team" tableColumnId="5"/>
      <queryTableField id="6" name="Cap Hit" tableColumnId="6"/>
      <queryTableField id="7" name="Option" tableColumnId="7"/>
    </queryTableFields>
  </queryTableRefresh>
</queryTable>
</file>

<file path=xl/queryTables/queryTable18.xml><?xml version="1.0" encoding="utf-8"?>
<queryTable xmlns="http://schemas.openxmlformats.org/spreadsheetml/2006/main" xmlns:mc="http://schemas.openxmlformats.org/markup-compatibility/2006" xmlns:xr16="http://schemas.microsoft.com/office/spreadsheetml/2017/revision16" mc:Ignorable="xr16" name="ExternalData_3" connectionId="4" xr16:uid="{00000000-0016-0000-0E00-000011000000}" autoFormatId="16" applyNumberFormats="0" applyBorderFormats="0" applyFontFormats="0" applyPatternFormats="0" applyAlignmentFormats="0" applyWidthHeightFormats="0">
  <queryTableRefresh nextId="8">
    <queryTableFields count="7">
      <queryTableField id="1" name="Player" tableColumnId="1"/>
      <queryTableField id="2" name="Pos." tableColumnId="2"/>
      <queryTableField id="3" name="Age" tableColumnId="3"/>
      <queryTableField id="4" name="Exp" tableColumnId="4"/>
      <queryTableField id="5" name="Team" tableColumnId="5"/>
      <queryTableField id="6" name="Cap Hit" tableColumnId="6"/>
      <queryTableField id="7" name="Option" tableColumnId="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14.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15.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16.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17.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1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_2018_Free_Agents" displayName="_2018_Free_Agents" ref="A3:P117" tableType="queryTable" totalsRowShown="0" dataDxfId="196" headerRowCellStyle="Normal">
  <autoFilter ref="A3:P117" xr:uid="{00000000-0009-0000-0100-000001000000}"/>
  <tableColumns count="16">
    <tableColumn id="1" xr3:uid="{00000000-0010-0000-0000-000001000000}" uniqueName="1" name="Player (114)" queryTableFieldId="23"/>
    <tableColumn id="2" xr3:uid="{00000000-0010-0000-0000-000002000000}" uniqueName="2" name="Team" queryTableFieldId="2" dataDxfId="195"/>
    <tableColumn id="3" xr3:uid="{00000000-0010-0000-0000-000003000000}" uniqueName="3" name="Pos." queryTableFieldId="3" dataDxfId="194"/>
    <tableColumn id="4" xr3:uid="{00000000-0010-0000-0000-000004000000}" uniqueName="4" name="Age" queryTableFieldId="4" dataDxfId="193"/>
    <tableColumn id="5" xr3:uid="{00000000-0010-0000-0000-000005000000}" uniqueName="5" name="Exp" queryTableFieldId="5" dataDxfId="192"/>
    <tableColumn id="6" xr3:uid="{00000000-0010-0000-0000-000006000000}" uniqueName="6" name="Type" queryTableFieldId="6" dataDxfId="191"/>
    <tableColumn id="7" xr3:uid="{00000000-0010-0000-0000-000007000000}" uniqueName="7" name="Rights" queryTableFieldId="7" dataDxfId="190"/>
    <tableColumn id="8" xr3:uid="{00000000-0010-0000-0000-000008000000}" uniqueName="8" name="GP" queryTableFieldId="8" dataDxfId="189"/>
    <tableColumn id="9" xr3:uid="{00000000-0010-0000-0000-000009000000}" uniqueName="9" name="MPG" queryTableFieldId="9" dataDxfId="188"/>
    <tableColumn id="10" xr3:uid="{00000000-0010-0000-0000-00000A000000}" uniqueName="10" name="PPG" queryTableFieldId="10" dataDxfId="187"/>
    <tableColumn id="11" xr3:uid="{00000000-0010-0000-0000-00000B000000}" uniqueName="11" name="RPG" queryTableFieldId="11" dataDxfId="186"/>
    <tableColumn id="12" xr3:uid="{00000000-0010-0000-0000-00000C000000}" uniqueName="12" name="APG" queryTableFieldId="12" dataDxfId="185"/>
    <tableColumn id="13" xr3:uid="{00000000-0010-0000-0000-00000D000000}" uniqueName="13" name="SPG" queryTableFieldId="13" dataDxfId="184"/>
    <tableColumn id="14" xr3:uid="{00000000-0010-0000-0000-00000E000000}" uniqueName="14" name="BPG" queryTableFieldId="14" dataDxfId="183"/>
    <tableColumn id="15" xr3:uid="{00000000-0010-0000-0000-00000F000000}" uniqueName="15" name="2017-2018 AAV" queryTableFieldId="15" dataDxfId="182"/>
    <tableColumn id="16" xr3:uid="{00000000-0010-0000-0000-000010000000}" uniqueName="16" name="Signed Using" queryTableFieldId="16" dataDxfId="181"/>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1000000}" name="Salaries" displayName="Salaries" ref="A4:K580" tableType="queryTable" totalsRowShown="0" headerRowDxfId="180">
  <autoFilter ref="A4:K580" xr:uid="{00000000-0009-0000-0100-000008000000}"/>
  <tableColumns count="11">
    <tableColumn id="1" xr3:uid="{00000000-0010-0000-0100-000001000000}" uniqueName="1" name="Rk" queryTableFieldId="1" dataDxfId="179"/>
    <tableColumn id="2" xr3:uid="{00000000-0010-0000-0100-000002000000}" uniqueName="2" name="Player" queryTableFieldId="2" dataDxfId="178"/>
    <tableColumn id="3" xr3:uid="{00000000-0010-0000-0100-000003000000}" uniqueName="3" name="Tm" queryTableFieldId="3" dataDxfId="177"/>
    <tableColumn id="4" xr3:uid="{00000000-0010-0000-0100-000004000000}" uniqueName="4" name="Salary 2017-18" queryTableFieldId="4" dataDxfId="176" dataCellStyle="Currency"/>
    <tableColumn id="5" xr3:uid="{00000000-0010-0000-0100-000005000000}" uniqueName="5" name="Salary 2018-19" queryTableFieldId="5" dataDxfId="175" dataCellStyle="Currency"/>
    <tableColumn id="6" xr3:uid="{00000000-0010-0000-0100-000006000000}" uniqueName="6" name="Salary 2019-20" queryTableFieldId="6" dataDxfId="174" dataCellStyle="Currency"/>
    <tableColumn id="7" xr3:uid="{00000000-0010-0000-0100-000007000000}" uniqueName="7" name="Salary 2020-21" queryTableFieldId="7" dataDxfId="173" dataCellStyle="Currency"/>
    <tableColumn id="8" xr3:uid="{00000000-0010-0000-0100-000008000000}" uniqueName="8" name="Salary 2021-22" queryTableFieldId="8" dataDxfId="172" dataCellStyle="Currency"/>
    <tableColumn id="9" xr3:uid="{00000000-0010-0000-0100-000009000000}" uniqueName="9" name="Salary 2022-23" queryTableFieldId="9" dataDxfId="171" dataCellStyle="Currency"/>
    <tableColumn id="10" xr3:uid="{00000000-0010-0000-0100-00000A000000}" uniqueName="10" name="Signed Using" queryTableFieldId="10" dataDxfId="170"/>
    <tableColumn id="11" xr3:uid="{00000000-0010-0000-0100-00000B000000}" uniqueName="11" name="Guaranteed" queryTableFieldId="11" dataDxfId="169" dataCellStyle="Currency"/>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2000000}" name="Injuries" displayName="Injuries" ref="A4:E79" tableType="queryTable" totalsRowShown="0" headerRowDxfId="167">
  <autoFilter ref="A4:E79" xr:uid="{00000000-0009-0000-0100-00000A000000}"/>
  <sortState xmlns:xlrd2="http://schemas.microsoft.com/office/spreadsheetml/2017/richdata2" ref="A5:E79">
    <sortCondition ref="B4:B79"/>
  </sortState>
  <tableColumns count="5">
    <tableColumn id="1" xr3:uid="{00000000-0010-0000-0200-000001000000}" uniqueName="1" name="Player" queryTableFieldId="1" dataDxfId="166"/>
    <tableColumn id="2" xr3:uid="{00000000-0010-0000-0200-000002000000}" uniqueName="2" name="Team" queryTableFieldId="2" dataDxfId="165"/>
    <tableColumn id="3" xr3:uid="{00000000-0010-0000-0200-000003000000}" uniqueName="3" name="Date" queryTableFieldId="3" dataDxfId="164"/>
    <tableColumn id="4" xr3:uid="{00000000-0010-0000-0200-000004000000}" uniqueName="4" name="Type" queryTableFieldId="4" dataDxfId="163"/>
    <tableColumn id="5" xr3:uid="{00000000-0010-0000-0200-000005000000}" uniqueName="5" name="Note" queryTableFieldId="5" dataDxfId="162"/>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00000000-000C-0000-FFFF-FFFF03000000}" name="Player_Advanced" displayName="Player_Advanced" ref="A5:AA641" tableType="queryTable" totalsRowShown="0">
  <autoFilter ref="A5:AA641" xr:uid="{00000000-0009-0000-0100-00001C000000}"/>
  <tableColumns count="27">
    <tableColumn id="1" xr3:uid="{00000000-0010-0000-0300-000001000000}" uniqueName="1" name="Rk" queryTableFieldId="1"/>
    <tableColumn id="2" xr3:uid="{00000000-0010-0000-0300-000002000000}" uniqueName="2" name="Player" queryTableFieldId="2" dataDxfId="160"/>
    <tableColumn id="3" xr3:uid="{00000000-0010-0000-0300-000003000000}" uniqueName="3" name="Pos" queryTableFieldId="3" dataDxfId="159"/>
    <tableColumn id="4" xr3:uid="{00000000-0010-0000-0300-000004000000}" uniqueName="4" name="Age" queryTableFieldId="4" dataDxfId="158"/>
    <tableColumn id="5" xr3:uid="{00000000-0010-0000-0300-000005000000}" uniqueName="5" name="Tm" queryTableFieldId="5" dataDxfId="157"/>
    <tableColumn id="6" xr3:uid="{00000000-0010-0000-0300-000006000000}" uniqueName="6" name="G" queryTableFieldId="6" dataDxfId="156"/>
    <tableColumn id="7" xr3:uid="{00000000-0010-0000-0300-000007000000}" uniqueName="7" name="MP" queryTableFieldId="7" dataDxfId="155"/>
    <tableColumn id="8" xr3:uid="{00000000-0010-0000-0300-000008000000}" uniqueName="8" name="PER" queryTableFieldId="8" dataDxfId="154"/>
    <tableColumn id="9" xr3:uid="{00000000-0010-0000-0300-000009000000}" uniqueName="9" name="TS%" queryTableFieldId="9" dataDxfId="153"/>
    <tableColumn id="10" xr3:uid="{00000000-0010-0000-0300-00000A000000}" uniqueName="10" name="3PAr" queryTableFieldId="10" dataDxfId="152"/>
    <tableColumn id="11" xr3:uid="{00000000-0010-0000-0300-00000B000000}" uniqueName="11" name="FTr" queryTableFieldId="11" dataDxfId="151"/>
    <tableColumn id="12" xr3:uid="{00000000-0010-0000-0300-00000C000000}" uniqueName="12" name="ORB%" queryTableFieldId="12" dataDxfId="150"/>
    <tableColumn id="13" xr3:uid="{00000000-0010-0000-0300-00000D000000}" uniqueName="13" name="DRB%" queryTableFieldId="13" dataDxfId="149"/>
    <tableColumn id="14" xr3:uid="{00000000-0010-0000-0300-00000E000000}" uniqueName="14" name="TRB%" queryTableFieldId="14" dataDxfId="148"/>
    <tableColumn id="15" xr3:uid="{00000000-0010-0000-0300-00000F000000}" uniqueName="15" name="AST%" queryTableFieldId="15" dataDxfId="147"/>
    <tableColumn id="16" xr3:uid="{00000000-0010-0000-0300-000010000000}" uniqueName="16" name="STL%" queryTableFieldId="16" dataDxfId="146"/>
    <tableColumn id="17" xr3:uid="{00000000-0010-0000-0300-000011000000}" uniqueName="17" name="BLK%" queryTableFieldId="17" dataDxfId="145"/>
    <tableColumn id="18" xr3:uid="{00000000-0010-0000-0300-000012000000}" uniqueName="18" name="TOV%" queryTableFieldId="18" dataDxfId="144"/>
    <tableColumn id="19" xr3:uid="{00000000-0010-0000-0300-000013000000}" uniqueName="19" name="USG%" queryTableFieldId="19" dataDxfId="143"/>
    <tableColumn id="21" xr3:uid="{00000000-0010-0000-0300-000015000000}" uniqueName="21" name="OWS" queryTableFieldId="21" dataDxfId="142"/>
    <tableColumn id="22" xr3:uid="{00000000-0010-0000-0300-000016000000}" uniqueName="22" name="DWS" queryTableFieldId="22" dataDxfId="141"/>
    <tableColumn id="23" xr3:uid="{00000000-0010-0000-0300-000017000000}" uniqueName="23" name="WS" queryTableFieldId="23" dataDxfId="140"/>
    <tableColumn id="24" xr3:uid="{00000000-0010-0000-0300-000018000000}" uniqueName="24" name="WS/48" queryTableFieldId="24" dataDxfId="139"/>
    <tableColumn id="26" xr3:uid="{00000000-0010-0000-0300-00001A000000}" uniqueName="26" name="OBPM" queryTableFieldId="26" dataDxfId="138"/>
    <tableColumn id="27" xr3:uid="{00000000-0010-0000-0300-00001B000000}" uniqueName="27" name="DBPM" queryTableFieldId="27" dataDxfId="137"/>
    <tableColumn id="28" xr3:uid="{00000000-0010-0000-0300-00001C000000}" uniqueName="28" name="BPM" queryTableFieldId="28" dataDxfId="136"/>
    <tableColumn id="29" xr3:uid="{00000000-0010-0000-0300-00001D000000}" uniqueName="29" name="VORP" queryTableFieldId="29" dataDxfId="135"/>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00000000-000C-0000-FFFF-FFFF04000000}" name="Player_Per_Game" displayName="Player_Per_Game" ref="A5:AD641" tableType="queryTable" totalsRowShown="0" headerRowCellStyle="Normal">
  <tableColumns count="30">
    <tableColumn id="1" xr3:uid="{00000000-0010-0000-0400-000001000000}" uniqueName="1" name="Rk" queryTableFieldId="1"/>
    <tableColumn id="2" xr3:uid="{00000000-0010-0000-0400-000002000000}" uniqueName="2" name="Player" queryTableFieldId="2" dataDxfId="121"/>
    <tableColumn id="3" xr3:uid="{00000000-0010-0000-0400-000003000000}" uniqueName="3" name="Pos" queryTableFieldId="3" dataDxfId="120"/>
    <tableColumn id="4" xr3:uid="{00000000-0010-0000-0400-000004000000}" uniqueName="4" name="Age" queryTableFieldId="4" dataDxfId="119"/>
    <tableColumn id="5" xr3:uid="{00000000-0010-0000-0400-000005000000}" uniqueName="5" name="Tm" queryTableFieldId="5" dataDxfId="118"/>
    <tableColumn id="6" xr3:uid="{00000000-0010-0000-0400-000006000000}" uniqueName="6" name="G" queryTableFieldId="6" dataDxfId="117"/>
    <tableColumn id="7" xr3:uid="{00000000-0010-0000-0400-000007000000}" uniqueName="7" name="GS" queryTableFieldId="7" dataDxfId="116"/>
    <tableColumn id="8" xr3:uid="{00000000-0010-0000-0400-000008000000}" uniqueName="8" name="MP" queryTableFieldId="8" dataDxfId="115"/>
    <tableColumn id="9" xr3:uid="{00000000-0010-0000-0400-000009000000}" uniqueName="9" name="FG" queryTableFieldId="9" dataDxfId="114"/>
    <tableColumn id="10" xr3:uid="{00000000-0010-0000-0400-00000A000000}" uniqueName="10" name="FGA" queryTableFieldId="10" dataDxfId="113"/>
    <tableColumn id="11" xr3:uid="{00000000-0010-0000-0400-00000B000000}" uniqueName="11" name="FG%" queryTableFieldId="11" dataDxfId="112"/>
    <tableColumn id="12" xr3:uid="{00000000-0010-0000-0400-00000C000000}" uniqueName="12" name="3P" queryTableFieldId="12" dataDxfId="111"/>
    <tableColumn id="13" xr3:uid="{00000000-0010-0000-0400-00000D000000}" uniqueName="13" name="3PA" queryTableFieldId="13" dataDxfId="110"/>
    <tableColumn id="14" xr3:uid="{00000000-0010-0000-0400-00000E000000}" uniqueName="14" name="3P%" queryTableFieldId="14" dataDxfId="109"/>
    <tableColumn id="15" xr3:uid="{00000000-0010-0000-0400-00000F000000}" uniqueName="15" name="2P" queryTableFieldId="15" dataDxfId="108"/>
    <tableColumn id="16" xr3:uid="{00000000-0010-0000-0400-000010000000}" uniqueName="16" name="2PA" queryTableFieldId="16" dataDxfId="107"/>
    <tableColumn id="17" xr3:uid="{00000000-0010-0000-0400-000011000000}" uniqueName="17" name="2P%" queryTableFieldId="17" dataDxfId="106"/>
    <tableColumn id="18" xr3:uid="{00000000-0010-0000-0400-000012000000}" uniqueName="18" name="eFG%" queryTableFieldId="18" dataDxfId="105"/>
    <tableColumn id="19" xr3:uid="{00000000-0010-0000-0400-000013000000}" uniqueName="19" name="FT" queryTableFieldId="19" dataDxfId="104"/>
    <tableColumn id="20" xr3:uid="{00000000-0010-0000-0400-000014000000}" uniqueName="20" name="FTA" queryTableFieldId="20" dataDxfId="103"/>
    <tableColumn id="21" xr3:uid="{00000000-0010-0000-0400-000015000000}" uniqueName="21" name="FT%" queryTableFieldId="21" dataDxfId="102"/>
    <tableColumn id="22" xr3:uid="{00000000-0010-0000-0400-000016000000}" uniqueName="22" name="ORB" queryTableFieldId="22" dataDxfId="101"/>
    <tableColumn id="23" xr3:uid="{00000000-0010-0000-0400-000017000000}" uniqueName="23" name="DRB" queryTableFieldId="23" dataDxfId="100"/>
    <tableColumn id="24" xr3:uid="{00000000-0010-0000-0400-000018000000}" uniqueName="24" name="TRB" queryTableFieldId="24" dataDxfId="99"/>
    <tableColumn id="25" xr3:uid="{00000000-0010-0000-0400-000019000000}" uniqueName="25" name="AST" queryTableFieldId="25" dataDxfId="98"/>
    <tableColumn id="26" xr3:uid="{00000000-0010-0000-0400-00001A000000}" uniqueName="26" name="STL" queryTableFieldId="26" dataDxfId="97"/>
    <tableColumn id="27" xr3:uid="{00000000-0010-0000-0400-00001B000000}" uniqueName="27" name="BLK" queryTableFieldId="27" dataDxfId="96"/>
    <tableColumn id="28" xr3:uid="{00000000-0010-0000-0400-00001C000000}" uniqueName="28" name="TOV" queryTableFieldId="28" dataDxfId="95"/>
    <tableColumn id="29" xr3:uid="{00000000-0010-0000-0400-00001D000000}" uniqueName="29" name="PF" queryTableFieldId="29" dataDxfId="94"/>
    <tableColumn id="30" xr3:uid="{00000000-0010-0000-0400-00001E000000}" uniqueName="30" name="PS/G" queryTableFieldId="30" dataDxfId="9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5000000}" name="Player_Totals" displayName="Player_Totals" ref="A4:AD640" tableType="queryTable" totalsRowShown="0" headerRowCellStyle="Normal">
  <tableColumns count="30">
    <tableColumn id="1" xr3:uid="{00000000-0010-0000-0500-000001000000}" uniqueName="1" name="Rk" queryTableFieldId="1"/>
    <tableColumn id="2" xr3:uid="{00000000-0010-0000-0500-000002000000}" uniqueName="2" name="Player" queryTableFieldId="2" dataDxfId="91"/>
    <tableColumn id="3" xr3:uid="{00000000-0010-0000-0500-000003000000}" uniqueName="3" name="Pos" queryTableFieldId="3" dataDxfId="90"/>
    <tableColumn id="4" xr3:uid="{00000000-0010-0000-0500-000004000000}" uniqueName="4" name="Age" queryTableFieldId="4" dataDxfId="89"/>
    <tableColumn id="5" xr3:uid="{00000000-0010-0000-0500-000005000000}" uniqueName="5" name="Tm" queryTableFieldId="5" dataDxfId="88"/>
    <tableColumn id="6" xr3:uid="{00000000-0010-0000-0500-000006000000}" uniqueName="6" name="G" queryTableFieldId="6" dataDxfId="87"/>
    <tableColumn id="7" xr3:uid="{00000000-0010-0000-0500-000007000000}" uniqueName="7" name="GS" queryTableFieldId="7" dataDxfId="86"/>
    <tableColumn id="8" xr3:uid="{00000000-0010-0000-0500-000008000000}" uniqueName="8" name="MP" queryTableFieldId="8" dataDxfId="85"/>
    <tableColumn id="9" xr3:uid="{00000000-0010-0000-0500-000009000000}" uniqueName="9" name="FG" queryTableFieldId="9" dataDxfId="84"/>
    <tableColumn id="10" xr3:uid="{00000000-0010-0000-0500-00000A000000}" uniqueName="10" name="FGA" queryTableFieldId="10" dataDxfId="83"/>
    <tableColumn id="11" xr3:uid="{00000000-0010-0000-0500-00000B000000}" uniqueName="11" name="FG%" queryTableFieldId="11" dataDxfId="82"/>
    <tableColumn id="12" xr3:uid="{00000000-0010-0000-0500-00000C000000}" uniqueName="12" name="3P" queryTableFieldId="12" dataDxfId="81"/>
    <tableColumn id="13" xr3:uid="{00000000-0010-0000-0500-00000D000000}" uniqueName="13" name="3PA" queryTableFieldId="13" dataDxfId="80"/>
    <tableColumn id="14" xr3:uid="{00000000-0010-0000-0500-00000E000000}" uniqueName="14" name="3P%" queryTableFieldId="14" dataDxfId="79"/>
    <tableColumn id="15" xr3:uid="{00000000-0010-0000-0500-00000F000000}" uniqueName="15" name="2P" queryTableFieldId="15" dataDxfId="78"/>
    <tableColumn id="16" xr3:uid="{00000000-0010-0000-0500-000010000000}" uniqueName="16" name="2PA" queryTableFieldId="16" dataDxfId="77"/>
    <tableColumn id="17" xr3:uid="{00000000-0010-0000-0500-000011000000}" uniqueName="17" name="2P%" queryTableFieldId="17" dataDxfId="76"/>
    <tableColumn id="18" xr3:uid="{00000000-0010-0000-0500-000012000000}" uniqueName="18" name="eFG%" queryTableFieldId="18" dataDxfId="75"/>
    <tableColumn id="19" xr3:uid="{00000000-0010-0000-0500-000013000000}" uniqueName="19" name="FT" queryTableFieldId="19" dataDxfId="74"/>
    <tableColumn id="20" xr3:uid="{00000000-0010-0000-0500-000014000000}" uniqueName="20" name="FTA" queryTableFieldId="20" dataDxfId="73"/>
    <tableColumn id="21" xr3:uid="{00000000-0010-0000-0500-000015000000}" uniqueName="21" name="FT%" queryTableFieldId="21" dataDxfId="72"/>
    <tableColumn id="22" xr3:uid="{00000000-0010-0000-0500-000016000000}" uniqueName="22" name="ORB" queryTableFieldId="22" dataDxfId="71"/>
    <tableColumn id="23" xr3:uid="{00000000-0010-0000-0500-000017000000}" uniqueName="23" name="DRB" queryTableFieldId="23" dataDxfId="70"/>
    <tableColumn id="24" xr3:uid="{00000000-0010-0000-0500-000018000000}" uniqueName="24" name="TRB" queryTableFieldId="24" dataDxfId="69"/>
    <tableColumn id="25" xr3:uid="{00000000-0010-0000-0500-000019000000}" uniqueName="25" name="AST" queryTableFieldId="25" dataDxfId="68"/>
    <tableColumn id="26" xr3:uid="{00000000-0010-0000-0500-00001A000000}" uniqueName="26" name="STL" queryTableFieldId="26" dataDxfId="67"/>
    <tableColumn id="27" xr3:uid="{00000000-0010-0000-0500-00001B000000}" uniqueName="27" name="BLK" queryTableFieldId="27" dataDxfId="66"/>
    <tableColumn id="28" xr3:uid="{00000000-0010-0000-0500-00001C000000}" uniqueName="28" name="TOV" queryTableFieldId="28" dataDxfId="65"/>
    <tableColumn id="29" xr3:uid="{00000000-0010-0000-0500-00001D000000}" uniqueName="29" name="PF" queryTableFieldId="29" dataDxfId="64"/>
    <tableColumn id="30" xr3:uid="{00000000-0010-0000-0500-00001E000000}" uniqueName="30" name="PTS" queryTableFieldId="30" dataDxfId="63"/>
  </tableColumns>
  <tableStyleInfo name="TableStyleMedium1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00000000-000C-0000-FFFF-FFFF06000000}" name="TeamAd_Season" displayName="TeamAd_Season" ref="A4:T34" tableType="queryTable" totalsRowShown="0">
  <autoFilter ref="A4:T34" xr:uid="{00000000-0009-0000-0100-000013000000}"/>
  <sortState xmlns:xlrd2="http://schemas.microsoft.com/office/spreadsheetml/2017/richdata2" ref="A5:T34">
    <sortCondition descending="1" ref="G4:G34"/>
  </sortState>
  <tableColumns count="20">
    <tableColumn id="1" xr3:uid="{00000000-0010-0000-0600-000001000000}" uniqueName="1" name="Column1" queryTableFieldId="1"/>
    <tableColumn id="2" xr3:uid="{00000000-0010-0000-0600-000002000000}" uniqueName="2" name="TEAM" queryTableFieldId="2" dataDxfId="62"/>
    <tableColumn id="3" xr3:uid="{00000000-0010-0000-0600-000003000000}" uniqueName="3" name="GP" queryTableFieldId="3"/>
    <tableColumn id="4" xr3:uid="{00000000-0010-0000-0600-000004000000}" uniqueName="4" name="W" queryTableFieldId="4"/>
    <tableColumn id="5" xr3:uid="{00000000-0010-0000-0600-000005000000}" uniqueName="5" name="L" queryTableFieldId="5"/>
    <tableColumn id="6" xr3:uid="{00000000-0010-0000-0600-000006000000}" uniqueName="6" name="MIN" queryTableFieldId="6"/>
    <tableColumn id="7" xr3:uid="{00000000-0010-0000-0600-000007000000}" uniqueName="7" name="OffRtg" queryTableFieldId="7"/>
    <tableColumn id="8" xr3:uid="{00000000-0010-0000-0600-000008000000}" uniqueName="8" name="DefRtg" queryTableFieldId="8"/>
    <tableColumn id="9" xr3:uid="{00000000-0010-0000-0600-000009000000}" uniqueName="9" name="NetRtg" queryTableFieldId="9"/>
    <tableColumn id="10" xr3:uid="{00000000-0010-0000-0600-00000A000000}" uniqueName="10" name="AST%" queryTableFieldId="10"/>
    <tableColumn id="11" xr3:uid="{00000000-0010-0000-0600-00000B000000}" uniqueName="11" name="AST/TO" queryTableFieldId="11"/>
    <tableColumn id="12" xr3:uid="{00000000-0010-0000-0600-00000C000000}" uniqueName="12" name="AST Ratio" queryTableFieldId="12"/>
    <tableColumn id="13" xr3:uid="{00000000-0010-0000-0600-00000D000000}" uniqueName="13" name="OREB%" queryTableFieldId="13"/>
    <tableColumn id="14" xr3:uid="{00000000-0010-0000-0600-00000E000000}" uniqueName="14" name="DREB%" queryTableFieldId="14"/>
    <tableColumn id="15" xr3:uid="{00000000-0010-0000-0600-00000F000000}" uniqueName="15" name="REB%" queryTableFieldId="15"/>
    <tableColumn id="16" xr3:uid="{00000000-0010-0000-0600-000010000000}" uniqueName="16" name="TOV%" queryTableFieldId="16"/>
    <tableColumn id="17" xr3:uid="{00000000-0010-0000-0600-000011000000}" uniqueName="17" name="eFG%" queryTableFieldId="17"/>
    <tableColumn id="18" xr3:uid="{00000000-0010-0000-0600-000012000000}" uniqueName="18" name="TS%" queryTableFieldId="18"/>
    <tableColumn id="19" xr3:uid="{00000000-0010-0000-0600-000013000000}" uniqueName="19" name="PACE" queryTableFieldId="19"/>
    <tableColumn id="20" xr3:uid="{00000000-0010-0000-0600-000014000000}" uniqueName="20" name="PIE" queryTableFieldId="20"/>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00000000-000C-0000-FFFF-FFFF07000000}" name="TeamAd_15" displayName="TeamAd_15" ref="A39:T69" tableType="queryTable" totalsRowShown="0">
  <autoFilter ref="A39:T69" xr:uid="{00000000-0009-0000-0100-000014000000}"/>
  <tableColumns count="20">
    <tableColumn id="1" xr3:uid="{00000000-0010-0000-0700-000001000000}" uniqueName="1" name="Column1" queryTableFieldId="1"/>
    <tableColumn id="2" xr3:uid="{00000000-0010-0000-0700-000002000000}" uniqueName="2" name="TEAM" queryTableFieldId="2" dataDxfId="61"/>
    <tableColumn id="3" xr3:uid="{00000000-0010-0000-0700-000003000000}" uniqueName="3" name="GP" queryTableFieldId="3"/>
    <tableColumn id="4" xr3:uid="{00000000-0010-0000-0700-000004000000}" uniqueName="4" name="W" queryTableFieldId="4"/>
    <tableColumn id="5" xr3:uid="{00000000-0010-0000-0700-000005000000}" uniqueName="5" name="L" queryTableFieldId="5"/>
    <tableColumn id="6" xr3:uid="{00000000-0010-0000-0700-000006000000}" uniqueName="6" name="MIN" queryTableFieldId="6"/>
    <tableColumn id="7" xr3:uid="{00000000-0010-0000-0700-000007000000}" uniqueName="7" name="OffRtg" queryTableFieldId="7"/>
    <tableColumn id="8" xr3:uid="{00000000-0010-0000-0700-000008000000}" uniqueName="8" name="DefRtg" queryTableFieldId="8"/>
    <tableColumn id="9" xr3:uid="{00000000-0010-0000-0700-000009000000}" uniqueName="9" name="NetRtg" queryTableFieldId="9"/>
    <tableColumn id="10" xr3:uid="{00000000-0010-0000-0700-00000A000000}" uniqueName="10" name="AST%" queryTableFieldId="10"/>
    <tableColumn id="11" xr3:uid="{00000000-0010-0000-0700-00000B000000}" uniqueName="11" name="AST/TO" queryTableFieldId="11"/>
    <tableColumn id="12" xr3:uid="{00000000-0010-0000-0700-00000C000000}" uniqueName="12" name="AST Ratio" queryTableFieldId="12"/>
    <tableColumn id="13" xr3:uid="{00000000-0010-0000-0700-00000D000000}" uniqueName="13" name="OREB%" queryTableFieldId="13"/>
    <tableColumn id="14" xr3:uid="{00000000-0010-0000-0700-00000E000000}" uniqueName="14" name="DREB%" queryTableFieldId="14"/>
    <tableColumn id="15" xr3:uid="{00000000-0010-0000-0700-00000F000000}" uniqueName="15" name="REB%" queryTableFieldId="15"/>
    <tableColumn id="16" xr3:uid="{00000000-0010-0000-0700-000010000000}" uniqueName="16" name="TOV%" queryTableFieldId="16"/>
    <tableColumn id="17" xr3:uid="{00000000-0010-0000-0700-000011000000}" uniqueName="17" name="eFG%" queryTableFieldId="17"/>
    <tableColumn id="18" xr3:uid="{00000000-0010-0000-0700-000012000000}" uniqueName="18" name="TS%" queryTableFieldId="18"/>
    <tableColumn id="19" xr3:uid="{00000000-0010-0000-0700-000013000000}" uniqueName="19" name="PACE" queryTableFieldId="19"/>
    <tableColumn id="20" xr3:uid="{00000000-0010-0000-0700-000014000000}" uniqueName="20" name="PIE" queryTableFieldId="2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00000000-000C-0000-FFFF-FFFF08000000}" name="TeamAd_10" displayName="TeamAd_10" ref="A74:T104" tableType="queryTable" totalsRowShown="0">
  <autoFilter ref="A74:T104" xr:uid="{00000000-0009-0000-0100-000015000000}"/>
  <tableColumns count="20">
    <tableColumn id="1" xr3:uid="{00000000-0010-0000-0800-000001000000}" uniqueName="1" name="Column1" queryTableFieldId="1"/>
    <tableColumn id="2" xr3:uid="{00000000-0010-0000-0800-000002000000}" uniqueName="2" name="TEAM" queryTableFieldId="2" dataDxfId="60"/>
    <tableColumn id="3" xr3:uid="{00000000-0010-0000-0800-000003000000}" uniqueName="3" name="GP" queryTableFieldId="3"/>
    <tableColumn id="4" xr3:uid="{00000000-0010-0000-0800-000004000000}" uniqueName="4" name="W" queryTableFieldId="4"/>
    <tableColumn id="5" xr3:uid="{00000000-0010-0000-0800-000005000000}" uniqueName="5" name="L" queryTableFieldId="5"/>
    <tableColumn id="6" xr3:uid="{00000000-0010-0000-0800-000006000000}" uniqueName="6" name="MIN" queryTableFieldId="6"/>
    <tableColumn id="7" xr3:uid="{00000000-0010-0000-0800-000007000000}" uniqueName="7" name="OffRtg" queryTableFieldId="7"/>
    <tableColumn id="8" xr3:uid="{00000000-0010-0000-0800-000008000000}" uniqueName="8" name="DefRtg" queryTableFieldId="8"/>
    <tableColumn id="9" xr3:uid="{00000000-0010-0000-0800-000009000000}" uniqueName="9" name="NetRtg" queryTableFieldId="9"/>
    <tableColumn id="10" xr3:uid="{00000000-0010-0000-0800-00000A000000}" uniqueName="10" name="AST%" queryTableFieldId="10"/>
    <tableColumn id="11" xr3:uid="{00000000-0010-0000-0800-00000B000000}" uniqueName="11" name="AST/TO" queryTableFieldId="11"/>
    <tableColumn id="12" xr3:uid="{00000000-0010-0000-0800-00000C000000}" uniqueName="12" name="AST Ratio" queryTableFieldId="12"/>
    <tableColumn id="13" xr3:uid="{00000000-0010-0000-0800-00000D000000}" uniqueName="13" name="OREB%" queryTableFieldId="13"/>
    <tableColumn id="14" xr3:uid="{00000000-0010-0000-0800-00000E000000}" uniqueName="14" name="DREB%" queryTableFieldId="14"/>
    <tableColumn id="15" xr3:uid="{00000000-0010-0000-0800-00000F000000}" uniqueName="15" name="REB%" queryTableFieldId="15"/>
    <tableColumn id="16" xr3:uid="{00000000-0010-0000-0800-000010000000}" uniqueName="16" name="TOV%" queryTableFieldId="16"/>
    <tableColumn id="17" xr3:uid="{00000000-0010-0000-0800-000011000000}" uniqueName="17" name="eFG%" queryTableFieldId="17"/>
    <tableColumn id="18" xr3:uid="{00000000-0010-0000-0800-000012000000}" uniqueName="18" name="TS%" queryTableFieldId="18"/>
    <tableColumn id="19" xr3:uid="{00000000-0010-0000-0800-000013000000}" uniqueName="19" name="PACE" queryTableFieldId="19"/>
    <tableColumn id="20" xr3:uid="{00000000-0010-0000-0800-000014000000}" uniqueName="20" name="PIE" queryTableFieldId="20"/>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00000000-000C-0000-FFFF-FFFF09000000}" name="TeamAd_5" displayName="TeamAd_5" ref="A109:T139" tableType="queryTable" totalsRowShown="0">
  <autoFilter ref="A109:T139" xr:uid="{00000000-0009-0000-0100-000016000000}"/>
  <tableColumns count="20">
    <tableColumn id="1" xr3:uid="{00000000-0010-0000-0900-000001000000}" uniqueName="1" name="Column1" queryTableFieldId="1"/>
    <tableColumn id="2" xr3:uid="{00000000-0010-0000-0900-000002000000}" uniqueName="2" name="TEAM" queryTableFieldId="2" dataDxfId="59"/>
    <tableColumn id="3" xr3:uid="{00000000-0010-0000-0900-000003000000}" uniqueName="3" name="GP" queryTableFieldId="3"/>
    <tableColumn id="4" xr3:uid="{00000000-0010-0000-0900-000004000000}" uniqueName="4" name="W" queryTableFieldId="4"/>
    <tableColumn id="5" xr3:uid="{00000000-0010-0000-0900-000005000000}" uniqueName="5" name="L" queryTableFieldId="5"/>
    <tableColumn id="6" xr3:uid="{00000000-0010-0000-0900-000006000000}" uniqueName="6" name="MIN" queryTableFieldId="6"/>
    <tableColumn id="7" xr3:uid="{00000000-0010-0000-0900-000007000000}" uniqueName="7" name="OffRtg" queryTableFieldId="7"/>
    <tableColumn id="8" xr3:uid="{00000000-0010-0000-0900-000008000000}" uniqueName="8" name="DefRtg" queryTableFieldId="8"/>
    <tableColumn id="9" xr3:uid="{00000000-0010-0000-0900-000009000000}" uniqueName="9" name="NetRtg" queryTableFieldId="9"/>
    <tableColumn id="10" xr3:uid="{00000000-0010-0000-0900-00000A000000}" uniqueName="10" name="AST%" queryTableFieldId="10"/>
    <tableColumn id="11" xr3:uid="{00000000-0010-0000-0900-00000B000000}" uniqueName="11" name="AST/TO" queryTableFieldId="11"/>
    <tableColumn id="12" xr3:uid="{00000000-0010-0000-0900-00000C000000}" uniqueName="12" name="AST Ratio" queryTableFieldId="12"/>
    <tableColumn id="13" xr3:uid="{00000000-0010-0000-0900-00000D000000}" uniqueName="13" name="OREB%" queryTableFieldId="13"/>
    <tableColumn id="14" xr3:uid="{00000000-0010-0000-0900-00000E000000}" uniqueName="14" name="DREB%" queryTableFieldId="14"/>
    <tableColumn id="15" xr3:uid="{00000000-0010-0000-0900-00000F000000}" uniqueName="15" name="REB%" queryTableFieldId="15"/>
    <tableColumn id="16" xr3:uid="{00000000-0010-0000-0900-000010000000}" uniqueName="16" name="TOV%" queryTableFieldId="16"/>
    <tableColumn id="17" xr3:uid="{00000000-0010-0000-0900-000011000000}" uniqueName="17" name="eFG%" queryTableFieldId="17"/>
    <tableColumn id="18" xr3:uid="{00000000-0010-0000-0900-000012000000}" uniqueName="18" name="TS%" queryTableFieldId="18"/>
    <tableColumn id="19" xr3:uid="{00000000-0010-0000-0900-000013000000}" uniqueName="19" name="PACE" queryTableFieldId="19"/>
    <tableColumn id="20" xr3:uid="{00000000-0010-0000-0900-000014000000}" uniqueName="20" name="PIE" queryTableFieldId="20"/>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00000000-000C-0000-FFFF-FFFF0A000000}" name="Opponent_Per_Game" displayName="Opponent_Per_Game" ref="W4:AU34" tableType="queryTable" totalsRowShown="0">
  <autoFilter ref="W4:AU34" xr:uid="{00000000-0009-0000-0100-000017000000}"/>
  <tableColumns count="25">
    <tableColumn id="1" xr3:uid="{00000000-0010-0000-0A00-000001000000}" uniqueName="1" name="Rk" queryTableFieldId="1"/>
    <tableColumn id="2" xr3:uid="{00000000-0010-0000-0A00-000002000000}" uniqueName="2" name="Team" queryTableFieldId="2" dataDxfId="58"/>
    <tableColumn id="3" xr3:uid="{00000000-0010-0000-0A00-000003000000}" uniqueName="3" name="G" queryTableFieldId="3"/>
    <tableColumn id="4" xr3:uid="{00000000-0010-0000-0A00-000004000000}" uniqueName="4" name="MP" queryTableFieldId="4"/>
    <tableColumn id="5" xr3:uid="{00000000-0010-0000-0A00-000005000000}" uniqueName="5" name="FG" queryTableFieldId="5"/>
    <tableColumn id="6" xr3:uid="{00000000-0010-0000-0A00-000006000000}" uniqueName="6" name="FGA" queryTableFieldId="6"/>
    <tableColumn id="7" xr3:uid="{00000000-0010-0000-0A00-000007000000}" uniqueName="7" name="FG%" queryTableFieldId="7"/>
    <tableColumn id="8" xr3:uid="{00000000-0010-0000-0A00-000008000000}" uniqueName="8" name="3P" queryTableFieldId="8"/>
    <tableColumn id="9" xr3:uid="{00000000-0010-0000-0A00-000009000000}" uniqueName="9" name="3PA" queryTableFieldId="9"/>
    <tableColumn id="10" xr3:uid="{00000000-0010-0000-0A00-00000A000000}" uniqueName="10" name="3P%" queryTableFieldId="10"/>
    <tableColumn id="11" xr3:uid="{00000000-0010-0000-0A00-00000B000000}" uniqueName="11" name="2P" queryTableFieldId="11"/>
    <tableColumn id="12" xr3:uid="{00000000-0010-0000-0A00-00000C000000}" uniqueName="12" name="2PA" queryTableFieldId="12"/>
    <tableColumn id="13" xr3:uid="{00000000-0010-0000-0A00-00000D000000}" uniqueName="13" name="2P%" queryTableFieldId="13"/>
    <tableColumn id="14" xr3:uid="{00000000-0010-0000-0A00-00000E000000}" uniqueName="14" name="FT" queryTableFieldId="14"/>
    <tableColumn id="15" xr3:uid="{00000000-0010-0000-0A00-00000F000000}" uniqueName="15" name="FTA" queryTableFieldId="15"/>
    <tableColumn id="16" xr3:uid="{00000000-0010-0000-0A00-000010000000}" uniqueName="16" name="FT%" queryTableFieldId="16"/>
    <tableColumn id="17" xr3:uid="{00000000-0010-0000-0A00-000011000000}" uniqueName="17" name="ORB" queryTableFieldId="17"/>
    <tableColumn id="18" xr3:uid="{00000000-0010-0000-0A00-000012000000}" uniqueName="18" name="DRB" queryTableFieldId="18"/>
    <tableColumn id="19" xr3:uid="{00000000-0010-0000-0A00-000013000000}" uniqueName="19" name="TRB" queryTableFieldId="19"/>
    <tableColumn id="20" xr3:uid="{00000000-0010-0000-0A00-000014000000}" uniqueName="20" name="AST" queryTableFieldId="20"/>
    <tableColumn id="21" xr3:uid="{00000000-0010-0000-0A00-000015000000}" uniqueName="21" name="STL" queryTableFieldId="21"/>
    <tableColumn id="22" xr3:uid="{00000000-0010-0000-0A00-000016000000}" uniqueName="22" name="BLK" queryTableFieldId="22"/>
    <tableColumn id="23" xr3:uid="{00000000-0010-0000-0A00-000017000000}" uniqueName="23" name="TOV" queryTableFieldId="23"/>
    <tableColumn id="24" xr3:uid="{00000000-0010-0000-0A00-000018000000}" uniqueName="24" name="PF" queryTableFieldId="24"/>
    <tableColumn id="25" xr3:uid="{00000000-0010-0000-0A00-000019000000}" uniqueName="25" name="PTS" queryTableFieldId="25"/>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0000000-000C-0000-FFFF-FFFF0B000000}" name="Team_Per_Game_Stats_Table" displayName="Team_Per_Game_Stats_Table" ref="W39:AU69" tableType="queryTable" totalsRowShown="0">
  <autoFilter ref="W39:AU69" xr:uid="{00000000-0009-0000-0100-000010000000}"/>
  <tableColumns count="25">
    <tableColumn id="1" xr3:uid="{00000000-0010-0000-0B00-000001000000}" uniqueName="1" name="Rk" queryTableFieldId="1"/>
    <tableColumn id="2" xr3:uid="{00000000-0010-0000-0B00-000002000000}" uniqueName="2" name="Team" queryTableFieldId="2" dataDxfId="57"/>
    <tableColumn id="3" xr3:uid="{00000000-0010-0000-0B00-000003000000}" uniqueName="3" name="G" queryTableFieldId="3"/>
    <tableColumn id="4" xr3:uid="{00000000-0010-0000-0B00-000004000000}" uniqueName="4" name="MP" queryTableFieldId="4"/>
    <tableColumn id="5" xr3:uid="{00000000-0010-0000-0B00-000005000000}" uniqueName="5" name="FG" queryTableFieldId="5"/>
    <tableColumn id="6" xr3:uid="{00000000-0010-0000-0B00-000006000000}" uniqueName="6" name="FGA" queryTableFieldId="6"/>
    <tableColumn id="7" xr3:uid="{00000000-0010-0000-0B00-000007000000}" uniqueName="7" name="FG%" queryTableFieldId="7"/>
    <tableColumn id="8" xr3:uid="{00000000-0010-0000-0B00-000008000000}" uniqueName="8" name="3P" queryTableFieldId="8"/>
    <tableColumn id="9" xr3:uid="{00000000-0010-0000-0B00-000009000000}" uniqueName="9" name="3PA" queryTableFieldId="9"/>
    <tableColumn id="10" xr3:uid="{00000000-0010-0000-0B00-00000A000000}" uniqueName="10" name="3P%" queryTableFieldId="10"/>
    <tableColumn id="11" xr3:uid="{00000000-0010-0000-0B00-00000B000000}" uniqueName="11" name="2P" queryTableFieldId="11"/>
    <tableColumn id="12" xr3:uid="{00000000-0010-0000-0B00-00000C000000}" uniqueName="12" name="2PA" queryTableFieldId="12"/>
    <tableColumn id="13" xr3:uid="{00000000-0010-0000-0B00-00000D000000}" uniqueName="13" name="2P%" queryTableFieldId="13"/>
    <tableColumn id="14" xr3:uid="{00000000-0010-0000-0B00-00000E000000}" uniqueName="14" name="FT" queryTableFieldId="14"/>
    <tableColumn id="15" xr3:uid="{00000000-0010-0000-0B00-00000F000000}" uniqueName="15" name="FTA" queryTableFieldId="15"/>
    <tableColumn id="16" xr3:uid="{00000000-0010-0000-0B00-000010000000}" uniqueName="16" name="FT%" queryTableFieldId="16"/>
    <tableColumn id="17" xr3:uid="{00000000-0010-0000-0B00-000011000000}" uniqueName="17" name="ORB" queryTableFieldId="17"/>
    <tableColumn id="18" xr3:uid="{00000000-0010-0000-0B00-000012000000}" uniqueName="18" name="DRB" queryTableFieldId="18"/>
    <tableColumn id="19" xr3:uid="{00000000-0010-0000-0B00-000013000000}" uniqueName="19" name="TRB" queryTableFieldId="19"/>
    <tableColumn id="20" xr3:uid="{00000000-0010-0000-0B00-000014000000}" uniqueName="20" name="AST" queryTableFieldId="20"/>
    <tableColumn id="21" xr3:uid="{00000000-0010-0000-0B00-000015000000}" uniqueName="21" name="STL" queryTableFieldId="21"/>
    <tableColumn id="22" xr3:uid="{00000000-0010-0000-0B00-000016000000}" uniqueName="22" name="BLK" queryTableFieldId="22"/>
    <tableColumn id="23" xr3:uid="{00000000-0010-0000-0B00-000017000000}" uniqueName="23" name="TOV" queryTableFieldId="23"/>
    <tableColumn id="24" xr3:uid="{00000000-0010-0000-0B00-000018000000}" uniqueName="24" name="PF" queryTableFieldId="24"/>
    <tableColumn id="25" xr3:uid="{00000000-0010-0000-0B00-000019000000}" uniqueName="25" name="PTS" queryTableFieldId="25"/>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C000000}" name="Team_Shooting" displayName="Team_Shooting" ref="B4:AC34" tableType="queryTable" totalsRowShown="0" headerRowDxfId="56">
  <autoFilter ref="B4:AC34" xr:uid="{00000000-0009-0000-0100-000006000000}"/>
  <tableColumns count="28">
    <tableColumn id="1" xr3:uid="{00000000-0010-0000-0C00-000001000000}" uniqueName="1" name="Rk" queryTableFieldId="1"/>
    <tableColumn id="2" xr3:uid="{00000000-0010-0000-0C00-000002000000}" uniqueName="2" name="Team" queryTableFieldId="2" dataDxfId="55"/>
    <tableColumn id="3" xr3:uid="{00000000-0010-0000-0C00-000003000000}" uniqueName="3" name="G" queryTableFieldId="3" dataDxfId="54"/>
    <tableColumn id="4" xr3:uid="{00000000-0010-0000-0C00-000004000000}" uniqueName="4" name="MP" queryTableFieldId="4"/>
    <tableColumn id="5" xr3:uid="{00000000-0010-0000-0C00-000005000000}" uniqueName="5" name="FG%" queryTableFieldId="5"/>
    <tableColumn id="6" xr3:uid="{00000000-0010-0000-0C00-000006000000}" uniqueName="6" name="Dist." queryTableFieldId="6"/>
    <tableColumn id="7" xr3:uid="{00000000-0010-0000-0C00-000007000000}" uniqueName="7" name="% of FGA by Distance 2P" queryTableFieldId="7" dataDxfId="53"/>
    <tableColumn id="8" xr3:uid="{00000000-0010-0000-0C00-000008000000}" uniqueName="8" name="% of FGA by Distance 0-3" queryTableFieldId="8" dataDxfId="52"/>
    <tableColumn id="9" xr3:uid="{00000000-0010-0000-0C00-000009000000}" uniqueName="9" name="% of FGA by Distance 3-10" queryTableFieldId="9" dataDxfId="51"/>
    <tableColumn id="10" xr3:uid="{00000000-0010-0000-0C00-00000A000000}" uniqueName="10" name="% of FGA by Distance 10-16" queryTableFieldId="10" dataDxfId="50"/>
    <tableColumn id="11" xr3:uid="{00000000-0010-0000-0C00-00000B000000}" uniqueName="11" name="% of FGA by Distance 16 &lt;3" queryTableFieldId="11" dataDxfId="49"/>
    <tableColumn id="12" xr3:uid="{00000000-0010-0000-0C00-00000C000000}" uniqueName="12" name="% of FGA by Distance 3P" queryTableFieldId="12" dataDxfId="48"/>
    <tableColumn id="13" xr3:uid="{00000000-0010-0000-0C00-00000D000000}" uniqueName="13" name="FG% by Distance 2P" queryTableFieldId="13" dataDxfId="47"/>
    <tableColumn id="14" xr3:uid="{00000000-0010-0000-0C00-00000E000000}" uniqueName="14" name="FG% by Distance 0-3" queryTableFieldId="14" dataDxfId="46"/>
    <tableColumn id="15" xr3:uid="{00000000-0010-0000-0C00-00000F000000}" uniqueName="15" name="FG% by Distance 3-10" queryTableFieldId="15" dataDxfId="45"/>
    <tableColumn id="16" xr3:uid="{00000000-0010-0000-0C00-000010000000}" uniqueName="16" name="FG% by Distance 10-16" queryTableFieldId="16" dataDxfId="44"/>
    <tableColumn id="17" xr3:uid="{00000000-0010-0000-0C00-000011000000}" uniqueName="17" name="FG% by Distance 16 &lt;3" queryTableFieldId="17" dataDxfId="43"/>
    <tableColumn id="18" xr3:uid="{00000000-0010-0000-0C00-000012000000}" uniqueName="18" name="FG% by Distance 3P" queryTableFieldId="18" dataDxfId="42"/>
    <tableColumn id="19" xr3:uid="{00000000-0010-0000-0C00-000013000000}" uniqueName="19" name="2-Pt Field Goals %Ast'd" queryTableFieldId="19" dataDxfId="41"/>
    <tableColumn id="20" xr3:uid="{00000000-0010-0000-0C00-000014000000}" uniqueName="20" name="2-Pt Field Goals Dunks %FGA" queryTableFieldId="20" dataDxfId="40"/>
    <tableColumn id="21" xr3:uid="{00000000-0010-0000-0C00-000015000000}" uniqueName="21" name="2-Pt Field Goals Dunks Md." queryTableFieldId="21" dataDxfId="39"/>
    <tableColumn id="22" xr3:uid="{00000000-0010-0000-0C00-000016000000}" uniqueName="22" name="2-Pt Field Goals Layups %FGA" queryTableFieldId="22" dataDxfId="38"/>
    <tableColumn id="23" xr3:uid="{00000000-0010-0000-0C00-000017000000}" uniqueName="23" name="2-Pt Field Goals Layups Md." queryTableFieldId="23" dataDxfId="37"/>
    <tableColumn id="24" xr3:uid="{00000000-0010-0000-0C00-000018000000}" uniqueName="24" name="3-Pt Field Goals %Ast'd" queryTableFieldId="24" dataDxfId="36"/>
    <tableColumn id="25" xr3:uid="{00000000-0010-0000-0C00-000019000000}" uniqueName="25" name="3-Pt Field Goals Corner %3PA" queryTableFieldId="25" dataDxfId="35"/>
    <tableColumn id="26" xr3:uid="{00000000-0010-0000-0C00-00001A000000}" uniqueName="26" name="3-Pt Field Goals Corner 3P%" queryTableFieldId="26" dataDxfId="34"/>
    <tableColumn id="27" xr3:uid="{00000000-0010-0000-0C00-00001B000000}" uniqueName="27" name="3-Pt Field Goals Heaves Att." queryTableFieldId="27" dataDxfId="33"/>
    <tableColumn id="28" xr3:uid="{00000000-0010-0000-0C00-00001C000000}" uniqueName="28" name="3-Pt Field Goals Heaves Md." queryTableFieldId="28" dataDxfId="32"/>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D000000}" name="Opponent_Shooting" displayName="Opponent_Shooting" ref="B39:AA69" tableType="queryTable" totalsRowShown="0" headerRowDxfId="31">
  <autoFilter ref="B39:AA69" xr:uid="{00000000-0009-0000-0100-00000D000000}"/>
  <tableColumns count="26">
    <tableColumn id="1" xr3:uid="{00000000-0010-0000-0D00-000001000000}" uniqueName="1" name="Rk" queryTableFieldId="1"/>
    <tableColumn id="2" xr3:uid="{00000000-0010-0000-0D00-000002000000}" uniqueName="2" name="Team" queryTableFieldId="2" dataDxfId="30"/>
    <tableColumn id="3" xr3:uid="{00000000-0010-0000-0D00-000003000000}" uniqueName="3" name="G" queryTableFieldId="3" dataDxfId="29"/>
    <tableColumn id="4" xr3:uid="{00000000-0010-0000-0D00-000004000000}" uniqueName="4" name="MP" queryTableFieldId="4"/>
    <tableColumn id="5" xr3:uid="{00000000-0010-0000-0D00-000005000000}" uniqueName="5" name="FG%" queryTableFieldId="5"/>
    <tableColumn id="6" xr3:uid="{00000000-0010-0000-0D00-000006000000}" uniqueName="6" name="Dist." queryTableFieldId="6"/>
    <tableColumn id="7" xr3:uid="{00000000-0010-0000-0D00-000007000000}" uniqueName="7" name="% of FGA by Distance 2P" queryTableFieldId="7"/>
    <tableColumn id="8" xr3:uid="{00000000-0010-0000-0D00-000008000000}" uniqueName="8" name="% of FGA by Distance 0-3" queryTableFieldId="8"/>
    <tableColumn id="9" xr3:uid="{00000000-0010-0000-0D00-000009000000}" uniqueName="9" name="% of FGA by Distance 3-10" queryTableFieldId="9"/>
    <tableColumn id="10" xr3:uid="{00000000-0010-0000-0D00-00000A000000}" uniqueName="10" name="% of FGA by Distance 10-16" queryTableFieldId="10"/>
    <tableColumn id="11" xr3:uid="{00000000-0010-0000-0D00-00000B000000}" uniqueName="11" name="% of FGA by Distance 16 &lt;3" queryTableFieldId="11"/>
    <tableColumn id="12" xr3:uid="{00000000-0010-0000-0D00-00000C000000}" uniqueName="12" name="% of FGA by Distance 3P" queryTableFieldId="12"/>
    <tableColumn id="13" xr3:uid="{00000000-0010-0000-0D00-00000D000000}" uniqueName="13" name="FG% by Distance 2P" queryTableFieldId="13"/>
    <tableColumn id="14" xr3:uid="{00000000-0010-0000-0D00-00000E000000}" uniqueName="14" name="FG% by Distance 0-3" queryTableFieldId="14"/>
    <tableColumn id="15" xr3:uid="{00000000-0010-0000-0D00-00000F000000}" uniqueName="15" name="FG% by Distance 3-10" queryTableFieldId="15"/>
    <tableColumn id="16" xr3:uid="{00000000-0010-0000-0D00-000010000000}" uniqueName="16" name="FG% by Distance 10-16" queryTableFieldId="16"/>
    <tableColumn id="17" xr3:uid="{00000000-0010-0000-0D00-000011000000}" uniqueName="17" name="FG% by Distance 16 &lt;3" queryTableFieldId="17"/>
    <tableColumn id="18" xr3:uid="{00000000-0010-0000-0D00-000012000000}" uniqueName="18" name="FG% by Distance 3P" queryTableFieldId="18"/>
    <tableColumn id="19" xr3:uid="{00000000-0010-0000-0D00-000013000000}" uniqueName="19" name="2-Pt Field Goals %Ast'd" queryTableFieldId="19"/>
    <tableColumn id="20" xr3:uid="{00000000-0010-0000-0D00-000014000000}" uniqueName="20" name="2-Pt Field Goals Dunks %FGA" queryTableFieldId="20"/>
    <tableColumn id="21" xr3:uid="{00000000-0010-0000-0D00-000015000000}" uniqueName="21" name="2-Pt Field Goals Dunks Md." queryTableFieldId="21"/>
    <tableColumn id="22" xr3:uid="{00000000-0010-0000-0D00-000016000000}" uniqueName="22" name="2-Pt Field Goals Layups %FGA" queryTableFieldId="22"/>
    <tableColumn id="23" xr3:uid="{00000000-0010-0000-0D00-000017000000}" uniqueName="23" name="2-Pt Field Goals Layups Md." queryTableFieldId="23"/>
    <tableColumn id="24" xr3:uid="{00000000-0010-0000-0D00-000018000000}" uniqueName="24" name="3-Pt Field Goals %Ast'd" queryTableFieldId="24"/>
    <tableColumn id="25" xr3:uid="{00000000-0010-0000-0D00-000019000000}" uniqueName="25" name="3-Pt Field Goals Corner %3PA" queryTableFieldId="25"/>
    <tableColumn id="26" xr3:uid="{00000000-0010-0000-0D00-00001A000000}" uniqueName="26" name="3-Pt Field Goals Corner 3P%" queryTableFieldId="26"/>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E000000}" name="Table2" displayName="Table2" ref="C5:H35" totalsRowShown="0" headerRowDxfId="28" dataDxfId="27" tableBorderDxfId="26">
  <autoFilter ref="C5:H35" xr:uid="{00000000-0009-0000-0100-000002000000}"/>
  <tableColumns count="6">
    <tableColumn id="1" xr3:uid="{00000000-0010-0000-0E00-000001000000}" name="Team " dataDxfId="25">
      <calculatedColumnFormula>IF(Standings!$B6="LA Clippers","Los Angeles Clippers",B6)</calculatedColumnFormula>
    </tableColumn>
    <tableColumn id="2" xr3:uid="{00000000-0010-0000-0E00-000002000000}" name="GP" dataDxfId="24">
      <calculatedColumnFormula>U5</calculatedColumnFormula>
    </tableColumn>
    <tableColumn id="3" xr3:uid="{00000000-0010-0000-0E00-000003000000}" name="W" dataDxfId="23">
      <calculatedColumnFormula>V5</calculatedColumnFormula>
    </tableColumn>
    <tableColumn id="4" xr3:uid="{00000000-0010-0000-0E00-000004000000}" name="L" dataDxfId="22">
      <calculatedColumnFormula>W5</calculatedColumnFormula>
    </tableColumn>
    <tableColumn id="5" xr3:uid="{00000000-0010-0000-0E00-000005000000}" name="WIN%" dataDxfId="21">
      <calculatedColumnFormula>X5</calculatedColumnFormula>
    </tableColumn>
    <tableColumn id="6" xr3:uid="{00000000-0010-0000-0E00-000006000000}" name="Column1" dataDxfId="20">
      <calculatedColumnFormula>IF(OR(Table2[[#This Row],[Team ]]="Houston Rockets",Table2[[#This Row],[Team ]]="Golden State Warriors",Table2[[#This Row],[Team ]]="Portland Trail Blazers",Table2[[#This Row],[Team ]]="New Orleans Pelicans",Table2[[#This Row],[Team ]]="San Antonio Spurs",Table2[[#This Row],[Team ]]="Minnesota Timberwolves",Table2[[#This Row],[Team ]]="Oklahoma City Thunder",Table2[[#This Row],[Team ]]="Los Angeles Clippers",Table2[[#This Row],[Team ]]="Denver Nuggets",Table2[[#This Row],[Team ]]="Utah Jazz",Table2[[#This Row],[Team ]]="Los Angeles Lakers",Table2[[#This Row],[Team ]]="Dallas Mavericks",Table2[[#This Row],[Team ]]="Sacramento Kings",Table2[[#This Row],[Team ]]="Phoenix Suns",Table2[[#This Row],[Team ]]="Memphis Grizzlies"),"w","e")</calculatedColumn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F000000}" name="League_Standings" displayName="League_Standings" ref="S4:AT34" tableType="queryTable" totalsRowShown="0">
  <autoFilter ref="S4:AT34" xr:uid="{00000000-0009-0000-0100-000007000000}"/>
  <tableColumns count="28">
    <tableColumn id="1" xr3:uid="{00000000-0010-0000-0F00-000001000000}" uniqueName="1" name="Column1" queryTableFieldId="1"/>
    <tableColumn id="2" xr3:uid="{00000000-0010-0000-0F00-000002000000}" uniqueName="2" name="TEAM" queryTableFieldId="2" dataDxfId="19"/>
    <tableColumn id="3" xr3:uid="{00000000-0010-0000-0F00-000003000000}" uniqueName="3" name="GP" queryTableFieldId="3"/>
    <tableColumn id="4" xr3:uid="{00000000-0010-0000-0F00-000004000000}" uniqueName="4" name="W" queryTableFieldId="4" dataDxfId="18"/>
    <tableColumn id="5" xr3:uid="{00000000-0010-0000-0F00-000005000000}" uniqueName="5" name="L" queryTableFieldId="5"/>
    <tableColumn id="6" xr3:uid="{00000000-0010-0000-0F00-000006000000}" uniqueName="6" name="WIN%" queryTableFieldId="6" dataDxfId="17"/>
    <tableColumn id="7" xr3:uid="{00000000-0010-0000-0F00-000007000000}" uniqueName="7" name="MIN" queryTableFieldId="7"/>
    <tableColumn id="8" xr3:uid="{00000000-0010-0000-0F00-000008000000}" uniqueName="8" name="PTS" queryTableFieldId="8"/>
    <tableColumn id="9" xr3:uid="{00000000-0010-0000-0F00-000009000000}" uniqueName="9" name="FGM" queryTableFieldId="9"/>
    <tableColumn id="10" xr3:uid="{00000000-0010-0000-0F00-00000A000000}" uniqueName="10" name="FGA" queryTableFieldId="10"/>
    <tableColumn id="11" xr3:uid="{00000000-0010-0000-0F00-00000B000000}" uniqueName="11" name="FG%" queryTableFieldId="11"/>
    <tableColumn id="12" xr3:uid="{00000000-0010-0000-0F00-00000C000000}" uniqueName="12" name="3PM" queryTableFieldId="12"/>
    <tableColumn id="13" xr3:uid="{00000000-0010-0000-0F00-00000D000000}" uniqueName="13" name="3PA" queryTableFieldId="13"/>
    <tableColumn id="14" xr3:uid="{00000000-0010-0000-0F00-00000E000000}" uniqueName="14" name="3P%" queryTableFieldId="14"/>
    <tableColumn id="15" xr3:uid="{00000000-0010-0000-0F00-00000F000000}" uniqueName="15" name="FTM" queryTableFieldId="15"/>
    <tableColumn id="16" xr3:uid="{00000000-0010-0000-0F00-000010000000}" uniqueName="16" name="FTA" queryTableFieldId="16"/>
    <tableColumn id="17" xr3:uid="{00000000-0010-0000-0F00-000011000000}" uniqueName="17" name="FT%" queryTableFieldId="17"/>
    <tableColumn id="18" xr3:uid="{00000000-0010-0000-0F00-000012000000}" uniqueName="18" name="OREB" queryTableFieldId="18"/>
    <tableColumn id="19" xr3:uid="{00000000-0010-0000-0F00-000013000000}" uniqueName="19" name="DREB" queryTableFieldId="19"/>
    <tableColumn id="20" xr3:uid="{00000000-0010-0000-0F00-000014000000}" uniqueName="20" name="REB" queryTableFieldId="20"/>
    <tableColumn id="21" xr3:uid="{00000000-0010-0000-0F00-000015000000}" uniqueName="21" name="AST" queryTableFieldId="21"/>
    <tableColumn id="22" xr3:uid="{00000000-0010-0000-0F00-000016000000}" uniqueName="22" name="TOV" queryTableFieldId="22"/>
    <tableColumn id="23" xr3:uid="{00000000-0010-0000-0F00-000017000000}" uniqueName="23" name="STL" queryTableFieldId="23"/>
    <tableColumn id="24" xr3:uid="{00000000-0010-0000-0F00-000018000000}" uniqueName="24" name="BLK" queryTableFieldId="24"/>
    <tableColumn id="25" xr3:uid="{00000000-0010-0000-0F00-000019000000}" uniqueName="25" name="BLKA" queryTableFieldId="25"/>
    <tableColumn id="26" xr3:uid="{00000000-0010-0000-0F00-00001A000000}" uniqueName="26" name="PF" queryTableFieldId="26"/>
    <tableColumn id="27" xr3:uid="{00000000-0010-0000-0F00-00001B000000}" uniqueName="27" name="PFD" queryTableFieldId="27"/>
    <tableColumn id="28" xr3:uid="{00000000-0010-0000-0F00-00001C000000}" uniqueName="28" name="+/-" queryTableFieldId="28"/>
  </tableColumns>
  <tableStyleInfo name="TableStyleMedium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10000000}" name="_2018_Options" displayName="_2018_Options" ref="A6:G41" tableType="queryTable" totalsRowShown="0">
  <sortState xmlns:xlrd2="http://schemas.microsoft.com/office/spreadsheetml/2017/richdata2" ref="A7:G41">
    <sortCondition ref="E6:E41"/>
  </sortState>
  <tableColumns count="7">
    <tableColumn id="1" xr3:uid="{00000000-0010-0000-1000-000001000000}" uniqueName="1" name="Player" queryTableFieldId="1" dataDxfId="16"/>
    <tableColumn id="2" xr3:uid="{00000000-0010-0000-1000-000002000000}" uniqueName="2" name="Pos." queryTableFieldId="2" dataDxfId="15"/>
    <tableColumn id="3" xr3:uid="{00000000-0010-0000-1000-000003000000}" uniqueName="3" name="Age" queryTableFieldId="3"/>
    <tableColumn id="4" xr3:uid="{00000000-0010-0000-1000-000004000000}" uniqueName="4" name="Exp" queryTableFieldId="4"/>
    <tableColumn id="5" xr3:uid="{00000000-0010-0000-1000-000005000000}" uniqueName="5" name="Team" queryTableFieldId="5" dataDxfId="14"/>
    <tableColumn id="6" xr3:uid="{00000000-0010-0000-1000-000006000000}" uniqueName="6" name="Cap Hit" queryTableFieldId="6" dataDxfId="13" dataCellStyle="Currency"/>
    <tableColumn id="7" xr3:uid="{00000000-0010-0000-1000-000007000000}" uniqueName="7" name="Option" queryTableFieldId="7" dataDxfId="12"/>
  </tableColumns>
  <tableStyleInfo name="TableStyleMedium7"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11000000}" name="_2019_Options" displayName="_2019_Options" ref="I6:O86" tableType="queryTable" totalsRowShown="0">
  <tableColumns count="7">
    <tableColumn id="1" xr3:uid="{00000000-0010-0000-1100-000001000000}" uniqueName="1" name="Player" queryTableFieldId="1" dataDxfId="11"/>
    <tableColumn id="2" xr3:uid="{00000000-0010-0000-1100-000002000000}" uniqueName="2" name="Pos." queryTableFieldId="2" dataDxfId="10"/>
    <tableColumn id="3" xr3:uid="{00000000-0010-0000-1100-000003000000}" uniqueName="3" name="Age" queryTableFieldId="3"/>
    <tableColumn id="4" xr3:uid="{00000000-0010-0000-1100-000004000000}" uniqueName="4" name="Exp" queryTableFieldId="4"/>
    <tableColumn id="5" xr3:uid="{00000000-0010-0000-1100-000005000000}" uniqueName="5" name="Team" queryTableFieldId="5" dataDxfId="9"/>
    <tableColumn id="6" xr3:uid="{00000000-0010-0000-1100-000006000000}" uniqueName="6" name="Cap Hit" queryTableFieldId="6" dataDxfId="8" dataCellStyle="Currency"/>
    <tableColumn id="7" xr3:uid="{00000000-0010-0000-1100-000007000000}" uniqueName="7" name="Option" queryTableFieldId="7" dataDxfId="7"/>
  </tableColumns>
  <tableStyleInfo name="TableStyleMedium13"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12000000}" name="_2020_Options" displayName="_2020_Options" ref="Q6:W50" tableType="queryTable" totalsRowShown="0">
  <tableColumns count="7">
    <tableColumn id="1" xr3:uid="{00000000-0010-0000-1200-000001000000}" uniqueName="1" name="Player" queryTableFieldId="1" dataDxfId="6"/>
    <tableColumn id="2" xr3:uid="{00000000-0010-0000-1200-000002000000}" uniqueName="2" name="Pos." queryTableFieldId="2" dataDxfId="5"/>
    <tableColumn id="3" xr3:uid="{00000000-0010-0000-1200-000003000000}" uniqueName="3" name="Age" queryTableFieldId="3"/>
    <tableColumn id="4" xr3:uid="{00000000-0010-0000-1200-000004000000}" uniqueName="4" name="Exp" queryTableFieldId="4"/>
    <tableColumn id="5" xr3:uid="{00000000-0010-0000-1200-000005000000}" uniqueName="5" name="Team" queryTableFieldId="5" dataDxfId="4"/>
    <tableColumn id="6" xr3:uid="{00000000-0010-0000-1200-000006000000}" uniqueName="6" name="Cap Hit" queryTableFieldId="6" dataDxfId="3" dataCellStyle="Currency"/>
    <tableColumn id="7" xr3:uid="{00000000-0010-0000-1200-000007000000}" uniqueName="7" name="Option" queryTableFieldId="7" dataDxfId="2"/>
  </tableColumns>
  <tableStyleInfo name="TableStyleMedium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www.spotrac.com/nba/cap/"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0.xml"/><Relationship Id="rId1" Type="http://schemas.openxmlformats.org/officeDocument/2006/relationships/printerSettings" Target="../printerSettings/printerSettings9.bin"/><Relationship Id="rId5" Type="http://schemas.openxmlformats.org/officeDocument/2006/relationships/comments" Target="../comments3.xml"/><Relationship Id="rId4" Type="http://schemas.openxmlformats.org/officeDocument/2006/relationships/table" Target="../tables/table4.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11.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1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8" Type="http://schemas.openxmlformats.org/officeDocument/2006/relationships/table" Target="../tables/table12.xml"/><Relationship Id="rId3" Type="http://schemas.openxmlformats.org/officeDocument/2006/relationships/table" Target="../tables/table7.xml"/><Relationship Id="rId7" Type="http://schemas.openxmlformats.org/officeDocument/2006/relationships/table" Target="../tables/table11.xml"/><Relationship Id="rId2" Type="http://schemas.openxmlformats.org/officeDocument/2006/relationships/drawing" Target="../drawings/drawing13.xml"/><Relationship Id="rId1" Type="http://schemas.openxmlformats.org/officeDocument/2006/relationships/printerSettings" Target="../printerSettings/printerSettings12.bin"/><Relationship Id="rId6" Type="http://schemas.openxmlformats.org/officeDocument/2006/relationships/table" Target="../tables/table10.xml"/><Relationship Id="rId5" Type="http://schemas.openxmlformats.org/officeDocument/2006/relationships/table" Target="../tables/table9.xml"/><Relationship Id="rId4" Type="http://schemas.openxmlformats.org/officeDocument/2006/relationships/table" Target="../tables/table8.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drawing" Target="../drawings/drawing14.xml"/><Relationship Id="rId1" Type="http://schemas.openxmlformats.org/officeDocument/2006/relationships/printerSettings" Target="../printerSettings/printerSettings13.bin"/><Relationship Id="rId4" Type="http://schemas.openxmlformats.org/officeDocument/2006/relationships/table" Target="../tables/table14.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5.xml"/><Relationship Id="rId1" Type="http://schemas.openxmlformats.org/officeDocument/2006/relationships/printerSettings" Target="../printerSettings/printerSettings14.bin"/><Relationship Id="rId6" Type="http://schemas.openxmlformats.org/officeDocument/2006/relationships/comments" Target="../comments4.xml"/><Relationship Id="rId5" Type="http://schemas.openxmlformats.org/officeDocument/2006/relationships/table" Target="../tables/table16.xml"/><Relationship Id="rId4" Type="http://schemas.openxmlformats.org/officeDocument/2006/relationships/table" Target="../tables/table15.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17.xml"/><Relationship Id="rId2" Type="http://schemas.openxmlformats.org/officeDocument/2006/relationships/drawing" Target="../drawings/drawing16.xml"/><Relationship Id="rId1" Type="http://schemas.openxmlformats.org/officeDocument/2006/relationships/printerSettings" Target="../printerSettings/printerSettings15.bin"/><Relationship Id="rId5" Type="http://schemas.openxmlformats.org/officeDocument/2006/relationships/table" Target="../tables/table19.xml"/><Relationship Id="rId4" Type="http://schemas.openxmlformats.org/officeDocument/2006/relationships/table" Target="../tables/table18.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K27"/>
  <sheetViews>
    <sheetView tabSelected="1" zoomScale="125" zoomScaleNormal="125" workbookViewId="0">
      <selection activeCell="E21" sqref="E21"/>
    </sheetView>
  </sheetViews>
  <sheetFormatPr defaultColWidth="8.85546875" defaultRowHeight="15"/>
  <cols>
    <col min="1" max="1" width="28.42578125" customWidth="1"/>
    <col min="5" max="5" width="22.28515625" bestFit="1" customWidth="1"/>
    <col min="6" max="6" width="13.7109375" customWidth="1"/>
    <col min="7" max="7" width="9.85546875" bestFit="1" customWidth="1"/>
    <col min="11" max="11" width="9.28515625" customWidth="1"/>
  </cols>
  <sheetData>
    <row r="1" spans="1:11" s="9" customFormat="1" ht="26.25">
      <c r="A1" s="10" t="s">
        <v>1030</v>
      </c>
      <c r="E1" s="134"/>
      <c r="F1" s="134"/>
      <c r="G1" s="134"/>
      <c r="H1" s="134"/>
    </row>
    <row r="2" spans="1:11" ht="18.75">
      <c r="A2" s="544" t="s">
        <v>702</v>
      </c>
      <c r="B2" s="364"/>
      <c r="C2" s="364"/>
      <c r="D2" s="365"/>
      <c r="E2" s="135" t="s">
        <v>1035</v>
      </c>
      <c r="F2" s="542">
        <v>43179</v>
      </c>
      <c r="G2" s="542"/>
      <c r="H2" s="543"/>
      <c r="K2" s="378"/>
    </row>
    <row r="3" spans="1:11" ht="15.75" thickBot="1">
      <c r="A3" s="544"/>
      <c r="B3" s="364"/>
      <c r="C3" s="364"/>
      <c r="D3" s="364"/>
      <c r="E3" s="363" t="s">
        <v>704</v>
      </c>
      <c r="F3" s="124" t="s">
        <v>705</v>
      </c>
      <c r="G3" s="13"/>
    </row>
    <row r="4" spans="1:11" ht="15.75" thickBot="1">
      <c r="A4" s="364"/>
      <c r="B4" s="364"/>
      <c r="C4" s="364"/>
      <c r="D4" s="364"/>
      <c r="E4" s="278" t="s">
        <v>1112</v>
      </c>
      <c r="F4" s="138" t="s">
        <v>706</v>
      </c>
    </row>
    <row r="5" spans="1:11" ht="15.75" thickBot="1">
      <c r="A5" s="364"/>
      <c r="B5" s="364"/>
      <c r="C5" s="364"/>
      <c r="D5" s="364"/>
      <c r="E5" s="407" t="s">
        <v>985</v>
      </c>
      <c r="F5" s="139" t="s">
        <v>1189</v>
      </c>
    </row>
    <row r="6" spans="1:11" ht="15.75" thickBot="1">
      <c r="A6" s="364"/>
      <c r="B6" s="364"/>
      <c r="C6" s="364"/>
      <c r="D6" s="364"/>
      <c r="E6" s="402" t="s">
        <v>1031</v>
      </c>
      <c r="F6" t="s">
        <v>1113</v>
      </c>
    </row>
    <row r="7" spans="1:11" ht="15.75" thickBot="1">
      <c r="A7" s="364"/>
      <c r="B7" s="364"/>
      <c r="C7" s="364"/>
      <c r="D7" s="364"/>
      <c r="E7" s="403" t="s">
        <v>1114</v>
      </c>
      <c r="F7" s="60" t="s">
        <v>999</v>
      </c>
    </row>
    <row r="8" spans="1:11" ht="15.75" thickBot="1">
      <c r="A8" s="364"/>
      <c r="B8" s="364"/>
      <c r="C8" s="364"/>
      <c r="D8" s="364"/>
      <c r="E8" s="404" t="s">
        <v>822</v>
      </c>
      <c r="F8" s="60" t="s">
        <v>823</v>
      </c>
    </row>
    <row r="9" spans="1:11" ht="15.75" thickBot="1">
      <c r="A9" s="364"/>
      <c r="B9" s="364"/>
      <c r="C9" s="364"/>
      <c r="D9" s="364"/>
      <c r="E9" s="405" t="s">
        <v>959</v>
      </c>
      <c r="F9" t="s">
        <v>908</v>
      </c>
    </row>
    <row r="10" spans="1:11" ht="15.75" thickBot="1">
      <c r="A10" s="364"/>
      <c r="B10" s="364"/>
      <c r="C10" s="364"/>
      <c r="D10" s="364"/>
      <c r="E10" s="140" t="s">
        <v>957</v>
      </c>
      <c r="F10" t="s">
        <v>958</v>
      </c>
    </row>
    <row r="11" spans="1:11" ht="15.75" thickBot="1">
      <c r="A11" s="364"/>
      <c r="B11" s="364"/>
      <c r="C11" s="366"/>
      <c r="D11" s="366"/>
      <c r="E11" s="406" t="s">
        <v>1107</v>
      </c>
      <c r="F11" t="s">
        <v>1175</v>
      </c>
      <c r="G11" s="60"/>
      <c r="H11" s="60"/>
      <c r="I11" s="60"/>
    </row>
    <row r="12" spans="1:11" ht="15.75" thickBot="1">
      <c r="A12" s="541" t="s">
        <v>703</v>
      </c>
      <c r="B12" s="364"/>
      <c r="C12" s="366"/>
      <c r="D12" s="366"/>
      <c r="E12" s="406" t="s">
        <v>1108</v>
      </c>
      <c r="F12" t="s">
        <v>1174</v>
      </c>
      <c r="G12" s="60"/>
      <c r="H12" s="60"/>
      <c r="I12" s="60"/>
    </row>
    <row r="13" spans="1:11" ht="15.75" thickBot="1">
      <c r="A13" s="541"/>
      <c r="B13" s="364"/>
      <c r="C13" s="367"/>
      <c r="D13" s="367"/>
      <c r="E13" s="406" t="s">
        <v>1109</v>
      </c>
      <c r="F13" t="s">
        <v>1178</v>
      </c>
      <c r="G13" s="117"/>
    </row>
    <row r="14" spans="1:11" ht="15.75" thickBot="1">
      <c r="A14" s="364"/>
      <c r="B14" s="364"/>
      <c r="C14" s="364"/>
      <c r="D14" s="364"/>
      <c r="E14" s="406" t="s">
        <v>1058</v>
      </c>
      <c r="F14" t="s">
        <v>1176</v>
      </c>
    </row>
    <row r="15" spans="1:11" ht="15.75" thickBot="1">
      <c r="A15" s="364"/>
      <c r="B15" s="364"/>
      <c r="C15" s="364"/>
      <c r="D15" s="364"/>
      <c r="E15" s="406" t="s">
        <v>1207</v>
      </c>
      <c r="F15" t="s">
        <v>1177</v>
      </c>
    </row>
    <row r="16" spans="1:11" ht="15.75" thickBot="1">
      <c r="A16" s="364"/>
      <c r="B16" s="364"/>
      <c r="C16" s="364"/>
      <c r="D16" s="364"/>
      <c r="E16" s="406" t="s">
        <v>1110</v>
      </c>
      <c r="F16" t="s">
        <v>1179</v>
      </c>
    </row>
    <row r="17" spans="1:7" ht="15.75" thickBot="1">
      <c r="A17" s="364"/>
      <c r="B17" s="364"/>
      <c r="C17" s="364"/>
      <c r="D17" s="364"/>
      <c r="E17" s="406" t="s">
        <v>1111</v>
      </c>
      <c r="F17" t="s">
        <v>1180</v>
      </c>
      <c r="G17" s="133"/>
    </row>
    <row r="18" spans="1:7">
      <c r="A18" s="364"/>
      <c r="B18" s="364"/>
      <c r="C18" s="364"/>
      <c r="D18" s="368"/>
    </row>
    <row r="19" spans="1:7">
      <c r="A19" s="364"/>
      <c r="B19" s="364"/>
      <c r="C19" s="364"/>
      <c r="D19" s="368"/>
    </row>
    <row r="20" spans="1:7">
      <c r="A20" s="364"/>
      <c r="B20" s="364"/>
      <c r="C20" s="364"/>
      <c r="D20" s="368"/>
    </row>
    <row r="21" spans="1:7">
      <c r="A21" s="364"/>
      <c r="B21" s="364"/>
      <c r="C21" s="364"/>
      <c r="D21" s="368"/>
    </row>
    <row r="22" spans="1:7">
      <c r="A22" s="364"/>
      <c r="B22" s="364"/>
      <c r="C22" s="364"/>
      <c r="D22" s="368"/>
    </row>
    <row r="23" spans="1:7">
      <c r="A23" s="364"/>
      <c r="B23" s="364"/>
      <c r="C23" s="364"/>
      <c r="D23" s="368"/>
    </row>
    <row r="24" spans="1:7">
      <c r="A24" s="364"/>
      <c r="B24" s="364"/>
      <c r="C24" s="364"/>
      <c r="D24" s="368"/>
    </row>
    <row r="25" spans="1:7">
      <c r="A25" s="364"/>
      <c r="B25" s="364"/>
      <c r="C25" s="364"/>
      <c r="D25" s="368"/>
    </row>
    <row r="26" spans="1:7">
      <c r="A26" s="364"/>
      <c r="B26" s="364"/>
      <c r="C26" s="364"/>
      <c r="D26" s="368"/>
    </row>
    <row r="27" spans="1:7">
      <c r="A27" s="369"/>
      <c r="B27" s="369"/>
      <c r="C27" s="369"/>
      <c r="D27" s="370"/>
    </row>
  </sheetData>
  <mergeCells count="3">
    <mergeCell ref="A12:A13"/>
    <mergeCell ref="F2:H2"/>
    <mergeCell ref="A2:A3"/>
  </mergeCells>
  <hyperlinks>
    <hyperlink ref="E10" location="Glossary!A1" display="Glossary" xr:uid="{00000000-0004-0000-0000-000000000000}"/>
    <hyperlink ref="E4" location="'Roster Analysis'!A1" display="Roster Analysis" xr:uid="{00000000-0004-0000-0000-000001000000}"/>
    <hyperlink ref="E11" location="'Player Advanced'!A1" display="Player Advanced" xr:uid="{00000000-0004-0000-0000-000002000000}"/>
    <hyperlink ref="E12" location="'Player Per Game'!A1" display="Player Per Game" xr:uid="{00000000-0004-0000-0000-000003000000}"/>
    <hyperlink ref="E13" location="'Player Totals'!A1" display="Player Totals" xr:uid="{00000000-0004-0000-0000-000004000000}"/>
    <hyperlink ref="E14" location="'Team Stats'!A1" display="League Stats" xr:uid="{00000000-0004-0000-0000-000005000000}"/>
    <hyperlink ref="E15" location="'Team Shooting Raw'!A1" display="League Shooting" xr:uid="{00000000-0004-0000-0000-000006000000}"/>
    <hyperlink ref="E16" location="Standings!A1" display="Standings" xr:uid="{00000000-0004-0000-0000-000007000000}"/>
    <hyperlink ref="E17" location="'Contract Options'!A1" display="Contract Options" xr:uid="{00000000-0004-0000-0000-000008000000}"/>
    <hyperlink ref="E9" location="'Injury Report'!A1" display="Injury Report" xr:uid="{00000000-0004-0000-0000-000009000000}"/>
    <hyperlink ref="E8" location="'Player Salaries'!A1" display="Player Salaries" xr:uid="{00000000-0004-0000-0000-00000A000000}"/>
    <hyperlink ref="E7" location="'2018 Free Agents'!A1" display="2018 Free Agents" xr:uid="{00000000-0004-0000-0000-00000B000000}"/>
    <hyperlink ref="E6" location="'Team Ranking'!A1" display="Team Ranking" xr:uid="{00000000-0004-0000-0000-00000C000000}"/>
    <hyperlink ref="E5" location="'Team Shooting'!A1" display="Team Shooting" xr:uid="{00000000-0004-0000-0000-00000D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7030A0"/>
    <pageSetUpPr fitToPage="1"/>
  </sheetPr>
  <dimension ref="A1:AQ226"/>
  <sheetViews>
    <sheetView zoomScaleNormal="100" workbookViewId="0">
      <selection activeCell="T23" sqref="T23"/>
    </sheetView>
  </sheetViews>
  <sheetFormatPr defaultColWidth="8.85546875" defaultRowHeight="15"/>
  <cols>
    <col min="1" max="1" width="25.42578125" style="14" bestFit="1" customWidth="1"/>
    <col min="2" max="2" width="6.28515625" style="14" customWidth="1"/>
    <col min="3" max="3" width="6.85546875" style="14" customWidth="1"/>
    <col min="4" max="4" width="8.42578125" style="14" bestFit="1" customWidth="1"/>
    <col min="5" max="5" width="5.85546875" style="14" customWidth="1"/>
    <col min="6" max="6" width="6.28515625" style="14" customWidth="1"/>
    <col min="7" max="7" width="4.42578125" style="14" customWidth="1"/>
    <col min="8" max="8" width="6.140625" style="14" customWidth="1"/>
    <col min="9" max="9" width="5.28515625" style="14" customWidth="1"/>
    <col min="10" max="14" width="15.28515625" style="14" customWidth="1"/>
    <col min="15" max="15" width="15.7109375" style="14" bestFit="1" customWidth="1"/>
    <col min="16" max="16" width="8.140625" style="14" customWidth="1"/>
    <col min="17" max="17" width="8.42578125" style="15" hidden="1" customWidth="1"/>
    <col min="18" max="18" width="8.42578125" style="14" customWidth="1"/>
    <col min="19" max="19" width="11.42578125" style="14" customWidth="1"/>
    <col min="20" max="20" width="11.5703125" style="14" bestFit="1" customWidth="1"/>
    <col min="21" max="21" width="14.28515625" style="14" bestFit="1" customWidth="1"/>
    <col min="22" max="22" width="8.85546875" style="14"/>
    <col min="23" max="23" width="15.28515625" style="14" bestFit="1" customWidth="1"/>
    <col min="24" max="32" width="8.85546875" style="14"/>
    <col min="33" max="33" width="12.42578125" style="14" customWidth="1"/>
    <col min="34" max="16384" width="8.85546875" style="14"/>
  </cols>
  <sheetData>
    <row r="1" spans="1:43" s="40" customFormat="1" ht="15.75" customHeight="1">
      <c r="A1" s="567" t="s">
        <v>689</v>
      </c>
      <c r="B1" s="571" t="s">
        <v>797</v>
      </c>
      <c r="C1" s="572"/>
      <c r="D1" s="569" t="str">
        <f>VLOOKUP(A1,'Referenced Lists'!A2:B31,2,FALSE)</f>
        <v>MIN</v>
      </c>
      <c r="E1" s="410">
        <f>COUNTIF('Player Salaries'!C5:C672,D1)</f>
        <v>16</v>
      </c>
      <c r="F1" s="589" t="s">
        <v>905</v>
      </c>
      <c r="G1" s="590"/>
      <c r="H1" s="585" t="s">
        <v>707</v>
      </c>
      <c r="I1" s="586"/>
      <c r="L1" s="128"/>
      <c r="M1" s="582"/>
      <c r="N1" s="582"/>
      <c r="O1" s="575"/>
      <c r="P1" s="575"/>
      <c r="T1" s="41"/>
    </row>
    <row r="2" spans="1:43" s="40" customFormat="1" ht="15" customHeight="1">
      <c r="A2" s="567"/>
      <c r="B2" s="573"/>
      <c r="C2" s="574"/>
      <c r="D2" s="570"/>
      <c r="E2" s="108"/>
      <c r="F2" s="591"/>
      <c r="G2" s="592"/>
      <c r="H2" s="587"/>
      <c r="I2" s="588"/>
      <c r="M2" s="582"/>
      <c r="N2" s="582"/>
      <c r="O2" s="576"/>
      <c r="P2" s="576"/>
      <c r="T2" s="41"/>
    </row>
    <row r="3" spans="1:43" s="40" customFormat="1" ht="15" customHeight="1">
      <c r="A3" s="568"/>
      <c r="B3" s="553" t="str">
        <f>VLOOKUP($A$1,Standings!$C$6:$E$35,3,FALSE)&amp;"-"&amp;VLOOKUP($A$1,Standings!$C$6:$F$35,4,FALSE)</f>
        <v>40-31</v>
      </c>
      <c r="C3" s="554"/>
      <c r="D3" s="411" t="str">
        <f>IFERROR(RANK(VLOOKUP($A$1,Standings!$M$5:$N$19,2,FALSE),Standings!$N$5:$N$19),RANK(VLOOKUP($A$1,Standings!$M$22:$N$36,2,FALSE),Standings!$N$22:$N$36))&amp;" - "&amp;IF(COUNTIF(Standings!$M$5:$M$19,$A$1),"West","East")</f>
        <v>8 - West</v>
      </c>
      <c r="F3" s="591"/>
      <c r="G3" s="592"/>
      <c r="H3" s="587"/>
      <c r="I3" s="588"/>
      <c r="J3" s="63"/>
      <c r="O3" s="41"/>
      <c r="P3" s="75"/>
      <c r="AI3" s="577" t="s">
        <v>671</v>
      </c>
      <c r="AJ3" s="577"/>
    </row>
    <row r="4" spans="1:43" s="40" customFormat="1" ht="15" customHeight="1">
      <c r="A4" s="91" t="s">
        <v>258</v>
      </c>
      <c r="B4" s="65" t="s">
        <v>259</v>
      </c>
      <c r="C4" s="65" t="s">
        <v>255</v>
      </c>
      <c r="D4" s="65" t="s">
        <v>910</v>
      </c>
      <c r="E4" s="92" t="s">
        <v>15</v>
      </c>
      <c r="F4" s="83" t="s">
        <v>269</v>
      </c>
      <c r="G4" s="85" t="s">
        <v>911</v>
      </c>
      <c r="H4" s="257" t="s">
        <v>652</v>
      </c>
      <c r="I4" s="86" t="s">
        <v>911</v>
      </c>
      <c r="J4" s="68" t="s">
        <v>791</v>
      </c>
      <c r="K4" s="65" t="s">
        <v>792</v>
      </c>
      <c r="L4" s="65" t="s">
        <v>796</v>
      </c>
      <c r="M4" s="65" t="s">
        <v>819</v>
      </c>
      <c r="N4" s="65" t="s">
        <v>871</v>
      </c>
      <c r="O4" s="102" t="s">
        <v>960</v>
      </c>
      <c r="P4" s="182"/>
      <c r="Q4" s="183"/>
      <c r="R4" s="184"/>
      <c r="S4" s="184"/>
      <c r="T4" s="184"/>
      <c r="U4" s="184"/>
      <c r="V4" s="184"/>
      <c r="W4" s="184"/>
      <c r="X4" s="184"/>
      <c r="Y4" s="184"/>
      <c r="Z4" s="184"/>
      <c r="AA4" s="184"/>
      <c r="AI4" s="64" t="s">
        <v>800</v>
      </c>
      <c r="AJ4" s="64" t="s">
        <v>801</v>
      </c>
      <c r="AK4" s="82"/>
      <c r="AM4" s="428">
        <f>COLUMN(Z:Z)</f>
        <v>26</v>
      </c>
      <c r="AN4" s="412" t="str">
        <f>IFERROR(IF(VLOOKUP('Roster Analysis'!A5,Player_Totals[[Player]:[MP]],7,FALSE)&gt;100,VLOOKUP(A5,#REF!,17,FALSE),"IMP"),"")</f>
        <v/>
      </c>
      <c r="AO4" s="413" t="str">
        <f>IF(AN4="IMP","IMP",IFERROR(PERCENTRANK('Player Per Game'!$R$6:$R$641,AN4)*100,""))</f>
        <v/>
      </c>
      <c r="AP4" s="577" t="s">
        <v>273</v>
      </c>
      <c r="AQ4" s="577"/>
    </row>
    <row r="5" spans="1:43">
      <c r="A5" s="409" t="str">
        <f t="array" ref="A5">IF(ROWS(A$5:A5)&gt;$E$1,"",INDEX('Player Salaries'!B$5:B$672,SMALL(IF('Player Salaries'!$C$5:$C$672=$D$1,ROW('Player Salaries'!$C$5:$C$672)-ROW('Player Salaries'!$E$5)+1),ROWS(A$5:A5))))</f>
        <v>Jimmy Butler</v>
      </c>
      <c r="B5" s="416" t="str">
        <f>IFERROR(IF(AND(A5="Jamal Crawford",$D$1="ATL"),"",VLOOKUP(A5,Player_Per_Game[[Player]:[Pos]],2,FALSE)),"")</f>
        <v>SG</v>
      </c>
      <c r="C5" s="416">
        <f>IFERROR(IF(AND(A5="Jamal Crawford",$D$1="ATL"),"",VLOOKUP(A5,Player_Per_Game[[Player]:[PS/G]],3,FALSE)),"")</f>
        <v>28</v>
      </c>
      <c r="D5" s="416" t="str">
        <f>IF(AND(A5="Jamal Crawford",$D$1="ATL"),"",IFERROR(IF(AND(A5="Jamal Crawford",$D$1="ATL"),"",VLOOKUP(A5,'Player Per Game'!$B$6:$G$641,5,FALSE))&amp;" / "&amp;IF(AND(A5="Jamal Crawford",$D$1="ATL"),"",VLOOKUP(A5,'Player Per Game'!$B$6:$G$641,6,FALSE)),""))</f>
        <v>56 / 56</v>
      </c>
      <c r="E5" s="432">
        <f>IFERROR(IF(AND(A5="Jamal Crawford",$D$1="ATL"),"",VLOOKUP(A5,Player_Per_Game[[Player]:[PS/G]],7,FALSE)),"")</f>
        <v>37.1</v>
      </c>
      <c r="F5" s="434">
        <f>IFERROR(IF(AND(A5="Jamal Crawford",$D$1="ATL"),"",VLOOKUP($A5,Player_Per_Game[[Player]:[PS/G]],MATCH('Roster Analysis'!$F$4,Player_Per_Game[[#Headers],[Player]:[PS/G]],FALSE),FALSE)),"")</f>
        <v>0.35599999999999998</v>
      </c>
      <c r="G5" s="424">
        <f>IFERROR(_xlfn.IFS($F$4="PF",PERCENTRANK(Player_Per_Game[PF],F5),$F$4="TOV",PERCENTRANK(Player_Per_Game[TOV],F5),$F$4="BLK",PERCENTRANK(Player_Per_Game[BLK],F5),$F$4="STL",PERCENTRANK(Player_Per_Game[STL],F5),$F$4="AST",PERCENTRANK(Player_Per_Game[AST],F5),$F$4="TRB",PERCENTRANK(Player_Per_Game[TRB],F5),$F$4="DRB",PERCENTRANK(Player_Per_Game[DRB],F5),$F$4="ORB",PERCENTRANK(Player_Per_Game[ORB],F5),$F$4="FT%",PERCENTRANK(Player_Per_Game[FT%],F5),$F$4="EFG%",PERCENTRANK(Player_Per_Game[eFG%],F5),$F$4="2P%",PERCENTRANK(Player_Per_Game[2P%],F5),$F$4="3P%",PERCENTRANK(Player_Per_Game[3P%],F5),$F$4="FG%",PERCENTRANK(Player_Per_Game[FG%],F5),$F$4="PS/G",PERCENTRANK(Player_Per_Game[PS/G],F5))*100,"")</f>
        <v>58.5</v>
      </c>
      <c r="H5" s="436">
        <f>IFERROR(IF(AND(A5="Jamal Crawford",$D$1="ATL"),"",VLOOKUP($A5,Player_Advanced[[Player]:[VORP]],MATCH('Roster Analysis'!$H$4,Player_Advanced[[#Headers],[Player]:[VORP]],FALSE),FALSE)),"")</f>
        <v>23.6</v>
      </c>
      <c r="I5" s="417">
        <f>IFERROR(_xlfn.IFS($H$4="VORP",PERCENTRANK(Player_Advanced[VORP],H5),$H$4="BPM",PERCENTRANK(Player_Advanced[BPM],H5),$H$4="DBPM",PERCENTRANK(Player_Advanced[DBPM],H5),$H$4="OBPM",PERCENTRANK(Player_Advanced[OBPM],H5),$H$4="WS/48",PERCENTRANK(Player_Advanced[WS/48],H5),$H$4="WS",PERCENTRANK(Player_Advanced[WS],H5),$H$4="DWS",PERCENTRANK(Player_Advanced[DWS],H5),$H$4="OWS",PERCENTRANK(Player_Advanced[OWS],H5),$H$4="USG%",PERCENTRANK(Player_Advanced[USG%],H5),$H$4="TOV%",PERCENTRANK(Player_Advanced[TOV%],H5),$H$4="BLK%",PERCENTRANK(Player_Advanced[BLK%],H5),$H$4="STL%",PERCENTRANK(Player_Advanced[STL%],H5),$H$4="TRB%",PERCENTRANK(Player_Advanced[TRB%],H5),$H$4="ast%",PERCENTRANK(Player_Advanced[AST%],H5),$H$4="drb%",PERCENTRANK(Player_Advanced[DRB%],H5),$H$4="orb%",PERCENTRANK(Player_Advanced[ORB%],H5),$H$4="TS%",PERCENTRANK(Player_Advanced[TS%],H5),$H$4="FTr",PERCENTRANK(Player_Advanced[FTr],H5),$H$4="PER",PERCENTRANK(Player_Advanced[PER],H5),$H$4="3PAr",PERCENTRANK(Player_Advanced[3PAr],H5))*100,"")</f>
        <v>95.5</v>
      </c>
      <c r="J5" s="418">
        <f>IF(A5="","",IFERROR(VLOOKUP(A5,'Player Salaries'!$B$5:$D$632,3,FALSE),""))</f>
        <v>19301070</v>
      </c>
      <c r="K5" s="419">
        <f>IF(J5="","",IFERROR(IF(VLOOKUP(A5,'Player Salaries'!$B$5:$F$632,4,FALSE)&lt;&gt;0,VLOOKUP(A5,'Player Salaries'!$B$5:$F$632,4,FALSE),IF(OR(VLOOKUP(A5,'Player Salaries'!$B$5:$J$632,9,FALSE)="1st Rd Pick",AND(VLOOKUP(A5,'Player Salaries'!$B$5:$J$632,9,FALSE)="1st Round Pick",VLOOKUP(A5,'Player Salaries'!$B$5:$J$632,3,FALSE)&lt;0.08*'Roster Analysis'!$J$28),AND(VLOOKUP(A5,'Player Salaries'!$B$5:$J$632,9,FALSE)="Cap Space",VLOOKUP(A5,'Player Salaries'!$B$5:$J$632,3,FALSE)&lt;1000000),AND(VLOOKUP(A5,'Player Salaries'!$B$5:$J$632,9,FALSE)="MLE",VLOOKUP(A5,'Player Salaries'!$B$5:$J$632,3,FALSE)&lt;1000000),J5=50000,AND(VLOOKUP(A5,'Player Salaries'!B5:K632,9,FALSE)="Minimum Salary",'Roster Analysis'!J5=1312611)),"RFA","UFA")),""))</f>
        <v>20445779</v>
      </c>
      <c r="L5" s="420">
        <f>IFERROR(IF(VLOOKUP(A5,'Player Salaries'!$B$5:$J$632,4,FALSE)=0,"",IF(VLOOKUP(A5,'Player Salaries'!$B$5:$J$632,5,FALSE)&lt;&gt;0,VLOOKUP(A5,'Player Salaries'!$B$5:$J$632,5,FALSE),IF(OR(VLOOKUP(A5,'Player Salaries'!$B$5:$J$632,9,FALSE)="1st Rd Pick",AND(VLOOKUP(A5,'Player Salaries'!$B$5:$J$632,9,FALSE)="1st Round Pick",VLOOKUP(A5,'Player Salaries'!$B$5:$J$632,4,FALSE)&lt;0.08*'Roster Analysis'!$J$28),AND(VLOOKUP(A5,'Player Salaries'!$B$5:$J$632,9,FALSE)="Cap Space",$K5=1544951),AND(VLOOKUP(A5,'Player Salaries'!$B$5:$J$632,9,FALSE)="Cap Space",VLOOKUP(A5,'Player Salaries'!$B$5:$J$632,4,FALSE)&lt;1000000),$K5=1378242,AND(VLOOKUP(A5,'Player Salaries'!$B$5:$J$632,9,FALSE)="MLE",VLOOKUP(A5,'Player Salaries'!$B$5:$J$632,4,FALSE)&lt;1000000),AND(VLOOKUP(A5,'Player Salaries'!$B$5:$K$632,9,FALSE)="Minimum Salary",K5=1544951)),"RFA","UFA"))),"")</f>
        <v>19841627</v>
      </c>
      <c r="M5" s="420" t="str">
        <f>IFERROR(IF(VLOOKUP(A5,'Player Salaries'!$B$5:$J$632,5,FALSE)=0,"",IF(VLOOKUP(A5,'Player Salaries'!$B$5:$J$632,6,FALSE)&lt;&gt;0,VLOOKUP(A5,'Player Salaries'!$B$5:$J$632,6,FALSE),IF(OR(VLOOKUP(A5,'Player Salaries'!$B$5:$J$632,9,FALSE)="1st Rd Pick",AND(VLOOKUP(A5,'Player Salaries'!$B$5:$J$632,9,FALSE)="1st Round Pick",VLOOKUP(A5,'Player Salaries'!$B$5:$J$632,5,FALSE)&lt;0.08*'Roster Analysis'!$J$28),AND(VLOOKUP(A5,'Player Salaries'!$B$5:$J$632,9,FALSE)="Cap Space",VLOOKUP(A5,'Player Salaries'!$B$5:$J$632,5,FALSE)&lt;1000000),$K5=1378242,AND(VLOOKUP(A5,'Player Salaries'!$B$5:$J$632,9,FALSE)="MLE",VLOOKUP(A5,'Player Salaries'!$B$5:$J$632,5,FALSE)&lt;1000000)),"RFA","UFA"))),"")</f>
        <v>UFA</v>
      </c>
      <c r="N5" s="421" t="str">
        <f>IFERROR(IF(VLOOKUP(A5,'Player Salaries'!$B$5:$J$632,6,FALSE)=0,"",IF(VLOOKUP(A5,'Player Salaries'!$B$5:$J$632,7,FALSE)&lt;&gt;0,VLOOKUP(A5,'Player Salaries'!$B$5:$J$632,7,FALSE),IF(OR(VLOOKUP(A5,'Player Salaries'!$B$5:$J$632,9,FALSE)="1st Rd Pick",AND(VLOOKUP(A5,'Player Salaries'!$B$5:$J$632,9,FALSE)="1st Round Pick",VLOOKUP(A5,'Player Salaries'!$B$5:$J$632,6,FALSE)&lt;0.08*'Roster Analysis'!$J$28),AND(VLOOKUP(A5,'Player Salaries'!$B$5:$J$632,9,FALSE)="Cap Space",VLOOKUP(A5,'Player Salaries'!$B$5:$J$632,6,FALSE)&lt;1000000),AND(VLOOKUP(A5,'Player Salaries'!$B$5:$J$632,9,FALSE)="MLE",VLOOKUP(A5,'Player Salaries'!$B$5:$J$632,6,FALSE)&lt;1000000)),"RFA","UFA"))),"")</f>
        <v/>
      </c>
      <c r="O5" s="437" t="str">
        <f>IFERROR(IFERROR(VLOOKUP(A5,Injuries[],4,FALSE),_xlfn.IFS(A5="Larry Nance",VLOOKUP("Larry Nance Jr.",Injuries[],4,FALSE),A5="Glenn Robinson",VLOOKUP("Glenn Robinson III",Injuries[],4,FALSE)))&amp; IF(ISNUMBER(SEARCH("Season",VLOOKUP(A5,Injuries[],5,FALSE)))=FALSE,"","   X"),"")</f>
        <v>Knee</v>
      </c>
      <c r="Q5" s="432" t="str">
        <f>IF(OR(A5="georgios papgiannis",A5="Demetrius Jackson",A5="Isaiah Canaan",AND(B5="",O5="",A5&lt;&gt;"",A5&lt;&gt;"Harry Giles",A5&lt;&gt;"Justin Patton")),"Dead","")</f>
        <v/>
      </c>
      <c r="AI5" s="423" t="str">
        <f>IFERROR(VLOOKUP(A5,#REF!,MATCH($AI$3,#REF!,0)-1,FALSE),"")</f>
        <v/>
      </c>
      <c r="AJ5" s="424" t="str">
        <f>IFERROR(PERCENTRANK(#REF!,$AI5)*100,"")</f>
        <v/>
      </c>
      <c r="AK5" s="425" t="e">
        <f>PERCENTRANK(MATCH($H$4,#REF!,FALSE),'Roster Analysis'!H5)</f>
        <v>#REF!</v>
      </c>
      <c r="AM5" s="425" t="e">
        <f>MATCH($H$4,#REF!,FALSE)</f>
        <v>#REF!</v>
      </c>
      <c r="AN5" s="414" t="str">
        <f>IFERROR(IF(VLOOKUP('Roster Analysis'!A6,Player_Totals[[Player]:[MP]],7,FALSE)&gt;100,VLOOKUP(A6,#REF!,17,FALSE),"IMP"),"")</f>
        <v/>
      </c>
      <c r="AO5" s="415" t="str">
        <f>IF(AN5="IMP","IMP",IFERROR(PERCENTRANK('Player Per Game'!$R$6:$R$641,AN5)*100,""))</f>
        <v/>
      </c>
      <c r="AP5" s="425" t="str">
        <f>IFERROR(IF(VLOOKUP(A5,'Player Salaries'!B5:J548,9,FALSE)="",IF(VLOOKUP(A5,#REF!,3,FALSE),"YES"),"YES"),"DEAD")</f>
        <v>YES</v>
      </c>
    </row>
    <row r="6" spans="1:43">
      <c r="A6" s="409" t="str">
        <f t="array" ref="A6">IF(ROWS(A$5:A6)&gt;$E$1,"",INDEX('Player Salaries'!B$5:B$672,SMALL(IF('Player Salaries'!$C$5:$C$672=$D$1,ROW('Player Salaries'!$C$5:$C$672)-ROW('Player Salaries'!$E$5)+1),ROWS(A$5:A6))))</f>
        <v>Jeff Teague</v>
      </c>
      <c r="B6" s="416" t="str">
        <f>IFERROR(IF(AND(A6="Jamal Crawford",$D$1="ATL"),"",VLOOKUP(A6,Player_Per_Game[[Player]:[Pos]],2,FALSE)),"")</f>
        <v>PG</v>
      </c>
      <c r="C6" s="416">
        <f>IFERROR(IF(AND(A6="Jamal Crawford",$D$1="ATL"),"",VLOOKUP(A6,Player_Per_Game[[Player]:[PS/G]],3,FALSE)),"")</f>
        <v>29</v>
      </c>
      <c r="D6" s="416" t="str">
        <f>IF(AND(A6="Jamal Crawford",$D$1="ATL"),"",IFERROR(IF(AND(A6="Jamal Crawford",$D$1="ATL"),"",VLOOKUP(A6,'Player Per Game'!$B$6:$G$641,5,FALSE))&amp;" / "&amp;IF(AND(A6="Jamal Crawford",$D$1="ATL"),"",VLOOKUP(A6,'Player Per Game'!$B$6:$G$641,6,FALSE)),""))</f>
        <v>60 / 60</v>
      </c>
      <c r="E6" s="432">
        <f>IFERROR(IF(AND(A6="Jamal Crawford",$D$1="ATL"),"",VLOOKUP(A6,Player_Per_Game[[Player]:[PS/G]],7,FALSE)),"")</f>
        <v>33.1</v>
      </c>
      <c r="F6" s="434">
        <f>IFERROR(IF(AND(A6="Jamal Crawford",$D$1="ATL"),"",VLOOKUP($A6,Player_Per_Game[[Player]:[PS/G]],MATCH('Roster Analysis'!$F$4,Player_Per_Game[[#Headers],[Player]:[PS/G]],FALSE),FALSE)),"")</f>
        <v>0.379</v>
      </c>
      <c r="G6" s="424">
        <f>IFERROR(_xlfn.IFS($F$4="PF",PERCENTRANK(Player_Per_Game[PF],F6),$F$4="TOV",PERCENTRANK(Player_Per_Game[TOV],F6),$F$4="BLK",PERCENTRANK(Player_Per_Game[BLK],F6),$F$4="STL",PERCENTRANK(Player_Per_Game[STL],F6),$F$4="AST",PERCENTRANK(Player_Per_Game[AST],F6),$F$4="TRB",PERCENTRANK(Player_Per_Game[TRB],F6),$F$4="DRB",PERCENTRANK(Player_Per_Game[DRB],F6),$F$4="ORB",PERCENTRANK(Player_Per_Game[ORB],F6),$F$4="FT%",PERCENTRANK(Player_Per_Game[FT%],F6),$F$4="EFG%",PERCENTRANK(Player_Per_Game[eFG%],F6),$F$4="2P%",PERCENTRANK(Player_Per_Game[2P%],F6),$F$4="3P%",PERCENTRANK(Player_Per_Game[3P%],F6),$F$4="FG%",PERCENTRANK(Player_Per_Game[FG%],F6),$F$4="PS/G",PERCENTRANK(Player_Per_Game[PS/G],F6))*100,"")</f>
        <v>72.099999999999994</v>
      </c>
      <c r="H6" s="436">
        <f>IFERROR(IF(AND(A6="Jamal Crawford",$D$1="ATL"),"",VLOOKUP($A6,Player_Advanced[[Player]:[VORP]],MATCH('Roster Analysis'!$H$4,Player_Advanced[[#Headers],[Player]:[VORP]],FALSE),FALSE)),"")</f>
        <v>16.3</v>
      </c>
      <c r="I6" s="417">
        <f>IFERROR(_xlfn.IFS($H$4="VORP",PERCENTRANK(Player_Advanced[VORP],H6),$H$4="BPM",PERCENTRANK(Player_Advanced[BPM],H6),$H$4="DBPM",PERCENTRANK(Player_Advanced[DBPM],H6),$H$4="OBPM",PERCENTRANK(Player_Advanced[OBPM],H6),$H$4="WS/48",PERCENTRANK(Player_Advanced[WS/48],H6),$H$4="WS",PERCENTRANK(Player_Advanced[WS],H6),$H$4="DWS",PERCENTRANK(Player_Advanced[DWS],H6),$H$4="OWS",PERCENTRANK(Player_Advanced[OWS],H6),$H$4="USG%",PERCENTRANK(Player_Advanced[USG%],H6),$H$4="TOV%",PERCENTRANK(Player_Advanced[TOV%],H6),$H$4="BLK%",PERCENTRANK(Player_Advanced[BLK%],H6),$H$4="STL%",PERCENTRANK(Player_Advanced[STL%],H6),$H$4="TRB%",PERCENTRANK(Player_Advanced[TRB%],H6),$H$4="ast%",PERCENTRANK(Player_Advanced[AST%],H6),$H$4="drb%",PERCENTRANK(Player_Advanced[DRB%],H6),$H$4="orb%",PERCENTRANK(Player_Advanced[ORB%],H6),$H$4="TS%",PERCENTRANK(Player_Advanced[TS%],H6),$H$4="FTr",PERCENTRANK(Player_Advanced[FTr],H6),$H$4="PER",PERCENTRANK(Player_Advanced[PER],H6),$H$4="3PAr",PERCENTRANK(Player_Advanced[3PAr],H6))*100,"")</f>
        <v>74.900000000000006</v>
      </c>
      <c r="J6" s="418">
        <f>IF(A6="","",IFERROR(VLOOKUP(A6,'Player Salaries'!$B$5:$D$632,3,FALSE),""))</f>
        <v>19000000</v>
      </c>
      <c r="K6" s="419">
        <f>IF(J6="","",IFERROR(IF(VLOOKUP(A6,'Player Salaries'!$B$5:$F$632,4,FALSE)&lt;&gt;0,VLOOKUP(A6,'Player Salaries'!$B$5:$F$632,4,FALSE),IF(OR(VLOOKUP(A6,'Player Salaries'!$B$5:$J$632,9,FALSE)="1st Rd Pick",AND(VLOOKUP(A6,'Player Salaries'!$B$5:$J$632,9,FALSE)="1st Round Pick",VLOOKUP(A6,'Player Salaries'!$B$5:$J$632,3,FALSE)&lt;0.08*'Roster Analysis'!$J$28),AND(VLOOKUP(A6,'Player Salaries'!$B$5:$J$632,9,FALSE)="Cap Space",VLOOKUP(A6,'Player Salaries'!$B$5:$J$632,3,FALSE)&lt;1000000),AND(VLOOKUP(A6,'Player Salaries'!$B$5:$J$632,9,FALSE)="MLE",VLOOKUP(A6,'Player Salaries'!$B$5:$J$632,3,FALSE)&lt;1000000),J6=50000,AND(VLOOKUP(A6,'Player Salaries'!B6:K633,9,FALSE)="Minimum Salary",'Roster Analysis'!J6=1312611)),"RFA","UFA")),""))</f>
        <v>19000000</v>
      </c>
      <c r="L6" s="419">
        <f>IFERROR(IF(VLOOKUP(A6,'Player Salaries'!$B$5:$J$632,4,FALSE)=0,"",IF(VLOOKUP(A6,'Player Salaries'!$B$5:$J$632,5,FALSE)&lt;&gt;0,VLOOKUP(A6,'Player Salaries'!$B$5:$J$632,5,FALSE),IF(OR(VLOOKUP(A6,'Player Salaries'!$B$5:$J$632,9,FALSE)="1st Rd Pick",AND(VLOOKUP(A6,'Player Salaries'!$B$5:$J$632,9,FALSE)="1st Round Pick",VLOOKUP(A6,'Player Salaries'!$B$5:$J$632,4,FALSE)&lt;0.08*'Roster Analysis'!$J$28),AND(VLOOKUP(A6,'Player Salaries'!$B$5:$J$632,9,FALSE)="Cap Space",$K6=1544951),AND(VLOOKUP(A6,'Player Salaries'!$B$5:$J$632,9,FALSE)="Cap Space",VLOOKUP(A6,'Player Salaries'!$B$5:$J$632,4,FALSE)&lt;1000000),$K6=1378242,AND(VLOOKUP(A6,'Player Salaries'!$B$5:$J$632,9,FALSE)="MLE",VLOOKUP(A6,'Player Salaries'!$B$5:$J$632,4,FALSE)&lt;1000000),AND(VLOOKUP(A6,'Player Salaries'!$B$5:$K$632,9,FALSE)="Minimum Salary",K6=1544951)),"RFA","UFA"))),"")</f>
        <v>19000000</v>
      </c>
      <c r="M6" s="419" t="str">
        <f>IFERROR(IF(VLOOKUP(A6,'Player Salaries'!$B$5:$J$632,5,FALSE)=0,"",IF(VLOOKUP(A6,'Player Salaries'!$B$5:$J$632,6,FALSE)&lt;&gt;0,VLOOKUP(A6,'Player Salaries'!$B$5:$J$632,6,FALSE),IF(OR(VLOOKUP(A6,'Player Salaries'!$B$5:$J$632,9,FALSE)="1st Rd Pick",AND(VLOOKUP(A6,'Player Salaries'!$B$5:$J$632,9,FALSE)="1st Round Pick",VLOOKUP(A6,'Player Salaries'!$B$5:$J$632,5,FALSE)&lt;0.08*'Roster Analysis'!$J$28),AND(VLOOKUP(A6,'Player Salaries'!$B$5:$J$632,9,FALSE)="Cap Space",VLOOKUP(A6,'Player Salaries'!$B$5:$J$632,5,FALSE)&lt;1000000),$K6=1378242,AND(VLOOKUP(A6,'Player Salaries'!$B$5:$J$632,9,FALSE)="MLE",VLOOKUP(A6,'Player Salaries'!$B$5:$J$632,5,FALSE)&lt;1000000)),"RFA","UFA"))),"")</f>
        <v>UFA</v>
      </c>
      <c r="N6" s="422" t="str">
        <f>IFERROR(IF(VLOOKUP(A6,'Player Salaries'!$B$5:$J$632,6,FALSE)=0,"",IF(VLOOKUP(A6,'Player Salaries'!$B$5:$J$632,7,FALSE)&lt;&gt;0,VLOOKUP(A6,'Player Salaries'!$B$5:$J$632,7,FALSE),IF(OR(VLOOKUP(A6,'Player Salaries'!$B$5:$J$632,9,FALSE)="1st Rd Pick",AND(VLOOKUP(A6,'Player Salaries'!$B$5:$J$632,9,FALSE)="1st Round Pick",VLOOKUP(A6,'Player Salaries'!$B$5:$J$632,6,FALSE)&lt;0.08*'Roster Analysis'!$J$28),AND(VLOOKUP(A6,'Player Salaries'!$B$5:$J$632,9,FALSE)="Cap Space",VLOOKUP(A6,'Player Salaries'!$B$5:$J$632,6,FALSE)&lt;1000000),AND(VLOOKUP(A6,'Player Salaries'!$B$5:$J$632,9,FALSE)="MLE",VLOOKUP(A6,'Player Salaries'!$B$5:$J$632,6,FALSE)&lt;1000000)),"RFA","UFA"))),"")</f>
        <v/>
      </c>
      <c r="O6" s="438" t="str">
        <f>IFERROR(IFERROR(VLOOKUP(A6,Injuries[],4,FALSE),_xlfn.IFS(A6="Larry Nance",VLOOKUP("Larry Nance Jr.",Injuries[],4,FALSE),A6="Glenn Robinson",VLOOKUP("Glenn Robinson III",Injuries[],4,FALSE)))&amp; IF(ISNUMBER(SEARCH("Season",VLOOKUP(A6,Injuries[],5,FALSE)))=FALSE,"","   X"),"")</f>
        <v/>
      </c>
      <c r="Q6" s="432" t="str">
        <f t="shared" ref="Q6:Q26" si="0">IF(OR(A6="georgios papgiannis",A6="Demetrius Jackson",A6="Isaiah Canaan",AND(B6="",O6="",A6&lt;&gt;"",A6&lt;&gt;"Harry Giles",A6&lt;&gt;"Justin Patton")),"Dead","")</f>
        <v/>
      </c>
      <c r="AI6" s="423" t="str">
        <f>IFERROR(VLOOKUP(A6,#REF!,MATCH($AI$3,#REF!,0)-1,FALSE),"")</f>
        <v/>
      </c>
      <c r="AJ6" s="424" t="str">
        <f>IFERROR(PERCENTRANK(#REF!,$AI6)*100,"")</f>
        <v/>
      </c>
      <c r="AK6" s="425" t="e">
        <f>PERCENTRANK(MATCH($H$4,#REF!,FALSE),'Roster Analysis'!H6)</f>
        <v>#REF!</v>
      </c>
      <c r="AN6" s="414" t="str">
        <f>IFERROR(IF(VLOOKUP('Roster Analysis'!A7,Player_Totals[[Player]:[MP]],7,FALSE)&gt;100,VLOOKUP(A7,#REF!,17,FALSE),"IMP"),"")</f>
        <v/>
      </c>
      <c r="AO6" s="415" t="str">
        <f>IF(AN6="IMP","IMP",IFERROR(PERCENTRANK('Player Per Game'!$R$6:$R$641,AN6)*100,""))</f>
        <v/>
      </c>
      <c r="AP6" s="425" t="str">
        <f>IFERROR(IF(VLOOKUP(A6,'Player Salaries'!B6:J549,9,FALSE)="",IF(VLOOKUP(A6,#REF!,3,FALSE),"YES"),"YES"),"DEAD")</f>
        <v>YES</v>
      </c>
      <c r="AQ6" s="19">
        <v>30300000</v>
      </c>
    </row>
    <row r="7" spans="1:43">
      <c r="A7" s="409" t="str">
        <f t="array" ref="A7">IF(ROWS(A$5:A7)&gt;$E$1,"",INDEX('Player Salaries'!B$5:B$672,SMALL(IF('Player Salaries'!$C$5:$C$672=$D$1,ROW('Player Salaries'!$C$5:$C$672)-ROW('Player Salaries'!$E$5)+1),ROWS(A$5:A7))))</f>
        <v>Gorgui Dieng</v>
      </c>
      <c r="B7" s="416" t="str">
        <f>IFERROR(IF(AND(A7="Jamal Crawford",$D$1="ATL"),"",VLOOKUP(A7,Player_Per_Game[[Player]:[Pos]],2,FALSE)),"")</f>
        <v>C</v>
      </c>
      <c r="C7" s="416">
        <f>IFERROR(IF(AND(A7="Jamal Crawford",$D$1="ATL"),"",VLOOKUP(A7,Player_Per_Game[[Player]:[PS/G]],3,FALSE)),"")</f>
        <v>28</v>
      </c>
      <c r="D7" s="416" t="str">
        <f>IF(AND(A7="Jamal Crawford",$D$1="ATL"),"",IFERROR(IF(AND(A7="Jamal Crawford",$D$1="ATL"),"",VLOOKUP(A7,'Player Per Game'!$B$6:$G$641,5,FALSE))&amp;" / "&amp;IF(AND(A7="Jamal Crawford",$D$1="ATL"),"",VLOOKUP(A7,'Player Per Game'!$B$6:$G$641,6,FALSE)),""))</f>
        <v>68 / 0</v>
      </c>
      <c r="E7" s="432">
        <f>IFERROR(IF(AND(A7="Jamal Crawford",$D$1="ATL"),"",VLOOKUP(A7,Player_Per_Game[[Player]:[PS/G]],7,FALSE)),"")</f>
        <v>17.2</v>
      </c>
      <c r="F7" s="434">
        <f>IFERROR(IF(AND(A7="Jamal Crawford",$D$1="ATL"),"",VLOOKUP($A7,Player_Per_Game[[Player]:[PS/G]],MATCH('Roster Analysis'!$F$4,Player_Per_Game[[#Headers],[Player]:[PS/G]],FALSE),FALSE)),"")</f>
        <v>0.27100000000000002</v>
      </c>
      <c r="G7" s="424">
        <f>IFERROR(_xlfn.IFS($F$4="PF",PERCENTRANK(Player_Per_Game[PF],F7),$F$4="TOV",PERCENTRANK(Player_Per_Game[TOV],F7),$F$4="BLK",PERCENTRANK(Player_Per_Game[BLK],F7),$F$4="STL",PERCENTRANK(Player_Per_Game[STL],F7),$F$4="AST",PERCENTRANK(Player_Per_Game[AST],F7),$F$4="TRB",PERCENTRANK(Player_Per_Game[TRB],F7),$F$4="DRB",PERCENTRANK(Player_Per_Game[DRB],F7),$F$4="ORB",PERCENTRANK(Player_Per_Game[ORB],F7),$F$4="FT%",PERCENTRANK(Player_Per_Game[FT%],F7),$F$4="EFG%",PERCENTRANK(Player_Per_Game[eFG%],F7),$F$4="2P%",PERCENTRANK(Player_Per_Game[2P%],F7),$F$4="3P%",PERCENTRANK(Player_Per_Game[3P%],F7),$F$4="FG%",PERCENTRANK(Player_Per_Game[FG%],F7),$F$4="PS/G",PERCENTRANK(Player_Per_Game[PS/G],F7))*100,"")</f>
        <v>27.1</v>
      </c>
      <c r="H7" s="436">
        <f>IFERROR(IF(AND(A7="Jamal Crawford",$D$1="ATL"),"",VLOOKUP($A7,Player_Advanced[[Player]:[VORP]],MATCH('Roster Analysis'!$H$4,Player_Advanced[[#Headers],[Player]:[VORP]],FALSE),FALSE)),"")</f>
        <v>14.2</v>
      </c>
      <c r="I7" s="417">
        <f>IFERROR(_xlfn.IFS($H$4="VORP",PERCENTRANK(Player_Advanced[VORP],H7),$H$4="BPM",PERCENTRANK(Player_Advanced[BPM],H7),$H$4="DBPM",PERCENTRANK(Player_Advanced[DBPM],H7),$H$4="OBPM",PERCENTRANK(Player_Advanced[OBPM],H7),$H$4="WS/48",PERCENTRANK(Player_Advanced[WS/48],H7),$H$4="WS",PERCENTRANK(Player_Advanced[WS],H7),$H$4="DWS",PERCENTRANK(Player_Advanced[DWS],H7),$H$4="OWS",PERCENTRANK(Player_Advanced[OWS],H7),$H$4="USG%",PERCENTRANK(Player_Advanced[USG%],H7),$H$4="TOV%",PERCENTRANK(Player_Advanced[TOV%],H7),$H$4="BLK%",PERCENTRANK(Player_Advanced[BLK%],H7),$H$4="STL%",PERCENTRANK(Player_Advanced[STL%],H7),$H$4="TRB%",PERCENTRANK(Player_Advanced[TRB%],H7),$H$4="ast%",PERCENTRANK(Player_Advanced[AST%],H7),$H$4="drb%",PERCENTRANK(Player_Advanced[DRB%],H7),$H$4="orb%",PERCENTRANK(Player_Advanced[ORB%],H7),$H$4="TS%",PERCENTRANK(Player_Advanced[TS%],H7),$H$4="FTr",PERCENTRANK(Player_Advanced[FTr],H7),$H$4="PER",PERCENTRANK(Player_Advanced[PER],H7),$H$4="3PAr",PERCENTRANK(Player_Advanced[3PAr],H7))*100,"")</f>
        <v>60.6</v>
      </c>
      <c r="J7" s="418">
        <f>IF(A7="","",IFERROR(VLOOKUP(A7,'Player Salaries'!$B$5:$D$632,3,FALSE),""))</f>
        <v>14112360</v>
      </c>
      <c r="K7" s="419">
        <f>IF(J7="","",IFERROR(IF(VLOOKUP(A7,'Player Salaries'!$B$5:$F$632,4,FALSE)&lt;&gt;0,VLOOKUP(A7,'Player Salaries'!$B$5:$F$632,4,FALSE),IF(OR(VLOOKUP(A7,'Player Salaries'!$B$5:$J$632,9,FALSE)="1st Rd Pick",AND(VLOOKUP(A7,'Player Salaries'!$B$5:$J$632,9,FALSE)="1st Round Pick",VLOOKUP(A7,'Player Salaries'!$B$5:$J$632,3,FALSE)&lt;0.08*'Roster Analysis'!$J$28),AND(VLOOKUP(A7,'Player Salaries'!$B$5:$J$632,9,FALSE)="Cap Space",VLOOKUP(A7,'Player Salaries'!$B$5:$J$632,3,FALSE)&lt;1000000),AND(VLOOKUP(A7,'Player Salaries'!$B$5:$J$632,9,FALSE)="MLE",VLOOKUP(A7,'Player Salaries'!$B$5:$J$632,3,FALSE)&lt;1000000),J7=50000,AND(VLOOKUP(A7,'Player Salaries'!B7:K634,9,FALSE)="Minimum Salary",'Roster Analysis'!J7=1312611)),"RFA","UFA")),""))</f>
        <v>15170787</v>
      </c>
      <c r="L7" s="419">
        <f>IFERROR(IF(VLOOKUP(A7,'Player Salaries'!$B$5:$J$632,4,FALSE)=0,"",IF(VLOOKUP(A7,'Player Salaries'!$B$5:$J$632,5,FALSE)&lt;&gt;0,VLOOKUP(A7,'Player Salaries'!$B$5:$J$632,5,FALSE),IF(OR(VLOOKUP(A7,'Player Salaries'!$B$5:$J$632,9,FALSE)="1st Rd Pick",AND(VLOOKUP(A7,'Player Salaries'!$B$5:$J$632,9,FALSE)="1st Round Pick",VLOOKUP(A7,'Player Salaries'!$B$5:$J$632,4,FALSE)&lt;0.08*'Roster Analysis'!$J$28),AND(VLOOKUP(A7,'Player Salaries'!$B$5:$J$632,9,FALSE)="Cap Space",$K7=1544951),AND(VLOOKUP(A7,'Player Salaries'!$B$5:$J$632,9,FALSE)="Cap Space",VLOOKUP(A7,'Player Salaries'!$B$5:$J$632,4,FALSE)&lt;1000000),$K7=1378242,AND(VLOOKUP(A7,'Player Salaries'!$B$5:$J$632,9,FALSE)="MLE",VLOOKUP(A7,'Player Salaries'!$B$5:$J$632,4,FALSE)&lt;1000000),AND(VLOOKUP(A7,'Player Salaries'!$B$5:$K$632,9,FALSE)="Minimum Salary",K7=1544951)),"RFA","UFA"))),"")</f>
        <v>16229213</v>
      </c>
      <c r="M7" s="419">
        <f>IFERROR(IF(VLOOKUP(A7,'Player Salaries'!$B$5:$J$632,5,FALSE)=0,"",IF(VLOOKUP(A7,'Player Salaries'!$B$5:$J$632,6,FALSE)&lt;&gt;0,VLOOKUP(A7,'Player Salaries'!$B$5:$J$632,6,FALSE),IF(OR(VLOOKUP(A7,'Player Salaries'!$B$5:$J$632,9,FALSE)="1st Rd Pick",AND(VLOOKUP(A7,'Player Salaries'!$B$5:$J$632,9,FALSE)="1st Round Pick",VLOOKUP(A7,'Player Salaries'!$B$5:$J$632,5,FALSE)&lt;0.08*'Roster Analysis'!$J$28),AND(VLOOKUP(A7,'Player Salaries'!$B$5:$J$632,9,FALSE)="Cap Space",VLOOKUP(A7,'Player Salaries'!$B$5:$J$632,5,FALSE)&lt;1000000),$K7=1378242,AND(VLOOKUP(A7,'Player Salaries'!$B$5:$J$632,9,FALSE)="MLE",VLOOKUP(A7,'Player Salaries'!$B$5:$J$632,5,FALSE)&lt;1000000)),"RFA","UFA"))),"")</f>
        <v>17287640</v>
      </c>
      <c r="N7" s="422" t="str">
        <f>IFERROR(IF(VLOOKUP(A7,'Player Salaries'!$B$5:$J$632,6,FALSE)=0,"",IF(VLOOKUP(A7,'Player Salaries'!$B$5:$J$632,7,FALSE)&lt;&gt;0,VLOOKUP(A7,'Player Salaries'!$B$5:$J$632,7,FALSE),IF(OR(VLOOKUP(A7,'Player Salaries'!$B$5:$J$632,9,FALSE)="1st Rd Pick",AND(VLOOKUP(A7,'Player Salaries'!$B$5:$J$632,9,FALSE)="1st Round Pick",VLOOKUP(A7,'Player Salaries'!$B$5:$J$632,6,FALSE)&lt;0.08*'Roster Analysis'!$J$28),AND(VLOOKUP(A7,'Player Salaries'!$B$5:$J$632,9,FALSE)="Cap Space",VLOOKUP(A7,'Player Salaries'!$B$5:$J$632,6,FALSE)&lt;1000000),AND(VLOOKUP(A7,'Player Salaries'!$B$5:$J$632,9,FALSE)="MLE",VLOOKUP(A7,'Player Salaries'!$B$5:$J$632,6,FALSE)&lt;1000000)),"RFA","UFA"))),"")</f>
        <v>UFA</v>
      </c>
      <c r="O7" s="438" t="str">
        <f>IFERROR(IFERROR(VLOOKUP(A7,Injuries[],4,FALSE),_xlfn.IFS(A7="Larry Nance",VLOOKUP("Larry Nance Jr.",Injuries[],4,FALSE),A7="Glenn Robinson",VLOOKUP("Glenn Robinson III",Injuries[],4,FALSE)))&amp; IF(ISNUMBER(SEARCH("Season",VLOOKUP(A7,Injuries[],5,FALSE)))=FALSE,"","   X"),"")</f>
        <v/>
      </c>
      <c r="Q7" s="432" t="str">
        <f t="shared" si="0"/>
        <v/>
      </c>
      <c r="AI7" s="423" t="str">
        <f>IFERROR(VLOOKUP(A7,#REF!,MATCH($AI$3,#REF!,0)-1,FALSE),"")</f>
        <v/>
      </c>
      <c r="AJ7" s="424" t="str">
        <f>IFERROR(PERCENTRANK(#REF!,$AI7)*100,"")</f>
        <v/>
      </c>
      <c r="AK7" s="425" t="e">
        <f>PERCENTRANK(MATCH($H$4,#REF!,FALSE),'Roster Analysis'!H7)</f>
        <v>#REF!</v>
      </c>
      <c r="AN7" s="414" t="str">
        <f>IFERROR(IF(VLOOKUP('Roster Analysis'!A8,Player_Totals[[Player]:[MP]],7,FALSE)&gt;100,VLOOKUP(A8,#REF!,17,FALSE),"IMP"),"")</f>
        <v/>
      </c>
      <c r="AO7" s="415" t="str">
        <f>IF(AN7="IMP","IMP",IFERROR(PERCENTRANK('Player Per Game'!$R$6:$R$641,AN7)*100,""))</f>
        <v/>
      </c>
      <c r="AP7" s="425" t="str">
        <f>IFERROR(IF(VLOOKUP(A7,'Player Salaries'!B7:J580,9,FALSE)="",IF(VLOOKUP(A7,#REF!,3,FALSE),"YES"),"YES"),"DEAD")</f>
        <v>YES</v>
      </c>
      <c r="AQ7" s="14" t="s">
        <v>813</v>
      </c>
    </row>
    <row r="8" spans="1:43">
      <c r="A8" s="409" t="str">
        <f t="array" ref="A8">IF(ROWS(A$5:A8)&gt;$E$1,"",INDEX('Player Salaries'!B$5:B$672,SMALL(IF('Player Salaries'!$C$5:$C$672=$D$1,ROW('Player Salaries'!$C$5:$C$672)-ROW('Player Salaries'!$E$5)+1),ROWS(A$5:A8))))</f>
        <v>Taj Gibson</v>
      </c>
      <c r="B8" s="416" t="str">
        <f>IFERROR(IF(AND(A8="Jamal Crawford",$D$1="ATL"),"",VLOOKUP(A8,Player_Per_Game[[Player]:[Pos]],2,FALSE)),"")</f>
        <v>PF</v>
      </c>
      <c r="C8" s="416">
        <f>IFERROR(IF(AND(A8="Jamal Crawford",$D$1="ATL"),"",VLOOKUP(A8,Player_Per_Game[[Player]:[PS/G]],3,FALSE)),"")</f>
        <v>32</v>
      </c>
      <c r="D8" s="416" t="str">
        <f>IF(AND(A8="Jamal Crawford",$D$1="ATL"),"",IFERROR(IF(AND(A8="Jamal Crawford",$D$1="ATL"),"",VLOOKUP(A8,'Player Per Game'!$B$6:$G$641,5,FALSE))&amp;" / "&amp;IF(AND(A8="Jamal Crawford",$D$1="ATL"),"",VLOOKUP(A8,'Player Per Game'!$B$6:$G$641,6,FALSE)),""))</f>
        <v>71 / 71</v>
      </c>
      <c r="E8" s="432">
        <f>IFERROR(IF(AND(A8="Jamal Crawford",$D$1="ATL"),"",VLOOKUP(A8,Player_Per_Game[[Player]:[PS/G]],7,FALSE)),"")</f>
        <v>33.4</v>
      </c>
      <c r="F8" s="434">
        <f>IFERROR(IF(AND(A8="Jamal Crawford",$D$1="ATL"),"",VLOOKUP($A8,Player_Per_Game[[Player]:[PS/G]],MATCH('Roster Analysis'!$F$4,Player_Per_Game[[#Headers],[Player]:[PS/G]],FALSE),FALSE)),"")</f>
        <v>0.21199999999999999</v>
      </c>
      <c r="G8" s="424">
        <f>IFERROR(_xlfn.IFS($F$4="PF",PERCENTRANK(Player_Per_Game[PF],F8),$F$4="TOV",PERCENTRANK(Player_Per_Game[TOV],F8),$F$4="BLK",PERCENTRANK(Player_Per_Game[BLK],F8),$F$4="STL",PERCENTRANK(Player_Per_Game[STL],F8),$F$4="AST",PERCENTRANK(Player_Per_Game[AST],F8),$F$4="TRB",PERCENTRANK(Player_Per_Game[TRB],F8),$F$4="DRB",PERCENTRANK(Player_Per_Game[DRB],F8),$F$4="ORB",PERCENTRANK(Player_Per_Game[ORB],F8),$F$4="FT%",PERCENTRANK(Player_Per_Game[FT%],F8),$F$4="EFG%",PERCENTRANK(Player_Per_Game[eFG%],F8),$F$4="2P%",PERCENTRANK(Player_Per_Game[2P%],F8),$F$4="3P%",PERCENTRANK(Player_Per_Game[3P%],F8),$F$4="FG%",PERCENTRANK(Player_Per_Game[FG%],F8),$F$4="PS/G",PERCENTRANK(Player_Per_Game[PS/G],F8))*100,"")</f>
        <v>20.100000000000001</v>
      </c>
      <c r="H8" s="436">
        <f>IFERROR(IF(AND(A8="Jamal Crawford",$D$1="ATL"),"",VLOOKUP($A8,Player_Advanced[[Player]:[VORP]],MATCH('Roster Analysis'!$H$4,Player_Advanced[[#Headers],[Player]:[VORP]],FALSE),FALSE)),"")</f>
        <v>15.5</v>
      </c>
      <c r="I8" s="417">
        <f>IFERROR(_xlfn.IFS($H$4="VORP",PERCENTRANK(Player_Advanced[VORP],H8),$H$4="BPM",PERCENTRANK(Player_Advanced[BPM],H8),$H$4="DBPM",PERCENTRANK(Player_Advanced[DBPM],H8),$H$4="OBPM",PERCENTRANK(Player_Advanced[OBPM],H8),$H$4="WS/48",PERCENTRANK(Player_Advanced[WS/48],H8),$H$4="WS",PERCENTRANK(Player_Advanced[WS],H8),$H$4="DWS",PERCENTRANK(Player_Advanced[DWS],H8),$H$4="OWS",PERCENTRANK(Player_Advanced[OWS],H8),$H$4="USG%",PERCENTRANK(Player_Advanced[USG%],H8),$H$4="TOV%",PERCENTRANK(Player_Advanced[TOV%],H8),$H$4="BLK%",PERCENTRANK(Player_Advanced[BLK%],H8),$H$4="STL%",PERCENTRANK(Player_Advanced[STL%],H8),$H$4="TRB%",PERCENTRANK(Player_Advanced[TRB%],H8),$H$4="ast%",PERCENTRANK(Player_Advanced[AST%],H8),$H$4="drb%",PERCENTRANK(Player_Advanced[DRB%],H8),$H$4="orb%",PERCENTRANK(Player_Advanced[ORB%],H8),$H$4="TS%",PERCENTRANK(Player_Advanced[TS%],H8),$H$4="FTr",PERCENTRANK(Player_Advanced[FTr],H8),$H$4="PER",PERCENTRANK(Player_Advanced[PER],H8),$H$4="3PAr",PERCENTRANK(Player_Advanced[3PAr],H8))*100,"")</f>
        <v>69.899999999999991</v>
      </c>
      <c r="J8" s="418">
        <f>IF(A8="","",IFERROR(VLOOKUP(A8,'Player Salaries'!$B$5:$D$632,3,FALSE),""))</f>
        <v>14000000</v>
      </c>
      <c r="K8" s="419">
        <f>IF(J8="","",IFERROR(IF(VLOOKUP(A8,'Player Salaries'!$B$5:$F$632,4,FALSE)&lt;&gt;0,VLOOKUP(A8,'Player Salaries'!$B$5:$F$632,4,FALSE),IF(OR(VLOOKUP(A8,'Player Salaries'!$B$5:$J$632,9,FALSE)="1st Rd Pick",AND(VLOOKUP(A8,'Player Salaries'!$B$5:$J$632,9,FALSE)="1st Round Pick",VLOOKUP(A8,'Player Salaries'!$B$5:$J$632,3,FALSE)&lt;0.08*'Roster Analysis'!$J$28),AND(VLOOKUP(A8,'Player Salaries'!$B$5:$J$632,9,FALSE)="Cap Space",VLOOKUP(A8,'Player Salaries'!$B$5:$J$632,3,FALSE)&lt;1000000),AND(VLOOKUP(A8,'Player Salaries'!$B$5:$J$632,9,FALSE)="MLE",VLOOKUP(A8,'Player Salaries'!$B$5:$J$632,3,FALSE)&lt;1000000),J8=50000,AND(VLOOKUP(A8,'Player Salaries'!B8:K635,9,FALSE)="Minimum Salary",'Roster Analysis'!J8=1312611)),"RFA","UFA")),""))</f>
        <v>14000000</v>
      </c>
      <c r="L8" s="419" t="str">
        <f>IFERROR(IF(VLOOKUP(A8,'Player Salaries'!$B$5:$J$632,4,FALSE)=0,"",IF(VLOOKUP(A8,'Player Salaries'!$B$5:$J$632,5,FALSE)&lt;&gt;0,VLOOKUP(A8,'Player Salaries'!$B$5:$J$632,5,FALSE),IF(OR(VLOOKUP(A8,'Player Salaries'!$B$5:$J$632,9,FALSE)="1st Rd Pick",AND(VLOOKUP(A8,'Player Salaries'!$B$5:$J$632,9,FALSE)="1st Round Pick",VLOOKUP(A8,'Player Salaries'!$B$5:$J$632,4,FALSE)&lt;0.08*'Roster Analysis'!$J$28),AND(VLOOKUP(A8,'Player Salaries'!$B$5:$J$632,9,FALSE)="Cap Space",$K8=1544951),AND(VLOOKUP(A8,'Player Salaries'!$B$5:$J$632,9,FALSE)="Cap Space",VLOOKUP(A8,'Player Salaries'!$B$5:$J$632,4,FALSE)&lt;1000000),$K8=1378242,AND(VLOOKUP(A8,'Player Salaries'!$B$5:$J$632,9,FALSE)="MLE",VLOOKUP(A8,'Player Salaries'!$B$5:$J$632,4,FALSE)&lt;1000000),AND(VLOOKUP(A8,'Player Salaries'!$B$5:$K$632,9,FALSE)="Minimum Salary",K8=1544951)),"RFA","UFA"))),"")</f>
        <v>UFA</v>
      </c>
      <c r="M8" s="419" t="str">
        <f>IFERROR(IF(VLOOKUP(A8,'Player Salaries'!$B$5:$J$632,5,FALSE)=0,"",IF(VLOOKUP(A8,'Player Salaries'!$B$5:$J$632,6,FALSE)&lt;&gt;0,VLOOKUP(A8,'Player Salaries'!$B$5:$J$632,6,FALSE),IF(OR(VLOOKUP(A8,'Player Salaries'!$B$5:$J$632,9,FALSE)="1st Rd Pick",AND(VLOOKUP(A8,'Player Salaries'!$B$5:$J$632,9,FALSE)="1st Round Pick",VLOOKUP(A8,'Player Salaries'!$B$5:$J$632,5,FALSE)&lt;0.08*'Roster Analysis'!$J$28),AND(VLOOKUP(A8,'Player Salaries'!$B$5:$J$632,9,FALSE)="Cap Space",VLOOKUP(A8,'Player Salaries'!$B$5:$J$632,5,FALSE)&lt;1000000),$K8=1378242,AND(VLOOKUP(A8,'Player Salaries'!$B$5:$J$632,9,FALSE)="MLE",VLOOKUP(A8,'Player Salaries'!$B$5:$J$632,5,FALSE)&lt;1000000)),"RFA","UFA"))),"")</f>
        <v/>
      </c>
      <c r="N8" s="422" t="str">
        <f>IFERROR(IF(VLOOKUP(A8,'Player Salaries'!$B$5:$J$632,6,FALSE)=0,"",IF(VLOOKUP(A8,'Player Salaries'!$B$5:$J$632,7,FALSE)&lt;&gt;0,VLOOKUP(A8,'Player Salaries'!$B$5:$J$632,7,FALSE),IF(OR(VLOOKUP(A8,'Player Salaries'!$B$5:$J$632,9,FALSE)="1st Rd Pick",AND(VLOOKUP(A8,'Player Salaries'!$B$5:$J$632,9,FALSE)="1st Round Pick",VLOOKUP(A8,'Player Salaries'!$B$5:$J$632,6,FALSE)&lt;0.08*'Roster Analysis'!$J$28),AND(VLOOKUP(A8,'Player Salaries'!$B$5:$J$632,9,FALSE)="Cap Space",VLOOKUP(A8,'Player Salaries'!$B$5:$J$632,6,FALSE)&lt;1000000),AND(VLOOKUP(A8,'Player Salaries'!$B$5:$J$632,9,FALSE)="MLE",VLOOKUP(A8,'Player Salaries'!$B$5:$J$632,6,FALSE)&lt;1000000)),"RFA","UFA"))),"")</f>
        <v/>
      </c>
      <c r="O8" s="438" t="str">
        <f>IFERROR(IFERROR(VLOOKUP(A8,Injuries[],4,FALSE),_xlfn.IFS(A8="Larry Nance",VLOOKUP("Larry Nance Jr.",Injuries[],4,FALSE),A8="Glenn Robinson",VLOOKUP("Glenn Robinson III",Injuries[],4,FALSE)))&amp; IF(ISNUMBER(SEARCH("Season",VLOOKUP(A8,Injuries[],5,FALSE)))=FALSE,"","   X"),"")</f>
        <v/>
      </c>
      <c r="P8" s="72"/>
      <c r="Q8" s="432" t="str">
        <f t="shared" si="0"/>
        <v/>
      </c>
      <c r="T8" s="72"/>
      <c r="AI8" s="423" t="str">
        <f>IFERROR(VLOOKUP(A8,#REF!,MATCH($AI$3,#REF!,0)-1,FALSE),"")</f>
        <v/>
      </c>
      <c r="AJ8" s="424" t="str">
        <f>IFERROR(PERCENTRANK(#REF!,$AI8)*100,"")</f>
        <v/>
      </c>
      <c r="AK8" s="425" t="e">
        <f>PERCENTRANK(MATCH($H$4,#REF!,FALSE),'Roster Analysis'!H8)</f>
        <v>#REF!</v>
      </c>
      <c r="AN8" s="414" t="str">
        <f>IFERROR(IF(VLOOKUP('Roster Analysis'!A9,Player_Totals[[Player]:[MP]],7,FALSE)&gt;100,VLOOKUP(A9,#REF!,17,FALSE),"IMP"),"")</f>
        <v/>
      </c>
      <c r="AO8" s="415" t="str">
        <f>IF(AN8="IMP","IMP",IFERROR(PERCENTRANK('Player Per Game'!$R$6:$R$641,AN8)*100,""))</f>
        <v/>
      </c>
      <c r="AP8" s="425" t="str">
        <f>IFERROR(IF(VLOOKUP(A8,'Player Salaries'!B8:J581,9,FALSE)="",IF(VLOOKUP(A8,#REF!,3,FALSE),"YES"),"YES"),"DEAD")</f>
        <v>YES</v>
      </c>
      <c r="AQ8" s="429">
        <f>1.019*AVERAGE(((5*10^6)*$F$50+5*10^6),(3*10^6)*$H$50+3*10^6)</f>
        <v>4126949.9999999995</v>
      </c>
    </row>
    <row r="9" spans="1:43">
      <c r="A9" s="409" t="str">
        <f t="array" ref="A9">IF(ROWS(A$5:A9)&gt;$E$1,"",INDEX('Player Salaries'!B$5:B$672,SMALL(IF('Player Salaries'!$C$5:$C$672=$D$1,ROW('Player Salaries'!$C$5:$C$672)-ROW('Player Salaries'!$E$5)+1),ROWS(A$5:A9))))</f>
        <v>Nikola Pekovic</v>
      </c>
      <c r="B9" s="416" t="str">
        <f>IFERROR(IF(AND(A9="Jamal Crawford",$D$1="ATL"),"",VLOOKUP(A9,Player_Per_Game[[Player]:[Pos]],2,FALSE)),"")</f>
        <v/>
      </c>
      <c r="C9" s="416" t="str">
        <f>IFERROR(IF(AND(A9="Jamal Crawford",$D$1="ATL"),"",VLOOKUP(A9,Player_Per_Game[[Player]:[PS/G]],3,FALSE)),"")</f>
        <v/>
      </c>
      <c r="D9" s="416" t="str">
        <f>IF(AND(A9="Jamal Crawford",$D$1="ATL"),"",IFERROR(IF(AND(A9="Jamal Crawford",$D$1="ATL"),"",VLOOKUP(A9,'Player Per Game'!$B$6:$G$641,5,FALSE))&amp;" / "&amp;IF(AND(A9="Jamal Crawford",$D$1="ATL"),"",VLOOKUP(A9,'Player Per Game'!$B$6:$G$641,6,FALSE)),""))</f>
        <v/>
      </c>
      <c r="E9" s="432" t="str">
        <f>IFERROR(IF(AND(A9="Jamal Crawford",$D$1="ATL"),"",VLOOKUP(A9,Player_Per_Game[[Player]:[PS/G]],7,FALSE)),"")</f>
        <v/>
      </c>
      <c r="F9" s="434" t="str">
        <f>IFERROR(IF(AND(A9="Jamal Crawford",$D$1="ATL"),"",VLOOKUP($A9,Player_Per_Game[[Player]:[PS/G]],MATCH('Roster Analysis'!$F$4,Player_Per_Game[[#Headers],[Player]:[PS/G]],FALSE),FALSE)),"")</f>
        <v/>
      </c>
      <c r="G9" s="424" t="str">
        <f>IFERROR(_xlfn.IFS($F$4="PF",PERCENTRANK(Player_Per_Game[PF],F9),$F$4="TOV",PERCENTRANK(Player_Per_Game[TOV],F9),$F$4="BLK",PERCENTRANK(Player_Per_Game[BLK],F9),$F$4="STL",PERCENTRANK(Player_Per_Game[STL],F9),$F$4="AST",PERCENTRANK(Player_Per_Game[AST],F9),$F$4="TRB",PERCENTRANK(Player_Per_Game[TRB],F9),$F$4="DRB",PERCENTRANK(Player_Per_Game[DRB],F9),$F$4="ORB",PERCENTRANK(Player_Per_Game[ORB],F9),$F$4="FT%",PERCENTRANK(Player_Per_Game[FT%],F9),$F$4="EFG%",PERCENTRANK(Player_Per_Game[eFG%],F9),$F$4="2P%",PERCENTRANK(Player_Per_Game[2P%],F9),$F$4="3P%",PERCENTRANK(Player_Per_Game[3P%],F9),$F$4="FG%",PERCENTRANK(Player_Per_Game[FG%],F9),$F$4="PS/G",PERCENTRANK(Player_Per_Game[PS/G],F9))*100,"")</f>
        <v/>
      </c>
      <c r="H9" s="436" t="str">
        <f>IFERROR(IF(AND(A9="Jamal Crawford",$D$1="ATL"),"",VLOOKUP($A9,Player_Advanced[[Player]:[VORP]],MATCH('Roster Analysis'!$H$4,Player_Advanced[[#Headers],[Player]:[VORP]],FALSE),FALSE)),"")</f>
        <v/>
      </c>
      <c r="I9" s="417" t="str">
        <f>IFERROR(_xlfn.IFS($H$4="VORP",PERCENTRANK(Player_Advanced[VORP],H9),$H$4="BPM",PERCENTRANK(Player_Advanced[BPM],H9),$H$4="DBPM",PERCENTRANK(Player_Advanced[DBPM],H9),$H$4="OBPM",PERCENTRANK(Player_Advanced[OBPM],H9),$H$4="WS/48",PERCENTRANK(Player_Advanced[WS/48],H9),$H$4="WS",PERCENTRANK(Player_Advanced[WS],H9),$H$4="DWS",PERCENTRANK(Player_Advanced[DWS],H9),$H$4="OWS",PERCENTRANK(Player_Advanced[OWS],H9),$H$4="USG%",PERCENTRANK(Player_Advanced[USG%],H9),$H$4="TOV%",PERCENTRANK(Player_Advanced[TOV%],H9),$H$4="BLK%",PERCENTRANK(Player_Advanced[BLK%],H9),$H$4="STL%",PERCENTRANK(Player_Advanced[STL%],H9),$H$4="TRB%",PERCENTRANK(Player_Advanced[TRB%],H9),$H$4="ast%",PERCENTRANK(Player_Advanced[AST%],H9),$H$4="drb%",PERCENTRANK(Player_Advanced[DRB%],H9),$H$4="orb%",PERCENTRANK(Player_Advanced[ORB%],H9),$H$4="TS%",PERCENTRANK(Player_Advanced[TS%],H9),$H$4="FTr",PERCENTRANK(Player_Advanced[FTr],H9),$H$4="PER",PERCENTRANK(Player_Advanced[PER],H9),$H$4="3PAr",PERCENTRANK(Player_Advanced[3PAr],H9))*100,"")</f>
        <v/>
      </c>
      <c r="J9" s="418">
        <f>IF(A9="","",IFERROR(VLOOKUP(A9,'Player Salaries'!$B$5:$D$632,3,FALSE),""))</f>
        <v>11600000</v>
      </c>
      <c r="K9" s="419" t="str">
        <f>IF(J9="","",IFERROR(IF(VLOOKUP(A9,'Player Salaries'!$B$5:$F$632,4,FALSE)&lt;&gt;0,VLOOKUP(A9,'Player Salaries'!$B$5:$F$632,4,FALSE),IF(OR(VLOOKUP(A9,'Player Salaries'!$B$5:$J$632,9,FALSE)="1st Rd Pick",AND(VLOOKUP(A9,'Player Salaries'!$B$5:$J$632,9,FALSE)="1st Round Pick",VLOOKUP(A9,'Player Salaries'!$B$5:$J$632,3,FALSE)&lt;0.08*'Roster Analysis'!$J$28),AND(VLOOKUP(A9,'Player Salaries'!$B$5:$J$632,9,FALSE)="Cap Space",VLOOKUP(A9,'Player Salaries'!$B$5:$J$632,3,FALSE)&lt;1000000),AND(VLOOKUP(A9,'Player Salaries'!$B$5:$J$632,9,FALSE)="MLE",VLOOKUP(A9,'Player Salaries'!$B$5:$J$632,3,FALSE)&lt;1000000),J9=50000,AND(VLOOKUP(A9,'Player Salaries'!B9:K636,9,FALSE)="Minimum Salary",'Roster Analysis'!J9=1312611)),"RFA","UFA")),""))</f>
        <v>UFA</v>
      </c>
      <c r="L9" s="419" t="str">
        <f>IFERROR(IF(VLOOKUP(A9,'Player Salaries'!$B$5:$J$632,4,FALSE)=0,"",IF(VLOOKUP(A9,'Player Salaries'!$B$5:$J$632,5,FALSE)&lt;&gt;0,VLOOKUP(A9,'Player Salaries'!$B$5:$J$632,5,FALSE),IF(OR(VLOOKUP(A9,'Player Salaries'!$B$5:$J$632,9,FALSE)="1st Rd Pick",AND(VLOOKUP(A9,'Player Salaries'!$B$5:$J$632,9,FALSE)="1st Round Pick",VLOOKUP(A9,'Player Salaries'!$B$5:$J$632,4,FALSE)&lt;0.08*'Roster Analysis'!$J$28),AND(VLOOKUP(A9,'Player Salaries'!$B$5:$J$632,9,FALSE)="Cap Space",$K9=1544951),AND(VLOOKUP(A9,'Player Salaries'!$B$5:$J$632,9,FALSE)="Cap Space",VLOOKUP(A9,'Player Salaries'!$B$5:$J$632,4,FALSE)&lt;1000000),$K9=1378242,AND(VLOOKUP(A9,'Player Salaries'!$B$5:$J$632,9,FALSE)="MLE",VLOOKUP(A9,'Player Salaries'!$B$5:$J$632,4,FALSE)&lt;1000000),AND(VLOOKUP(A9,'Player Salaries'!$B$5:$K$632,9,FALSE)="Minimum Salary",K9=1544951)),"RFA","UFA"))),"")</f>
        <v/>
      </c>
      <c r="M9" s="419" t="str">
        <f>IFERROR(IF(VLOOKUP(A9,'Player Salaries'!$B$5:$J$632,5,FALSE)=0,"",IF(VLOOKUP(A9,'Player Salaries'!$B$5:$J$632,6,FALSE)&lt;&gt;0,VLOOKUP(A9,'Player Salaries'!$B$5:$J$632,6,FALSE),IF(OR(VLOOKUP(A9,'Player Salaries'!$B$5:$J$632,9,FALSE)="1st Rd Pick",AND(VLOOKUP(A9,'Player Salaries'!$B$5:$J$632,9,FALSE)="1st Round Pick",VLOOKUP(A9,'Player Salaries'!$B$5:$J$632,5,FALSE)&lt;0.08*'Roster Analysis'!$J$28),AND(VLOOKUP(A9,'Player Salaries'!$B$5:$J$632,9,FALSE)="Cap Space",VLOOKUP(A9,'Player Salaries'!$B$5:$J$632,5,FALSE)&lt;1000000),$K9=1378242,AND(VLOOKUP(A9,'Player Salaries'!$B$5:$J$632,9,FALSE)="MLE",VLOOKUP(A9,'Player Salaries'!$B$5:$J$632,5,FALSE)&lt;1000000)),"RFA","UFA"))),"")</f>
        <v/>
      </c>
      <c r="N9" s="422" t="str">
        <f>IFERROR(IF(VLOOKUP(A9,'Player Salaries'!$B$5:$J$632,6,FALSE)=0,"",IF(VLOOKUP(A9,'Player Salaries'!$B$5:$J$632,7,FALSE)&lt;&gt;0,VLOOKUP(A9,'Player Salaries'!$B$5:$J$632,7,FALSE),IF(OR(VLOOKUP(A9,'Player Salaries'!$B$5:$J$632,9,FALSE)="1st Rd Pick",AND(VLOOKUP(A9,'Player Salaries'!$B$5:$J$632,9,FALSE)="1st Round Pick",VLOOKUP(A9,'Player Salaries'!$B$5:$J$632,6,FALSE)&lt;0.08*'Roster Analysis'!$J$28),AND(VLOOKUP(A9,'Player Salaries'!$B$5:$J$632,9,FALSE)="Cap Space",VLOOKUP(A9,'Player Salaries'!$B$5:$J$632,6,FALSE)&lt;1000000),AND(VLOOKUP(A9,'Player Salaries'!$B$5:$J$632,9,FALSE)="MLE",VLOOKUP(A9,'Player Salaries'!$B$5:$J$632,6,FALSE)&lt;1000000)),"RFA","UFA"))),"")</f>
        <v/>
      </c>
      <c r="O9" s="438" t="str">
        <f>IFERROR(IFERROR(VLOOKUP(A9,Injuries[],4,FALSE),_xlfn.IFS(A9="Larry Nance",VLOOKUP("Larry Nance Jr.",Injuries[],4,FALSE),A9="Glenn Robinson",VLOOKUP("Glenn Robinson III",Injuries[],4,FALSE)))&amp; IF(ISNUMBER(SEARCH("Season",VLOOKUP(A9,Injuries[],5,FALSE)))=FALSE,"","   X"),"")</f>
        <v/>
      </c>
      <c r="Q9" s="432" t="str">
        <f t="shared" si="0"/>
        <v>Dead</v>
      </c>
      <c r="AI9" s="423" t="str">
        <f>IFERROR(VLOOKUP(A9,#REF!,MATCH($AI$3,#REF!,0)-1,FALSE),"")</f>
        <v/>
      </c>
      <c r="AJ9" s="424" t="str">
        <f>IFERROR(PERCENTRANK(#REF!,$AI9)*100,"")</f>
        <v/>
      </c>
      <c r="AK9" s="425" t="e">
        <f>PERCENTRANK(MATCH($H$4,#REF!,FALSE),'Roster Analysis'!H9)</f>
        <v>#REF!</v>
      </c>
      <c r="AN9" s="414" t="str">
        <f>IFERROR(IF(VLOOKUP('Roster Analysis'!A10,Player_Totals[[Player]:[MP]],7,FALSE)&gt;100,VLOOKUP(A10,#REF!,17,FALSE),"IMP"),"")</f>
        <v/>
      </c>
      <c r="AO9" s="415" t="str">
        <f>IF(AN9="IMP","IMP",IFERROR(PERCENTRANK('Player Per Game'!$R$6:$R$641,AN9)*100,""))</f>
        <v/>
      </c>
      <c r="AP9" s="425" t="str">
        <f>IFERROR(IF(VLOOKUP(A9,'Player Salaries'!B9:J582,9,FALSE)="",IF(VLOOKUP(A9,#REF!,3,FALSE),"YES"),"YES"),"DEAD")</f>
        <v>DEAD</v>
      </c>
      <c r="AQ9" s="430" t="e">
        <f>IF(VLOOKUP(A48,#REF!,29,FALSE)&lt;20,1.019*AVERAGE(((5*10^6)*$F$50+5*10^6),(3*10^6)*$H$50+3*10^6),30300000)</f>
        <v>#REF!</v>
      </c>
    </row>
    <row r="10" spans="1:43">
      <c r="A10" s="409" t="str">
        <f t="array" ref="A10">IF(ROWS(A$5:A10)&gt;$E$1,"",INDEX('Player Salaries'!B$5:B$672,SMALL(IF('Player Salaries'!$C$5:$C$672=$D$1,ROW('Player Salaries'!$C$5:$C$672)-ROW('Player Salaries'!$E$5)+1),ROWS(A$5:A10))))</f>
        <v>Andrew Wiggins</v>
      </c>
      <c r="B10" s="416" t="str">
        <f>IFERROR(IF(AND(A10="Jamal Crawford",$D$1="ATL"),"",VLOOKUP(A10,Player_Per_Game[[Player]:[Pos]],2,FALSE)),"")</f>
        <v>SF</v>
      </c>
      <c r="C10" s="416">
        <f>IFERROR(IF(AND(A10="Jamal Crawford",$D$1="ATL"),"",VLOOKUP(A10,Player_Per_Game[[Player]:[PS/G]],3,FALSE)),"")</f>
        <v>22</v>
      </c>
      <c r="D10" s="416" t="str">
        <f>IF(AND(A10="Jamal Crawford",$D$1="ATL"),"",IFERROR(IF(AND(A10="Jamal Crawford",$D$1="ATL"),"",VLOOKUP(A10,'Player Per Game'!$B$6:$G$641,5,FALSE))&amp;" / "&amp;IF(AND(A10="Jamal Crawford",$D$1="ATL"),"",VLOOKUP(A10,'Player Per Game'!$B$6:$G$641,6,FALSE)),""))</f>
        <v>71 / 71</v>
      </c>
      <c r="E10" s="432">
        <f>IFERROR(IF(AND(A10="Jamal Crawford",$D$1="ATL"),"",VLOOKUP(A10,Player_Per_Game[[Player]:[PS/G]],7,FALSE)),"")</f>
        <v>36.200000000000003</v>
      </c>
      <c r="F10" s="434">
        <f>IFERROR(IF(AND(A10="Jamal Crawford",$D$1="ATL"),"",VLOOKUP($A10,Player_Per_Game[[Player]:[PS/G]],MATCH('Roster Analysis'!$F$4,Player_Per_Game[[#Headers],[Player]:[PS/G]],FALSE),FALSE)),"")</f>
        <v>0.32900000000000001</v>
      </c>
      <c r="G10" s="424">
        <f>IFERROR(_xlfn.IFS($F$4="PF",PERCENTRANK(Player_Per_Game[PF],F10),$F$4="TOV",PERCENTRANK(Player_Per_Game[TOV],F10),$F$4="BLK",PERCENTRANK(Player_Per_Game[BLK],F10),$F$4="STL",PERCENTRANK(Player_Per_Game[STL],F10),$F$4="AST",PERCENTRANK(Player_Per_Game[AST],F10),$F$4="TRB",PERCENTRANK(Player_Per_Game[TRB],F10),$F$4="DRB",PERCENTRANK(Player_Per_Game[DRB],F10),$F$4="ORB",PERCENTRANK(Player_Per_Game[ORB],F10),$F$4="FT%",PERCENTRANK(Player_Per_Game[FT%],F10),$F$4="EFG%",PERCENTRANK(Player_Per_Game[eFG%],F10),$F$4="2P%",PERCENTRANK(Player_Per_Game[2P%],F10),$F$4="3P%",PERCENTRANK(Player_Per_Game[3P%],F10),$F$4="FG%",PERCENTRANK(Player_Per_Game[FG%],F10),$F$4="PS/G",PERCENTRANK(Player_Per_Game[PS/G],F10))*100,"")</f>
        <v>45</v>
      </c>
      <c r="H10" s="436">
        <f>IFERROR(IF(AND(A10="Jamal Crawford",$D$1="ATL"),"",VLOOKUP($A10,Player_Advanced[[Player]:[VORP]],MATCH('Roster Analysis'!$H$4,Player_Advanced[[#Headers],[Player]:[VORP]],FALSE),FALSE)),"")</f>
        <v>13.2</v>
      </c>
      <c r="I10" s="417">
        <f>IFERROR(_xlfn.IFS($H$4="VORP",PERCENTRANK(Player_Advanced[VORP],H10),$H$4="BPM",PERCENTRANK(Player_Advanced[BPM],H10),$H$4="DBPM",PERCENTRANK(Player_Advanced[DBPM],H10),$H$4="OBPM",PERCENTRANK(Player_Advanced[OBPM],H10),$H$4="WS/48",PERCENTRANK(Player_Advanced[WS/48],H10),$H$4="WS",PERCENTRANK(Player_Advanced[WS],H10),$H$4="DWS",PERCENTRANK(Player_Advanced[DWS],H10),$H$4="OWS",PERCENTRANK(Player_Advanced[OWS],H10),$H$4="USG%",PERCENTRANK(Player_Advanced[USG%],H10),$H$4="TOV%",PERCENTRANK(Player_Advanced[TOV%],H10),$H$4="BLK%",PERCENTRANK(Player_Advanced[BLK%],H10),$H$4="STL%",PERCENTRANK(Player_Advanced[STL%],H10),$H$4="TRB%",PERCENTRANK(Player_Advanced[TRB%],H10),$H$4="ast%",PERCENTRANK(Player_Advanced[AST%],H10),$H$4="drb%",PERCENTRANK(Player_Advanced[DRB%],H10),$H$4="orb%",PERCENTRANK(Player_Advanced[ORB%],H10),$H$4="TS%",PERCENTRANK(Player_Advanced[TS%],H10),$H$4="FTr",PERCENTRANK(Player_Advanced[FTr],H10),$H$4="PER",PERCENTRANK(Player_Advanced[PER],H10),$H$4="3PAr",PERCENTRANK(Player_Advanced[3PAr],H10))*100,"")</f>
        <v>53.2</v>
      </c>
      <c r="J10" s="418">
        <f>IF(A10="","",IFERROR(VLOOKUP(A10,'Player Salaries'!$B$5:$D$632,3,FALSE),""))</f>
        <v>7574322</v>
      </c>
      <c r="K10" s="419">
        <f>IF(J10="","",IFERROR(IF(VLOOKUP(A10,'Player Salaries'!$B$5:$F$632,4,FALSE)&lt;&gt;0,VLOOKUP(A10,'Player Salaries'!$B$5:$F$632,4,FALSE),IF(OR(VLOOKUP(A10,'Player Salaries'!$B$5:$J$632,9,FALSE)="1st Rd Pick",AND(VLOOKUP(A10,'Player Salaries'!$B$5:$J$632,9,FALSE)="1st Round Pick",VLOOKUP(A10,'Player Salaries'!$B$5:$J$632,3,FALSE)&lt;0.08*'Roster Analysis'!$J$28),AND(VLOOKUP(A10,'Player Salaries'!$B$5:$J$632,9,FALSE)="Cap Space",VLOOKUP(A10,'Player Salaries'!$B$5:$J$632,3,FALSE)&lt;1000000),AND(VLOOKUP(A10,'Player Salaries'!$B$5:$J$632,9,FALSE)="MLE",VLOOKUP(A10,'Player Salaries'!$B$5:$J$632,3,FALSE)&lt;1000000),J10=50000,AND(VLOOKUP(A10,'Player Salaries'!B10:K637,9,FALSE)="Minimum Salary",'Roster Analysis'!J10=1312611)),"RFA","UFA")),""))</f>
        <v>25250000</v>
      </c>
      <c r="L10" s="419">
        <f>IFERROR(IF(VLOOKUP(A10,'Player Salaries'!$B$5:$J$632,4,FALSE)=0,"",IF(VLOOKUP(A10,'Player Salaries'!$B$5:$J$632,5,FALSE)&lt;&gt;0,VLOOKUP(A10,'Player Salaries'!$B$5:$J$632,5,FALSE),IF(OR(VLOOKUP(A10,'Player Salaries'!$B$5:$J$632,9,FALSE)="1st Rd Pick",AND(VLOOKUP(A10,'Player Salaries'!$B$5:$J$632,9,FALSE)="1st Round Pick",VLOOKUP(A10,'Player Salaries'!$B$5:$J$632,4,FALSE)&lt;0.08*'Roster Analysis'!$J$28),AND(VLOOKUP(A10,'Player Salaries'!$B$5:$J$632,9,FALSE)="Cap Space",$K10=1544951),AND(VLOOKUP(A10,'Player Salaries'!$B$5:$J$632,9,FALSE)="Cap Space",VLOOKUP(A10,'Player Salaries'!$B$5:$J$632,4,FALSE)&lt;1000000),$K10=1378242,AND(VLOOKUP(A10,'Player Salaries'!$B$5:$J$632,9,FALSE)="MLE",VLOOKUP(A10,'Player Salaries'!$B$5:$J$632,4,FALSE)&lt;1000000),AND(VLOOKUP(A10,'Player Salaries'!$B$5:$K$632,9,FALSE)="Minimum Salary",K10=1544951)),"RFA","UFA"))),"")</f>
        <v>27270000</v>
      </c>
      <c r="M10" s="419">
        <f>IFERROR(IF(VLOOKUP(A10,'Player Salaries'!$B$5:$J$632,5,FALSE)=0,"",IF(VLOOKUP(A10,'Player Salaries'!$B$5:$J$632,6,FALSE)&lt;&gt;0,VLOOKUP(A10,'Player Salaries'!$B$5:$J$632,6,FALSE),IF(OR(VLOOKUP(A10,'Player Salaries'!$B$5:$J$632,9,FALSE)="1st Rd Pick",AND(VLOOKUP(A10,'Player Salaries'!$B$5:$J$632,9,FALSE)="1st Round Pick",VLOOKUP(A10,'Player Salaries'!$B$5:$J$632,5,FALSE)&lt;0.08*'Roster Analysis'!$J$28),AND(VLOOKUP(A10,'Player Salaries'!$B$5:$J$632,9,FALSE)="Cap Space",VLOOKUP(A10,'Player Salaries'!$B$5:$J$632,5,FALSE)&lt;1000000),$K10=1378242,AND(VLOOKUP(A10,'Player Salaries'!$B$5:$J$632,9,FALSE)="MLE",VLOOKUP(A10,'Player Salaries'!$B$5:$J$632,5,FALSE)&lt;1000000)),"RFA","UFA"))),"")</f>
        <v>29290000</v>
      </c>
      <c r="N10" s="422">
        <f>IFERROR(IF(VLOOKUP(A10,'Player Salaries'!$B$5:$J$632,6,FALSE)=0,"",IF(VLOOKUP(A10,'Player Salaries'!$B$5:$J$632,7,FALSE)&lt;&gt;0,VLOOKUP(A10,'Player Salaries'!$B$5:$J$632,7,FALSE),IF(OR(VLOOKUP(A10,'Player Salaries'!$B$5:$J$632,9,FALSE)="1st Rd Pick",AND(VLOOKUP(A10,'Player Salaries'!$B$5:$J$632,9,FALSE)="1st Round Pick",VLOOKUP(A10,'Player Salaries'!$B$5:$J$632,6,FALSE)&lt;0.08*'Roster Analysis'!$J$28),AND(VLOOKUP(A10,'Player Salaries'!$B$5:$J$632,9,FALSE)="Cap Space",VLOOKUP(A10,'Player Salaries'!$B$5:$J$632,6,FALSE)&lt;1000000),AND(VLOOKUP(A10,'Player Salaries'!$B$5:$J$632,9,FALSE)="MLE",VLOOKUP(A10,'Player Salaries'!$B$5:$J$632,6,FALSE)&lt;1000000)),"RFA","UFA"))),"")</f>
        <v>31310000</v>
      </c>
      <c r="O10" s="438" t="str">
        <f>IFERROR(IFERROR(VLOOKUP(A10,Injuries[],4,FALSE),_xlfn.IFS(A10="Larry Nance",VLOOKUP("Larry Nance Jr.",Injuries[],4,FALSE),A10="Glenn Robinson",VLOOKUP("Glenn Robinson III",Injuries[],4,FALSE)))&amp; IF(ISNUMBER(SEARCH("Season",VLOOKUP(A10,Injuries[],5,FALSE)))=FALSE,"","   X"),"")</f>
        <v/>
      </c>
      <c r="Q10" s="432" t="str">
        <f t="shared" si="0"/>
        <v/>
      </c>
      <c r="AI10" s="423" t="str">
        <f>IFERROR(VLOOKUP(A10,#REF!,MATCH($AI$3,#REF!,0)-1,FALSE),"")</f>
        <v/>
      </c>
      <c r="AJ10" s="424" t="str">
        <f>IFERROR(PERCENTRANK(#REF!,$AI10)*100,"")</f>
        <v/>
      </c>
      <c r="AK10" s="425" t="e">
        <f>PERCENTRANK(MATCH($H$4,#REF!,FALSE),'Roster Analysis'!H10)</f>
        <v>#REF!</v>
      </c>
      <c r="AN10" s="414" t="str">
        <f>IFERROR(IF(VLOOKUP('Roster Analysis'!A11,Player_Totals[[Player]:[MP]],7,FALSE)&gt;100,VLOOKUP(A11,#REF!,17,FALSE),"IMP"),"")</f>
        <v>IMP</v>
      </c>
      <c r="AO10" s="415" t="str">
        <f>IF(AN10="IMP","IMP",IFERROR(PERCENTRANK('Player Per Game'!$R$6:$R$641,AN10)*100,""))</f>
        <v>IMP</v>
      </c>
      <c r="AP10" s="425" t="str">
        <f>IFERROR(IF(VLOOKUP(A10,'Player Salaries'!B10:J583,9,FALSE)="",IF(VLOOKUP(A10,#REF!,3,FALSE),"YES"),"YES"),"DEAD")</f>
        <v>YES</v>
      </c>
      <c r="AQ10" s="14" t="s">
        <v>809</v>
      </c>
    </row>
    <row r="11" spans="1:43">
      <c r="A11" s="409" t="str">
        <f t="array" ref="A11">IF(ROWS(A$5:A11)&gt;$E$1,"",INDEX('Player Salaries'!B$5:B$672,SMALL(IF('Player Salaries'!$C$5:$C$672=$D$1,ROW('Player Salaries'!$C$5:$C$672)-ROW('Player Salaries'!$E$5)+1),ROWS(A$5:A11))))</f>
        <v>Cole Aldrich</v>
      </c>
      <c r="B11" s="416" t="str">
        <f>IFERROR(IF(AND(A11="Jamal Crawford",$D$1="ATL"),"",VLOOKUP(A11,Player_Per_Game[[Player]:[Pos]],2,FALSE)),"")</f>
        <v>C</v>
      </c>
      <c r="C11" s="416">
        <f>IFERROR(IF(AND(A11="Jamal Crawford",$D$1="ATL"),"",VLOOKUP(A11,Player_Per_Game[[Player]:[PS/G]],3,FALSE)),"")</f>
        <v>29</v>
      </c>
      <c r="D11" s="416" t="str">
        <f>IF(AND(A11="Jamal Crawford",$D$1="ATL"),"",IFERROR(IF(AND(A11="Jamal Crawford",$D$1="ATL"),"",VLOOKUP(A11,'Player Per Game'!$B$6:$G$641,5,FALSE))&amp;" / "&amp;IF(AND(A11="Jamal Crawford",$D$1="ATL"),"",VLOOKUP(A11,'Player Per Game'!$B$6:$G$641,6,FALSE)),""))</f>
        <v>17 / 0</v>
      </c>
      <c r="E11" s="432">
        <f>IFERROR(IF(AND(A11="Jamal Crawford",$D$1="ATL"),"",VLOOKUP(A11,Player_Per_Game[[Player]:[PS/G]],7,FALSE)),"")</f>
        <v>1.9</v>
      </c>
      <c r="F11" s="434">
        <f>IFERROR(IF(AND(A11="Jamal Crawford",$D$1="ATL"),"",VLOOKUP($A11,Player_Per_Game[[Player]:[PS/G]],MATCH('Roster Analysis'!$F$4,Player_Per_Game[[#Headers],[Player]:[PS/G]],FALSE),FALSE)),"")</f>
        <v>0</v>
      </c>
      <c r="G11" s="424">
        <f>IFERROR(_xlfn.IFS($F$4="PF",PERCENTRANK(Player_Per_Game[PF],F11),$F$4="TOV",PERCENTRANK(Player_Per_Game[TOV],F11),$F$4="BLK",PERCENTRANK(Player_Per_Game[BLK],F11),$F$4="STL",PERCENTRANK(Player_Per_Game[STL],F11),$F$4="AST",PERCENTRANK(Player_Per_Game[AST],F11),$F$4="TRB",PERCENTRANK(Player_Per_Game[TRB],F11),$F$4="DRB",PERCENTRANK(Player_Per_Game[DRB],F11),$F$4="ORB",PERCENTRANK(Player_Per_Game[ORB],F11),$F$4="FT%",PERCENTRANK(Player_Per_Game[FT%],F11),$F$4="EFG%",PERCENTRANK(Player_Per_Game[eFG%],F11),$F$4="2P%",PERCENTRANK(Player_Per_Game[2P%],F11),$F$4="3P%",PERCENTRANK(Player_Per_Game[3P%],F11),$F$4="FG%",PERCENTRANK(Player_Per_Game[FG%],F11),$F$4="PS/G",PERCENTRANK(Player_Per_Game[PS/G],F11))*100,"")</f>
        <v>0</v>
      </c>
      <c r="H11" s="436">
        <f>IFERROR(IF(AND(A11="Jamal Crawford",$D$1="ATL"),"",VLOOKUP($A11,Player_Advanced[[Player]:[VORP]],MATCH('Roster Analysis'!$H$4,Player_Advanced[[#Headers],[Player]:[VORP]],FALSE),FALSE)),"")</f>
        <v>5.0999999999999996</v>
      </c>
      <c r="I11" s="417">
        <f>IFERROR(_xlfn.IFS($H$4="VORP",PERCENTRANK(Player_Advanced[VORP],H11),$H$4="BPM",PERCENTRANK(Player_Advanced[BPM],H11),$H$4="DBPM",PERCENTRANK(Player_Advanced[DBPM],H11),$H$4="OBPM",PERCENTRANK(Player_Advanced[OBPM],H11),$H$4="WS/48",PERCENTRANK(Player_Advanced[WS/48],H11),$H$4="WS",PERCENTRANK(Player_Advanced[WS],H11),$H$4="DWS",PERCENTRANK(Player_Advanced[DWS],H11),$H$4="OWS",PERCENTRANK(Player_Advanced[OWS],H11),$H$4="USG%",PERCENTRANK(Player_Advanced[USG%],H11),$H$4="TOV%",PERCENTRANK(Player_Advanced[TOV%],H11),$H$4="BLK%",PERCENTRANK(Player_Advanced[BLK%],H11),$H$4="STL%",PERCENTRANK(Player_Advanced[STL%],H11),$H$4="TRB%",PERCENTRANK(Player_Advanced[TRB%],H11),$H$4="ast%",PERCENTRANK(Player_Advanced[AST%],H11),$H$4="drb%",PERCENTRANK(Player_Advanced[DRB%],H11),$H$4="orb%",PERCENTRANK(Player_Advanced[ORB%],H11),$H$4="TS%",PERCENTRANK(Player_Advanced[TS%],H11),$H$4="FTr",PERCENTRANK(Player_Advanced[FTr],H11),$H$4="PER",PERCENTRANK(Player_Advanced[PER],H11),$H$4="3PAr",PERCENTRANK(Player_Advanced[3PAr],H11))*100,"")</f>
        <v>10.199999999999999</v>
      </c>
      <c r="J11" s="418">
        <f>IF(A11="","",IFERROR(VLOOKUP(A11,'Player Salaries'!$B$5:$D$632,3,FALSE),""))</f>
        <v>7300000</v>
      </c>
      <c r="K11" s="419">
        <f>IF(J11="","",IFERROR(IF(VLOOKUP(A11,'Player Salaries'!$B$5:$F$632,4,FALSE)&lt;&gt;0,VLOOKUP(A11,'Player Salaries'!$B$5:$F$632,4,FALSE),IF(OR(VLOOKUP(A11,'Player Salaries'!$B$5:$J$632,9,FALSE)="1st Rd Pick",AND(VLOOKUP(A11,'Player Salaries'!$B$5:$J$632,9,FALSE)="1st Round Pick",VLOOKUP(A11,'Player Salaries'!$B$5:$J$632,3,FALSE)&lt;0.08*'Roster Analysis'!$J$28),AND(VLOOKUP(A11,'Player Salaries'!$B$5:$J$632,9,FALSE)="Cap Space",VLOOKUP(A11,'Player Salaries'!$B$5:$J$632,3,FALSE)&lt;1000000),AND(VLOOKUP(A11,'Player Salaries'!$B$5:$J$632,9,FALSE)="MLE",VLOOKUP(A11,'Player Salaries'!$B$5:$J$632,3,FALSE)&lt;1000000),J11=50000,AND(VLOOKUP(A11,'Player Salaries'!B11:K638,9,FALSE)="Minimum Salary",'Roster Analysis'!J11=1312611)),"RFA","UFA")),""))</f>
        <v>6956021</v>
      </c>
      <c r="L11" s="419" t="str">
        <f>IFERROR(IF(VLOOKUP(A11,'Player Salaries'!$B$5:$J$632,4,FALSE)=0,"",IF(VLOOKUP(A11,'Player Salaries'!$B$5:$J$632,5,FALSE)&lt;&gt;0,VLOOKUP(A11,'Player Salaries'!$B$5:$J$632,5,FALSE),IF(OR(VLOOKUP(A11,'Player Salaries'!$B$5:$J$632,9,FALSE)="1st Rd Pick",AND(VLOOKUP(A11,'Player Salaries'!$B$5:$J$632,9,FALSE)="1st Round Pick",VLOOKUP(A11,'Player Salaries'!$B$5:$J$632,4,FALSE)&lt;0.08*'Roster Analysis'!$J$28),AND(VLOOKUP(A11,'Player Salaries'!$B$5:$J$632,9,FALSE)="Cap Space",$K11=1544951),AND(VLOOKUP(A11,'Player Salaries'!$B$5:$J$632,9,FALSE)="Cap Space",VLOOKUP(A11,'Player Salaries'!$B$5:$J$632,4,FALSE)&lt;1000000),$K11=1378242,AND(VLOOKUP(A11,'Player Salaries'!$B$5:$J$632,9,FALSE)="MLE",VLOOKUP(A11,'Player Salaries'!$B$5:$J$632,4,FALSE)&lt;1000000),AND(VLOOKUP(A11,'Player Salaries'!$B$5:$K$632,9,FALSE)="Minimum Salary",K11=1544951)),"RFA","UFA"))),"")</f>
        <v>UFA</v>
      </c>
      <c r="M11" s="419" t="str">
        <f>IFERROR(IF(VLOOKUP(A11,'Player Salaries'!$B$5:$J$632,5,FALSE)=0,"",IF(VLOOKUP(A11,'Player Salaries'!$B$5:$J$632,6,FALSE)&lt;&gt;0,VLOOKUP(A11,'Player Salaries'!$B$5:$J$632,6,FALSE),IF(OR(VLOOKUP(A11,'Player Salaries'!$B$5:$J$632,9,FALSE)="1st Rd Pick",AND(VLOOKUP(A11,'Player Salaries'!$B$5:$J$632,9,FALSE)="1st Round Pick",VLOOKUP(A11,'Player Salaries'!$B$5:$J$632,5,FALSE)&lt;0.08*'Roster Analysis'!$J$28),AND(VLOOKUP(A11,'Player Salaries'!$B$5:$J$632,9,FALSE)="Cap Space",VLOOKUP(A11,'Player Salaries'!$B$5:$J$632,5,FALSE)&lt;1000000),$K11=1378242,AND(VLOOKUP(A11,'Player Salaries'!$B$5:$J$632,9,FALSE)="MLE",VLOOKUP(A11,'Player Salaries'!$B$5:$J$632,5,FALSE)&lt;1000000)),"RFA","UFA"))),"")</f>
        <v/>
      </c>
      <c r="N11" s="422" t="str">
        <f>IFERROR(IF(VLOOKUP(A11,'Player Salaries'!$B$5:$J$632,6,FALSE)=0,"",IF(VLOOKUP(A11,'Player Salaries'!$B$5:$J$632,7,FALSE)&lt;&gt;0,VLOOKUP(A11,'Player Salaries'!$B$5:$J$632,7,FALSE),IF(OR(VLOOKUP(A11,'Player Salaries'!$B$5:$J$632,9,FALSE)="1st Rd Pick",AND(VLOOKUP(A11,'Player Salaries'!$B$5:$J$632,9,FALSE)="1st Round Pick",VLOOKUP(A11,'Player Salaries'!$B$5:$J$632,6,FALSE)&lt;0.08*'Roster Analysis'!$J$28),AND(VLOOKUP(A11,'Player Salaries'!$B$5:$J$632,9,FALSE)="Cap Space",VLOOKUP(A11,'Player Salaries'!$B$5:$J$632,6,FALSE)&lt;1000000),AND(VLOOKUP(A11,'Player Salaries'!$B$5:$J$632,9,FALSE)="MLE",VLOOKUP(A11,'Player Salaries'!$B$5:$J$632,6,FALSE)&lt;1000000)),"RFA","UFA"))),"")</f>
        <v/>
      </c>
      <c r="O11" s="438" t="str">
        <f>IFERROR(IFERROR(VLOOKUP(A11,Injuries[],4,FALSE),_xlfn.IFS(A11="Larry Nance",VLOOKUP("Larry Nance Jr.",Injuries[],4,FALSE),A11="Glenn Robinson",VLOOKUP("Glenn Robinson III",Injuries[],4,FALSE)))&amp; IF(ISNUMBER(SEARCH("Season",VLOOKUP(A11,Injuries[],5,FALSE)))=FALSE,"","   X"),"")</f>
        <v/>
      </c>
      <c r="Q11" s="432" t="str">
        <f t="shared" si="0"/>
        <v/>
      </c>
      <c r="AI11" s="423" t="str">
        <f>IFERROR(VLOOKUP(A11,#REF!,MATCH($AI$3,#REF!,0)-1,FALSE),"")</f>
        <v/>
      </c>
      <c r="AJ11" s="424" t="str">
        <f>IFERROR(PERCENTRANK(#REF!,$AI11)*100,"")</f>
        <v/>
      </c>
      <c r="AK11" s="425" t="e">
        <f>PERCENTRANK(MATCH($H$4,#REF!,FALSE),'Roster Analysis'!H11)</f>
        <v>#REF!</v>
      </c>
      <c r="AN11" s="414" t="str">
        <f>IFERROR(IF(VLOOKUP('Roster Analysis'!A12,Player_Totals[[Player]:[MP]],7,FALSE)&gt;100,VLOOKUP(A12,#REF!,17,FALSE),"IMP"),"")</f>
        <v/>
      </c>
      <c r="AO11" s="415" t="str">
        <f>IF(AN11="IMP","IMP",IFERROR(PERCENTRANK('Player Per Game'!$R$6:$R$641,AN11)*100,""))</f>
        <v/>
      </c>
      <c r="AP11" s="425" t="str">
        <f>IFERROR(IF(VLOOKUP(A11,'Player Salaries'!B11:J584,9,FALSE)="",IF(VLOOKUP(A11,#REF!,3,FALSE),"YES"),"YES"),"DEAD")</f>
        <v>YES</v>
      </c>
      <c r="AQ11" s="14" t="s">
        <v>811</v>
      </c>
    </row>
    <row r="12" spans="1:43">
      <c r="A12" s="409" t="str">
        <f t="array" ref="A12">IF(ROWS(A$5:A12)&gt;$E$1,"",INDEX('Player Salaries'!B$5:B$672,SMALL(IF('Player Salaries'!$C$5:$C$672=$D$1,ROW('Player Salaries'!$C$5:$C$672)-ROW('Player Salaries'!$E$5)+1),ROWS(A$5:A12))))</f>
        <v>Karl-Anthony Towns</v>
      </c>
      <c r="B12" s="416" t="str">
        <f>IFERROR(IF(AND(A12="Jamal Crawford",$D$1="ATL"),"",VLOOKUP(A12,Player_Per_Game[[Player]:[Pos]],2,FALSE)),"")</f>
        <v>C</v>
      </c>
      <c r="C12" s="416">
        <f>IFERROR(IF(AND(A12="Jamal Crawford",$D$1="ATL"),"",VLOOKUP(A12,Player_Per_Game[[Player]:[PS/G]],3,FALSE)),"")</f>
        <v>22</v>
      </c>
      <c r="D12" s="416" t="str">
        <f>IF(AND(A12="Jamal Crawford",$D$1="ATL"),"",IFERROR(IF(AND(A12="Jamal Crawford",$D$1="ATL"),"",VLOOKUP(A12,'Player Per Game'!$B$6:$G$641,5,FALSE))&amp;" / "&amp;IF(AND(A12="Jamal Crawford",$D$1="ATL"),"",VLOOKUP(A12,'Player Per Game'!$B$6:$G$641,6,FALSE)),""))</f>
        <v>71 / 71</v>
      </c>
      <c r="E12" s="432">
        <f>IFERROR(IF(AND(A12="Jamal Crawford",$D$1="ATL"),"",VLOOKUP(A12,Player_Per_Game[[Player]:[PS/G]],7,FALSE)),"")</f>
        <v>35.299999999999997</v>
      </c>
      <c r="F12" s="434">
        <f>IFERROR(IF(AND(A12="Jamal Crawford",$D$1="ATL"),"",VLOOKUP($A12,Player_Per_Game[[Player]:[PS/G]],MATCH('Roster Analysis'!$F$4,Player_Per_Game[[#Headers],[Player]:[PS/G]],FALSE),FALSE)),"")</f>
        <v>0.42599999999999999</v>
      </c>
      <c r="G12" s="424">
        <f>IFERROR(_xlfn.IFS($F$4="PF",PERCENTRANK(Player_Per_Game[PF],F12),$F$4="TOV",PERCENTRANK(Player_Per_Game[TOV],F12),$F$4="BLK",PERCENTRANK(Player_Per_Game[BLK],F12),$F$4="STL",PERCENTRANK(Player_Per_Game[STL],F12),$F$4="AST",PERCENTRANK(Player_Per_Game[AST],F12),$F$4="TRB",PERCENTRANK(Player_Per_Game[TRB],F12),$F$4="DRB",PERCENTRANK(Player_Per_Game[DRB],F12),$F$4="ORB",PERCENTRANK(Player_Per_Game[ORB],F12),$F$4="FT%",PERCENTRANK(Player_Per_Game[FT%],F12),$F$4="EFG%",PERCENTRANK(Player_Per_Game[eFG%],F12),$F$4="2P%",PERCENTRANK(Player_Per_Game[2P%],F12),$F$4="3P%",PERCENTRANK(Player_Per_Game[3P%],F12),$F$4="FG%",PERCENTRANK(Player_Per_Game[FG%],F12),$F$4="PS/G",PERCENTRANK(Player_Per_Game[PS/G],F12))*100,"")</f>
        <v>90.100000000000009</v>
      </c>
      <c r="H12" s="436">
        <f>IFERROR(IF(AND(A12="Jamal Crawford",$D$1="ATL"),"",VLOOKUP($A12,Player_Advanced[[Player]:[VORP]],MATCH('Roster Analysis'!$H$4,Player_Advanced[[#Headers],[Player]:[VORP]],FALSE),FALSE)),"")</f>
        <v>24.9</v>
      </c>
      <c r="I12" s="417">
        <f>IFERROR(_xlfn.IFS($H$4="VORP",PERCENTRANK(Player_Advanced[VORP],H12),$H$4="BPM",PERCENTRANK(Player_Advanced[BPM],H12),$H$4="DBPM",PERCENTRANK(Player_Advanced[DBPM],H12),$H$4="OBPM",PERCENTRANK(Player_Advanced[OBPM],H12),$H$4="WS/48",PERCENTRANK(Player_Advanced[WS/48],H12),$H$4="WS",PERCENTRANK(Player_Advanced[WS],H12),$H$4="DWS",PERCENTRANK(Player_Advanced[DWS],H12),$H$4="OWS",PERCENTRANK(Player_Advanced[OWS],H12),$H$4="USG%",PERCENTRANK(Player_Advanced[USG%],H12),$H$4="TOV%",PERCENTRANK(Player_Advanced[TOV%],H12),$H$4="BLK%",PERCENTRANK(Player_Advanced[BLK%],H12),$H$4="STL%",PERCENTRANK(Player_Advanced[STL%],H12),$H$4="TRB%",PERCENTRANK(Player_Advanced[TRB%],H12),$H$4="ast%",PERCENTRANK(Player_Advanced[AST%],H12),$H$4="drb%",PERCENTRANK(Player_Advanced[DRB%],H12),$H$4="orb%",PERCENTRANK(Player_Advanced[ORB%],H12),$H$4="TS%",PERCENTRANK(Player_Advanced[TS%],H12),$H$4="FTr",PERCENTRANK(Player_Advanced[FTr],H12),$H$4="PER",PERCENTRANK(Player_Advanced[PER],H12),$H$4="3PAr",PERCENTRANK(Player_Advanced[3PAr],H12))*100,"")</f>
        <v>97.3</v>
      </c>
      <c r="J12" s="418">
        <f>IF(A12="","",IFERROR(VLOOKUP(A12,'Player Salaries'!$B$5:$D$632,3,FALSE),""))</f>
        <v>6216840</v>
      </c>
      <c r="K12" s="419">
        <f>IF(J12="","",IFERROR(IF(VLOOKUP(A12,'Player Salaries'!$B$5:$F$632,4,FALSE)&lt;&gt;0,VLOOKUP(A12,'Player Salaries'!$B$5:$F$632,4,FALSE),IF(OR(VLOOKUP(A12,'Player Salaries'!$B$5:$J$632,9,FALSE)="1st Rd Pick",AND(VLOOKUP(A12,'Player Salaries'!$B$5:$J$632,9,FALSE)="1st Round Pick",VLOOKUP(A12,'Player Salaries'!$B$5:$J$632,3,FALSE)&lt;0.08*'Roster Analysis'!$J$28),AND(VLOOKUP(A12,'Player Salaries'!$B$5:$J$632,9,FALSE)="Cap Space",VLOOKUP(A12,'Player Salaries'!$B$5:$J$632,3,FALSE)&lt;1000000),AND(VLOOKUP(A12,'Player Salaries'!$B$5:$J$632,9,FALSE)="MLE",VLOOKUP(A12,'Player Salaries'!$B$5:$J$632,3,FALSE)&lt;1000000),J12=50000,AND(VLOOKUP(A12,'Player Salaries'!B12:K639,9,FALSE)="Minimum Salary",'Roster Analysis'!J12=1312611)),"RFA","UFA")),""))</f>
        <v>7839435</v>
      </c>
      <c r="L12" s="419" t="str">
        <f>IFERROR(IF(VLOOKUP(A12,'Player Salaries'!$B$5:$J$632,4,FALSE)=0,"",IF(VLOOKUP(A12,'Player Salaries'!$B$5:$J$632,5,FALSE)&lt;&gt;0,VLOOKUP(A12,'Player Salaries'!$B$5:$J$632,5,FALSE),IF(OR(VLOOKUP(A12,'Player Salaries'!$B$5:$J$632,9,FALSE)="1st Rd Pick",AND(VLOOKUP(A12,'Player Salaries'!$B$5:$J$632,9,FALSE)="1st Round Pick",VLOOKUP(A12,'Player Salaries'!$B$5:$J$632,4,FALSE)&lt;0.08*'Roster Analysis'!$J$28),AND(VLOOKUP(A12,'Player Salaries'!$B$5:$J$632,9,FALSE)="Cap Space",$K12=1544951),AND(VLOOKUP(A12,'Player Salaries'!$B$5:$J$632,9,FALSE)="Cap Space",VLOOKUP(A12,'Player Salaries'!$B$5:$J$632,4,FALSE)&lt;1000000),$K12=1378242,AND(VLOOKUP(A12,'Player Salaries'!$B$5:$J$632,9,FALSE)="MLE",VLOOKUP(A12,'Player Salaries'!$B$5:$J$632,4,FALSE)&lt;1000000),AND(VLOOKUP(A12,'Player Salaries'!$B$5:$K$632,9,FALSE)="Minimum Salary",K12=1544951)),"RFA","UFA"))),"")</f>
        <v>RFA</v>
      </c>
      <c r="M12" s="419" t="str">
        <f>IFERROR(IF(VLOOKUP(A12,'Player Salaries'!$B$5:$J$632,5,FALSE)=0,"",IF(VLOOKUP(A12,'Player Salaries'!$B$5:$J$632,6,FALSE)&lt;&gt;0,VLOOKUP(A12,'Player Salaries'!$B$5:$J$632,6,FALSE),IF(OR(VLOOKUP(A12,'Player Salaries'!$B$5:$J$632,9,FALSE)="1st Rd Pick",AND(VLOOKUP(A12,'Player Salaries'!$B$5:$J$632,9,FALSE)="1st Round Pick",VLOOKUP(A12,'Player Salaries'!$B$5:$J$632,5,FALSE)&lt;0.08*'Roster Analysis'!$J$28),AND(VLOOKUP(A12,'Player Salaries'!$B$5:$J$632,9,FALSE)="Cap Space",VLOOKUP(A12,'Player Salaries'!$B$5:$J$632,5,FALSE)&lt;1000000),$K12=1378242,AND(VLOOKUP(A12,'Player Salaries'!$B$5:$J$632,9,FALSE)="MLE",VLOOKUP(A12,'Player Salaries'!$B$5:$J$632,5,FALSE)&lt;1000000)),"RFA","UFA"))),"")</f>
        <v/>
      </c>
      <c r="N12" s="422" t="str">
        <f>IFERROR(IF(VLOOKUP(A12,'Player Salaries'!$B$5:$J$632,6,FALSE)=0,"",IF(VLOOKUP(A12,'Player Salaries'!$B$5:$J$632,7,FALSE)&lt;&gt;0,VLOOKUP(A12,'Player Salaries'!$B$5:$J$632,7,FALSE),IF(OR(VLOOKUP(A12,'Player Salaries'!$B$5:$J$632,9,FALSE)="1st Rd Pick",AND(VLOOKUP(A12,'Player Salaries'!$B$5:$J$632,9,FALSE)="1st Round Pick",VLOOKUP(A12,'Player Salaries'!$B$5:$J$632,6,FALSE)&lt;0.08*'Roster Analysis'!$J$28),AND(VLOOKUP(A12,'Player Salaries'!$B$5:$J$632,9,FALSE)="Cap Space",VLOOKUP(A12,'Player Salaries'!$B$5:$J$632,6,FALSE)&lt;1000000),AND(VLOOKUP(A12,'Player Salaries'!$B$5:$J$632,9,FALSE)="MLE",VLOOKUP(A12,'Player Salaries'!$B$5:$J$632,6,FALSE)&lt;1000000)),"RFA","UFA"))),"")</f>
        <v/>
      </c>
      <c r="O12" s="438" t="str">
        <f>IFERROR(IFERROR(VLOOKUP(A12,Injuries[],4,FALSE),_xlfn.IFS(A12="Larry Nance",VLOOKUP("Larry Nance Jr.",Injuries[],4,FALSE),A12="Glenn Robinson",VLOOKUP("Glenn Robinson III",Injuries[],4,FALSE)))&amp; IF(ISNUMBER(SEARCH("Season",VLOOKUP(A12,Injuries[],5,FALSE)))=FALSE,"","   X"),"")</f>
        <v/>
      </c>
      <c r="Q12" s="432" t="str">
        <f t="shared" si="0"/>
        <v/>
      </c>
      <c r="AI12" s="423" t="str">
        <f>IFERROR(VLOOKUP(A12,#REF!,MATCH($AI$3,#REF!,0)-1,FALSE),"")</f>
        <v/>
      </c>
      <c r="AJ12" s="424" t="str">
        <f>IFERROR(PERCENTRANK(#REF!,$AI12)*100,"")</f>
        <v/>
      </c>
      <c r="AK12" s="425" t="e">
        <f>PERCENTRANK(MATCH($H$4,#REF!,FALSE),'Roster Analysis'!H12)</f>
        <v>#REF!</v>
      </c>
      <c r="AN12" s="414" t="str">
        <f>IFERROR(IF(VLOOKUP('Roster Analysis'!A13,Player_Totals[[Player]:[MP]],7,FALSE)&gt;100,VLOOKUP(A13,#REF!,17,FALSE),"IMP"),"")</f>
        <v/>
      </c>
      <c r="AO12" s="415" t="str">
        <f>IF(AN12="IMP","IMP",IFERROR(PERCENTRANK('Player Per Game'!$R$6:$R$641,AN12)*100,""))</f>
        <v/>
      </c>
      <c r="AP12" s="425" t="str">
        <f>IFERROR(IF(VLOOKUP(A12,'Player Salaries'!B12:J585,9,FALSE)="",IF(VLOOKUP(A12,#REF!,3,FALSE),"YES"),"YES"),"DEAD")</f>
        <v>YES</v>
      </c>
      <c r="AQ12" s="14" t="s">
        <v>812</v>
      </c>
    </row>
    <row r="13" spans="1:43">
      <c r="A13" s="409" t="str">
        <f t="array" ref="A13">IF(ROWS(A$5:A13)&gt;$E$1,"",INDEX('Player Salaries'!B$5:B$672,SMALL(IF('Player Salaries'!$C$5:$C$672=$D$1,ROW('Player Salaries'!$C$5:$C$672)-ROW('Player Salaries'!$E$5)+1),ROWS(A$5:A13))))</f>
        <v>Jamal Crawford</v>
      </c>
      <c r="B13" s="416" t="str">
        <f>IFERROR(IF(AND(A13="Jamal Crawford",$D$1="ATL"),"",VLOOKUP(A13,Player_Per_Game[[Player]:[Pos]],2,FALSE)),"")</f>
        <v>SG</v>
      </c>
      <c r="C13" s="416">
        <f>IFERROR(IF(AND(A13="Jamal Crawford",$D$1="ATL"),"",VLOOKUP(A13,Player_Per_Game[[Player]:[PS/G]],3,FALSE)),"")</f>
        <v>37</v>
      </c>
      <c r="D13" s="416" t="str">
        <f>IF(AND(A13="Jamal Crawford",$D$1="ATL"),"",IFERROR(IF(AND(A13="Jamal Crawford",$D$1="ATL"),"",VLOOKUP(A13,'Player Per Game'!$B$6:$G$641,5,FALSE))&amp;" / "&amp;IF(AND(A13="Jamal Crawford",$D$1="ATL"),"",VLOOKUP(A13,'Player Per Game'!$B$6:$G$641,6,FALSE)),""))</f>
        <v>69 / 0</v>
      </c>
      <c r="E13" s="432">
        <f>IFERROR(IF(AND(A13="Jamal Crawford",$D$1="ATL"),"",VLOOKUP(A13,Player_Per_Game[[Player]:[PS/G]],7,FALSE)),"")</f>
        <v>19.899999999999999</v>
      </c>
      <c r="F13" s="434">
        <f>IFERROR(IF(AND(A13="Jamal Crawford",$D$1="ATL"),"",VLOOKUP($A13,Player_Per_Game[[Player]:[PS/G]],MATCH('Roster Analysis'!$F$4,Player_Per_Game[[#Headers],[Player]:[PS/G]],FALSE),FALSE)),"")</f>
        <v>0.34</v>
      </c>
      <c r="G13" s="424">
        <f>IFERROR(_xlfn.IFS($F$4="PF",PERCENTRANK(Player_Per_Game[PF],F13),$F$4="TOV",PERCENTRANK(Player_Per_Game[TOV],F13),$F$4="BLK",PERCENTRANK(Player_Per_Game[BLK],F13),$F$4="STL",PERCENTRANK(Player_Per_Game[STL],F13),$F$4="AST",PERCENTRANK(Player_Per_Game[AST],F13),$F$4="TRB",PERCENTRANK(Player_Per_Game[TRB],F13),$F$4="DRB",PERCENTRANK(Player_Per_Game[DRB],F13),$F$4="ORB",PERCENTRANK(Player_Per_Game[ORB],F13),$F$4="FT%",PERCENTRANK(Player_Per_Game[FT%],F13),$F$4="EFG%",PERCENTRANK(Player_Per_Game[eFG%],F13),$F$4="2P%",PERCENTRANK(Player_Per_Game[2P%],F13),$F$4="3P%",PERCENTRANK(Player_Per_Game[3P%],F13),$F$4="FG%",PERCENTRANK(Player_Per_Game[FG%],F13),$F$4="PS/G",PERCENTRANK(Player_Per_Game[PS/G],F13))*100,"")</f>
        <v>51</v>
      </c>
      <c r="H13" s="436">
        <f>IFERROR(IF(AND(A13="Jamal Crawford",$D$1="ATL"),"",VLOOKUP($A13,Player_Advanced[[Player]:[VORP]],MATCH('Roster Analysis'!$H$4,Player_Advanced[[#Headers],[Player]:[VORP]],FALSE),FALSE)),"")</f>
        <v>14</v>
      </c>
      <c r="I13" s="417">
        <f>IFERROR(_xlfn.IFS($H$4="VORP",PERCENTRANK(Player_Advanced[VORP],H13),$H$4="BPM",PERCENTRANK(Player_Advanced[BPM],H13),$H$4="DBPM",PERCENTRANK(Player_Advanced[DBPM],H13),$H$4="OBPM",PERCENTRANK(Player_Advanced[OBPM],H13),$H$4="WS/48",PERCENTRANK(Player_Advanced[WS/48],H13),$H$4="WS",PERCENTRANK(Player_Advanced[WS],H13),$H$4="DWS",PERCENTRANK(Player_Advanced[DWS],H13),$H$4="OWS",PERCENTRANK(Player_Advanced[OWS],H13),$H$4="USG%",PERCENTRANK(Player_Advanced[USG%],H13),$H$4="TOV%",PERCENTRANK(Player_Advanced[TOV%],H13),$H$4="BLK%",PERCENTRANK(Player_Advanced[BLK%],H13),$H$4="STL%",PERCENTRANK(Player_Advanced[STL%],H13),$H$4="TRB%",PERCENTRANK(Player_Advanced[TRB%],H13),$H$4="ast%",PERCENTRANK(Player_Advanced[AST%],H13),$H$4="drb%",PERCENTRANK(Player_Advanced[DRB%],H13),$H$4="orb%",PERCENTRANK(Player_Advanced[ORB%],H13),$H$4="TS%",PERCENTRANK(Player_Advanced[TS%],H13),$H$4="FTr",PERCENTRANK(Player_Advanced[FTr],H13),$H$4="PER",PERCENTRANK(Player_Advanced[PER],H13),$H$4="3PAr",PERCENTRANK(Player_Advanced[3PAr],H13))*100,"")</f>
        <v>59.5</v>
      </c>
      <c r="J13" s="418">
        <f>IF(A13="","",IFERROR(VLOOKUP(A13,'Player Salaries'!$B$5:$D$632,3,FALSE),""))</f>
        <v>10942762</v>
      </c>
      <c r="K13" s="419">
        <f>IF(J13="","",IFERROR(IF(VLOOKUP(A13,'Player Salaries'!$B$5:$F$632,4,FALSE)&lt;&gt;0,VLOOKUP(A13,'Player Salaries'!$B$5:$F$632,4,FALSE),IF(OR(VLOOKUP(A13,'Player Salaries'!$B$5:$J$632,9,FALSE)="1st Rd Pick",AND(VLOOKUP(A13,'Player Salaries'!$B$5:$J$632,9,FALSE)="1st Round Pick",VLOOKUP(A13,'Player Salaries'!$B$5:$J$632,3,FALSE)&lt;0.08*'Roster Analysis'!$J$28),AND(VLOOKUP(A13,'Player Salaries'!$B$5:$J$632,9,FALSE)="Cap Space",VLOOKUP(A13,'Player Salaries'!$B$5:$J$632,3,FALSE)&lt;1000000),AND(VLOOKUP(A13,'Player Salaries'!$B$5:$J$632,9,FALSE)="MLE",VLOOKUP(A13,'Player Salaries'!$B$5:$J$632,3,FALSE)&lt;1000000),J13=50000,AND(VLOOKUP(A13,'Player Salaries'!B13:K640,9,FALSE)="Minimum Salary",'Roster Analysis'!J13=1312611)),"RFA","UFA")),""))</f>
        <v>2304226</v>
      </c>
      <c r="L13" s="419" t="str">
        <f>IFERROR(IF(VLOOKUP(A13,'Player Salaries'!$B$5:$J$632,4,FALSE)=0,"",IF(VLOOKUP(A13,'Player Salaries'!$B$5:$J$632,5,FALSE)&lt;&gt;0,VLOOKUP(A13,'Player Salaries'!$B$5:$J$632,5,FALSE),IF(OR(VLOOKUP(A13,'Player Salaries'!$B$5:$J$632,9,FALSE)="1st Rd Pick",AND(VLOOKUP(A13,'Player Salaries'!$B$5:$J$632,9,FALSE)="1st Round Pick",VLOOKUP(A13,'Player Salaries'!$B$5:$J$632,4,FALSE)&lt;0.08*'Roster Analysis'!$J$28),AND(VLOOKUP(A13,'Player Salaries'!$B$5:$J$632,9,FALSE)="Cap Space",$K13=1544951),AND(VLOOKUP(A13,'Player Salaries'!$B$5:$J$632,9,FALSE)="Cap Space",VLOOKUP(A13,'Player Salaries'!$B$5:$J$632,4,FALSE)&lt;1000000),$K13=1378242,AND(VLOOKUP(A13,'Player Salaries'!$B$5:$J$632,9,FALSE)="MLE",VLOOKUP(A13,'Player Salaries'!$B$5:$J$632,4,FALSE)&lt;1000000),AND(VLOOKUP(A13,'Player Salaries'!$B$5:$K$632,9,FALSE)="Minimum Salary",K13=1544951)),"RFA","UFA"))),"")</f>
        <v>UFA</v>
      </c>
      <c r="M13" s="419" t="str">
        <f>IFERROR(IF(VLOOKUP(A13,'Player Salaries'!$B$5:$J$632,5,FALSE)=0,"",IF(VLOOKUP(A13,'Player Salaries'!$B$5:$J$632,6,FALSE)&lt;&gt;0,VLOOKUP(A13,'Player Salaries'!$B$5:$J$632,6,FALSE),IF(OR(VLOOKUP(A13,'Player Salaries'!$B$5:$J$632,9,FALSE)="1st Rd Pick",AND(VLOOKUP(A13,'Player Salaries'!$B$5:$J$632,9,FALSE)="1st Round Pick",VLOOKUP(A13,'Player Salaries'!$B$5:$J$632,5,FALSE)&lt;0.08*'Roster Analysis'!$J$28),AND(VLOOKUP(A13,'Player Salaries'!$B$5:$J$632,9,FALSE)="Cap Space",VLOOKUP(A13,'Player Salaries'!$B$5:$J$632,5,FALSE)&lt;1000000),$K13=1378242,AND(VLOOKUP(A13,'Player Salaries'!$B$5:$J$632,9,FALSE)="MLE",VLOOKUP(A13,'Player Salaries'!$B$5:$J$632,5,FALSE)&lt;1000000)),"RFA","UFA"))),"")</f>
        <v/>
      </c>
      <c r="N13" s="422" t="str">
        <f>IFERROR(IF(VLOOKUP(A13,'Player Salaries'!$B$5:$J$632,6,FALSE)=0,"",IF(VLOOKUP(A13,'Player Salaries'!$B$5:$J$632,7,FALSE)&lt;&gt;0,VLOOKUP(A13,'Player Salaries'!$B$5:$J$632,7,FALSE),IF(OR(VLOOKUP(A13,'Player Salaries'!$B$5:$J$632,9,FALSE)="1st Rd Pick",AND(VLOOKUP(A13,'Player Salaries'!$B$5:$J$632,9,FALSE)="1st Round Pick",VLOOKUP(A13,'Player Salaries'!$B$5:$J$632,6,FALSE)&lt;0.08*'Roster Analysis'!$J$28),AND(VLOOKUP(A13,'Player Salaries'!$B$5:$J$632,9,FALSE)="Cap Space",VLOOKUP(A13,'Player Salaries'!$B$5:$J$632,6,FALSE)&lt;1000000),AND(VLOOKUP(A13,'Player Salaries'!$B$5:$J$632,9,FALSE)="MLE",VLOOKUP(A13,'Player Salaries'!$B$5:$J$632,6,FALSE)&lt;1000000)),"RFA","UFA"))),"")</f>
        <v/>
      </c>
      <c r="O13" s="438" t="str">
        <f>IFERROR(IFERROR(VLOOKUP(A13,Injuries[],4,FALSE),_xlfn.IFS(A13="Larry Nance",VLOOKUP("Larry Nance Jr.",Injuries[],4,FALSE),A13="Glenn Robinson",VLOOKUP("Glenn Robinson III",Injuries[],4,FALSE)))&amp; IF(ISNUMBER(SEARCH("Season",VLOOKUP(A13,Injuries[],5,FALSE)))=FALSE,"","   X"),"")</f>
        <v/>
      </c>
      <c r="Q13" s="432" t="str">
        <f t="shared" si="0"/>
        <v/>
      </c>
      <c r="AI13" s="423" t="str">
        <f>IFERROR(VLOOKUP(A13,#REF!,MATCH($AI$3,#REF!,0)-1,FALSE),"")</f>
        <v/>
      </c>
      <c r="AJ13" s="424" t="str">
        <f>IFERROR(PERCENTRANK(#REF!,$AI13)*100,"")</f>
        <v/>
      </c>
      <c r="AK13" s="425" t="e">
        <f>PERCENTRANK(MATCH($H$4,#REF!,FALSE),'Roster Analysis'!H13)</f>
        <v>#REF!</v>
      </c>
      <c r="AN13" s="414" t="str">
        <f>IFERROR(IF(VLOOKUP('Roster Analysis'!A14,Player_Totals[[Player]:[MP]],7,FALSE)&gt;100,VLOOKUP(A14,#REF!,17,FALSE),"IMP"),"")</f>
        <v/>
      </c>
      <c r="AO13" s="415" t="str">
        <f>IF(AN13="IMP","IMP",IFERROR(PERCENTRANK('Player Per Game'!$R$6:$R$641,AN13)*100,""))</f>
        <v/>
      </c>
      <c r="AP13" s="425" t="str">
        <f>IFERROR(IF(VLOOKUP(A13,'Player Salaries'!B13:J586,9,FALSE)="",IF(VLOOKUP(A13,#REF!,3,FALSE),"YES"),"YES"),"DEAD")</f>
        <v>DEAD</v>
      </c>
      <c r="AQ13" s="431" t="e">
        <f>SUMIFS(#REF!,#REF!,H4,#REF!,A5)</f>
        <v>#REF!</v>
      </c>
    </row>
    <row r="14" spans="1:43">
      <c r="A14" s="409" t="str">
        <f t="array" ref="A14">IF(ROWS(A$5:A14)&gt;$E$1,"",INDEX('Player Salaries'!B$5:B$672,SMALL(IF('Player Salaries'!$C$5:$C$672=$D$1,ROW('Player Salaries'!$C$5:$C$672)-ROW('Player Salaries'!$E$5)+1),ROWS(A$5:A14))))</f>
        <v>Nemanja Bjelica</v>
      </c>
      <c r="B14" s="416" t="str">
        <f>IFERROR(IF(AND(A14="Jamal Crawford",$D$1="ATL"),"",VLOOKUP(A14,Player_Per_Game[[Player]:[Pos]],2,FALSE)),"")</f>
        <v>PF</v>
      </c>
      <c r="C14" s="416">
        <f>IFERROR(IF(AND(A14="Jamal Crawford",$D$1="ATL"),"",VLOOKUP(A14,Player_Per_Game[[Player]:[PS/G]],3,FALSE)),"")</f>
        <v>29</v>
      </c>
      <c r="D14" s="416" t="str">
        <f>IF(AND(A14="Jamal Crawford",$D$1="ATL"),"",IFERROR(IF(AND(A14="Jamal Crawford",$D$1="ATL"),"",VLOOKUP(A14,'Player Per Game'!$B$6:$G$641,5,FALSE))&amp;" / "&amp;IF(AND(A14="Jamal Crawford",$D$1="ATL"),"",VLOOKUP(A14,'Player Per Game'!$B$6:$G$641,6,FALSE)),""))</f>
        <v>56 / 13</v>
      </c>
      <c r="E14" s="432">
        <f>IFERROR(IF(AND(A14="Jamal Crawford",$D$1="ATL"),"",VLOOKUP(A14,Player_Per_Game[[Player]:[PS/G]],7,FALSE)),"")</f>
        <v>19.3</v>
      </c>
      <c r="F14" s="434">
        <f>IFERROR(IF(AND(A14="Jamal Crawford",$D$1="ATL"),"",VLOOKUP($A14,Player_Per_Game[[Player]:[PS/G]],MATCH('Roster Analysis'!$F$4,Player_Per_Game[[#Headers],[Player]:[PS/G]],FALSE),FALSE)),"")</f>
        <v>0.441</v>
      </c>
      <c r="G14" s="424">
        <f>IFERROR(_xlfn.IFS($F$4="PF",PERCENTRANK(Player_Per_Game[PF],F14),$F$4="TOV",PERCENTRANK(Player_Per_Game[TOV],F14),$F$4="BLK",PERCENTRANK(Player_Per_Game[BLK],F14),$F$4="STL",PERCENTRANK(Player_Per_Game[STL],F14),$F$4="AST",PERCENTRANK(Player_Per_Game[AST],F14),$F$4="TRB",PERCENTRANK(Player_Per_Game[TRB],F14),$F$4="DRB",PERCENTRANK(Player_Per_Game[DRB],F14),$F$4="ORB",PERCENTRANK(Player_Per_Game[ORB],F14),$F$4="FT%",PERCENTRANK(Player_Per_Game[FT%],F14),$F$4="EFG%",PERCENTRANK(Player_Per_Game[eFG%],F14),$F$4="2P%",PERCENTRANK(Player_Per_Game[2P%],F14),$F$4="3P%",PERCENTRANK(Player_Per_Game[3P%],F14),$F$4="FG%",PERCENTRANK(Player_Per_Game[FG%],F14),$F$4="PS/G",PERCENTRANK(Player_Per_Game[PS/G],F14))*100,"")</f>
        <v>92.9</v>
      </c>
      <c r="H14" s="436">
        <f>IFERROR(IF(AND(A14="Jamal Crawford",$D$1="ATL"),"",VLOOKUP($A14,Player_Advanced[[Player]:[VORP]],MATCH('Roster Analysis'!$H$4,Player_Advanced[[#Headers],[Player]:[VORP]],FALSE),FALSE)),"")</f>
        <v>13.9</v>
      </c>
      <c r="I14" s="417">
        <f>IFERROR(_xlfn.IFS($H$4="VORP",PERCENTRANK(Player_Advanced[VORP],H14),$H$4="BPM",PERCENTRANK(Player_Advanced[BPM],H14),$H$4="DBPM",PERCENTRANK(Player_Advanced[DBPM],H14),$H$4="OBPM",PERCENTRANK(Player_Advanced[OBPM],H14),$H$4="WS/48",PERCENTRANK(Player_Advanced[WS/48],H14),$H$4="WS",PERCENTRANK(Player_Advanced[WS],H14),$H$4="DWS",PERCENTRANK(Player_Advanced[DWS],H14),$H$4="OWS",PERCENTRANK(Player_Advanced[OWS],H14),$H$4="USG%",PERCENTRANK(Player_Advanced[USG%],H14),$H$4="TOV%",PERCENTRANK(Player_Advanced[TOV%],H14),$H$4="BLK%",PERCENTRANK(Player_Advanced[BLK%],H14),$H$4="STL%",PERCENTRANK(Player_Advanced[STL%],H14),$H$4="TRB%",PERCENTRANK(Player_Advanced[TRB%],H14),$H$4="ast%",PERCENTRANK(Player_Advanced[AST%],H14),$H$4="drb%",PERCENTRANK(Player_Advanced[DRB%],H14),$H$4="orb%",PERCENTRANK(Player_Advanced[ORB%],H14),$H$4="TS%",PERCENTRANK(Player_Advanced[TS%],H14),$H$4="FTr",PERCENTRANK(Player_Advanced[FTr],H14),$H$4="PER",PERCENTRANK(Player_Advanced[PER],H14),$H$4="3PAr",PERCENTRANK(Player_Advanced[3PAr],H14))*100,"")</f>
        <v>58.5</v>
      </c>
      <c r="J14" s="418">
        <f>IF(A14="","",IFERROR(VLOOKUP(A14,'Player Salaries'!$B$5:$D$632,3,FALSE),""))</f>
        <v>3949999</v>
      </c>
      <c r="K14" s="419" t="str">
        <f>IF(J14="","",IFERROR(IF(VLOOKUP(A14,'Player Salaries'!$B$5:$F$632,4,FALSE)&lt;&gt;0,VLOOKUP(A14,'Player Salaries'!$B$5:$F$632,4,FALSE),IF(OR(VLOOKUP(A14,'Player Salaries'!$B$5:$J$632,9,FALSE)="1st Rd Pick",AND(VLOOKUP(A14,'Player Salaries'!$B$5:$J$632,9,FALSE)="1st Round Pick",VLOOKUP(A14,'Player Salaries'!$B$5:$J$632,3,FALSE)&lt;0.08*'Roster Analysis'!$J$28),AND(VLOOKUP(A14,'Player Salaries'!$B$5:$J$632,9,FALSE)="Cap Space",VLOOKUP(A14,'Player Salaries'!$B$5:$J$632,3,FALSE)&lt;1000000),AND(VLOOKUP(A14,'Player Salaries'!$B$5:$J$632,9,FALSE)="MLE",VLOOKUP(A14,'Player Salaries'!$B$5:$J$632,3,FALSE)&lt;1000000),J14=50000,AND(VLOOKUP(A14,'Player Salaries'!B14:K641,9,FALSE)="Minimum Salary",'Roster Analysis'!J14=1312611)),"RFA","UFA")),""))</f>
        <v>UFA</v>
      </c>
      <c r="L14" s="419" t="str">
        <f>IFERROR(IF(VLOOKUP(A14,'Player Salaries'!$B$5:$J$632,4,FALSE)=0,"",IF(VLOOKUP(A14,'Player Salaries'!$B$5:$J$632,5,FALSE)&lt;&gt;0,VLOOKUP(A14,'Player Salaries'!$B$5:$J$632,5,FALSE),IF(OR(VLOOKUP(A14,'Player Salaries'!$B$5:$J$632,9,FALSE)="1st Rd Pick",AND(VLOOKUP(A14,'Player Salaries'!$B$5:$J$632,9,FALSE)="1st Round Pick",VLOOKUP(A14,'Player Salaries'!$B$5:$J$632,4,FALSE)&lt;0.08*'Roster Analysis'!$J$28),AND(VLOOKUP(A14,'Player Salaries'!$B$5:$J$632,9,FALSE)="Cap Space",$K14=1544951),AND(VLOOKUP(A14,'Player Salaries'!$B$5:$J$632,9,FALSE)="Cap Space",VLOOKUP(A14,'Player Salaries'!$B$5:$J$632,4,FALSE)&lt;1000000),$K14=1378242,AND(VLOOKUP(A14,'Player Salaries'!$B$5:$J$632,9,FALSE)="MLE",VLOOKUP(A14,'Player Salaries'!$B$5:$J$632,4,FALSE)&lt;1000000),AND(VLOOKUP(A14,'Player Salaries'!$B$5:$K$632,9,FALSE)="Minimum Salary",K14=1544951)),"RFA","UFA"))),"")</f>
        <v/>
      </c>
      <c r="M14" s="419" t="str">
        <f>IFERROR(IF(VLOOKUP(A14,'Player Salaries'!$B$5:$J$632,5,FALSE)=0,"",IF(VLOOKUP(A14,'Player Salaries'!$B$5:$J$632,6,FALSE)&lt;&gt;0,VLOOKUP(A14,'Player Salaries'!$B$5:$J$632,6,FALSE),IF(OR(VLOOKUP(A14,'Player Salaries'!$B$5:$J$632,9,FALSE)="1st Rd Pick",AND(VLOOKUP(A14,'Player Salaries'!$B$5:$J$632,9,FALSE)="1st Round Pick",VLOOKUP(A14,'Player Salaries'!$B$5:$J$632,5,FALSE)&lt;0.08*'Roster Analysis'!$J$28),AND(VLOOKUP(A14,'Player Salaries'!$B$5:$J$632,9,FALSE)="Cap Space",VLOOKUP(A14,'Player Salaries'!$B$5:$J$632,5,FALSE)&lt;1000000),$K14=1378242,AND(VLOOKUP(A14,'Player Salaries'!$B$5:$J$632,9,FALSE)="MLE",VLOOKUP(A14,'Player Salaries'!$B$5:$J$632,5,FALSE)&lt;1000000)),"RFA","UFA"))),"")</f>
        <v/>
      </c>
      <c r="N14" s="422" t="str">
        <f>IFERROR(IF(VLOOKUP(A14,'Player Salaries'!$B$5:$J$632,6,FALSE)=0,"",IF(VLOOKUP(A14,'Player Salaries'!$B$5:$J$632,7,FALSE)&lt;&gt;0,VLOOKUP(A14,'Player Salaries'!$B$5:$J$632,7,FALSE),IF(OR(VLOOKUP(A14,'Player Salaries'!$B$5:$J$632,9,FALSE)="1st Rd Pick",AND(VLOOKUP(A14,'Player Salaries'!$B$5:$J$632,9,FALSE)="1st Round Pick",VLOOKUP(A14,'Player Salaries'!$B$5:$J$632,6,FALSE)&lt;0.08*'Roster Analysis'!$J$28),AND(VLOOKUP(A14,'Player Salaries'!$B$5:$J$632,9,FALSE)="Cap Space",VLOOKUP(A14,'Player Salaries'!$B$5:$J$632,6,FALSE)&lt;1000000),AND(VLOOKUP(A14,'Player Salaries'!$B$5:$J$632,9,FALSE)="MLE",VLOOKUP(A14,'Player Salaries'!$B$5:$J$632,6,FALSE)&lt;1000000)),"RFA","UFA"))),"")</f>
        <v/>
      </c>
      <c r="O14" s="438" t="str">
        <f>IFERROR(IFERROR(VLOOKUP(A14,Injuries[],4,FALSE),_xlfn.IFS(A14="Larry Nance",VLOOKUP("Larry Nance Jr.",Injuries[],4,FALSE),A14="Glenn Robinson",VLOOKUP("Glenn Robinson III",Injuries[],4,FALSE)))&amp; IF(ISNUMBER(SEARCH("Season",VLOOKUP(A14,Injuries[],5,FALSE)))=FALSE,"","   X"),"")</f>
        <v/>
      </c>
      <c r="Q14" s="432" t="str">
        <f t="shared" si="0"/>
        <v/>
      </c>
      <c r="AI14" s="423" t="str">
        <f>IFERROR(VLOOKUP(A14,#REF!,MATCH($AI$3,#REF!,0)-1,FALSE),"")</f>
        <v/>
      </c>
      <c r="AJ14" s="424" t="str">
        <f>IFERROR(PERCENTRANK(#REF!,$AI14)*100,"")</f>
        <v/>
      </c>
      <c r="AK14" s="425" t="e">
        <f>PERCENTRANK(MATCH($H$4,#REF!,FALSE),'Roster Analysis'!H14)</f>
        <v>#REF!</v>
      </c>
      <c r="AN14" s="414" t="str">
        <f>IFERROR(IF(VLOOKUP('Roster Analysis'!A15,Player_Totals[[Player]:[MP]],7,FALSE)&gt;100,VLOOKUP(A15,#REF!,17,FALSE),"IMP"),"")</f>
        <v/>
      </c>
      <c r="AO14" s="415" t="str">
        <f>IF(AN14="IMP","IMP",IFERROR(PERCENTRANK('Player Per Game'!$R$6:$R$641,AN14)*100,""))</f>
        <v/>
      </c>
      <c r="AP14" s="425" t="str">
        <f>IFERROR(IF(VLOOKUP(A14,'Player Salaries'!B14:J587,9,FALSE)="",IF(VLOOKUP(A14,#REF!,3,FALSE),"YES"),"YES"),"DEAD")</f>
        <v>YES</v>
      </c>
      <c r="AQ14" s="14" t="s">
        <v>802</v>
      </c>
    </row>
    <row r="15" spans="1:43" ht="15" customHeight="1">
      <c r="A15" s="409" t="str">
        <f t="array" ref="A15">IF(ROWS(A$5:A15)&gt;$E$1,"",INDEX('Player Salaries'!B$5:B$672,SMALL(IF('Player Salaries'!$C$5:$C$672=$D$1,ROW('Player Salaries'!$C$5:$C$672)-ROW('Player Salaries'!$E$5)+1),ROWS(A$5:A15))))</f>
        <v>Justin Patton</v>
      </c>
      <c r="B15" s="416" t="str">
        <f>IFERROR(IF(AND(A15="Jamal Crawford",$D$1="ATL"),"",VLOOKUP(A15,Player_Per_Game[[Player]:[Pos]],2,FALSE)),"")</f>
        <v/>
      </c>
      <c r="C15" s="416" t="str">
        <f>IFERROR(IF(AND(A15="Jamal Crawford",$D$1="ATL"),"",VLOOKUP(A15,Player_Per_Game[[Player]:[PS/G]],3,FALSE)),"")</f>
        <v/>
      </c>
      <c r="D15" s="416" t="str">
        <f>IF(AND(A15="Jamal Crawford",$D$1="ATL"),"",IFERROR(IF(AND(A15="Jamal Crawford",$D$1="ATL"),"",VLOOKUP(A15,'Player Per Game'!$B$6:$G$641,5,FALSE))&amp;" / "&amp;IF(AND(A15="Jamal Crawford",$D$1="ATL"),"",VLOOKUP(A15,'Player Per Game'!$B$6:$G$641,6,FALSE)),""))</f>
        <v/>
      </c>
      <c r="E15" s="432" t="str">
        <f>IFERROR(IF(AND(A15="Jamal Crawford",$D$1="ATL"),"",VLOOKUP(A15,Player_Per_Game[[Player]:[PS/G]],7,FALSE)),"")</f>
        <v/>
      </c>
      <c r="F15" s="434" t="str">
        <f>IFERROR(IF(AND(A15="Jamal Crawford",$D$1="ATL"),"",VLOOKUP($A15,Player_Per_Game[[Player]:[PS/G]],MATCH('Roster Analysis'!$F$4,Player_Per_Game[[#Headers],[Player]:[PS/G]],FALSE),FALSE)),"")</f>
        <v/>
      </c>
      <c r="G15" s="424" t="str">
        <f>IFERROR(_xlfn.IFS($F$4="PF",PERCENTRANK(Player_Per_Game[PF],F15),$F$4="TOV",PERCENTRANK(Player_Per_Game[TOV],F15),$F$4="BLK",PERCENTRANK(Player_Per_Game[BLK],F15),$F$4="STL",PERCENTRANK(Player_Per_Game[STL],F15),$F$4="AST",PERCENTRANK(Player_Per_Game[AST],F15),$F$4="TRB",PERCENTRANK(Player_Per_Game[TRB],F15),$F$4="DRB",PERCENTRANK(Player_Per_Game[DRB],F15),$F$4="ORB",PERCENTRANK(Player_Per_Game[ORB],F15),$F$4="FT%",PERCENTRANK(Player_Per_Game[FT%],F15),$F$4="EFG%",PERCENTRANK(Player_Per_Game[eFG%],F15),$F$4="2P%",PERCENTRANK(Player_Per_Game[2P%],F15),$F$4="3P%",PERCENTRANK(Player_Per_Game[3P%],F15),$F$4="FG%",PERCENTRANK(Player_Per_Game[FG%],F15),$F$4="PS/G",PERCENTRANK(Player_Per_Game[PS/G],F15))*100,"")</f>
        <v/>
      </c>
      <c r="H15" s="436" t="str">
        <f>IFERROR(IF(AND(A15="Jamal Crawford",$D$1="ATL"),"",VLOOKUP($A15,Player_Advanced[[Player]:[VORP]],MATCH('Roster Analysis'!$H$4,Player_Advanced[[#Headers],[Player]:[VORP]],FALSE),FALSE)),"")</f>
        <v/>
      </c>
      <c r="I15" s="417" t="str">
        <f>IFERROR(_xlfn.IFS($H$4="VORP",PERCENTRANK(Player_Advanced[VORP],H15),$H$4="BPM",PERCENTRANK(Player_Advanced[BPM],H15),$H$4="DBPM",PERCENTRANK(Player_Advanced[DBPM],H15),$H$4="OBPM",PERCENTRANK(Player_Advanced[OBPM],H15),$H$4="WS/48",PERCENTRANK(Player_Advanced[WS/48],H15),$H$4="WS",PERCENTRANK(Player_Advanced[WS],H15),$H$4="DWS",PERCENTRANK(Player_Advanced[DWS],H15),$H$4="OWS",PERCENTRANK(Player_Advanced[OWS],H15),$H$4="USG%",PERCENTRANK(Player_Advanced[USG%],H15),$H$4="TOV%",PERCENTRANK(Player_Advanced[TOV%],H15),$H$4="BLK%",PERCENTRANK(Player_Advanced[BLK%],H15),$H$4="STL%",PERCENTRANK(Player_Advanced[STL%],H15),$H$4="TRB%",PERCENTRANK(Player_Advanced[TRB%],H15),$H$4="ast%",PERCENTRANK(Player_Advanced[AST%],H15),$H$4="drb%",PERCENTRANK(Player_Advanced[DRB%],H15),$H$4="orb%",PERCENTRANK(Player_Advanced[ORB%],H15),$H$4="TS%",PERCENTRANK(Player_Advanced[TS%],H15),$H$4="FTr",PERCENTRANK(Player_Advanced[FTr],H15),$H$4="PER",PERCENTRANK(Player_Advanced[PER],H15),$H$4="3PAr",PERCENTRANK(Player_Advanced[3PAr],H15))*100,"")</f>
        <v/>
      </c>
      <c r="J15" s="418">
        <f>IF(A15="","",IFERROR(VLOOKUP(A15,'Player Salaries'!$B$5:$D$632,3,FALSE),""))</f>
        <v>2247480</v>
      </c>
      <c r="K15" s="419">
        <f>IF(J15="","",IFERROR(IF(VLOOKUP(A15,'Player Salaries'!$B$5:$F$632,4,FALSE)&lt;&gt;0,VLOOKUP(A15,'Player Salaries'!$B$5:$F$632,4,FALSE),IF(OR(VLOOKUP(A15,'Player Salaries'!$B$5:$J$632,9,FALSE)="1st Rd Pick",AND(VLOOKUP(A15,'Player Salaries'!$B$5:$J$632,9,FALSE)="1st Round Pick",VLOOKUP(A15,'Player Salaries'!$B$5:$J$632,3,FALSE)&lt;0.08*'Roster Analysis'!$J$28),AND(VLOOKUP(A15,'Player Salaries'!$B$5:$J$632,9,FALSE)="Cap Space",VLOOKUP(A15,'Player Salaries'!$B$5:$J$632,3,FALSE)&lt;1000000),AND(VLOOKUP(A15,'Player Salaries'!$B$5:$J$632,9,FALSE)="MLE",VLOOKUP(A15,'Player Salaries'!$B$5:$J$632,3,FALSE)&lt;1000000),J15=50000,AND(VLOOKUP(A15,'Player Salaries'!B15:K642,9,FALSE)="Minimum Salary",'Roster Analysis'!J15=1312611)),"RFA","UFA")),""))</f>
        <v>2667600</v>
      </c>
      <c r="L15" s="419">
        <f>IFERROR(IF(VLOOKUP(A15,'Player Salaries'!$B$5:$J$632,4,FALSE)=0,"",IF(VLOOKUP(A15,'Player Salaries'!$B$5:$J$632,5,FALSE)&lt;&gt;0,VLOOKUP(A15,'Player Salaries'!$B$5:$J$632,5,FALSE),IF(OR(VLOOKUP(A15,'Player Salaries'!$B$5:$J$632,9,FALSE)="1st Rd Pick",AND(VLOOKUP(A15,'Player Salaries'!$B$5:$J$632,9,FALSE)="1st Round Pick",VLOOKUP(A15,'Player Salaries'!$B$5:$J$632,4,FALSE)&lt;0.08*'Roster Analysis'!$J$28),AND(VLOOKUP(A15,'Player Salaries'!$B$5:$J$632,9,FALSE)="Cap Space",$K15=1544951),AND(VLOOKUP(A15,'Player Salaries'!$B$5:$J$632,9,FALSE)="Cap Space",VLOOKUP(A15,'Player Salaries'!$B$5:$J$632,4,FALSE)&lt;1000000),$K15=1378242,AND(VLOOKUP(A15,'Player Salaries'!$B$5:$J$632,9,FALSE)="MLE",VLOOKUP(A15,'Player Salaries'!$B$5:$J$632,4,FALSE)&lt;1000000),AND(VLOOKUP(A15,'Player Salaries'!$B$5:$K$632,9,FALSE)="Minimum Salary",K15=1544951)),"RFA","UFA"))),"")</f>
        <v>3117240</v>
      </c>
      <c r="M15" s="419">
        <f>IFERROR(IF(VLOOKUP(A15,'Player Salaries'!$B$5:$J$632,5,FALSE)=0,"",IF(VLOOKUP(A15,'Player Salaries'!$B$5:$J$632,6,FALSE)&lt;&gt;0,VLOOKUP(A15,'Player Salaries'!$B$5:$J$632,6,FALSE),IF(OR(VLOOKUP(A15,'Player Salaries'!$B$5:$J$632,9,FALSE)="1st Rd Pick",AND(VLOOKUP(A15,'Player Salaries'!$B$5:$J$632,9,FALSE)="1st Round Pick",VLOOKUP(A15,'Player Salaries'!$B$5:$J$632,5,FALSE)&lt;0.08*'Roster Analysis'!$J$28),AND(VLOOKUP(A15,'Player Salaries'!$B$5:$J$632,9,FALSE)="Cap Space",VLOOKUP(A15,'Player Salaries'!$B$5:$J$632,5,FALSE)&lt;1000000),$K15=1378242,AND(VLOOKUP(A15,'Player Salaries'!$B$5:$J$632,9,FALSE)="MLE",VLOOKUP(A15,'Player Salaries'!$B$5:$J$632,5,FALSE)&lt;1000000)),"RFA","UFA"))),"")</f>
        <v>4781846</v>
      </c>
      <c r="N15" s="422" t="str">
        <f>IFERROR(IF(VLOOKUP(A15,'Player Salaries'!$B$5:$J$632,6,FALSE)=0,"",IF(VLOOKUP(A15,'Player Salaries'!$B$5:$J$632,7,FALSE)&lt;&gt;0,VLOOKUP(A15,'Player Salaries'!$B$5:$J$632,7,FALSE),IF(OR(VLOOKUP(A15,'Player Salaries'!$B$5:$J$632,9,FALSE)="1st Rd Pick",AND(VLOOKUP(A15,'Player Salaries'!$B$5:$J$632,9,FALSE)="1st Round Pick",VLOOKUP(A15,'Player Salaries'!$B$5:$J$632,6,FALSE)&lt;0.08*'Roster Analysis'!$J$28),AND(VLOOKUP(A15,'Player Salaries'!$B$5:$J$632,9,FALSE)="Cap Space",VLOOKUP(A15,'Player Salaries'!$B$5:$J$632,6,FALSE)&lt;1000000),AND(VLOOKUP(A15,'Player Salaries'!$B$5:$J$632,9,FALSE)="MLE",VLOOKUP(A15,'Player Salaries'!$B$5:$J$632,6,FALSE)&lt;1000000)),"RFA","UFA"))),"")</f>
        <v>RFA</v>
      </c>
      <c r="O15" s="438" t="str">
        <f>IFERROR(IFERROR(VLOOKUP(A15,Injuries[],4,FALSE),_xlfn.IFS(A15="Larry Nance",VLOOKUP("Larry Nance Jr.",Injuries[],4,FALSE),A15="Glenn Robinson",VLOOKUP("Glenn Robinson III",Injuries[],4,FALSE)))&amp; IF(ISNUMBER(SEARCH("Season",VLOOKUP(A15,Injuries[],5,FALSE)))=FALSE,"","   X"),"")</f>
        <v/>
      </c>
      <c r="Q15" s="432" t="str">
        <f t="shared" si="0"/>
        <v/>
      </c>
      <c r="S15" s="220"/>
      <c r="T15" s="221"/>
      <c r="U15" s="221"/>
      <c r="V15" s="221"/>
      <c r="W15" s="221"/>
      <c r="X15" s="221"/>
      <c r="Y15" s="221"/>
      <c r="Z15" s="221"/>
      <c r="AA15" s="221"/>
      <c r="AB15" s="221"/>
      <c r="AC15" s="221"/>
      <c r="AD15" s="221"/>
      <c r="AE15" s="221"/>
      <c r="AF15" s="221"/>
      <c r="AI15" s="423" t="str">
        <f>IFERROR(VLOOKUP(A15,#REF!,MATCH($AI$3,#REF!,0)-1,FALSE),"")</f>
        <v/>
      </c>
      <c r="AJ15" s="424" t="str">
        <f>IFERROR(PERCENTRANK(#REF!,$AI15)*100,"")</f>
        <v/>
      </c>
      <c r="AK15" s="425" t="e">
        <f>PERCENTRANK(MATCH($H$4,#REF!,FALSE),'Roster Analysis'!H15)</f>
        <v>#REF!</v>
      </c>
      <c r="AN15" s="414" t="str">
        <f>IFERROR(IF(VLOOKUP('Roster Analysis'!A16,Player_Totals[[Player]:[MP]],7,FALSE)&gt;100,VLOOKUP(A16,#REF!,17,FALSE),"IMP"),"")</f>
        <v/>
      </c>
      <c r="AO15" s="415" t="str">
        <f>IF(AN15="IMP","IMP",IFERROR(PERCENTRANK('Player Per Game'!$R$6:$R$641,AN15)*100,""))</f>
        <v/>
      </c>
      <c r="AP15" s="425" t="str">
        <f>IFERROR(IF(VLOOKUP(A15,'Player Salaries'!B15:J588,9,FALSE)="",IF(VLOOKUP(A15,#REF!,3,FALSE),"YES"),"YES"),"DEAD")</f>
        <v>YES</v>
      </c>
      <c r="AQ15" s="21" t="s">
        <v>808</v>
      </c>
    </row>
    <row r="16" spans="1:43">
      <c r="A16" s="409" t="str">
        <f t="array" ref="A16">IF(ROWS(A$5:A16)&gt;$E$1,"",INDEX('Player Salaries'!B$5:B$672,SMALL(IF('Player Salaries'!$C$5:$C$672=$D$1,ROW('Player Salaries'!$C$5:$C$672)-ROW('Player Salaries'!$E$5)+1),ROWS(A$5:A16))))</f>
        <v>Aaron Brooks</v>
      </c>
      <c r="B16" s="416" t="str">
        <f>IFERROR(IF(AND(A16="Jamal Crawford",$D$1="ATL"),"",VLOOKUP(A16,Player_Per_Game[[Player]:[Pos]],2,FALSE)),"")</f>
        <v>PG</v>
      </c>
      <c r="C16" s="416">
        <f>IFERROR(IF(AND(A16="Jamal Crawford",$D$1="ATL"),"",VLOOKUP(A16,Player_Per_Game[[Player]:[PS/G]],3,FALSE)),"")</f>
        <v>33</v>
      </c>
      <c r="D16" s="416" t="str">
        <f>IF(AND(A16="Jamal Crawford",$D$1="ATL"),"",IFERROR(IF(AND(A16="Jamal Crawford",$D$1="ATL"),"",VLOOKUP(A16,'Player Per Game'!$B$6:$G$641,5,FALSE))&amp;" / "&amp;IF(AND(A16="Jamal Crawford",$D$1="ATL"),"",VLOOKUP(A16,'Player Per Game'!$B$6:$G$641,6,FALSE)),""))</f>
        <v>29 / 1</v>
      </c>
      <c r="E16" s="432">
        <f>IFERROR(IF(AND(A16="Jamal Crawford",$D$1="ATL"),"",VLOOKUP(A16,Player_Per_Game[[Player]:[PS/G]],7,FALSE)),"")</f>
        <v>5.5</v>
      </c>
      <c r="F16" s="434">
        <f>IFERROR(IF(AND(A16="Jamal Crawford",$D$1="ATL"),"",VLOOKUP($A16,Player_Per_Game[[Player]:[PS/G]],MATCH('Roster Analysis'!$F$4,Player_Per_Game[[#Headers],[Player]:[PS/G]],FALSE),FALSE)),"")</f>
        <v>0.33300000000000002</v>
      </c>
      <c r="G16" s="424">
        <f>IFERROR(_xlfn.IFS($F$4="PF",PERCENTRANK(Player_Per_Game[PF],F16),$F$4="TOV",PERCENTRANK(Player_Per_Game[TOV],F16),$F$4="BLK",PERCENTRANK(Player_Per_Game[BLK],F16),$F$4="STL",PERCENTRANK(Player_Per_Game[STL],F16),$F$4="AST",PERCENTRANK(Player_Per_Game[AST],F16),$F$4="TRB",PERCENTRANK(Player_Per_Game[TRB],F16),$F$4="DRB",PERCENTRANK(Player_Per_Game[DRB],F16),$F$4="ORB",PERCENTRANK(Player_Per_Game[ORB],F16),$F$4="FT%",PERCENTRANK(Player_Per_Game[FT%],F16),$F$4="EFG%",PERCENTRANK(Player_Per_Game[eFG%],F16),$F$4="2P%",PERCENTRANK(Player_Per_Game[2P%],F16),$F$4="3P%",PERCENTRANK(Player_Per_Game[3P%],F16),$F$4="FG%",PERCENTRANK(Player_Per_Game[FG%],F16),$F$4="PS/G",PERCENTRANK(Player_Per_Game[PS/G],F16))*100,"")</f>
        <v>46.300000000000004</v>
      </c>
      <c r="H16" s="436">
        <f>IFERROR(IF(AND(A16="Jamal Crawford",$D$1="ATL"),"",VLOOKUP($A16,Player_Advanced[[Player]:[VORP]],MATCH('Roster Analysis'!$H$4,Player_Advanced[[#Headers],[Player]:[VORP]],FALSE),FALSE)),"")</f>
        <v>9.8000000000000007</v>
      </c>
      <c r="I16" s="417">
        <f>IFERROR(_xlfn.IFS($H$4="VORP",PERCENTRANK(Player_Advanced[VORP],H16),$H$4="BPM",PERCENTRANK(Player_Advanced[BPM],H16),$H$4="DBPM",PERCENTRANK(Player_Advanced[DBPM],H16),$H$4="OBPM",PERCENTRANK(Player_Advanced[OBPM],H16),$H$4="WS/48",PERCENTRANK(Player_Advanced[WS/48],H16),$H$4="WS",PERCENTRANK(Player_Advanced[WS],H16),$H$4="DWS",PERCENTRANK(Player_Advanced[DWS],H16),$H$4="OWS",PERCENTRANK(Player_Advanced[OWS],H16),$H$4="USG%",PERCENTRANK(Player_Advanced[USG%],H16),$H$4="TOV%",PERCENTRANK(Player_Advanced[TOV%],H16),$H$4="BLK%",PERCENTRANK(Player_Advanced[BLK%],H16),$H$4="STL%",PERCENTRANK(Player_Advanced[STL%],H16),$H$4="TRB%",PERCENTRANK(Player_Advanced[TRB%],H16),$H$4="ast%",PERCENTRANK(Player_Advanced[AST%],H16),$H$4="drb%",PERCENTRANK(Player_Advanced[DRB%],H16),$H$4="orb%",PERCENTRANK(Player_Advanced[ORB%],H16),$H$4="TS%",PERCENTRANK(Player_Advanced[TS%],H16),$H$4="FTr",PERCENTRANK(Player_Advanced[FTr],H16),$H$4="PER",PERCENTRANK(Player_Advanced[PER],H16),$H$4="3PAr",PERCENTRANK(Player_Advanced[3PAr],H16))*100,"")</f>
        <v>29.9</v>
      </c>
      <c r="J16" s="418">
        <f>IF(A16="","",IFERROR(VLOOKUP(A16,'Player Salaries'!$B$5:$D$632,3,FALSE),""))</f>
        <v>2116955</v>
      </c>
      <c r="K16" s="419" t="str">
        <f>IF(J16="","",IFERROR(IF(VLOOKUP(A16,'Player Salaries'!$B$5:$F$632,4,FALSE)&lt;&gt;0,VLOOKUP(A16,'Player Salaries'!$B$5:$F$632,4,FALSE),IF(OR(VLOOKUP(A16,'Player Salaries'!$B$5:$J$632,9,FALSE)="1st Rd Pick",AND(VLOOKUP(A16,'Player Salaries'!$B$5:$J$632,9,FALSE)="1st Round Pick",VLOOKUP(A16,'Player Salaries'!$B$5:$J$632,3,FALSE)&lt;0.08*'Roster Analysis'!$J$28),AND(VLOOKUP(A16,'Player Salaries'!$B$5:$J$632,9,FALSE)="Cap Space",VLOOKUP(A16,'Player Salaries'!$B$5:$J$632,3,FALSE)&lt;1000000),AND(VLOOKUP(A16,'Player Salaries'!$B$5:$J$632,9,FALSE)="MLE",VLOOKUP(A16,'Player Salaries'!$B$5:$J$632,3,FALSE)&lt;1000000),J16=50000,AND(VLOOKUP(A16,'Player Salaries'!B16:K643,9,FALSE)="Minimum Salary",'Roster Analysis'!J16=1312611)),"RFA","UFA")),""))</f>
        <v>UFA</v>
      </c>
      <c r="L16" s="419" t="str">
        <f>IFERROR(IF(VLOOKUP(A16,'Player Salaries'!$B$5:$J$632,4,FALSE)=0,"",IF(VLOOKUP(A16,'Player Salaries'!$B$5:$J$632,5,FALSE)&lt;&gt;0,VLOOKUP(A16,'Player Salaries'!$B$5:$J$632,5,FALSE),IF(OR(VLOOKUP(A16,'Player Salaries'!$B$5:$J$632,9,FALSE)="1st Rd Pick",AND(VLOOKUP(A16,'Player Salaries'!$B$5:$J$632,9,FALSE)="1st Round Pick",VLOOKUP(A16,'Player Salaries'!$B$5:$J$632,4,FALSE)&lt;0.08*'Roster Analysis'!$J$28),AND(VLOOKUP(A16,'Player Salaries'!$B$5:$J$632,9,FALSE)="Cap Space",$K16=1544951),AND(VLOOKUP(A16,'Player Salaries'!$B$5:$J$632,9,FALSE)="Cap Space",VLOOKUP(A16,'Player Salaries'!$B$5:$J$632,4,FALSE)&lt;1000000),$K16=1378242,AND(VLOOKUP(A16,'Player Salaries'!$B$5:$J$632,9,FALSE)="MLE",VLOOKUP(A16,'Player Salaries'!$B$5:$J$632,4,FALSE)&lt;1000000),AND(VLOOKUP(A16,'Player Salaries'!$B$5:$K$632,9,FALSE)="Minimum Salary",K16=1544951)),"RFA","UFA"))),"")</f>
        <v/>
      </c>
      <c r="M16" s="419" t="str">
        <f>IFERROR(IF(VLOOKUP(A16,'Player Salaries'!$B$5:$J$632,5,FALSE)=0,"",IF(VLOOKUP(A16,'Player Salaries'!$B$5:$J$632,6,FALSE)&lt;&gt;0,VLOOKUP(A16,'Player Salaries'!$B$5:$J$632,6,FALSE),IF(OR(VLOOKUP(A16,'Player Salaries'!$B$5:$J$632,9,FALSE)="1st Rd Pick",AND(VLOOKUP(A16,'Player Salaries'!$B$5:$J$632,9,FALSE)="1st Round Pick",VLOOKUP(A16,'Player Salaries'!$B$5:$J$632,5,FALSE)&lt;0.08*'Roster Analysis'!$J$28),AND(VLOOKUP(A16,'Player Salaries'!$B$5:$J$632,9,FALSE)="Cap Space",VLOOKUP(A16,'Player Salaries'!$B$5:$J$632,5,FALSE)&lt;1000000),$K16=1378242,AND(VLOOKUP(A16,'Player Salaries'!$B$5:$J$632,9,FALSE)="MLE",VLOOKUP(A16,'Player Salaries'!$B$5:$J$632,5,FALSE)&lt;1000000)),"RFA","UFA"))),"")</f>
        <v/>
      </c>
      <c r="N16" s="422" t="str">
        <f>IFERROR(IF(VLOOKUP(A16,'Player Salaries'!$B$5:$J$632,6,FALSE)=0,"",IF(VLOOKUP(A16,'Player Salaries'!$B$5:$J$632,7,FALSE)&lt;&gt;0,VLOOKUP(A16,'Player Salaries'!$B$5:$J$632,7,FALSE),IF(OR(VLOOKUP(A16,'Player Salaries'!$B$5:$J$632,9,FALSE)="1st Rd Pick",AND(VLOOKUP(A16,'Player Salaries'!$B$5:$J$632,9,FALSE)="1st Round Pick",VLOOKUP(A16,'Player Salaries'!$B$5:$J$632,6,FALSE)&lt;0.08*'Roster Analysis'!$J$28),AND(VLOOKUP(A16,'Player Salaries'!$B$5:$J$632,9,FALSE)="Cap Space",VLOOKUP(A16,'Player Salaries'!$B$5:$J$632,6,FALSE)&lt;1000000),AND(VLOOKUP(A16,'Player Salaries'!$B$5:$J$632,9,FALSE)="MLE",VLOOKUP(A16,'Player Salaries'!$B$5:$J$632,6,FALSE)&lt;1000000)),"RFA","UFA"))),"")</f>
        <v/>
      </c>
      <c r="O16" s="438" t="str">
        <f>IFERROR(IFERROR(VLOOKUP(A16,Injuries[],4,FALSE),_xlfn.IFS(A16="Larry Nance",VLOOKUP("Larry Nance Jr.",Injuries[],4,FALSE),A16="Glenn Robinson",VLOOKUP("Glenn Robinson III",Injuries[],4,FALSE)))&amp; IF(ISNUMBER(SEARCH("Season",VLOOKUP(A16,Injuries[],5,FALSE)))=FALSE,"","   X"),"")</f>
        <v>Personal</v>
      </c>
      <c r="Q16" s="432" t="str">
        <f t="shared" si="0"/>
        <v/>
      </c>
      <c r="S16" s="221"/>
      <c r="T16" s="221"/>
      <c r="U16" s="221"/>
      <c r="V16" s="221"/>
      <c r="W16" s="221"/>
      <c r="X16" s="221"/>
      <c r="Y16" s="221"/>
      <c r="Z16" s="221"/>
      <c r="AA16" s="221"/>
      <c r="AB16" s="221"/>
      <c r="AC16" s="221"/>
      <c r="AD16" s="221"/>
      <c r="AE16" s="221"/>
      <c r="AF16" s="221"/>
      <c r="AI16" s="423" t="str">
        <f>IFERROR(VLOOKUP(A16,#REF!,MATCH($AI$3,#REF!,0)-1,FALSE),"")</f>
        <v/>
      </c>
      <c r="AJ16" s="424" t="str">
        <f>IFERROR(PERCENTRANK(#REF!,$AI16)*100,"")</f>
        <v/>
      </c>
      <c r="AK16" s="425" t="e">
        <f>PERCENTRANK(MATCH($H$4,#REF!,FALSE),'Roster Analysis'!H16)</f>
        <v>#REF!</v>
      </c>
      <c r="AN16" s="414" t="str">
        <f>IFERROR(IF(VLOOKUP('Roster Analysis'!A17,Player_Totals[[Player]:[MP]],7,FALSE)&gt;100,VLOOKUP(A17,#REF!,17,FALSE),"IMP"),"")</f>
        <v/>
      </c>
      <c r="AO16" s="415" t="str">
        <f>IF(AN16="IMP","IMP",IFERROR(PERCENTRANK('Player Per Game'!$R$6:$R$641,AN16)*100,""))</f>
        <v/>
      </c>
      <c r="AP16" s="425" t="str">
        <f>IFERROR(IF(VLOOKUP(A16,'Player Salaries'!B16:J589,9,FALSE)="",IF(VLOOKUP(A16,#REF!,3,FALSE),"YES"),"YES"),"DEAD")</f>
        <v>DEAD</v>
      </c>
      <c r="AQ16" s="14" t="s">
        <v>810</v>
      </c>
    </row>
    <row r="17" spans="1:43">
      <c r="A17" s="409" t="str">
        <f t="array" ref="A17">IF(ROWS(A$5:A17)&gt;$E$1,"",INDEX('Player Salaries'!B$5:B$672,SMALL(IF('Player Salaries'!$C$5:$C$672=$D$1,ROW('Player Salaries'!$C$5:$C$672)-ROW('Player Salaries'!$E$5)+1),ROWS(A$5:A17))))</f>
        <v>Shabazz Muhammad</v>
      </c>
      <c r="B17" s="416" t="str">
        <f>IFERROR(IF(AND(A17="Jamal Crawford",$D$1="ATL"),"",VLOOKUP(A17,Player_Per_Game[[Player]:[Pos]],2,FALSE)),"")</f>
        <v>SF-SG</v>
      </c>
      <c r="C17" s="416">
        <f>IFERROR(IF(AND(A17="Jamal Crawford",$D$1="ATL"),"",VLOOKUP(A17,Player_Per_Game[[Player]:[PS/G]],3,FALSE)),"")</f>
        <v>25</v>
      </c>
      <c r="D17" s="416" t="str">
        <f>IF(AND(A17="Jamal Crawford",$D$1="ATL"),"",IFERROR(IF(AND(A17="Jamal Crawford",$D$1="ATL"),"",VLOOKUP(A17,'Player Per Game'!$B$6:$G$641,5,FALSE))&amp;" / "&amp;IF(AND(A17="Jamal Crawford",$D$1="ATL"),"",VLOOKUP(A17,'Player Per Game'!$B$6:$G$641,6,FALSE)),""))</f>
        <v>35 / 2</v>
      </c>
      <c r="E17" s="432">
        <f>IFERROR(IF(AND(A17="Jamal Crawford",$D$1="ATL"),"",VLOOKUP(A17,Player_Per_Game[[Player]:[PS/G]],7,FALSE)),"")</f>
        <v>9.1999999999999993</v>
      </c>
      <c r="F17" s="434">
        <f>IFERROR(IF(AND(A17="Jamal Crawford",$D$1="ATL"),"",VLOOKUP($A17,Player_Per_Game[[Player]:[PS/G]],MATCH('Roster Analysis'!$F$4,Player_Per_Game[[#Headers],[Player]:[PS/G]],FALSE),FALSE)),"")</f>
        <v>0.21099999999999999</v>
      </c>
      <c r="G17" s="424">
        <f>IFERROR(_xlfn.IFS($F$4="PF",PERCENTRANK(Player_Per_Game[PF],F17),$F$4="TOV",PERCENTRANK(Player_Per_Game[TOV],F17),$F$4="BLK",PERCENTRANK(Player_Per_Game[BLK],F17),$F$4="STL",PERCENTRANK(Player_Per_Game[STL],F17),$F$4="AST",PERCENTRANK(Player_Per_Game[AST],F17),$F$4="TRB",PERCENTRANK(Player_Per_Game[TRB],F17),$F$4="DRB",PERCENTRANK(Player_Per_Game[DRB],F17),$F$4="ORB",PERCENTRANK(Player_Per_Game[ORB],F17),$F$4="FT%",PERCENTRANK(Player_Per_Game[FT%],F17),$F$4="EFG%",PERCENTRANK(Player_Per_Game[eFG%],F17),$F$4="2P%",PERCENTRANK(Player_Per_Game[2P%],F17),$F$4="3P%",PERCENTRANK(Player_Per_Game[3P%],F17),$F$4="FG%",PERCENTRANK(Player_Per_Game[FG%],F17),$F$4="PS/G",PERCENTRANK(Player_Per_Game[PS/G],F17))*100,"")</f>
        <v>19.400000000000002</v>
      </c>
      <c r="H17" s="436">
        <f>IFERROR(IF(AND(A17="Jamal Crawford",$D$1="ATL"),"",VLOOKUP($A17,Player_Advanced[[Player]:[VORP]],MATCH('Roster Analysis'!$H$4,Player_Advanced[[#Headers],[Player]:[VORP]],FALSE),FALSE)),"")</f>
        <v>10.1</v>
      </c>
      <c r="I17" s="417">
        <f>IFERROR(_xlfn.IFS($H$4="VORP",PERCENTRANK(Player_Advanced[VORP],H17),$H$4="BPM",PERCENTRANK(Player_Advanced[BPM],H17),$H$4="DBPM",PERCENTRANK(Player_Advanced[DBPM],H17),$H$4="OBPM",PERCENTRANK(Player_Advanced[OBPM],H17),$H$4="WS/48",PERCENTRANK(Player_Advanced[WS/48],H17),$H$4="WS",PERCENTRANK(Player_Advanced[WS],H17),$H$4="DWS",PERCENTRANK(Player_Advanced[DWS],H17),$H$4="OWS",PERCENTRANK(Player_Advanced[OWS],H17),$H$4="USG%",PERCENTRANK(Player_Advanced[USG%],H17),$H$4="TOV%",PERCENTRANK(Player_Advanced[TOV%],H17),$H$4="BLK%",PERCENTRANK(Player_Advanced[BLK%],H17),$H$4="STL%",PERCENTRANK(Player_Advanced[STL%],H17),$H$4="TRB%",PERCENTRANK(Player_Advanced[TRB%],H17),$H$4="ast%",PERCENTRANK(Player_Advanced[AST%],H17),$H$4="drb%",PERCENTRANK(Player_Advanced[DRB%],H17),$H$4="orb%",PERCENTRANK(Player_Advanced[ORB%],H17),$H$4="TS%",PERCENTRANK(Player_Advanced[TS%],H17),$H$4="FTr",PERCENTRANK(Player_Advanced[FTr],H17),$H$4="PER",PERCENTRANK(Player_Advanced[PER],H17),$H$4="3PAr",PERCENTRANK(Player_Advanced[3PAr],H17))*100,"")</f>
        <v>32.1</v>
      </c>
      <c r="J17" s="418">
        <f>IF(A17="","",IFERROR(VLOOKUP(A17,'Player Salaries'!$B$5:$D$632,3,FALSE),""))</f>
        <v>1577230</v>
      </c>
      <c r="K17" s="419">
        <f>IF(J17="","",IFERROR(IF(VLOOKUP(A17,'Player Salaries'!$B$5:$F$632,4,FALSE)&lt;&gt;0,VLOOKUP(A17,'Player Salaries'!$B$5:$F$632,4,FALSE),IF(OR(VLOOKUP(A17,'Player Salaries'!$B$5:$J$632,9,FALSE)="1st Rd Pick",AND(VLOOKUP(A17,'Player Salaries'!$B$5:$J$632,9,FALSE)="1st Round Pick",VLOOKUP(A17,'Player Salaries'!$B$5:$J$632,3,FALSE)&lt;0.08*'Roster Analysis'!$J$28),AND(VLOOKUP(A17,'Player Salaries'!$B$5:$J$632,9,FALSE)="Cap Space",VLOOKUP(A17,'Player Salaries'!$B$5:$J$632,3,FALSE)&lt;1000000),AND(VLOOKUP(A17,'Player Salaries'!$B$5:$J$632,9,FALSE)="MLE",VLOOKUP(A17,'Player Salaries'!$B$5:$J$632,3,FALSE)&lt;1000000),J17=50000,AND(VLOOKUP(A17,'Player Salaries'!B17:K644,9,FALSE)="Minimum Salary",'Roster Analysis'!J17=1312611)),"RFA","UFA")),""))</f>
        <v>1795015</v>
      </c>
      <c r="L17" s="419" t="str">
        <f>IFERROR(IF(VLOOKUP(A17,'Player Salaries'!$B$5:$J$632,4,FALSE)=0,"",IF(VLOOKUP(A17,'Player Salaries'!$B$5:$J$632,5,FALSE)&lt;&gt;0,VLOOKUP(A17,'Player Salaries'!$B$5:$J$632,5,FALSE),IF(OR(VLOOKUP(A17,'Player Salaries'!$B$5:$J$632,9,FALSE)="1st Rd Pick",AND(VLOOKUP(A17,'Player Salaries'!$B$5:$J$632,9,FALSE)="1st Round Pick",VLOOKUP(A17,'Player Salaries'!$B$5:$J$632,4,FALSE)&lt;0.08*'Roster Analysis'!$J$28),AND(VLOOKUP(A17,'Player Salaries'!$B$5:$J$632,9,FALSE)="Cap Space",$K17=1544951),AND(VLOOKUP(A17,'Player Salaries'!$B$5:$J$632,9,FALSE)="Cap Space",VLOOKUP(A17,'Player Salaries'!$B$5:$J$632,4,FALSE)&lt;1000000),$K17=1378242,AND(VLOOKUP(A17,'Player Salaries'!$B$5:$J$632,9,FALSE)="MLE",VLOOKUP(A17,'Player Salaries'!$B$5:$J$632,4,FALSE)&lt;1000000),AND(VLOOKUP(A17,'Player Salaries'!$B$5:$K$632,9,FALSE)="Minimum Salary",K17=1544951)),"RFA","UFA"))),"")</f>
        <v>UFA</v>
      </c>
      <c r="M17" s="419" t="str">
        <f>IFERROR(IF(VLOOKUP(A17,'Player Salaries'!$B$5:$J$632,5,FALSE)=0,"",IF(VLOOKUP(A17,'Player Salaries'!$B$5:$J$632,6,FALSE)&lt;&gt;0,VLOOKUP(A17,'Player Salaries'!$B$5:$J$632,6,FALSE),IF(OR(VLOOKUP(A17,'Player Salaries'!$B$5:$J$632,9,FALSE)="1st Rd Pick",AND(VLOOKUP(A17,'Player Salaries'!$B$5:$J$632,9,FALSE)="1st Round Pick",VLOOKUP(A17,'Player Salaries'!$B$5:$J$632,5,FALSE)&lt;0.08*'Roster Analysis'!$J$28),AND(VLOOKUP(A17,'Player Salaries'!$B$5:$J$632,9,FALSE)="Cap Space",VLOOKUP(A17,'Player Salaries'!$B$5:$J$632,5,FALSE)&lt;1000000),$K17=1378242,AND(VLOOKUP(A17,'Player Salaries'!$B$5:$J$632,9,FALSE)="MLE",VLOOKUP(A17,'Player Salaries'!$B$5:$J$632,5,FALSE)&lt;1000000)),"RFA","UFA"))),"")</f>
        <v/>
      </c>
      <c r="N17" s="422" t="str">
        <f>IFERROR(IF(VLOOKUP(A17,'Player Salaries'!$B$5:$J$632,6,FALSE)=0,"",IF(VLOOKUP(A17,'Player Salaries'!$B$5:$J$632,7,FALSE)&lt;&gt;0,VLOOKUP(A17,'Player Salaries'!$B$5:$J$632,7,FALSE),IF(OR(VLOOKUP(A17,'Player Salaries'!$B$5:$J$632,9,FALSE)="1st Rd Pick",AND(VLOOKUP(A17,'Player Salaries'!$B$5:$J$632,9,FALSE)="1st Round Pick",VLOOKUP(A17,'Player Salaries'!$B$5:$J$632,6,FALSE)&lt;0.08*'Roster Analysis'!$J$28),AND(VLOOKUP(A17,'Player Salaries'!$B$5:$J$632,9,FALSE)="Cap Space",VLOOKUP(A17,'Player Salaries'!$B$5:$J$632,6,FALSE)&lt;1000000),AND(VLOOKUP(A17,'Player Salaries'!$B$5:$J$632,9,FALSE)="MLE",VLOOKUP(A17,'Player Salaries'!$B$5:$J$632,6,FALSE)&lt;1000000)),"RFA","UFA"))),"")</f>
        <v/>
      </c>
      <c r="O17" s="438" t="str">
        <f>IFERROR(IFERROR(VLOOKUP(A17,Injuries[],4,FALSE),_xlfn.IFS(A17="Larry Nance",VLOOKUP("Larry Nance Jr.",Injuries[],4,FALSE),A17="Glenn Robinson",VLOOKUP("Glenn Robinson III",Injuries[],4,FALSE)))&amp; IF(ISNUMBER(SEARCH("Season",VLOOKUP(A17,Injuries[],5,FALSE)))=FALSE,"","   X"),"")</f>
        <v/>
      </c>
      <c r="Q17" s="432" t="str">
        <f t="shared" si="0"/>
        <v/>
      </c>
      <c r="S17" s="221"/>
      <c r="T17" s="221"/>
      <c r="U17" s="221"/>
      <c r="V17" s="221"/>
      <c r="W17" s="221"/>
      <c r="X17" s="221"/>
      <c r="Y17" s="221"/>
      <c r="Z17" s="221"/>
      <c r="AA17" s="221"/>
      <c r="AB17" s="221"/>
      <c r="AC17" s="221"/>
      <c r="AD17" s="221"/>
      <c r="AE17" s="221"/>
      <c r="AF17" s="221"/>
      <c r="AI17" s="423" t="str">
        <f>IFERROR(VLOOKUP(A17,#REF!,MATCH($AI$3,#REF!,0)-1,FALSE),"")</f>
        <v/>
      </c>
      <c r="AJ17" s="424" t="str">
        <f>IFERROR(PERCENTRANK(#REF!,$AI17)*100,"")</f>
        <v/>
      </c>
      <c r="AK17" s="425" t="e">
        <f>PERCENTRANK(MATCH($H$4,#REF!,FALSE),'Roster Analysis'!H17)</f>
        <v>#REF!</v>
      </c>
      <c r="AN17" s="414" t="str">
        <f>IFERROR(IF(VLOOKUP('Roster Analysis'!A18,Player_Totals[[Player]:[MP]],7,FALSE)&gt;100,VLOOKUP(A18,#REF!,17,FALSE),"IMP"),"")</f>
        <v/>
      </c>
      <c r="AO17" s="415" t="str">
        <f>IF(AN17="IMP","IMP",IFERROR(PERCENTRANK('Player Per Game'!$R$6:$R$641,AN17)*100,""))</f>
        <v/>
      </c>
      <c r="AP17" s="425" t="str">
        <f>IFERROR(IF(VLOOKUP(A17,'Player Salaries'!B17:J590,9,FALSE)="",IF(VLOOKUP(A17,#REF!,3,FALSE),"YES"),"YES"),"DEAD")</f>
        <v>DEAD</v>
      </c>
    </row>
    <row r="18" spans="1:43">
      <c r="A18" s="409" t="str">
        <f t="array" ref="A18">IF(ROWS(A$5:A18)&gt;$E$1,"",INDEX('Player Salaries'!B$5:B$672,SMALL(IF('Player Salaries'!$C$5:$C$672=$D$1,ROW('Player Salaries'!$C$5:$C$672)-ROW('Player Salaries'!$E$5)+1),ROWS(A$5:A18))))</f>
        <v>Tyus Jones</v>
      </c>
      <c r="B18" s="416" t="str">
        <f>IFERROR(IF(AND(A18="Jamal Crawford",$D$1="ATL"),"",VLOOKUP(A18,Player_Per_Game[[Player]:[Pos]],2,FALSE)),"")</f>
        <v>PG</v>
      </c>
      <c r="C18" s="416">
        <f>IFERROR(IF(AND(A18="Jamal Crawford",$D$1="ATL"),"",VLOOKUP(A18,Player_Per_Game[[Player]:[PS/G]],3,FALSE)),"")</f>
        <v>21</v>
      </c>
      <c r="D18" s="416" t="str">
        <f>IF(AND(A18="Jamal Crawford",$D$1="ATL"),"",IFERROR(IF(AND(A18="Jamal Crawford",$D$1="ATL"),"",VLOOKUP(A18,'Player Per Game'!$B$6:$G$641,5,FALSE))&amp;" / "&amp;IF(AND(A18="Jamal Crawford",$D$1="ATL"),"",VLOOKUP(A18,'Player Per Game'!$B$6:$G$641,6,FALSE)),""))</f>
        <v>71 / 10</v>
      </c>
      <c r="E18" s="432">
        <f>IFERROR(IF(AND(A18="Jamal Crawford",$D$1="ATL"),"",VLOOKUP(A18,Player_Per_Game[[Player]:[PS/G]],7,FALSE)),"")</f>
        <v>17.8</v>
      </c>
      <c r="F18" s="434">
        <f>IFERROR(IF(AND(A18="Jamal Crawford",$D$1="ATL"),"",VLOOKUP($A18,Player_Per_Game[[Player]:[PS/G]],MATCH('Roster Analysis'!$F$4,Player_Per_Game[[#Headers],[Player]:[PS/G]],FALSE),FALSE)),"")</f>
        <v>0.34899999999999998</v>
      </c>
      <c r="G18" s="424">
        <f>IFERROR(_xlfn.IFS($F$4="PF",PERCENTRANK(Player_Per_Game[PF],F18),$F$4="TOV",PERCENTRANK(Player_Per_Game[TOV],F18),$F$4="BLK",PERCENTRANK(Player_Per_Game[BLK],F18),$F$4="STL",PERCENTRANK(Player_Per_Game[STL],F18),$F$4="AST",PERCENTRANK(Player_Per_Game[AST],F18),$F$4="TRB",PERCENTRANK(Player_Per_Game[TRB],F18),$F$4="DRB",PERCENTRANK(Player_Per_Game[DRB],F18),$F$4="ORB",PERCENTRANK(Player_Per_Game[ORB],F18),$F$4="FT%",PERCENTRANK(Player_Per_Game[FT%],F18),$F$4="EFG%",PERCENTRANK(Player_Per_Game[eFG%],F18),$F$4="2P%",PERCENTRANK(Player_Per_Game[2P%],F18),$F$4="3P%",PERCENTRANK(Player_Per_Game[3P%],F18),$F$4="FG%",PERCENTRANK(Player_Per_Game[FG%],F18),$F$4="PS/G",PERCENTRANK(Player_Per_Game[PS/G],F18))*100,"")</f>
        <v>55.2</v>
      </c>
      <c r="H18" s="436">
        <f>IFERROR(IF(AND(A18="Jamal Crawford",$D$1="ATL"),"",VLOOKUP($A18,Player_Advanced[[Player]:[VORP]],MATCH('Roster Analysis'!$H$4,Player_Advanced[[#Headers],[Player]:[VORP]],FALSE),FALSE)),"")</f>
        <v>13.9</v>
      </c>
      <c r="I18" s="417">
        <f>IFERROR(_xlfn.IFS($H$4="VORP",PERCENTRANK(Player_Advanced[VORP],H18),$H$4="BPM",PERCENTRANK(Player_Advanced[BPM],H18),$H$4="DBPM",PERCENTRANK(Player_Advanced[DBPM],H18),$H$4="OBPM",PERCENTRANK(Player_Advanced[OBPM],H18),$H$4="WS/48",PERCENTRANK(Player_Advanced[WS/48],H18),$H$4="WS",PERCENTRANK(Player_Advanced[WS],H18),$H$4="DWS",PERCENTRANK(Player_Advanced[DWS],H18),$H$4="OWS",PERCENTRANK(Player_Advanced[OWS],H18),$H$4="USG%",PERCENTRANK(Player_Advanced[USG%],H18),$H$4="TOV%",PERCENTRANK(Player_Advanced[TOV%],H18),$H$4="BLK%",PERCENTRANK(Player_Advanced[BLK%],H18),$H$4="STL%",PERCENTRANK(Player_Advanced[STL%],H18),$H$4="TRB%",PERCENTRANK(Player_Advanced[TRB%],H18),$H$4="ast%",PERCENTRANK(Player_Advanced[AST%],H18),$H$4="drb%",PERCENTRANK(Player_Advanced[DRB%],H18),$H$4="orb%",PERCENTRANK(Player_Advanced[ORB%],H18),$H$4="TS%",PERCENTRANK(Player_Advanced[TS%],H18),$H$4="FTr",PERCENTRANK(Player_Advanced[FTr],H18),$H$4="PER",PERCENTRANK(Player_Advanced[PER],H18),$H$4="3PAr",PERCENTRANK(Player_Advanced[3PAr],H18))*100,"")</f>
        <v>58.5</v>
      </c>
      <c r="J18" s="418">
        <f>IF(A18="","",IFERROR(VLOOKUP(A18,'Player Salaries'!$B$5:$D$632,3,FALSE),""))</f>
        <v>1471382</v>
      </c>
      <c r="K18" s="419">
        <f>IF(J18="","",IFERROR(IF(VLOOKUP(A18,'Player Salaries'!$B$5:$F$632,4,FALSE)&lt;&gt;0,VLOOKUP(A18,'Player Salaries'!$B$5:$F$632,4,FALSE),IF(OR(VLOOKUP(A18,'Player Salaries'!$B$5:$J$632,9,FALSE)="1st Rd Pick",AND(VLOOKUP(A18,'Player Salaries'!$B$5:$J$632,9,FALSE)="1st Round Pick",VLOOKUP(A18,'Player Salaries'!$B$5:$J$632,3,FALSE)&lt;0.08*'Roster Analysis'!$J$28),AND(VLOOKUP(A18,'Player Salaries'!$B$5:$J$632,9,FALSE)="Cap Space",VLOOKUP(A18,'Player Salaries'!$B$5:$J$632,3,FALSE)&lt;1000000),AND(VLOOKUP(A18,'Player Salaries'!$B$5:$J$632,9,FALSE)="MLE",VLOOKUP(A18,'Player Salaries'!$B$5:$J$632,3,FALSE)&lt;1000000),J18=50000,AND(VLOOKUP(A18,'Player Salaries'!B18:K645,9,FALSE)="Minimum Salary",'Roster Analysis'!J18=1312611)),"RFA","UFA")),""))</f>
        <v>2444053</v>
      </c>
      <c r="L18" s="419" t="str">
        <f>IFERROR(IF(VLOOKUP(A18,'Player Salaries'!$B$5:$J$632,4,FALSE)=0,"",IF(VLOOKUP(A18,'Player Salaries'!$B$5:$J$632,5,FALSE)&lt;&gt;0,VLOOKUP(A18,'Player Salaries'!$B$5:$J$632,5,FALSE),IF(OR(VLOOKUP(A18,'Player Salaries'!$B$5:$J$632,9,FALSE)="1st Rd Pick",AND(VLOOKUP(A18,'Player Salaries'!$B$5:$J$632,9,FALSE)="1st Round Pick",VLOOKUP(A18,'Player Salaries'!$B$5:$J$632,4,FALSE)&lt;0.08*'Roster Analysis'!$J$28),AND(VLOOKUP(A18,'Player Salaries'!$B$5:$J$632,9,FALSE)="Cap Space",$K18=1544951),AND(VLOOKUP(A18,'Player Salaries'!$B$5:$J$632,9,FALSE)="Cap Space",VLOOKUP(A18,'Player Salaries'!$B$5:$J$632,4,FALSE)&lt;1000000),$K18=1378242,AND(VLOOKUP(A18,'Player Salaries'!$B$5:$J$632,9,FALSE)="MLE",VLOOKUP(A18,'Player Salaries'!$B$5:$J$632,4,FALSE)&lt;1000000),AND(VLOOKUP(A18,'Player Salaries'!$B$5:$K$632,9,FALSE)="Minimum Salary",K18=1544951)),"RFA","UFA"))),"")</f>
        <v>RFA</v>
      </c>
      <c r="M18" s="419" t="str">
        <f>IFERROR(IF(VLOOKUP(A18,'Player Salaries'!$B$5:$J$632,5,FALSE)=0,"",IF(VLOOKUP(A18,'Player Salaries'!$B$5:$J$632,6,FALSE)&lt;&gt;0,VLOOKUP(A18,'Player Salaries'!$B$5:$J$632,6,FALSE),IF(OR(VLOOKUP(A18,'Player Salaries'!$B$5:$J$632,9,FALSE)="1st Rd Pick",AND(VLOOKUP(A18,'Player Salaries'!$B$5:$J$632,9,FALSE)="1st Round Pick",VLOOKUP(A18,'Player Salaries'!$B$5:$J$632,5,FALSE)&lt;0.08*'Roster Analysis'!$J$28),AND(VLOOKUP(A18,'Player Salaries'!$B$5:$J$632,9,FALSE)="Cap Space",VLOOKUP(A18,'Player Salaries'!$B$5:$J$632,5,FALSE)&lt;1000000),$K18=1378242,AND(VLOOKUP(A18,'Player Salaries'!$B$5:$J$632,9,FALSE)="MLE",VLOOKUP(A18,'Player Salaries'!$B$5:$J$632,5,FALSE)&lt;1000000)),"RFA","UFA"))),"")</f>
        <v/>
      </c>
      <c r="N18" s="422" t="str">
        <f>IFERROR(IF(VLOOKUP(A18,'Player Salaries'!$B$5:$J$632,6,FALSE)=0,"",IF(VLOOKUP(A18,'Player Salaries'!$B$5:$J$632,7,FALSE)&lt;&gt;0,VLOOKUP(A18,'Player Salaries'!$B$5:$J$632,7,FALSE),IF(OR(VLOOKUP(A18,'Player Salaries'!$B$5:$J$632,9,FALSE)="1st Rd Pick",AND(VLOOKUP(A18,'Player Salaries'!$B$5:$J$632,9,FALSE)="1st Round Pick",VLOOKUP(A18,'Player Salaries'!$B$5:$J$632,6,FALSE)&lt;0.08*'Roster Analysis'!$J$28),AND(VLOOKUP(A18,'Player Salaries'!$B$5:$J$632,9,FALSE)="Cap Space",VLOOKUP(A18,'Player Salaries'!$B$5:$J$632,6,FALSE)&lt;1000000),AND(VLOOKUP(A18,'Player Salaries'!$B$5:$J$632,9,FALSE)="MLE",VLOOKUP(A18,'Player Salaries'!$B$5:$J$632,6,FALSE)&lt;1000000)),"RFA","UFA"))),"")</f>
        <v/>
      </c>
      <c r="O18" s="438" t="str">
        <f>IFERROR(IFERROR(VLOOKUP(A18,Injuries[],4,FALSE),_xlfn.IFS(A18="Larry Nance",VLOOKUP("Larry Nance Jr.",Injuries[],4,FALSE),A18="Glenn Robinson",VLOOKUP("Glenn Robinson III",Injuries[],4,FALSE)))&amp; IF(ISNUMBER(SEARCH("Season",VLOOKUP(A18,Injuries[],5,FALSE)))=FALSE,"","   X"),"")</f>
        <v/>
      </c>
      <c r="Q18" s="432" t="str">
        <f t="shared" si="0"/>
        <v/>
      </c>
      <c r="S18" s="221"/>
      <c r="T18" s="221"/>
      <c r="U18" s="221"/>
      <c r="V18" s="221"/>
      <c r="W18" s="221"/>
      <c r="X18" s="221"/>
      <c r="Y18" s="221"/>
      <c r="Z18" s="221"/>
      <c r="AA18" s="221"/>
      <c r="AB18" s="221"/>
      <c r="AC18" s="221"/>
      <c r="AD18" s="221"/>
      <c r="AE18" s="221"/>
      <c r="AF18" s="221"/>
      <c r="AI18" s="423" t="str">
        <f>IFERROR(VLOOKUP(A18,#REF!,MATCH($AI$3,#REF!,0)-1,FALSE),"")</f>
        <v/>
      </c>
      <c r="AJ18" s="424" t="str">
        <f>IFERROR(PERCENTRANK(#REF!,$AI18)*100,"")</f>
        <v/>
      </c>
      <c r="AK18" s="425" t="e">
        <f>PERCENTRANK(MATCH($H$4,#REF!,FALSE),'Roster Analysis'!H18)</f>
        <v>#REF!</v>
      </c>
      <c r="AN18" s="414" t="str">
        <f>IFERROR(IF(VLOOKUP('Roster Analysis'!A19,Player_Totals[[Player]:[MP]],7,FALSE)&gt;100,VLOOKUP(A19,#REF!,17,FALSE),"IMP"),"")</f>
        <v/>
      </c>
      <c r="AO18" s="415" t="str">
        <f>IF(AN18="IMP","IMP",IFERROR(PERCENTRANK('Player Per Game'!$R$6:$R$641,AN18)*100,""))</f>
        <v/>
      </c>
      <c r="AP18" s="425" t="str">
        <f>IFERROR(IF(VLOOKUP(A18,'Player Salaries'!B18:J591,9,FALSE)="",IF(VLOOKUP(A18,#REF!,3,FALSE),"YES"),"YES"),"DEAD")</f>
        <v>YES</v>
      </c>
      <c r="AQ18" s="7" t="s">
        <v>821</v>
      </c>
    </row>
    <row r="19" spans="1:43">
      <c r="A19" s="409" t="str">
        <f t="array" ref="A19">IF(ROWS(A$5:A19)&gt;$E$1,"",INDEX('Player Salaries'!B$5:B$672,SMALL(IF('Player Salaries'!$C$5:$C$672=$D$1,ROW('Player Salaries'!$C$5:$C$672)-ROW('Player Salaries'!$E$5)+1),ROWS(A$5:A19))))</f>
        <v>Kevin Martin</v>
      </c>
      <c r="B19" s="416" t="str">
        <f>IFERROR(IF(AND(A19="Jamal Crawford",$D$1="ATL"),"",VLOOKUP(A19,Player_Per_Game[[Player]:[Pos]],2,FALSE)),"")</f>
        <v/>
      </c>
      <c r="C19" s="416" t="str">
        <f>IFERROR(IF(AND(A19="Jamal Crawford",$D$1="ATL"),"",VLOOKUP(A19,Player_Per_Game[[Player]:[PS/G]],3,FALSE)),"")</f>
        <v/>
      </c>
      <c r="D19" s="416" t="str">
        <f>IF(AND(A19="Jamal Crawford",$D$1="ATL"),"",IFERROR(IF(AND(A19="Jamal Crawford",$D$1="ATL"),"",VLOOKUP(A19,'Player Per Game'!$B$6:$G$641,5,FALSE))&amp;" / "&amp;IF(AND(A19="Jamal Crawford",$D$1="ATL"),"",VLOOKUP(A19,'Player Per Game'!$B$6:$G$641,6,FALSE)),""))</f>
        <v/>
      </c>
      <c r="E19" s="432" t="str">
        <f>IFERROR(IF(AND(A19="Jamal Crawford",$D$1="ATL"),"",VLOOKUP(A19,Player_Per_Game[[Player]:[PS/G]],7,FALSE)),"")</f>
        <v/>
      </c>
      <c r="F19" s="434" t="str">
        <f>IFERROR(IF(AND(A19="Jamal Crawford",$D$1="ATL"),"",VLOOKUP($A19,Player_Per_Game[[Player]:[PS/G]],MATCH('Roster Analysis'!$F$4,Player_Per_Game[[#Headers],[Player]:[PS/G]],FALSE),FALSE)),"")</f>
        <v/>
      </c>
      <c r="G19" s="424" t="str">
        <f>IFERROR(_xlfn.IFS($F$4="PF",PERCENTRANK(Player_Per_Game[PF],F19),$F$4="TOV",PERCENTRANK(Player_Per_Game[TOV],F19),$F$4="BLK",PERCENTRANK(Player_Per_Game[BLK],F19),$F$4="STL",PERCENTRANK(Player_Per_Game[STL],F19),$F$4="AST",PERCENTRANK(Player_Per_Game[AST],F19),$F$4="TRB",PERCENTRANK(Player_Per_Game[TRB],F19),$F$4="DRB",PERCENTRANK(Player_Per_Game[DRB],F19),$F$4="ORB",PERCENTRANK(Player_Per_Game[ORB],F19),$F$4="FT%",PERCENTRANK(Player_Per_Game[FT%],F19),$F$4="EFG%",PERCENTRANK(Player_Per_Game[eFG%],F19),$F$4="2P%",PERCENTRANK(Player_Per_Game[2P%],F19),$F$4="3P%",PERCENTRANK(Player_Per_Game[3P%],F19),$F$4="FG%",PERCENTRANK(Player_Per_Game[FG%],F19),$F$4="PS/G",PERCENTRANK(Player_Per_Game[PS/G],F19))*100,"")</f>
        <v/>
      </c>
      <c r="H19" s="436" t="str">
        <f>IFERROR(IF(AND(A19="Jamal Crawford",$D$1="ATL"),"",VLOOKUP($A19,Player_Advanced[[Player]:[VORP]],MATCH('Roster Analysis'!$H$4,Player_Advanced[[#Headers],[Player]:[VORP]],FALSE),FALSE)),"")</f>
        <v/>
      </c>
      <c r="I19" s="417" t="str">
        <f>IFERROR(_xlfn.IFS($H$4="VORP",PERCENTRANK(Player_Advanced[VORP],H19),$H$4="BPM",PERCENTRANK(Player_Advanced[BPM],H19),$H$4="DBPM",PERCENTRANK(Player_Advanced[DBPM],H19),$H$4="OBPM",PERCENTRANK(Player_Advanced[OBPM],H19),$H$4="WS/48",PERCENTRANK(Player_Advanced[WS/48],H19),$H$4="WS",PERCENTRANK(Player_Advanced[WS],H19),$H$4="DWS",PERCENTRANK(Player_Advanced[DWS],H19),$H$4="OWS",PERCENTRANK(Player_Advanced[OWS],H19),$H$4="USG%",PERCENTRANK(Player_Advanced[USG%],H19),$H$4="TOV%",PERCENTRANK(Player_Advanced[TOV%],H19),$H$4="BLK%",PERCENTRANK(Player_Advanced[BLK%],H19),$H$4="STL%",PERCENTRANK(Player_Advanced[STL%],H19),$H$4="TRB%",PERCENTRANK(Player_Advanced[TRB%],H19),$H$4="ast%",PERCENTRANK(Player_Advanced[AST%],H19),$H$4="drb%",PERCENTRANK(Player_Advanced[DRB%],H19),$H$4="orb%",PERCENTRANK(Player_Advanced[ORB%],H19),$H$4="TS%",PERCENTRANK(Player_Advanced[TS%],H19),$H$4="FTr",PERCENTRANK(Player_Advanced[FTr],H19),$H$4="PER",PERCENTRANK(Player_Advanced[PER],H19),$H$4="3PAr",PERCENTRANK(Player_Advanced[3PAr],H19))*100,"")</f>
        <v/>
      </c>
      <c r="J19" s="418">
        <f>IF(A19="","",IFERROR(VLOOKUP(A19,'Player Salaries'!$B$5:$D$632,3,FALSE),""))</f>
        <v>1360305</v>
      </c>
      <c r="K19" s="419">
        <f>IF(J19="","",IFERROR(IF(VLOOKUP(A19,'Player Salaries'!$B$5:$F$632,4,FALSE)&lt;&gt;0,VLOOKUP(A19,'Player Salaries'!$B$5:$F$632,4,FALSE),IF(OR(VLOOKUP(A19,'Player Salaries'!$B$5:$J$632,9,FALSE)="1st Rd Pick",AND(VLOOKUP(A19,'Player Salaries'!$B$5:$J$632,9,FALSE)="1st Round Pick",VLOOKUP(A19,'Player Salaries'!$B$5:$J$632,3,FALSE)&lt;0.08*'Roster Analysis'!$J$28),AND(VLOOKUP(A19,'Player Salaries'!$B$5:$J$632,9,FALSE)="Cap Space",VLOOKUP(A19,'Player Salaries'!$B$5:$J$632,3,FALSE)&lt;1000000),AND(VLOOKUP(A19,'Player Salaries'!$B$5:$J$632,9,FALSE)="MLE",VLOOKUP(A19,'Player Salaries'!$B$5:$J$632,3,FALSE)&lt;1000000),J19=50000,AND(VLOOKUP(A19,'Player Salaries'!B19:K646,9,FALSE)="Minimum Salary",'Roster Analysis'!J19=1312611)),"RFA","UFA")),""))</f>
        <v>1360305</v>
      </c>
      <c r="L19" s="419" t="str">
        <f>IFERROR(IF(VLOOKUP(A19,'Player Salaries'!$B$5:$J$632,4,FALSE)=0,"",IF(VLOOKUP(A19,'Player Salaries'!$B$5:$J$632,5,FALSE)&lt;&gt;0,VLOOKUP(A19,'Player Salaries'!$B$5:$J$632,5,FALSE),IF(OR(VLOOKUP(A19,'Player Salaries'!$B$5:$J$632,9,FALSE)="1st Rd Pick",AND(VLOOKUP(A19,'Player Salaries'!$B$5:$J$632,9,FALSE)="1st Round Pick",VLOOKUP(A19,'Player Salaries'!$B$5:$J$632,4,FALSE)&lt;0.08*'Roster Analysis'!$J$28),AND(VLOOKUP(A19,'Player Salaries'!$B$5:$J$632,9,FALSE)="Cap Space",$K19=1544951),AND(VLOOKUP(A19,'Player Salaries'!$B$5:$J$632,9,FALSE)="Cap Space",VLOOKUP(A19,'Player Salaries'!$B$5:$J$632,4,FALSE)&lt;1000000),$K19=1378242,AND(VLOOKUP(A19,'Player Salaries'!$B$5:$J$632,9,FALSE)="MLE",VLOOKUP(A19,'Player Salaries'!$B$5:$J$632,4,FALSE)&lt;1000000),AND(VLOOKUP(A19,'Player Salaries'!$B$5:$K$632,9,FALSE)="Minimum Salary",K19=1544951)),"RFA","UFA"))),"")</f>
        <v>UFA</v>
      </c>
      <c r="M19" s="419" t="str">
        <f>IFERROR(IF(VLOOKUP(A19,'Player Salaries'!$B$5:$J$632,5,FALSE)=0,"",IF(VLOOKUP(A19,'Player Salaries'!$B$5:$J$632,6,FALSE)&lt;&gt;0,VLOOKUP(A19,'Player Salaries'!$B$5:$J$632,6,FALSE),IF(OR(VLOOKUP(A19,'Player Salaries'!$B$5:$J$632,9,FALSE)="1st Rd Pick",AND(VLOOKUP(A19,'Player Salaries'!$B$5:$J$632,9,FALSE)="1st Round Pick",VLOOKUP(A19,'Player Salaries'!$B$5:$J$632,5,FALSE)&lt;0.08*'Roster Analysis'!$J$28),AND(VLOOKUP(A19,'Player Salaries'!$B$5:$J$632,9,FALSE)="Cap Space",VLOOKUP(A19,'Player Salaries'!$B$5:$J$632,5,FALSE)&lt;1000000),$K19=1378242,AND(VLOOKUP(A19,'Player Salaries'!$B$5:$J$632,9,FALSE)="MLE",VLOOKUP(A19,'Player Salaries'!$B$5:$J$632,5,FALSE)&lt;1000000)),"RFA","UFA"))),"")</f>
        <v/>
      </c>
      <c r="N19" s="422" t="str">
        <f>IFERROR(IF(VLOOKUP(A19,'Player Salaries'!$B$5:$J$632,6,FALSE)=0,"",IF(VLOOKUP(A19,'Player Salaries'!$B$5:$J$632,7,FALSE)&lt;&gt;0,VLOOKUP(A19,'Player Salaries'!$B$5:$J$632,7,FALSE),IF(OR(VLOOKUP(A19,'Player Salaries'!$B$5:$J$632,9,FALSE)="1st Rd Pick",AND(VLOOKUP(A19,'Player Salaries'!$B$5:$J$632,9,FALSE)="1st Round Pick",VLOOKUP(A19,'Player Salaries'!$B$5:$J$632,6,FALSE)&lt;0.08*'Roster Analysis'!$J$28),AND(VLOOKUP(A19,'Player Salaries'!$B$5:$J$632,9,FALSE)="Cap Space",VLOOKUP(A19,'Player Salaries'!$B$5:$J$632,6,FALSE)&lt;1000000),AND(VLOOKUP(A19,'Player Salaries'!$B$5:$J$632,9,FALSE)="MLE",VLOOKUP(A19,'Player Salaries'!$B$5:$J$632,6,FALSE)&lt;1000000)),"RFA","UFA"))),"")</f>
        <v/>
      </c>
      <c r="O19" s="438" t="str">
        <f>IFERROR(IFERROR(VLOOKUP(A19,Injuries[],4,FALSE),_xlfn.IFS(A19="Larry Nance",VLOOKUP("Larry Nance Jr.",Injuries[],4,FALSE),A19="Glenn Robinson",VLOOKUP("Glenn Robinson III",Injuries[],4,FALSE)))&amp; IF(ISNUMBER(SEARCH("Season",VLOOKUP(A19,Injuries[],5,FALSE)))=FALSE,"","   X"),"")</f>
        <v/>
      </c>
      <c r="Q19" s="432" t="str">
        <f t="shared" si="0"/>
        <v>Dead</v>
      </c>
      <c r="S19" s="221"/>
      <c r="T19" s="221"/>
      <c r="U19" s="221"/>
      <c r="V19" s="221"/>
      <c r="W19" s="221"/>
      <c r="X19" s="221"/>
      <c r="Y19" s="221"/>
      <c r="Z19" s="221"/>
      <c r="AA19" s="221"/>
      <c r="AB19" s="221"/>
      <c r="AC19" s="221"/>
      <c r="AD19" s="221"/>
      <c r="AE19" s="221"/>
      <c r="AF19" s="221"/>
      <c r="AI19" s="423" t="str">
        <f>IFERROR(VLOOKUP(A19,#REF!,MATCH($AI$3,#REF!,0)-1,FALSE),"")</f>
        <v/>
      </c>
      <c r="AJ19" s="424" t="str">
        <f>IFERROR(PERCENTRANK(#REF!,$AI19)*100,"")</f>
        <v/>
      </c>
      <c r="AK19" s="425" t="e">
        <f>PERCENTRANK(MATCH($H$4,#REF!,FALSE),'Roster Analysis'!H19)</f>
        <v>#REF!</v>
      </c>
      <c r="AN19" s="414" t="str">
        <f>IFERROR(IF(VLOOKUP('Roster Analysis'!A20,Player_Totals[[Player]:[MP]],7,FALSE)&gt;100,VLOOKUP(A20,#REF!,17,FALSE),"IMP"),"")</f>
        <v/>
      </c>
      <c r="AO19" s="415" t="str">
        <f>IF(AN19="IMP","IMP",IFERROR(PERCENTRANK('Player Per Game'!$R$6:$R$641,AN19)*100,""))</f>
        <v/>
      </c>
      <c r="AP19" s="425" t="str">
        <f>IFERROR(IF(VLOOKUP(A19,'Player Salaries'!B19:J592,9,FALSE)="",IF(VLOOKUP(A19,#REF!,3,FALSE),"YES"),"YES"),"DEAD")</f>
        <v>DEAD</v>
      </c>
      <c r="AQ19" s="14" t="s">
        <v>820</v>
      </c>
    </row>
    <row r="20" spans="1:43">
      <c r="A20" s="409" t="str">
        <f t="array" ref="A20">IF(ROWS(A$5:A20)&gt;$E$1,"",INDEX('Player Salaries'!B$5:B$672,SMALL(IF('Player Salaries'!$C$5:$C$672=$D$1,ROW('Player Salaries'!$C$5:$C$672)-ROW('Player Salaries'!$E$5)+1),ROWS(A$5:A20))))</f>
        <v>Marcus Georges-Hunt</v>
      </c>
      <c r="B20" s="416" t="str">
        <f>IFERROR(IF(AND(A20="Jamal Crawford",$D$1="ATL"),"",VLOOKUP(A20,Player_Per_Game[[Player]:[Pos]],2,FALSE)),"")</f>
        <v>SG</v>
      </c>
      <c r="C20" s="416">
        <f>IFERROR(IF(AND(A20="Jamal Crawford",$D$1="ATL"),"",VLOOKUP(A20,Player_Per_Game[[Player]:[PS/G]],3,FALSE)),"")</f>
        <v>23</v>
      </c>
      <c r="D20" s="416" t="str">
        <f>IF(AND(A20="Jamal Crawford",$D$1="ATL"),"",IFERROR(IF(AND(A20="Jamal Crawford",$D$1="ATL"),"",VLOOKUP(A20,'Player Per Game'!$B$6:$G$641,5,FALSE))&amp;" / "&amp;IF(AND(A20="Jamal Crawford",$D$1="ATL"),"",VLOOKUP(A20,'Player Per Game'!$B$6:$G$641,6,FALSE)),""))</f>
        <v>39 / 0</v>
      </c>
      <c r="E20" s="432">
        <f>IFERROR(IF(AND(A20="Jamal Crawford",$D$1="ATL"),"",VLOOKUP(A20,Player_Per_Game[[Player]:[PS/G]],7,FALSE)),"")</f>
        <v>5.2</v>
      </c>
      <c r="F20" s="434">
        <f>IFERROR(IF(AND(A20="Jamal Crawford",$D$1="ATL"),"",VLOOKUP($A20,Player_Per_Game[[Player]:[PS/G]],MATCH('Roster Analysis'!$F$4,Player_Per_Game[[#Headers],[Player]:[PS/G]],FALSE),FALSE)),"")</f>
        <v>0.214</v>
      </c>
      <c r="G20" s="424">
        <f>IFERROR(_xlfn.IFS($F$4="PF",PERCENTRANK(Player_Per_Game[PF],F20),$F$4="TOV",PERCENTRANK(Player_Per_Game[TOV],F20),$F$4="BLK",PERCENTRANK(Player_Per_Game[BLK],F20),$F$4="STL",PERCENTRANK(Player_Per_Game[STL],F20),$F$4="AST",PERCENTRANK(Player_Per_Game[AST],F20),$F$4="TRB",PERCENTRANK(Player_Per_Game[TRB],F20),$F$4="DRB",PERCENTRANK(Player_Per_Game[DRB],F20),$F$4="ORB",PERCENTRANK(Player_Per_Game[ORB],F20),$F$4="FT%",PERCENTRANK(Player_Per_Game[FT%],F20),$F$4="EFG%",PERCENTRANK(Player_Per_Game[eFG%],F20),$F$4="2P%",PERCENTRANK(Player_Per_Game[2P%],F20),$F$4="3P%",PERCENTRANK(Player_Per_Game[3P%],F20),$F$4="FG%",PERCENTRANK(Player_Per_Game[FG%],F20),$F$4="PS/G",PERCENTRANK(Player_Per_Game[PS/G],F20))*100,"")</f>
        <v>20.3</v>
      </c>
      <c r="H20" s="436">
        <f>IFERROR(IF(AND(A20="Jamal Crawford",$D$1="ATL"),"",VLOOKUP($A20,Player_Advanced[[Player]:[VORP]],MATCH('Roster Analysis'!$H$4,Player_Advanced[[#Headers],[Player]:[VORP]],FALSE),FALSE)),"")</f>
        <v>4.5</v>
      </c>
      <c r="I20" s="417">
        <f>IFERROR(_xlfn.IFS($H$4="VORP",PERCENTRANK(Player_Advanced[VORP],H20),$H$4="BPM",PERCENTRANK(Player_Advanced[BPM],H20),$H$4="DBPM",PERCENTRANK(Player_Advanced[DBPM],H20),$H$4="OBPM",PERCENTRANK(Player_Advanced[OBPM],H20),$H$4="WS/48",PERCENTRANK(Player_Advanced[WS/48],H20),$H$4="WS",PERCENTRANK(Player_Advanced[WS],H20),$H$4="DWS",PERCENTRANK(Player_Advanced[DWS],H20),$H$4="OWS",PERCENTRANK(Player_Advanced[OWS],H20),$H$4="USG%",PERCENTRANK(Player_Advanced[USG%],H20),$H$4="TOV%",PERCENTRANK(Player_Advanced[TOV%],H20),$H$4="BLK%",PERCENTRANK(Player_Advanced[BLK%],H20),$H$4="STL%",PERCENTRANK(Player_Advanced[STL%],H20),$H$4="TRB%",PERCENTRANK(Player_Advanced[TRB%],H20),$H$4="ast%",PERCENTRANK(Player_Advanced[AST%],H20),$H$4="drb%",PERCENTRANK(Player_Advanced[DRB%],H20),$H$4="orb%",PERCENTRANK(Player_Advanced[ORB%],H20),$H$4="TS%",PERCENTRANK(Player_Advanced[TS%],H20),$H$4="FTr",PERCENTRANK(Player_Advanced[FTr],H20),$H$4="PER",PERCENTRANK(Player_Advanced[PER],H20),$H$4="3PAr",PERCENTRANK(Player_Advanced[3PAr],H20))*100,"")</f>
        <v>9.1999999999999993</v>
      </c>
      <c r="J20" s="418">
        <f>IF(A20="","",IFERROR(VLOOKUP(A20,'Player Salaries'!$B$5:$D$632,3,FALSE),""))</f>
        <v>1312611</v>
      </c>
      <c r="K20" s="419" t="str">
        <f>IF(J20="","",IFERROR(IF(VLOOKUP(A20,'Player Salaries'!$B$5:$F$632,4,FALSE)&lt;&gt;0,VLOOKUP(A20,'Player Salaries'!$B$5:$F$632,4,FALSE),IF(OR(VLOOKUP(A20,'Player Salaries'!$B$5:$J$632,9,FALSE)="1st Rd Pick",AND(VLOOKUP(A20,'Player Salaries'!$B$5:$J$632,9,FALSE)="1st Round Pick",VLOOKUP(A20,'Player Salaries'!$B$5:$J$632,3,FALSE)&lt;0.08*'Roster Analysis'!$J$28),AND(VLOOKUP(A20,'Player Salaries'!$B$5:$J$632,9,FALSE)="Cap Space",VLOOKUP(A20,'Player Salaries'!$B$5:$J$632,3,FALSE)&lt;1000000),AND(VLOOKUP(A20,'Player Salaries'!$B$5:$J$632,9,FALSE)="MLE",VLOOKUP(A20,'Player Salaries'!$B$5:$J$632,3,FALSE)&lt;1000000),J20=50000,AND(VLOOKUP(A20,'Player Salaries'!B20:K647,9,FALSE)="Minimum Salary",'Roster Analysis'!J20=1312611)),"RFA","UFA")),""))</f>
        <v>RFA</v>
      </c>
      <c r="L20" s="419" t="str">
        <f>IFERROR(IF(VLOOKUP(A20,'Player Salaries'!$B$5:$J$632,4,FALSE)=0,"",IF(VLOOKUP(A20,'Player Salaries'!$B$5:$J$632,5,FALSE)&lt;&gt;0,VLOOKUP(A20,'Player Salaries'!$B$5:$J$632,5,FALSE),IF(OR(VLOOKUP(A20,'Player Salaries'!$B$5:$J$632,9,FALSE)="1st Rd Pick",AND(VLOOKUP(A20,'Player Salaries'!$B$5:$J$632,9,FALSE)="1st Round Pick",VLOOKUP(A20,'Player Salaries'!$B$5:$J$632,4,FALSE)&lt;0.08*'Roster Analysis'!$J$28),AND(VLOOKUP(A20,'Player Salaries'!$B$5:$J$632,9,FALSE)="Cap Space",$K20=1544951),AND(VLOOKUP(A20,'Player Salaries'!$B$5:$J$632,9,FALSE)="Cap Space",VLOOKUP(A20,'Player Salaries'!$B$5:$J$632,4,FALSE)&lt;1000000),$K20=1378242,AND(VLOOKUP(A20,'Player Salaries'!$B$5:$J$632,9,FALSE)="MLE",VLOOKUP(A20,'Player Salaries'!$B$5:$J$632,4,FALSE)&lt;1000000),AND(VLOOKUP(A20,'Player Salaries'!$B$5:$K$632,9,FALSE)="Minimum Salary",K20=1544951)),"RFA","UFA"))),"")</f>
        <v/>
      </c>
      <c r="M20" s="419" t="str">
        <f>IFERROR(IF(VLOOKUP(A20,'Player Salaries'!$B$5:$J$632,5,FALSE)=0,"",IF(VLOOKUP(A20,'Player Salaries'!$B$5:$J$632,6,FALSE)&lt;&gt;0,VLOOKUP(A20,'Player Salaries'!$B$5:$J$632,6,FALSE),IF(OR(VLOOKUP(A20,'Player Salaries'!$B$5:$J$632,9,FALSE)="1st Rd Pick",AND(VLOOKUP(A20,'Player Salaries'!$B$5:$J$632,9,FALSE)="1st Round Pick",VLOOKUP(A20,'Player Salaries'!$B$5:$J$632,5,FALSE)&lt;0.08*'Roster Analysis'!$J$28),AND(VLOOKUP(A20,'Player Salaries'!$B$5:$J$632,9,FALSE)="Cap Space",VLOOKUP(A20,'Player Salaries'!$B$5:$J$632,5,FALSE)&lt;1000000),$K20=1378242,AND(VLOOKUP(A20,'Player Salaries'!$B$5:$J$632,9,FALSE)="MLE",VLOOKUP(A20,'Player Salaries'!$B$5:$J$632,5,FALSE)&lt;1000000)),"RFA","UFA"))),"")</f>
        <v/>
      </c>
      <c r="N20" s="422" t="str">
        <f>IFERROR(IF(VLOOKUP(A20,'Player Salaries'!$B$5:$J$632,6,FALSE)=0,"",IF(VLOOKUP(A20,'Player Salaries'!$B$5:$J$632,7,FALSE)&lt;&gt;0,VLOOKUP(A20,'Player Salaries'!$B$5:$J$632,7,FALSE),IF(OR(VLOOKUP(A20,'Player Salaries'!$B$5:$J$632,9,FALSE)="1st Rd Pick",AND(VLOOKUP(A20,'Player Salaries'!$B$5:$J$632,9,FALSE)="1st Round Pick",VLOOKUP(A20,'Player Salaries'!$B$5:$J$632,6,FALSE)&lt;0.08*'Roster Analysis'!$J$28),AND(VLOOKUP(A20,'Player Salaries'!$B$5:$J$632,9,FALSE)="Cap Space",VLOOKUP(A20,'Player Salaries'!$B$5:$J$632,6,FALSE)&lt;1000000),AND(VLOOKUP(A20,'Player Salaries'!$B$5:$J$632,9,FALSE)="MLE",VLOOKUP(A20,'Player Salaries'!$B$5:$J$632,6,FALSE)&lt;1000000)),"RFA","UFA"))),"")</f>
        <v/>
      </c>
      <c r="O20" s="438" t="str">
        <f>IFERROR(IFERROR(VLOOKUP(A20,Injuries[],4,FALSE),_xlfn.IFS(A20="Larry Nance",VLOOKUP("Larry Nance Jr.",Injuries[],4,FALSE),A20="Glenn Robinson",VLOOKUP("Glenn Robinson III",Injuries[],4,FALSE)))&amp; IF(ISNUMBER(SEARCH("Season",VLOOKUP(A20,Injuries[],5,FALSE)))=FALSE,"","   X"),"")</f>
        <v/>
      </c>
      <c r="Q20" s="432" t="str">
        <f t="shared" si="0"/>
        <v/>
      </c>
      <c r="S20" s="221"/>
      <c r="T20" s="221"/>
      <c r="U20" s="221"/>
      <c r="V20" s="221"/>
      <c r="W20" s="221"/>
      <c r="X20" s="221"/>
      <c r="Y20" s="221"/>
      <c r="Z20" s="221"/>
      <c r="AA20" s="221"/>
      <c r="AB20" s="221"/>
      <c r="AC20" s="221"/>
      <c r="AD20" s="221"/>
      <c r="AE20" s="221"/>
      <c r="AF20" s="221"/>
      <c r="AI20" s="423" t="str">
        <f>IFERROR(VLOOKUP(A20,#REF!,MATCH($AI$3,#REF!,0)-1,FALSE),"")</f>
        <v/>
      </c>
      <c r="AJ20" s="424" t="str">
        <f>IFERROR(PERCENTRANK(#REF!,$AI20)*100,"")</f>
        <v/>
      </c>
      <c r="AK20" s="425" t="e">
        <f>PERCENTRANK(MATCH($H$4,#REF!,FALSE),'Roster Analysis'!H20)</f>
        <v>#REF!</v>
      </c>
      <c r="AN20" s="414" t="str">
        <f>IFERROR(IF(VLOOKUP('Roster Analysis'!A21,Player_Totals[[Player]:[MP]],7,FALSE)&gt;100,VLOOKUP(A21,#REF!,17,FALSE),"IMP"),"")</f>
        <v/>
      </c>
      <c r="AO20" s="415" t="str">
        <f>IF(AN20="IMP","IMP",IFERROR(PERCENTRANK('Player Per Game'!$R$6:$R$641,AN20)*100,""))</f>
        <v/>
      </c>
      <c r="AP20" s="425" t="str">
        <f>IFERROR(IF(VLOOKUP(A20,'Player Salaries'!B20:J593,9,FALSE)="",IF(VLOOKUP(A20,#REF!,3,FALSE),"YES"),"YES"),"DEAD")</f>
        <v>YES</v>
      </c>
    </row>
    <row r="21" spans="1:43">
      <c r="A21" s="409" t="str">
        <f t="array" ref="A21">IF(ROWS(A$5:A21)&gt;$E$1,"",INDEX('Player Salaries'!B$5:B$672,SMALL(IF('Player Salaries'!$C$5:$C$672=$D$1,ROW('Player Salaries'!$C$5:$C$672)-ROW('Player Salaries'!$E$5)+1),ROWS(A$5:A21))))</f>
        <v/>
      </c>
      <c r="B21" s="416" t="str">
        <f>IFERROR(IF(AND(A21="Jamal Crawford",$D$1="ATL"),"",VLOOKUP(A21,Player_Per_Game[[Player]:[Pos]],2,FALSE)),"")</f>
        <v/>
      </c>
      <c r="C21" s="416" t="str">
        <f>IFERROR(IF(AND(A21="Jamal Crawford",$D$1="ATL"),"",VLOOKUP(A21,Player_Per_Game[[Player]:[PS/G]],3,FALSE)),"")</f>
        <v/>
      </c>
      <c r="D21" s="416" t="str">
        <f>IF(AND(A21="Jamal Crawford",$D$1="ATL"),"",IFERROR(IF(AND(A21="Jamal Crawford",$D$1="ATL"),"",VLOOKUP(A21,'Player Per Game'!$B$6:$G$641,5,FALSE))&amp;" / "&amp;IF(AND(A21="Jamal Crawford",$D$1="ATL"),"",VLOOKUP(A21,'Player Per Game'!$B$6:$G$641,6,FALSE)),""))</f>
        <v/>
      </c>
      <c r="E21" s="432" t="str">
        <f>IFERROR(IF(AND(A21="Jamal Crawford",$D$1="ATL"),"",VLOOKUP(A21,Player_Per_Game[[Player]:[PS/G]],7,FALSE)),"")</f>
        <v/>
      </c>
      <c r="F21" s="434" t="str">
        <f>IFERROR(IF(AND(A21="Jamal Crawford",$D$1="ATL"),"",VLOOKUP($A21,Player_Per_Game[[Player]:[PS/G]],MATCH('Roster Analysis'!$F$4,Player_Per_Game[[#Headers],[Player]:[PS/G]],FALSE),FALSE)),"")</f>
        <v/>
      </c>
      <c r="G21" s="424" t="str">
        <f>IFERROR(_xlfn.IFS($F$4="PF",PERCENTRANK(Player_Per_Game[PF],F21),$F$4="TOV",PERCENTRANK(Player_Per_Game[TOV],F21),$F$4="BLK",PERCENTRANK(Player_Per_Game[BLK],F21),$F$4="STL",PERCENTRANK(Player_Per_Game[STL],F21),$F$4="AST",PERCENTRANK(Player_Per_Game[AST],F21),$F$4="TRB",PERCENTRANK(Player_Per_Game[TRB],F21),$F$4="DRB",PERCENTRANK(Player_Per_Game[DRB],F21),$F$4="ORB",PERCENTRANK(Player_Per_Game[ORB],F21),$F$4="FT%",PERCENTRANK(Player_Per_Game[FT%],F21),$F$4="EFG%",PERCENTRANK(Player_Per_Game[eFG%],F21),$F$4="2P%",PERCENTRANK(Player_Per_Game[2P%],F21),$F$4="3P%",PERCENTRANK(Player_Per_Game[3P%],F21),$F$4="FG%",PERCENTRANK(Player_Per_Game[FG%],F21),$F$4="PS/G",PERCENTRANK(Player_Per_Game[PS/G],F21))*100,"")</f>
        <v/>
      </c>
      <c r="H21" s="436" t="str">
        <f>IFERROR(IF(AND(A21="Jamal Crawford",$D$1="ATL"),"",VLOOKUP($A21,Player_Advanced[[Player]:[VORP]],MATCH('Roster Analysis'!$H$4,Player_Advanced[[#Headers],[Player]:[VORP]],FALSE),FALSE)),"")</f>
        <v/>
      </c>
      <c r="I21" s="417" t="str">
        <f>IFERROR(_xlfn.IFS($H$4="VORP",PERCENTRANK(Player_Advanced[VORP],H21),$H$4="BPM",PERCENTRANK(Player_Advanced[BPM],H21),$H$4="DBPM",PERCENTRANK(Player_Advanced[DBPM],H21),$H$4="OBPM",PERCENTRANK(Player_Advanced[OBPM],H21),$H$4="WS/48",PERCENTRANK(Player_Advanced[WS/48],H21),$H$4="WS",PERCENTRANK(Player_Advanced[WS],H21),$H$4="DWS",PERCENTRANK(Player_Advanced[DWS],H21),$H$4="OWS",PERCENTRANK(Player_Advanced[OWS],H21),$H$4="USG%",PERCENTRANK(Player_Advanced[USG%],H21),$H$4="TOV%",PERCENTRANK(Player_Advanced[TOV%],H21),$H$4="BLK%",PERCENTRANK(Player_Advanced[BLK%],H21),$H$4="STL%",PERCENTRANK(Player_Advanced[STL%],H21),$H$4="TRB%",PERCENTRANK(Player_Advanced[TRB%],H21),$H$4="ast%",PERCENTRANK(Player_Advanced[AST%],H21),$H$4="drb%",PERCENTRANK(Player_Advanced[DRB%],H21),$H$4="orb%",PERCENTRANK(Player_Advanced[ORB%],H21),$H$4="TS%",PERCENTRANK(Player_Advanced[TS%],H21),$H$4="FTr",PERCENTRANK(Player_Advanced[FTr],H21),$H$4="PER",PERCENTRANK(Player_Advanced[PER],H21),$H$4="3PAr",PERCENTRANK(Player_Advanced[3PAr],H21))*100,"")</f>
        <v/>
      </c>
      <c r="J21" s="418" t="str">
        <f>IF(A21="","",IFERROR(VLOOKUP(A21,'Player Salaries'!$B$5:$D$632,3,FALSE),""))</f>
        <v/>
      </c>
      <c r="K21" s="419" t="str">
        <f>IF(J21="","",IFERROR(IF(VLOOKUP(A21,'Player Salaries'!$B$5:$F$632,4,FALSE)&lt;&gt;0,VLOOKUP(A21,'Player Salaries'!$B$5:$F$632,4,FALSE),IF(OR(VLOOKUP(A21,'Player Salaries'!$B$5:$J$632,9,FALSE)="1st Rd Pick",AND(VLOOKUP(A21,'Player Salaries'!$B$5:$J$632,9,FALSE)="1st Round Pick",VLOOKUP(A21,'Player Salaries'!$B$5:$J$632,3,FALSE)&lt;0.08*'Roster Analysis'!$J$28),AND(VLOOKUP(A21,'Player Salaries'!$B$5:$J$632,9,FALSE)="Cap Space",VLOOKUP(A21,'Player Salaries'!$B$5:$J$632,3,FALSE)&lt;1000000),AND(VLOOKUP(A21,'Player Salaries'!$B$5:$J$632,9,FALSE)="MLE",VLOOKUP(A21,'Player Salaries'!$B$5:$J$632,3,FALSE)&lt;1000000),J21=50000,AND(VLOOKUP(A21,'Player Salaries'!B21:K648,9,FALSE)="Minimum Salary",'Roster Analysis'!J21=1312611)),"RFA","UFA")),""))</f>
        <v/>
      </c>
      <c r="L21" s="419" t="str">
        <f>IFERROR(IF(VLOOKUP(A21,'Player Salaries'!$B$5:$J$632,4,FALSE)=0,"",IF(VLOOKUP(A21,'Player Salaries'!$B$5:$J$632,5,FALSE)&lt;&gt;0,VLOOKUP(A21,'Player Salaries'!$B$5:$J$632,5,FALSE),IF(OR(VLOOKUP(A21,'Player Salaries'!$B$5:$J$632,9,FALSE)="1st Rd Pick",AND(VLOOKUP(A21,'Player Salaries'!$B$5:$J$632,9,FALSE)="1st Round Pick",VLOOKUP(A21,'Player Salaries'!$B$5:$J$632,4,FALSE)&lt;0.08*'Roster Analysis'!$J$28),AND(VLOOKUP(A21,'Player Salaries'!$B$5:$J$632,9,FALSE)="Cap Space",$K21=1544951),AND(VLOOKUP(A21,'Player Salaries'!$B$5:$J$632,9,FALSE)="Cap Space",VLOOKUP(A21,'Player Salaries'!$B$5:$J$632,4,FALSE)&lt;1000000),$K21=1378242,AND(VLOOKUP(A21,'Player Salaries'!$B$5:$J$632,9,FALSE)="MLE",VLOOKUP(A21,'Player Salaries'!$B$5:$J$632,4,FALSE)&lt;1000000),AND(VLOOKUP(A21,'Player Salaries'!$B$5:$K$632,9,FALSE)="Minimum Salary",K21=1544951)),"RFA","UFA"))),"")</f>
        <v/>
      </c>
      <c r="M21" s="419" t="str">
        <f>IFERROR(IF(VLOOKUP(A21,'Player Salaries'!$B$5:$J$632,5,FALSE)=0,"",IF(VLOOKUP(A21,'Player Salaries'!$B$5:$J$632,6,FALSE)&lt;&gt;0,VLOOKUP(A21,'Player Salaries'!$B$5:$J$632,6,FALSE),IF(OR(VLOOKUP(A21,'Player Salaries'!$B$5:$J$632,9,FALSE)="1st Rd Pick",AND(VLOOKUP(A21,'Player Salaries'!$B$5:$J$632,9,FALSE)="1st Round Pick",VLOOKUP(A21,'Player Salaries'!$B$5:$J$632,5,FALSE)&lt;0.08*'Roster Analysis'!$J$28),AND(VLOOKUP(A21,'Player Salaries'!$B$5:$J$632,9,FALSE)="Cap Space",VLOOKUP(A21,'Player Salaries'!$B$5:$J$632,5,FALSE)&lt;1000000),$K21=1378242,AND(VLOOKUP(A21,'Player Salaries'!$B$5:$J$632,9,FALSE)="MLE",VLOOKUP(A21,'Player Salaries'!$B$5:$J$632,5,FALSE)&lt;1000000)),"RFA","UFA"))),"")</f>
        <v/>
      </c>
      <c r="N21" s="422" t="str">
        <f>IFERROR(IF(VLOOKUP(A21,'Player Salaries'!$B$5:$J$632,6,FALSE)=0,"",IF(VLOOKUP(A21,'Player Salaries'!$B$5:$J$632,7,FALSE)&lt;&gt;0,VLOOKUP(A21,'Player Salaries'!$B$5:$J$632,7,FALSE),IF(OR(VLOOKUP(A21,'Player Salaries'!$B$5:$J$632,9,FALSE)="1st Rd Pick",AND(VLOOKUP(A21,'Player Salaries'!$B$5:$J$632,9,FALSE)="1st Round Pick",VLOOKUP(A21,'Player Salaries'!$B$5:$J$632,6,FALSE)&lt;0.08*'Roster Analysis'!$J$28),AND(VLOOKUP(A21,'Player Salaries'!$B$5:$J$632,9,FALSE)="Cap Space",VLOOKUP(A21,'Player Salaries'!$B$5:$J$632,6,FALSE)&lt;1000000),AND(VLOOKUP(A21,'Player Salaries'!$B$5:$J$632,9,FALSE)="MLE",VLOOKUP(A21,'Player Salaries'!$B$5:$J$632,6,FALSE)&lt;1000000)),"RFA","UFA"))),"")</f>
        <v/>
      </c>
      <c r="O21" s="438" t="str">
        <f>IFERROR(IFERROR(VLOOKUP(A21,Injuries[],4,FALSE),_xlfn.IFS(A21="Larry Nance",VLOOKUP("Larry Nance Jr.",Injuries[],4,FALSE),A21="Glenn Robinson",VLOOKUP("Glenn Robinson III",Injuries[],4,FALSE)))&amp; IF(ISNUMBER(SEARCH("Season",VLOOKUP(A21,Injuries[],5,FALSE)))=FALSE,"","   X"),"")</f>
        <v/>
      </c>
      <c r="Q21" s="432" t="str">
        <f t="shared" si="0"/>
        <v/>
      </c>
      <c r="S21" s="221"/>
      <c r="T21" s="361"/>
      <c r="U21" s="221"/>
      <c r="V21" s="221"/>
      <c r="W21" s="221"/>
      <c r="X21" s="221"/>
      <c r="Y21" s="221"/>
      <c r="Z21" s="221"/>
      <c r="AA21" s="221"/>
      <c r="AB21" s="221"/>
      <c r="AC21" s="221"/>
      <c r="AD21" s="221"/>
      <c r="AE21" s="221"/>
      <c r="AF21" s="221"/>
      <c r="AI21" s="423" t="str">
        <f>IFERROR(VLOOKUP(A21,#REF!,MATCH($AI$3,#REF!,0)-1,FALSE),"")</f>
        <v/>
      </c>
      <c r="AJ21" s="424" t="str">
        <f>IFERROR(PERCENTRANK(#REF!,$AI21)*100,"")</f>
        <v/>
      </c>
      <c r="AK21" s="425" t="e">
        <f>PERCENTRANK(MATCH($H$4,#REF!,FALSE),'Roster Analysis'!H21)</f>
        <v>#REF!</v>
      </c>
      <c r="AN21" s="414" t="str">
        <f>IFERROR(IF(VLOOKUP('Roster Analysis'!A22,Player_Totals[[Player]:[MP]],7,FALSE)&gt;100,VLOOKUP(A22,#REF!,17,FALSE),"IMP"),"")</f>
        <v/>
      </c>
      <c r="AO21" s="415" t="str">
        <f>IF(AN21="IMP","IMP",IFERROR(PERCENTRANK('Player Per Game'!$R$6:$R$641,AN21)*100,""))</f>
        <v/>
      </c>
      <c r="AP21" s="425" t="str">
        <f>IFERROR(IF(VLOOKUP(A21,'Player Salaries'!B21:J594,9,FALSE)="",IF(VLOOKUP(A21,#REF!,3,FALSE),"YES"),"YES"),"")</f>
        <v/>
      </c>
    </row>
    <row r="22" spans="1:43">
      <c r="A22" s="409" t="str">
        <f t="array" ref="A22">IF(ROWS(A$5:A22)&gt;$E$1,"",INDEX('Player Salaries'!B$5:B$672,SMALL(IF('Player Salaries'!$C$5:$C$672=$D$1,ROW('Player Salaries'!$C$5:$C$672)-ROW('Player Salaries'!$E$5)+1),ROWS(A$5:A22))))</f>
        <v/>
      </c>
      <c r="B22" s="416" t="str">
        <f>IFERROR(IF(AND(A22="Jamal Crawford",$D$1="ATL"),"",VLOOKUP(A22,Player_Per_Game[[Player]:[Pos]],2,FALSE)),"")</f>
        <v/>
      </c>
      <c r="C22" s="416" t="str">
        <f>IFERROR(IF(AND(A22="Jamal Crawford",$D$1="ATL"),"",VLOOKUP(A22,Player_Per_Game[[Player]:[PS/G]],3,FALSE)),"")</f>
        <v/>
      </c>
      <c r="D22" s="416" t="str">
        <f>IF(AND(A22="Jamal Crawford",$D$1="ATL"),"",IFERROR(IF(AND(A22="Jamal Crawford",$D$1="ATL"),"",VLOOKUP(A22,'Player Per Game'!$B$6:$G$641,5,FALSE))&amp;" / "&amp;IF(AND(A22="Jamal Crawford",$D$1="ATL"),"",VLOOKUP(A22,'Player Per Game'!$B$6:$G$641,6,FALSE)),""))</f>
        <v/>
      </c>
      <c r="E22" s="432" t="str">
        <f>IFERROR(IF(AND(A22="Jamal Crawford",$D$1="ATL"),"",VLOOKUP(A22,Player_Per_Game[[Player]:[PS/G]],7,FALSE)),"")</f>
        <v/>
      </c>
      <c r="F22" s="434" t="str">
        <f>IFERROR(IF(AND(A22="Jamal Crawford",$D$1="ATL"),"",VLOOKUP($A22,Player_Per_Game[[Player]:[PS/G]],MATCH('Roster Analysis'!$F$4,Player_Per_Game[[#Headers],[Player]:[PS/G]],FALSE),FALSE)),"")</f>
        <v/>
      </c>
      <c r="G22" s="424" t="str">
        <f>IFERROR(_xlfn.IFS($F$4="PF",PERCENTRANK(Player_Per_Game[PF],F22),$F$4="TOV",PERCENTRANK(Player_Per_Game[TOV],F22),$F$4="BLK",PERCENTRANK(Player_Per_Game[BLK],F22),$F$4="STL",PERCENTRANK(Player_Per_Game[STL],F22),$F$4="AST",PERCENTRANK(Player_Per_Game[AST],F22),$F$4="TRB",PERCENTRANK(Player_Per_Game[TRB],F22),$F$4="DRB",PERCENTRANK(Player_Per_Game[DRB],F22),$F$4="ORB",PERCENTRANK(Player_Per_Game[ORB],F22),$F$4="FT%",PERCENTRANK(Player_Per_Game[FT%],F22),$F$4="EFG%",PERCENTRANK(Player_Per_Game[eFG%],F22),$F$4="2P%",PERCENTRANK(Player_Per_Game[2P%],F22),$F$4="3P%",PERCENTRANK(Player_Per_Game[3P%],F22),$F$4="FG%",PERCENTRANK(Player_Per_Game[FG%],F22),$F$4="PS/G",PERCENTRANK(Player_Per_Game[PS/G],F22))*100,"")</f>
        <v/>
      </c>
      <c r="H22" s="436" t="str">
        <f>IFERROR(IF(AND(A22="Jamal Crawford",$D$1="ATL"),"",VLOOKUP($A22,Player_Advanced[[Player]:[VORP]],MATCH('Roster Analysis'!$H$4,Player_Advanced[[#Headers],[Player]:[VORP]],FALSE),FALSE)),"")</f>
        <v/>
      </c>
      <c r="I22" s="417" t="str">
        <f>IFERROR(_xlfn.IFS($H$4="VORP",PERCENTRANK(Player_Advanced[VORP],H22),$H$4="BPM",PERCENTRANK(Player_Advanced[BPM],H22),$H$4="DBPM",PERCENTRANK(Player_Advanced[DBPM],H22),$H$4="OBPM",PERCENTRANK(Player_Advanced[OBPM],H22),$H$4="WS/48",PERCENTRANK(Player_Advanced[WS/48],H22),$H$4="WS",PERCENTRANK(Player_Advanced[WS],H22),$H$4="DWS",PERCENTRANK(Player_Advanced[DWS],H22),$H$4="OWS",PERCENTRANK(Player_Advanced[OWS],H22),$H$4="USG%",PERCENTRANK(Player_Advanced[USG%],H22),$H$4="TOV%",PERCENTRANK(Player_Advanced[TOV%],H22),$H$4="BLK%",PERCENTRANK(Player_Advanced[BLK%],H22),$H$4="STL%",PERCENTRANK(Player_Advanced[STL%],H22),$H$4="TRB%",PERCENTRANK(Player_Advanced[TRB%],H22),$H$4="ast%",PERCENTRANK(Player_Advanced[AST%],H22),$H$4="drb%",PERCENTRANK(Player_Advanced[DRB%],H22),$H$4="orb%",PERCENTRANK(Player_Advanced[ORB%],H22),$H$4="TS%",PERCENTRANK(Player_Advanced[TS%],H22),$H$4="FTr",PERCENTRANK(Player_Advanced[FTr],H22),$H$4="PER",PERCENTRANK(Player_Advanced[PER],H22),$H$4="3PAr",PERCENTRANK(Player_Advanced[3PAr],H22))*100,"")</f>
        <v/>
      </c>
      <c r="J22" s="418" t="str">
        <f>IF(A22="","",IFERROR(VLOOKUP(A22,'Player Salaries'!$B$5:$D$632,3,FALSE),""))</f>
        <v/>
      </c>
      <c r="K22" s="419" t="str">
        <f>IF(J22="","",IFERROR(IF(VLOOKUP(A22,'Player Salaries'!$B$5:$F$632,4,FALSE)&lt;&gt;0,VLOOKUP(A22,'Player Salaries'!$B$5:$F$632,4,FALSE),IF(OR(VLOOKUP(A22,'Player Salaries'!$B$5:$J$632,9,FALSE)="1st Rd Pick",AND(VLOOKUP(A22,'Player Salaries'!$B$5:$J$632,9,FALSE)="1st Round Pick",VLOOKUP(A22,'Player Salaries'!$B$5:$J$632,3,FALSE)&lt;0.08*'Roster Analysis'!$J$28),AND(VLOOKUP(A22,'Player Salaries'!$B$5:$J$632,9,FALSE)="Cap Space",VLOOKUP(A22,'Player Salaries'!$B$5:$J$632,3,FALSE)&lt;1000000),AND(VLOOKUP(A22,'Player Salaries'!$B$5:$J$632,9,FALSE)="MLE",VLOOKUP(A22,'Player Salaries'!$B$5:$J$632,3,FALSE)&lt;1000000),J22=50000,AND(VLOOKUP(A22,'Player Salaries'!B22:K649,9,FALSE)="Minimum Salary",'Roster Analysis'!J22=1312611)),"RFA","UFA")),""))</f>
        <v/>
      </c>
      <c r="L22" s="419" t="str">
        <f>IFERROR(IF(VLOOKUP(A22,'Player Salaries'!$B$5:$J$632,4,FALSE)=0,"",IF(VLOOKUP(A22,'Player Salaries'!$B$5:$J$632,5,FALSE)&lt;&gt;0,VLOOKUP(A22,'Player Salaries'!$B$5:$J$632,5,FALSE),IF(OR(VLOOKUP(A22,'Player Salaries'!$B$5:$J$632,9,FALSE)="1st Rd Pick",AND(VLOOKUP(A22,'Player Salaries'!$B$5:$J$632,9,FALSE)="1st Round Pick",VLOOKUP(A22,'Player Salaries'!$B$5:$J$632,4,FALSE)&lt;0.08*'Roster Analysis'!$J$28),AND(VLOOKUP(A22,'Player Salaries'!$B$5:$J$632,9,FALSE)="Cap Space",$K22=1544951),AND(VLOOKUP(A22,'Player Salaries'!$B$5:$J$632,9,FALSE)="Cap Space",VLOOKUP(A22,'Player Salaries'!$B$5:$J$632,4,FALSE)&lt;1000000),$K22=1378242,AND(VLOOKUP(A22,'Player Salaries'!$B$5:$J$632,9,FALSE)="MLE",VLOOKUP(A22,'Player Salaries'!$B$5:$J$632,4,FALSE)&lt;1000000),AND(VLOOKUP(A22,'Player Salaries'!$B$5:$K$632,9,FALSE)="Minimum Salary",K22=1544951)),"RFA","UFA"))),"")</f>
        <v/>
      </c>
      <c r="M22" s="419" t="str">
        <f>IFERROR(IF(VLOOKUP(A22,'Player Salaries'!$B$5:$J$632,5,FALSE)=0,"",IF(VLOOKUP(A22,'Player Salaries'!$B$5:$J$632,6,FALSE)&lt;&gt;0,VLOOKUP(A22,'Player Salaries'!$B$5:$J$632,6,FALSE),IF(OR(VLOOKUP(A22,'Player Salaries'!$B$5:$J$632,9,FALSE)="1st Rd Pick",AND(VLOOKUP(A22,'Player Salaries'!$B$5:$J$632,9,FALSE)="1st Round Pick",VLOOKUP(A22,'Player Salaries'!$B$5:$J$632,5,FALSE)&lt;0.08*'Roster Analysis'!$J$28),AND(VLOOKUP(A22,'Player Salaries'!$B$5:$J$632,9,FALSE)="Cap Space",VLOOKUP(A22,'Player Salaries'!$B$5:$J$632,5,FALSE)&lt;1000000),$K22=1378242,AND(VLOOKUP(A22,'Player Salaries'!$B$5:$J$632,9,FALSE)="MLE",VLOOKUP(A22,'Player Salaries'!$B$5:$J$632,5,FALSE)&lt;1000000)),"RFA","UFA"))),"")</f>
        <v/>
      </c>
      <c r="N22" s="422" t="str">
        <f>IFERROR(IF(VLOOKUP(A22,'Player Salaries'!$B$5:$J$632,6,FALSE)=0,"",IF(VLOOKUP(A22,'Player Salaries'!$B$5:$J$632,7,FALSE)&lt;&gt;0,VLOOKUP(A22,'Player Salaries'!$B$5:$J$632,7,FALSE),IF(OR(VLOOKUP(A22,'Player Salaries'!$B$5:$J$632,9,FALSE)="1st Rd Pick",AND(VLOOKUP(A22,'Player Salaries'!$B$5:$J$632,9,FALSE)="1st Round Pick",VLOOKUP(A22,'Player Salaries'!$B$5:$J$632,6,FALSE)&lt;0.08*'Roster Analysis'!$J$28),AND(VLOOKUP(A22,'Player Salaries'!$B$5:$J$632,9,FALSE)="Cap Space",VLOOKUP(A22,'Player Salaries'!$B$5:$J$632,6,FALSE)&lt;1000000),AND(VLOOKUP(A22,'Player Salaries'!$B$5:$J$632,9,FALSE)="MLE",VLOOKUP(A22,'Player Salaries'!$B$5:$J$632,6,FALSE)&lt;1000000)),"RFA","UFA"))),"")</f>
        <v/>
      </c>
      <c r="O22" s="438" t="str">
        <f>IFERROR(IFERROR(VLOOKUP(A22,Injuries[],4,FALSE),_xlfn.IFS(A22="Larry Nance",VLOOKUP("Larry Nance Jr.",Injuries[],4,FALSE),A22="Glenn Robinson",VLOOKUP("Glenn Robinson III",Injuries[],4,FALSE)))&amp; IF(ISNUMBER(SEARCH("Season",VLOOKUP(A22,Injuries[],5,FALSE)))=FALSE,"","   X"),"")</f>
        <v/>
      </c>
      <c r="Q22" s="432" t="str">
        <f t="shared" si="0"/>
        <v/>
      </c>
      <c r="S22" s="221"/>
      <c r="T22" s="221"/>
      <c r="U22" s="221"/>
      <c r="V22" s="221"/>
      <c r="W22" s="221"/>
      <c r="X22" s="221"/>
      <c r="Y22" s="221"/>
      <c r="Z22" s="221"/>
      <c r="AA22" s="221"/>
      <c r="AB22" s="221"/>
      <c r="AC22" s="221"/>
      <c r="AD22" s="221"/>
      <c r="AE22" s="221"/>
      <c r="AF22" s="221"/>
      <c r="AI22" s="423" t="str">
        <f>IFERROR(VLOOKUP(A22,#REF!,MATCH($AI$3,#REF!,0)-1,FALSE),"")</f>
        <v/>
      </c>
      <c r="AJ22" s="424" t="str">
        <f>IFERROR(PERCENTRANK(#REF!,$AI22)*100,"")</f>
        <v/>
      </c>
      <c r="AK22" s="425" t="e">
        <f>PERCENTRANK(MATCH($H$4,#REF!,FALSE),'Roster Analysis'!H22)</f>
        <v>#REF!</v>
      </c>
      <c r="AN22" s="414" t="str">
        <f>IFERROR(IF(VLOOKUP('Roster Analysis'!A23,Player_Totals[[Player]:[MP]],7,FALSE)&gt;100,VLOOKUP(A23,#REF!,17,FALSE),"IMP"),"")</f>
        <v/>
      </c>
      <c r="AO22" s="415" t="str">
        <f>IF(AN22="IMP","IMP",IFERROR(PERCENTRANK('Player Per Game'!$R$6:$R$641,AN22)*100,""))</f>
        <v/>
      </c>
      <c r="AP22" s="425" t="str">
        <f>IFERROR(IF(VLOOKUP(A22,'Player Salaries'!B22:J595,9,FALSE)="",IF(VLOOKUP(A22,#REF!,3,FALSE),"YES"),"YES"),"")</f>
        <v/>
      </c>
    </row>
    <row r="23" spans="1:43">
      <c r="A23" s="409" t="str">
        <f t="array" ref="A23">IF(ROWS(A$5:A23)&gt;$E$1,"",INDEX('Player Salaries'!B$5:B$672,SMALL(IF('Player Salaries'!$C$5:$C$672=$D$1,ROW('Player Salaries'!$C$5:$C$672)-ROW('Player Salaries'!$E$5)+1),ROWS(A$5:A23))))</f>
        <v/>
      </c>
      <c r="B23" s="416" t="str">
        <f>IFERROR(IF(AND(A23="Jamal Crawford",$D$1="ATL"),"",VLOOKUP(A23,Player_Per_Game[[Player]:[Pos]],2,FALSE)),"")</f>
        <v/>
      </c>
      <c r="C23" s="416" t="str">
        <f>IFERROR(IF(AND(A23="Jamal Crawford",$D$1="ATL"),"",VLOOKUP(A23,Player_Per_Game[[Player]:[PS/G]],3,FALSE)),"")</f>
        <v/>
      </c>
      <c r="D23" s="416" t="str">
        <f>IF(AND(A23="Jamal Crawford",$D$1="ATL"),"",IFERROR(IF(AND(A23="Jamal Crawford",$D$1="ATL"),"",VLOOKUP(A23,'Player Per Game'!$B$6:$G$641,5,FALSE))&amp;" / "&amp;IF(AND(A23="Jamal Crawford",$D$1="ATL"),"",VLOOKUP(A23,'Player Per Game'!$B$6:$G$641,6,FALSE)),""))</f>
        <v/>
      </c>
      <c r="E23" s="432" t="str">
        <f>IFERROR(IF(AND(A23="Jamal Crawford",$D$1="ATL"),"",VLOOKUP(A23,Player_Per_Game[[Player]:[PS/G]],7,FALSE)),"")</f>
        <v/>
      </c>
      <c r="F23" s="434" t="str">
        <f>IFERROR(IF(AND(A23="Jamal Crawford",$D$1="ATL"),"",VLOOKUP($A23,Player_Per_Game[[Player]:[PS/G]],MATCH('Roster Analysis'!$F$4,Player_Per_Game[[#Headers],[Player]:[PS/G]],FALSE),FALSE)),"")</f>
        <v/>
      </c>
      <c r="G23" s="424" t="str">
        <f>IFERROR(_xlfn.IFS($F$4="PF",PERCENTRANK(Player_Per_Game[PF],F23),$F$4="TOV",PERCENTRANK(Player_Per_Game[TOV],F23),$F$4="BLK",PERCENTRANK(Player_Per_Game[BLK],F23),$F$4="STL",PERCENTRANK(Player_Per_Game[STL],F23),$F$4="AST",PERCENTRANK(Player_Per_Game[AST],F23),$F$4="TRB",PERCENTRANK(Player_Per_Game[TRB],F23),$F$4="DRB",PERCENTRANK(Player_Per_Game[DRB],F23),$F$4="ORB",PERCENTRANK(Player_Per_Game[ORB],F23),$F$4="FT%",PERCENTRANK(Player_Per_Game[FT%],F23),$F$4="EFG%",PERCENTRANK(Player_Per_Game[eFG%],F23),$F$4="2P%",PERCENTRANK(Player_Per_Game[2P%],F23),$F$4="3P%",PERCENTRANK(Player_Per_Game[3P%],F23),$F$4="FG%",PERCENTRANK(Player_Per_Game[FG%],F23),$F$4="PS/G",PERCENTRANK(Player_Per_Game[PS/G],F23))*100,"")</f>
        <v/>
      </c>
      <c r="H23" s="436" t="str">
        <f>IFERROR(IF(AND(A23="Jamal Crawford",$D$1="ATL"),"",VLOOKUP($A23,Player_Advanced[[Player]:[VORP]],MATCH('Roster Analysis'!$H$4,Player_Advanced[[#Headers],[Player]:[VORP]],FALSE),FALSE)),"")</f>
        <v/>
      </c>
      <c r="I23" s="417" t="str">
        <f>IFERROR(_xlfn.IFS($H$4="VORP",PERCENTRANK(Player_Advanced[VORP],H23),$H$4="BPM",PERCENTRANK(Player_Advanced[BPM],H23),$H$4="DBPM",PERCENTRANK(Player_Advanced[DBPM],H23),$H$4="OBPM",PERCENTRANK(Player_Advanced[OBPM],H23),$H$4="WS/48",PERCENTRANK(Player_Advanced[WS/48],H23),$H$4="WS",PERCENTRANK(Player_Advanced[WS],H23),$H$4="DWS",PERCENTRANK(Player_Advanced[DWS],H23),$H$4="OWS",PERCENTRANK(Player_Advanced[OWS],H23),$H$4="USG%",PERCENTRANK(Player_Advanced[USG%],H23),$H$4="TOV%",PERCENTRANK(Player_Advanced[TOV%],H23),$H$4="BLK%",PERCENTRANK(Player_Advanced[BLK%],H23),$H$4="STL%",PERCENTRANK(Player_Advanced[STL%],H23),$H$4="TRB%",PERCENTRANK(Player_Advanced[TRB%],H23),$H$4="ast%",PERCENTRANK(Player_Advanced[AST%],H23),$H$4="drb%",PERCENTRANK(Player_Advanced[DRB%],H23),$H$4="orb%",PERCENTRANK(Player_Advanced[ORB%],H23),$H$4="TS%",PERCENTRANK(Player_Advanced[TS%],H23),$H$4="FTr",PERCENTRANK(Player_Advanced[FTr],H23),$H$4="PER",PERCENTRANK(Player_Advanced[PER],H23),$H$4="3PAr",PERCENTRANK(Player_Advanced[3PAr],H23))*100,"")</f>
        <v/>
      </c>
      <c r="J23" s="418" t="str">
        <f>IF(A23="","",IFERROR(VLOOKUP(A23,'Player Salaries'!$B$5:$D$632,3,FALSE),""))</f>
        <v/>
      </c>
      <c r="K23" s="419" t="str">
        <f>IF(J23="","",IFERROR(IF(VLOOKUP(A23,'Player Salaries'!$B$5:$F$632,4,FALSE)&lt;&gt;0,VLOOKUP(A23,'Player Salaries'!$B$5:$F$632,4,FALSE),IF(OR(VLOOKUP(A23,'Player Salaries'!$B$5:$J$632,9,FALSE)="1st Rd Pick",AND(VLOOKUP(A23,'Player Salaries'!$B$5:$J$632,9,FALSE)="1st Round Pick",VLOOKUP(A23,'Player Salaries'!$B$5:$J$632,3,FALSE)&lt;0.08*'Roster Analysis'!$J$28),AND(VLOOKUP(A23,'Player Salaries'!$B$5:$J$632,9,FALSE)="Cap Space",VLOOKUP(A23,'Player Salaries'!$B$5:$J$632,3,FALSE)&lt;1000000),AND(VLOOKUP(A23,'Player Salaries'!$B$5:$J$632,9,FALSE)="MLE",VLOOKUP(A23,'Player Salaries'!$B$5:$J$632,3,FALSE)&lt;1000000),J23=50000,AND(VLOOKUP(A23,'Player Salaries'!B23:K650,9,FALSE)="Minimum Salary",'Roster Analysis'!J23=1312611)),"RFA","UFA")),""))</f>
        <v/>
      </c>
      <c r="L23" s="419" t="str">
        <f>IFERROR(IF(VLOOKUP(A23,'Player Salaries'!$B$5:$J$632,4,FALSE)=0,"",IF(VLOOKUP(A23,'Player Salaries'!$B$5:$J$632,5,FALSE)&lt;&gt;0,VLOOKUP(A23,'Player Salaries'!$B$5:$J$632,5,FALSE),IF(OR(VLOOKUP(A23,'Player Salaries'!$B$5:$J$632,9,FALSE)="1st Rd Pick",AND(VLOOKUP(A23,'Player Salaries'!$B$5:$J$632,9,FALSE)="1st Round Pick",VLOOKUP(A23,'Player Salaries'!$B$5:$J$632,4,FALSE)&lt;0.08*'Roster Analysis'!$J$28),AND(VLOOKUP(A23,'Player Salaries'!$B$5:$J$632,9,FALSE)="Cap Space",$K23=1544951),AND(VLOOKUP(A23,'Player Salaries'!$B$5:$J$632,9,FALSE)="Cap Space",VLOOKUP(A23,'Player Salaries'!$B$5:$J$632,4,FALSE)&lt;1000000),$K23=1378242,AND(VLOOKUP(A23,'Player Salaries'!$B$5:$J$632,9,FALSE)="MLE",VLOOKUP(A23,'Player Salaries'!$B$5:$J$632,4,FALSE)&lt;1000000),AND(VLOOKUP(A23,'Player Salaries'!$B$5:$K$632,9,FALSE)="Minimum Salary",K23=1544951)),"RFA","UFA"))),"")</f>
        <v/>
      </c>
      <c r="M23" s="419" t="str">
        <f>IFERROR(IF(VLOOKUP(A23,'Player Salaries'!$B$5:$J$632,5,FALSE)=0,"",IF(VLOOKUP(A23,'Player Salaries'!$B$5:$J$632,6,FALSE)&lt;&gt;0,VLOOKUP(A23,'Player Salaries'!$B$5:$J$632,6,FALSE),IF(OR(VLOOKUP(A23,'Player Salaries'!$B$5:$J$632,9,FALSE)="1st Rd Pick",AND(VLOOKUP(A23,'Player Salaries'!$B$5:$J$632,9,FALSE)="1st Round Pick",VLOOKUP(A23,'Player Salaries'!$B$5:$J$632,5,FALSE)&lt;0.08*'Roster Analysis'!$J$28),AND(VLOOKUP(A23,'Player Salaries'!$B$5:$J$632,9,FALSE)="Cap Space",VLOOKUP(A23,'Player Salaries'!$B$5:$J$632,5,FALSE)&lt;1000000),$K23=1378242,AND(VLOOKUP(A23,'Player Salaries'!$B$5:$J$632,9,FALSE)="MLE",VLOOKUP(A23,'Player Salaries'!$B$5:$J$632,5,FALSE)&lt;1000000)),"RFA","UFA"))),"")</f>
        <v/>
      </c>
      <c r="N23" s="422" t="str">
        <f>IFERROR(IF(VLOOKUP(A23,'Player Salaries'!$B$5:$J$632,6,FALSE)=0,"",IF(VLOOKUP(A23,'Player Salaries'!$B$5:$J$632,7,FALSE)&lt;&gt;0,VLOOKUP(A23,'Player Salaries'!$B$5:$J$632,7,FALSE),IF(OR(VLOOKUP(A23,'Player Salaries'!$B$5:$J$632,9,FALSE)="1st Rd Pick",AND(VLOOKUP(A23,'Player Salaries'!$B$5:$J$632,9,FALSE)="1st Round Pick",VLOOKUP(A23,'Player Salaries'!$B$5:$J$632,6,FALSE)&lt;0.08*'Roster Analysis'!$J$28),AND(VLOOKUP(A23,'Player Salaries'!$B$5:$J$632,9,FALSE)="Cap Space",VLOOKUP(A23,'Player Salaries'!$B$5:$J$632,6,FALSE)&lt;1000000),AND(VLOOKUP(A23,'Player Salaries'!$B$5:$J$632,9,FALSE)="MLE",VLOOKUP(A23,'Player Salaries'!$B$5:$J$632,6,FALSE)&lt;1000000)),"RFA","UFA"))),"")</f>
        <v/>
      </c>
      <c r="O23" s="438" t="str">
        <f>IFERROR(IFERROR(VLOOKUP(A23,Injuries[],4,FALSE),_xlfn.IFS(A23="Larry Nance",VLOOKUP("Larry Nance Jr.",Injuries[],4,FALSE),A23="Glenn Robinson",VLOOKUP("Glenn Robinson III",Injuries[],4,FALSE)))&amp; IF(ISNUMBER(SEARCH("Season",VLOOKUP(A23,Injuries[],5,FALSE)))=FALSE,"","   X"),"")</f>
        <v/>
      </c>
      <c r="Q23" s="432" t="str">
        <f t="shared" si="0"/>
        <v/>
      </c>
      <c r="S23" s="221"/>
      <c r="T23" s="221"/>
      <c r="U23" s="221"/>
      <c r="V23" s="221"/>
      <c r="W23" s="221"/>
      <c r="X23" s="221"/>
      <c r="Y23" s="221"/>
      <c r="Z23" s="221"/>
      <c r="AA23" s="221"/>
      <c r="AB23" s="221"/>
      <c r="AC23" s="221"/>
      <c r="AD23" s="221"/>
      <c r="AE23" s="221"/>
      <c r="AF23" s="221"/>
      <c r="AI23" s="423" t="str">
        <f>IFERROR(VLOOKUP(A23,#REF!,MATCH($AI$3,#REF!,0)-1,FALSE),"")</f>
        <v/>
      </c>
      <c r="AJ23" s="426" t="str">
        <f>IFERROR(PERCENTRANK(#REF!,$AI23)*100,"")</f>
        <v/>
      </c>
      <c r="AK23" s="425" t="e">
        <f>PERCENTRANK(MATCH($H$4,#REF!,FALSE),'Roster Analysis'!H23)</f>
        <v>#REF!</v>
      </c>
      <c r="AN23" s="414" t="str">
        <f>IFERROR(IF(VLOOKUP('Roster Analysis'!A24,Player_Totals[[Player]:[MP]],7,FALSE)&gt;100,VLOOKUP(A24,#REF!,17,FALSE),"IMP"),"")</f>
        <v/>
      </c>
      <c r="AO23" s="415" t="str">
        <f>IF(AN23="IMP","IMP",IFERROR(PERCENTRANK('Player Per Game'!$R$6:$R$641,AN23)*100,""))</f>
        <v/>
      </c>
      <c r="AP23" s="425" t="str">
        <f>IFERROR(IF(VLOOKUP(A23,'Player Salaries'!B23:J596,9,FALSE)="",IF(VLOOKUP(A23,#REF!,3,FALSE),"YES"),"YES"),"")</f>
        <v/>
      </c>
    </row>
    <row r="24" spans="1:43">
      <c r="A24" s="409" t="str">
        <f t="array" ref="A24">IF(ROWS(A$5:A24)&gt;$E$1,"",INDEX('Player Salaries'!B$5:B$672,SMALL(IF('Player Salaries'!$C$5:$C$672=$D$1,ROW('Player Salaries'!$C$5:$C$672)-ROW('Player Salaries'!$E$5)+1),ROWS(A$5:A24))))</f>
        <v/>
      </c>
      <c r="B24" s="416" t="str">
        <f>IFERROR(IF(AND(A24="Jamal Crawford",$D$1="ATL"),"",VLOOKUP(A24,Player_Per_Game[[Player]:[Pos]],2,FALSE)),"")</f>
        <v/>
      </c>
      <c r="C24" s="416" t="str">
        <f>IFERROR(IF(AND(A24="Jamal Crawford",$D$1="ATL"),"",VLOOKUP(A24,Player_Per_Game[[Player]:[PS/G]],3,FALSE)),"")</f>
        <v/>
      </c>
      <c r="D24" s="416" t="str">
        <f>IF(AND(A24="Jamal Crawford",$D$1="ATL"),"",IFERROR(IF(AND(A24="Jamal Crawford",$D$1="ATL"),"",VLOOKUP(A24,'Player Per Game'!$B$6:$G$641,5,FALSE))&amp;" / "&amp;IF(AND(A24="Jamal Crawford",$D$1="ATL"),"",VLOOKUP(A24,'Player Per Game'!$B$6:$G$641,6,FALSE)),""))</f>
        <v/>
      </c>
      <c r="E24" s="432" t="str">
        <f>IFERROR(IF(AND(A24="Jamal Crawford",$D$1="ATL"),"",VLOOKUP(A24,Player_Per_Game[[Player]:[PS/G]],7,FALSE)),"")</f>
        <v/>
      </c>
      <c r="F24" s="434" t="str">
        <f>IFERROR(IF(AND(A24="Jamal Crawford",$D$1="ATL"),"",VLOOKUP($A24,Player_Per_Game[[Player]:[PS/G]],MATCH('Roster Analysis'!$F$4,Player_Per_Game[[#Headers],[Player]:[PS/G]],FALSE),FALSE)),"")</f>
        <v/>
      </c>
      <c r="G24" s="424" t="str">
        <f>IFERROR(_xlfn.IFS($F$4="PF",PERCENTRANK(Player_Per_Game[PF],F24),$F$4="TOV",PERCENTRANK(Player_Per_Game[TOV],F24),$F$4="BLK",PERCENTRANK(Player_Per_Game[BLK],F24),$F$4="STL",PERCENTRANK(Player_Per_Game[STL],F24),$F$4="AST",PERCENTRANK(Player_Per_Game[AST],F24),$F$4="TRB",PERCENTRANK(Player_Per_Game[TRB],F24),$F$4="DRB",PERCENTRANK(Player_Per_Game[DRB],F24),$F$4="ORB",PERCENTRANK(Player_Per_Game[ORB],F24),$F$4="FT%",PERCENTRANK(Player_Per_Game[FT%],F24),$F$4="EFG%",PERCENTRANK(Player_Per_Game[eFG%],F24),$F$4="2P%",PERCENTRANK(Player_Per_Game[2P%],F24),$F$4="3P%",PERCENTRANK(Player_Per_Game[3P%],F24),$F$4="FG%",PERCENTRANK(Player_Per_Game[FG%],F24),$F$4="PS/G",PERCENTRANK(Player_Per_Game[PS/G],F24))*100,"")</f>
        <v/>
      </c>
      <c r="H24" s="436" t="str">
        <f>IFERROR(IF(AND(A24="Jamal Crawford",$D$1="ATL"),"",VLOOKUP($A24,Player_Advanced[[Player]:[VORP]],MATCH('Roster Analysis'!$H$4,Player_Advanced[[#Headers],[Player]:[VORP]],FALSE),FALSE)),"")</f>
        <v/>
      </c>
      <c r="I24" s="417" t="str">
        <f>IFERROR(_xlfn.IFS($H$4="VORP",PERCENTRANK(Player_Advanced[VORP],H24),$H$4="BPM",PERCENTRANK(Player_Advanced[BPM],H24),$H$4="DBPM",PERCENTRANK(Player_Advanced[DBPM],H24),$H$4="OBPM",PERCENTRANK(Player_Advanced[OBPM],H24),$H$4="WS/48",PERCENTRANK(Player_Advanced[WS/48],H24),$H$4="WS",PERCENTRANK(Player_Advanced[WS],H24),$H$4="DWS",PERCENTRANK(Player_Advanced[DWS],H24),$H$4="OWS",PERCENTRANK(Player_Advanced[OWS],H24),$H$4="USG%",PERCENTRANK(Player_Advanced[USG%],H24),$H$4="TOV%",PERCENTRANK(Player_Advanced[TOV%],H24),$H$4="BLK%",PERCENTRANK(Player_Advanced[BLK%],H24),$H$4="STL%",PERCENTRANK(Player_Advanced[STL%],H24),$H$4="TRB%",PERCENTRANK(Player_Advanced[TRB%],H24),$H$4="ast%",PERCENTRANK(Player_Advanced[AST%],H24),$H$4="drb%",PERCENTRANK(Player_Advanced[DRB%],H24),$H$4="orb%",PERCENTRANK(Player_Advanced[ORB%],H24),$H$4="TS%",PERCENTRANK(Player_Advanced[TS%],H24),$H$4="FTr",PERCENTRANK(Player_Advanced[FTr],H24),$H$4="PER",PERCENTRANK(Player_Advanced[PER],H24),$H$4="3PAr",PERCENTRANK(Player_Advanced[3PAr],H24))*100,"")</f>
        <v/>
      </c>
      <c r="J24" s="418" t="str">
        <f>IF(A24="","",IFERROR(VLOOKUP(A24,'Player Salaries'!$B$5:$D$632,3,FALSE),""))</f>
        <v/>
      </c>
      <c r="K24" s="419" t="str">
        <f>IF(J24="","",IFERROR(IF(VLOOKUP(A24,'Player Salaries'!$B$5:$F$632,4,FALSE)&lt;&gt;0,VLOOKUP(A24,'Player Salaries'!$B$5:$F$632,4,FALSE),IF(OR(VLOOKUP(A24,'Player Salaries'!$B$5:$J$632,9,FALSE)="1st Rd Pick",AND(VLOOKUP(A24,'Player Salaries'!$B$5:$J$632,9,FALSE)="1st Round Pick",VLOOKUP(A24,'Player Salaries'!$B$5:$J$632,3,FALSE)&lt;0.08*'Roster Analysis'!$J$28),AND(VLOOKUP(A24,'Player Salaries'!$B$5:$J$632,9,FALSE)="Cap Space",VLOOKUP(A24,'Player Salaries'!$B$5:$J$632,3,FALSE)&lt;1000000),AND(VLOOKUP(A24,'Player Salaries'!$B$5:$J$632,9,FALSE)="MLE",VLOOKUP(A24,'Player Salaries'!$B$5:$J$632,3,FALSE)&lt;1000000),J24=50000,AND(VLOOKUP(A24,'Player Salaries'!B24:K651,9,FALSE)="Minimum Salary",'Roster Analysis'!J24=1312611)),"RFA","UFA")),""))</f>
        <v/>
      </c>
      <c r="L24" s="419" t="str">
        <f>IFERROR(IF(VLOOKUP(A24,'Player Salaries'!$B$5:$J$632,4,FALSE)=0,"",IF(VLOOKUP(A24,'Player Salaries'!$B$5:$J$632,5,FALSE)&lt;&gt;0,VLOOKUP(A24,'Player Salaries'!$B$5:$J$632,5,FALSE),IF(OR(VLOOKUP(A24,'Player Salaries'!$B$5:$J$632,9,FALSE)="1st Rd Pick",AND(VLOOKUP(A24,'Player Salaries'!$B$5:$J$632,9,FALSE)="1st Round Pick",VLOOKUP(A24,'Player Salaries'!$B$5:$J$632,4,FALSE)&lt;0.08*'Roster Analysis'!$J$28),AND(VLOOKUP(A24,'Player Salaries'!$B$5:$J$632,9,FALSE)="Cap Space",$K24=1544951),AND(VLOOKUP(A24,'Player Salaries'!$B$5:$J$632,9,FALSE)="Cap Space",VLOOKUP(A24,'Player Salaries'!$B$5:$J$632,4,FALSE)&lt;1000000),$K24=1378242,AND(VLOOKUP(A24,'Player Salaries'!$B$5:$J$632,9,FALSE)="MLE",VLOOKUP(A24,'Player Salaries'!$B$5:$J$632,4,FALSE)&lt;1000000),AND(VLOOKUP(A24,'Player Salaries'!$B$5:$K$632,9,FALSE)="Minimum Salary",K24=1544951)),"RFA","UFA"))),"")</f>
        <v/>
      </c>
      <c r="M24" s="419" t="str">
        <f>IFERROR(IF(VLOOKUP(A24,'Player Salaries'!$B$5:$J$632,5,FALSE)=0,"",IF(VLOOKUP(A24,'Player Salaries'!$B$5:$J$632,6,FALSE)&lt;&gt;0,VLOOKUP(A24,'Player Salaries'!$B$5:$J$632,6,FALSE),IF(OR(VLOOKUP(A24,'Player Salaries'!$B$5:$J$632,9,FALSE)="1st Rd Pick",AND(VLOOKUP(A24,'Player Salaries'!$B$5:$J$632,9,FALSE)="1st Round Pick",VLOOKUP(A24,'Player Salaries'!$B$5:$J$632,5,FALSE)&lt;0.08*'Roster Analysis'!$J$28),AND(VLOOKUP(A24,'Player Salaries'!$B$5:$J$632,9,FALSE)="Cap Space",VLOOKUP(A24,'Player Salaries'!$B$5:$J$632,5,FALSE)&lt;1000000),$K24=1378242,AND(VLOOKUP(A24,'Player Salaries'!$B$5:$J$632,9,FALSE)="MLE",VLOOKUP(A24,'Player Salaries'!$B$5:$J$632,5,FALSE)&lt;1000000)),"RFA","UFA"))),"")</f>
        <v/>
      </c>
      <c r="N24" s="422" t="str">
        <f>IFERROR(IF(VLOOKUP(A24,'Player Salaries'!$B$5:$J$632,6,FALSE)=0,"",IF(VLOOKUP(A24,'Player Salaries'!$B$5:$J$632,7,FALSE)&lt;&gt;0,VLOOKUP(A24,'Player Salaries'!$B$5:$J$632,7,FALSE),IF(OR(VLOOKUP(A24,'Player Salaries'!$B$5:$J$632,9,FALSE)="1st Rd Pick",AND(VLOOKUP(A24,'Player Salaries'!$B$5:$J$632,9,FALSE)="1st Round Pick",VLOOKUP(A24,'Player Salaries'!$B$5:$J$632,6,FALSE)&lt;0.08*'Roster Analysis'!$J$28),AND(VLOOKUP(A24,'Player Salaries'!$B$5:$J$632,9,FALSE)="Cap Space",VLOOKUP(A24,'Player Salaries'!$B$5:$J$632,6,FALSE)&lt;1000000),AND(VLOOKUP(A24,'Player Salaries'!$B$5:$J$632,9,FALSE)="MLE",VLOOKUP(A24,'Player Salaries'!$B$5:$J$632,6,FALSE)&lt;1000000)),"RFA","UFA"))),"")</f>
        <v/>
      </c>
      <c r="O24" s="438" t="str">
        <f>IFERROR(IFERROR(VLOOKUP(A24,Injuries[],4,FALSE),_xlfn.IFS(A24="Larry Nance",VLOOKUP("Larry Nance Jr.",Injuries[],4,FALSE),A24="Glenn Robinson",VLOOKUP("Glenn Robinson III",Injuries[],4,FALSE)))&amp; IF(ISNUMBER(SEARCH("Season",VLOOKUP(A24,Injuries[],5,FALSE)))=FALSE,"","   X"),"")</f>
        <v/>
      </c>
      <c r="Q24" s="432" t="str">
        <f t="shared" si="0"/>
        <v/>
      </c>
      <c r="S24" s="221"/>
      <c r="T24" s="221"/>
      <c r="U24" s="221"/>
      <c r="V24" s="221"/>
      <c r="W24" s="221"/>
      <c r="X24" s="221"/>
      <c r="Y24" s="221"/>
      <c r="Z24" s="221"/>
      <c r="AA24" s="221"/>
      <c r="AB24" s="221"/>
      <c r="AC24" s="221"/>
      <c r="AD24" s="221"/>
      <c r="AE24" s="221"/>
      <c r="AF24" s="221"/>
      <c r="AI24" s="423" t="str">
        <f>IFERROR(VLOOKUP(A24,#REF!,MATCH($AI$3,#REF!,0)-1,FALSE),"")</f>
        <v/>
      </c>
      <c r="AJ24" s="427" t="str">
        <f>IFERROR(VLOOKUP(A24,#REF!,26,FALSE),"")</f>
        <v/>
      </c>
      <c r="AK24" s="425" t="e">
        <f>PERCENTRANK(MATCH($H$4,#REF!,FALSE),'Roster Analysis'!H24)</f>
        <v>#REF!</v>
      </c>
      <c r="AP24" s="425" t="str">
        <f>IFERROR(IF(VLOOKUP(A24,'Player Salaries'!B24:J597,9,FALSE)="",IF(VLOOKUP(A24,#REF!,3,FALSE),"YES"),"YES"),"")</f>
        <v/>
      </c>
    </row>
    <row r="25" spans="1:43">
      <c r="A25" s="409" t="str">
        <f t="array" ref="A25">IF(ROWS(A$5:A25)&gt;$E$1,"",INDEX('Player Salaries'!B$5:B$672,SMALL(IF('Player Salaries'!$C$5:$C$672=$D$1,ROW('Player Salaries'!$C$5:$C$672)-ROW('Player Salaries'!$E$5)+1),ROWS(A$5:A25))))</f>
        <v/>
      </c>
      <c r="B25" s="416" t="str">
        <f>IFERROR(IF(AND(A25="Jamal Crawford",$D$1="ATL"),"",VLOOKUP(A25,Player_Per_Game[[Player]:[Pos]],2,FALSE)),"")</f>
        <v/>
      </c>
      <c r="C25" s="416" t="str">
        <f>IFERROR(IF(AND(A25="Jamal Crawford",$D$1="ATL"),"",VLOOKUP(A25,Player_Per_Game[[Player]:[PS/G]],3,FALSE)),"")</f>
        <v/>
      </c>
      <c r="D25" s="416" t="str">
        <f>IF(AND(A25="Jamal Crawford",$D$1="ATL"),"",IFERROR(IF(AND(A25="Jamal Crawford",$D$1="ATL"),"",VLOOKUP(A25,'Player Per Game'!$B$6:$G$641,5,FALSE))&amp;" / "&amp;IF(AND(A25="Jamal Crawford",$D$1="ATL"),"",VLOOKUP(A25,'Player Per Game'!$B$6:$G$641,6,FALSE)),""))</f>
        <v/>
      </c>
      <c r="E25" s="432" t="str">
        <f>IFERROR(IF(AND(A25="Jamal Crawford",$D$1="ATL"),"",VLOOKUP(A25,Player_Per_Game[[Player]:[PS/G]],7,FALSE)),"")</f>
        <v/>
      </c>
      <c r="F25" s="434" t="str">
        <f>IFERROR(IF(AND(A25="Jamal Crawford",$D$1="ATL"),"",VLOOKUP($A25,Player_Per_Game[[Player]:[PS/G]],MATCH('Roster Analysis'!$F$4,Player_Per_Game[[#Headers],[Player]:[PS/G]],FALSE),FALSE)),"")</f>
        <v/>
      </c>
      <c r="G25" s="424" t="str">
        <f>IFERROR(_xlfn.IFS($F$4="PF",PERCENTRANK(Player_Per_Game[PF],F25),$F$4="TOV",PERCENTRANK(Player_Per_Game[TOV],F25),$F$4="BLK",PERCENTRANK(Player_Per_Game[BLK],F25),$F$4="STL",PERCENTRANK(Player_Per_Game[STL],F25),$F$4="AST",PERCENTRANK(Player_Per_Game[AST],F25),$F$4="TRB",PERCENTRANK(Player_Per_Game[TRB],F25),$F$4="DRB",PERCENTRANK(Player_Per_Game[DRB],F25),$F$4="ORB",PERCENTRANK(Player_Per_Game[ORB],F25),$F$4="FT%",PERCENTRANK(Player_Per_Game[FT%],F25),$F$4="EFG%",PERCENTRANK(Player_Per_Game[eFG%],F25),$F$4="2P%",PERCENTRANK(Player_Per_Game[2P%],F25),$F$4="3P%",PERCENTRANK(Player_Per_Game[3P%],F25),$F$4="FG%",PERCENTRANK(Player_Per_Game[FG%],F25),$F$4="PS/G",PERCENTRANK(Player_Per_Game[PS/G],F25))*100,"")</f>
        <v/>
      </c>
      <c r="H25" s="436" t="str">
        <f>IFERROR(IF(AND(A25="Jamal Crawford",$D$1="ATL"),"",VLOOKUP($A25,Player_Advanced[[Player]:[VORP]],MATCH('Roster Analysis'!$H$4,Player_Advanced[[#Headers],[Player]:[VORP]],FALSE),FALSE)),"")</f>
        <v/>
      </c>
      <c r="I25" s="417" t="str">
        <f>IFERROR(_xlfn.IFS($H$4="VORP",PERCENTRANK(Player_Advanced[VORP],H25),$H$4="BPM",PERCENTRANK(Player_Advanced[BPM],H25),$H$4="DBPM",PERCENTRANK(Player_Advanced[DBPM],H25),$H$4="OBPM",PERCENTRANK(Player_Advanced[OBPM],H25),$H$4="WS/48",PERCENTRANK(Player_Advanced[WS/48],H25),$H$4="WS",PERCENTRANK(Player_Advanced[WS],H25),$H$4="DWS",PERCENTRANK(Player_Advanced[DWS],H25),$H$4="OWS",PERCENTRANK(Player_Advanced[OWS],H25),$H$4="USG%",PERCENTRANK(Player_Advanced[USG%],H25),$H$4="TOV%",PERCENTRANK(Player_Advanced[TOV%],H25),$H$4="BLK%",PERCENTRANK(Player_Advanced[BLK%],H25),$H$4="STL%",PERCENTRANK(Player_Advanced[STL%],H25),$H$4="TRB%",PERCENTRANK(Player_Advanced[TRB%],H25),$H$4="ast%",PERCENTRANK(Player_Advanced[AST%],H25),$H$4="drb%",PERCENTRANK(Player_Advanced[DRB%],H25),$H$4="orb%",PERCENTRANK(Player_Advanced[ORB%],H25),$H$4="TS%",PERCENTRANK(Player_Advanced[TS%],H25),$H$4="FTr",PERCENTRANK(Player_Advanced[FTr],H25),$H$4="PER",PERCENTRANK(Player_Advanced[PER],H25),$H$4="3PAr",PERCENTRANK(Player_Advanced[3PAr],H25))*100,"")</f>
        <v/>
      </c>
      <c r="J25" s="418" t="str">
        <f>IF(A25="","",IFERROR(VLOOKUP(A25,'Player Salaries'!$B$5:$D$632,3,FALSE),""))</f>
        <v/>
      </c>
      <c r="K25" s="419" t="str">
        <f>IF(J25="","",IFERROR(IF(VLOOKUP(A25,'Player Salaries'!$B$5:$F$632,4,FALSE)&lt;&gt;0,VLOOKUP(A25,'Player Salaries'!$B$5:$F$632,4,FALSE),IF(OR(VLOOKUP(A25,'Player Salaries'!$B$5:$J$632,9,FALSE)="1st Rd Pick",AND(VLOOKUP(A25,'Player Salaries'!$B$5:$J$632,9,FALSE)="1st Round Pick",VLOOKUP(A25,'Player Salaries'!$B$5:$J$632,3,FALSE)&lt;0.08*'Roster Analysis'!$J$28),AND(VLOOKUP(A25,'Player Salaries'!$B$5:$J$632,9,FALSE)="Cap Space",VLOOKUP(A25,'Player Salaries'!$B$5:$J$632,3,FALSE)&lt;1000000),AND(VLOOKUP(A25,'Player Salaries'!$B$5:$J$632,9,FALSE)="MLE",VLOOKUP(A25,'Player Salaries'!$B$5:$J$632,3,FALSE)&lt;1000000),J25=50000,AND(VLOOKUP(A25,'Player Salaries'!B25:K652,9,FALSE)="Minimum Salary",'Roster Analysis'!J25=1312611)),"RFA","UFA")),""))</f>
        <v/>
      </c>
      <c r="L25" s="419" t="str">
        <f>IFERROR(IF(VLOOKUP(A25,'Player Salaries'!$B$5:$J$632,4,FALSE)=0,"",IF(VLOOKUP(A25,'Player Salaries'!$B$5:$J$632,5,FALSE)&lt;&gt;0,VLOOKUP(A25,'Player Salaries'!$B$5:$J$632,5,FALSE),IF(OR(VLOOKUP(A25,'Player Salaries'!$B$5:$J$632,9,FALSE)="1st Rd Pick",AND(VLOOKUP(A25,'Player Salaries'!$B$5:$J$632,9,FALSE)="1st Round Pick",VLOOKUP(A25,'Player Salaries'!$B$5:$J$632,4,FALSE)&lt;0.08*'Roster Analysis'!$J$28),AND(VLOOKUP(A25,'Player Salaries'!$B$5:$J$632,9,FALSE)="Cap Space",$K25=1544951),AND(VLOOKUP(A25,'Player Salaries'!$B$5:$J$632,9,FALSE)="Cap Space",VLOOKUP(A25,'Player Salaries'!$B$5:$J$632,4,FALSE)&lt;1000000),$K25=1378242,AND(VLOOKUP(A25,'Player Salaries'!$B$5:$J$632,9,FALSE)="MLE",VLOOKUP(A25,'Player Salaries'!$B$5:$J$632,4,FALSE)&lt;1000000),AND(VLOOKUP(A25,'Player Salaries'!$B$5:$K$632,9,FALSE)="Minimum Salary",K25=1544951)),"RFA","UFA"))),"")</f>
        <v/>
      </c>
      <c r="M25" s="419" t="str">
        <f>IFERROR(IF(VLOOKUP(A25,'Player Salaries'!$B$5:$J$632,5,FALSE)=0,"",IF(VLOOKUP(A25,'Player Salaries'!$B$5:$J$632,6,FALSE)&lt;&gt;0,VLOOKUP(A25,'Player Salaries'!$B$5:$J$632,6,FALSE),IF(OR(VLOOKUP(A25,'Player Salaries'!$B$5:$J$632,9,FALSE)="1st Rd Pick",AND(VLOOKUP(A25,'Player Salaries'!$B$5:$J$632,9,FALSE)="1st Round Pick",VLOOKUP(A25,'Player Salaries'!$B$5:$J$632,5,FALSE)&lt;0.08*'Roster Analysis'!$J$28),AND(VLOOKUP(A25,'Player Salaries'!$B$5:$J$632,9,FALSE)="Cap Space",VLOOKUP(A25,'Player Salaries'!$B$5:$J$632,5,FALSE)&lt;1000000),$K25=1378242,AND(VLOOKUP(A25,'Player Salaries'!$B$5:$J$632,9,FALSE)="MLE",VLOOKUP(A25,'Player Salaries'!$B$5:$J$632,5,FALSE)&lt;1000000)),"RFA","UFA"))),"")</f>
        <v/>
      </c>
      <c r="N25" s="422" t="str">
        <f>IFERROR(IF(VLOOKUP(A25,'Player Salaries'!$B$5:$J$632,6,FALSE)=0,"",IF(VLOOKUP(A25,'Player Salaries'!$B$5:$J$632,7,FALSE)&lt;&gt;0,VLOOKUP(A25,'Player Salaries'!$B$5:$J$632,7,FALSE),IF(OR(VLOOKUP(A25,'Player Salaries'!$B$5:$J$632,9,FALSE)="1st Rd Pick",AND(VLOOKUP(A25,'Player Salaries'!$B$5:$J$632,9,FALSE)="1st Round Pick",VLOOKUP(A25,'Player Salaries'!$B$5:$J$632,6,FALSE)&lt;0.08*'Roster Analysis'!$J$28),AND(VLOOKUP(A25,'Player Salaries'!$B$5:$J$632,9,FALSE)="Cap Space",VLOOKUP(A25,'Player Salaries'!$B$5:$J$632,6,FALSE)&lt;1000000),AND(VLOOKUP(A25,'Player Salaries'!$B$5:$J$632,9,FALSE)="MLE",VLOOKUP(A25,'Player Salaries'!$B$5:$J$632,6,FALSE)&lt;1000000)),"RFA","UFA"))),"")</f>
        <v/>
      </c>
      <c r="O25" s="438" t="str">
        <f>IFERROR(IFERROR(VLOOKUP(A25,Injuries[],4,FALSE),_xlfn.IFS(A25="Larry Nance",VLOOKUP("Larry Nance Jr.",Injuries[],4,FALSE),A25="Glenn Robinson",VLOOKUP("Glenn Robinson III",Injuries[],4,FALSE)))&amp; IF(ISNUMBER(SEARCH("Season",VLOOKUP(A25,Injuries[],5,FALSE)))=FALSE,"","   X"),"")</f>
        <v/>
      </c>
      <c r="Q25" s="432" t="str">
        <f t="shared" si="0"/>
        <v/>
      </c>
      <c r="R25" s="37"/>
      <c r="S25" s="221"/>
      <c r="T25" s="221"/>
      <c r="U25" s="221"/>
      <c r="V25" s="221"/>
      <c r="W25" s="221"/>
      <c r="X25" s="221"/>
      <c r="Y25" s="221"/>
      <c r="Z25" s="221"/>
      <c r="AA25" s="221"/>
      <c r="AB25" s="221"/>
      <c r="AC25" s="221"/>
      <c r="AD25" s="221"/>
      <c r="AE25" s="221"/>
      <c r="AF25" s="221"/>
      <c r="AI25" s="49"/>
      <c r="AJ25" s="34"/>
    </row>
    <row r="26" spans="1:43">
      <c r="A26" s="409" t="str">
        <f t="array" ref="A26">IF(ROWS(A$5:A26)&gt;$E$1,"",INDEX('Player Salaries'!B$5:B$672,SMALL(IF('Player Salaries'!$C$5:$C$672=$D$1,ROW('Player Salaries'!$C$5:$C$672)-ROW('Player Salaries'!$E$5)+1),ROWS(A$5:A26))))</f>
        <v/>
      </c>
      <c r="B26" s="416" t="str">
        <f>IFERROR(IF(AND(A26="Jamal Crawford",$D$1="ATL"),"",VLOOKUP(A26,Player_Per_Game[[Player]:[Pos]],2,FALSE)),"")</f>
        <v/>
      </c>
      <c r="C26" s="416" t="str">
        <f>IFERROR(IF(AND(A26="Jamal Crawford",$D$1="ATL"),"",VLOOKUP(A26,Player_Per_Game[[Player]:[PS/G]],3,FALSE)),"")</f>
        <v/>
      </c>
      <c r="D26" s="416" t="str">
        <f>IF(AND(A26="Jamal Crawford",$D$1="ATL"),"",IFERROR(IF(AND(A26="Jamal Crawford",$D$1="ATL"),"",VLOOKUP(A26,'Player Per Game'!$B$6:$G$641,5,FALSE))&amp;" / "&amp;IF(AND(A26="Jamal Crawford",$D$1="ATL"),"",VLOOKUP(A26,'Player Per Game'!$B$6:$G$641,6,FALSE)),""))</f>
        <v/>
      </c>
      <c r="E26" s="432" t="str">
        <f>IFERROR(IF(AND(A26="Jamal Crawford",$D$1="ATL"),"",VLOOKUP(A26,Player_Per_Game[[Player]:[PS/G]],7,FALSE)),"")</f>
        <v/>
      </c>
      <c r="F26" s="434" t="str">
        <f>IFERROR(IF(AND(A26="Jamal Crawford",$D$1="ATL"),"",VLOOKUP($A26,Player_Per_Game[[Player]:[PS/G]],MATCH('Roster Analysis'!$F$4,Player_Per_Game[[#Headers],[Player]:[PS/G]],FALSE),FALSE)),"")</f>
        <v/>
      </c>
      <c r="G26" s="424" t="str">
        <f>IFERROR(_xlfn.IFS($F$4="PF",PERCENTRANK(Player_Per_Game[PF],F26),$F$4="TOV",PERCENTRANK(Player_Per_Game[TOV],F26),$F$4="BLK",PERCENTRANK(Player_Per_Game[BLK],F26),$F$4="STL",PERCENTRANK(Player_Per_Game[STL],F26),$F$4="AST",PERCENTRANK(Player_Per_Game[AST],F26),$F$4="TRB",PERCENTRANK(Player_Per_Game[TRB],F26),$F$4="DRB",PERCENTRANK(Player_Per_Game[DRB],F26),$F$4="ORB",PERCENTRANK(Player_Per_Game[ORB],F26),$F$4="FT%",PERCENTRANK(Player_Per_Game[FT%],F26),$F$4="EFG%",PERCENTRANK(Player_Per_Game[eFG%],F26),$F$4="2P%",PERCENTRANK(Player_Per_Game[2P%],F26),$F$4="3P%",PERCENTRANK(Player_Per_Game[3P%],F26),$F$4="FG%",PERCENTRANK(Player_Per_Game[FG%],F26),$F$4="PS/G",PERCENTRANK(Player_Per_Game[PS/G],F26))*100,"")</f>
        <v/>
      </c>
      <c r="H26" s="436" t="str">
        <f>IFERROR(IF(AND(A26="Jamal Crawford",$D$1="ATL"),"",VLOOKUP($A26,Player_Advanced[[Player]:[VORP]],MATCH('Roster Analysis'!$H$4,Player_Advanced[[#Headers],[Player]:[VORP]],FALSE),FALSE)),"")</f>
        <v/>
      </c>
      <c r="I26" s="417" t="str">
        <f>IFERROR(_xlfn.IFS($H$4="VORP",PERCENTRANK(Player_Advanced[VORP],H26),$H$4="BPM",PERCENTRANK(Player_Advanced[BPM],H26),$H$4="DBPM",PERCENTRANK(Player_Advanced[DBPM],H26),$H$4="OBPM",PERCENTRANK(Player_Advanced[OBPM],H26),$H$4="WS/48",PERCENTRANK(Player_Advanced[WS/48],H26),$H$4="WS",PERCENTRANK(Player_Advanced[WS],H26),$H$4="DWS",PERCENTRANK(Player_Advanced[DWS],H26),$H$4="OWS",PERCENTRANK(Player_Advanced[OWS],H26),$H$4="USG%",PERCENTRANK(Player_Advanced[USG%],H26),$H$4="TOV%",PERCENTRANK(Player_Advanced[TOV%],H26),$H$4="BLK%",PERCENTRANK(Player_Advanced[BLK%],H26),$H$4="STL%",PERCENTRANK(Player_Advanced[STL%],H26),$H$4="TRB%",PERCENTRANK(Player_Advanced[TRB%],H26),$H$4="ast%",PERCENTRANK(Player_Advanced[AST%],H26),$H$4="drb%",PERCENTRANK(Player_Advanced[DRB%],H26),$H$4="orb%",PERCENTRANK(Player_Advanced[ORB%],H26),$H$4="TS%",PERCENTRANK(Player_Advanced[TS%],H26),$H$4="FTr",PERCENTRANK(Player_Advanced[FTr],H26),$H$4="PER",PERCENTRANK(Player_Advanced[PER],H26),$H$4="3PAr",PERCENTRANK(Player_Advanced[3PAr],H26))*100,"")</f>
        <v/>
      </c>
      <c r="J26" s="418" t="str">
        <f>IF(A26="","",IFERROR(VLOOKUP(A26,'Player Salaries'!$B$5:$D$632,3,FALSE),""))</f>
        <v/>
      </c>
      <c r="K26" s="419" t="str">
        <f>IF(J26="","",IFERROR(IF(VLOOKUP(A26,'Player Salaries'!$B$5:$F$632,4,FALSE)&lt;&gt;0,VLOOKUP(A26,'Player Salaries'!$B$5:$F$632,4,FALSE),IF(OR(VLOOKUP(A26,'Player Salaries'!$B$5:$J$632,9,FALSE)="1st Rd Pick",AND(VLOOKUP(A26,'Player Salaries'!$B$5:$J$632,9,FALSE)="1st Round Pick",VLOOKUP(A26,'Player Salaries'!$B$5:$J$632,3,FALSE)&lt;0.08*'Roster Analysis'!$J$28),AND(VLOOKUP(A26,'Player Salaries'!$B$5:$J$632,9,FALSE)="Cap Space",VLOOKUP(A26,'Player Salaries'!$B$5:$J$632,3,FALSE)&lt;1000000),AND(VLOOKUP(A26,'Player Salaries'!$B$5:$J$632,9,FALSE)="MLE",VLOOKUP(A26,'Player Salaries'!$B$5:$J$632,3,FALSE)&lt;1000000),J26=50000,AND(VLOOKUP(A26,'Player Salaries'!B26:K653,9,FALSE)="Minimum Salary",'Roster Analysis'!J26=1312611)),"RFA","UFA")),""))</f>
        <v/>
      </c>
      <c r="L26" s="419" t="str">
        <f>IFERROR(IF(VLOOKUP(A26,'Player Salaries'!$B$5:$J$632,4,FALSE)=0,"",IF(VLOOKUP(A26,'Player Salaries'!$B$5:$J$632,5,FALSE)&lt;&gt;0,VLOOKUP(A26,'Player Salaries'!$B$5:$J$632,5,FALSE),IF(OR(VLOOKUP(A26,'Player Salaries'!$B$5:$J$632,9,FALSE)="1st Rd Pick",AND(VLOOKUP(A26,'Player Salaries'!$B$5:$J$632,9,FALSE)="1st Round Pick",VLOOKUP(A26,'Player Salaries'!$B$5:$J$632,4,FALSE)&lt;0.08*'Roster Analysis'!$J$28),AND(VLOOKUP(A26,'Player Salaries'!$B$5:$J$632,9,FALSE)="Cap Space",$K26=1544951),AND(VLOOKUP(A26,'Player Salaries'!$B$5:$J$632,9,FALSE)="Cap Space",VLOOKUP(A26,'Player Salaries'!$B$5:$J$632,4,FALSE)&lt;1000000),$K26=1378242,AND(VLOOKUP(A26,'Player Salaries'!$B$5:$J$632,9,FALSE)="MLE",VLOOKUP(A26,'Player Salaries'!$B$5:$J$632,4,FALSE)&lt;1000000),AND(VLOOKUP(A26,'Player Salaries'!$B$5:$K$632,9,FALSE)="Minimum Salary",K26=1544951)),"RFA","UFA"))),"")</f>
        <v/>
      </c>
      <c r="M26" s="419" t="str">
        <f>IFERROR(IF(VLOOKUP(A26,'Player Salaries'!$B$5:$J$632,5,FALSE)=0,"",IF(VLOOKUP(A26,'Player Salaries'!$B$5:$J$632,6,FALSE)&lt;&gt;0,VLOOKUP(A26,'Player Salaries'!$B$5:$J$632,6,FALSE),IF(OR(VLOOKUP(A26,'Player Salaries'!$B$5:$J$632,9,FALSE)="1st Rd Pick",AND(VLOOKUP(A26,'Player Salaries'!$B$5:$J$632,9,FALSE)="1st Round Pick",VLOOKUP(A26,'Player Salaries'!$B$5:$J$632,5,FALSE)&lt;0.08*'Roster Analysis'!$J$28),AND(VLOOKUP(A26,'Player Salaries'!$B$5:$J$632,9,FALSE)="Cap Space",VLOOKUP(A26,'Player Salaries'!$B$5:$J$632,5,FALSE)&lt;1000000),$K26=1378242,AND(VLOOKUP(A26,'Player Salaries'!$B$5:$J$632,9,FALSE)="MLE",VLOOKUP(A26,'Player Salaries'!$B$5:$J$632,5,FALSE)&lt;1000000)),"RFA","UFA"))),"")</f>
        <v/>
      </c>
      <c r="N26" s="422" t="str">
        <f>IFERROR(IF(VLOOKUP(A26,'Player Salaries'!$B$5:$J$632,6,FALSE)=0,"",IF(VLOOKUP(A26,'Player Salaries'!$B$5:$J$632,7,FALSE)&lt;&gt;0,VLOOKUP(A26,'Player Salaries'!$B$5:$J$632,7,FALSE),IF(OR(VLOOKUP(A26,'Player Salaries'!$B$5:$J$632,9,FALSE)="1st Rd Pick",AND(VLOOKUP(A26,'Player Salaries'!$B$5:$J$632,9,FALSE)="1st Round Pick",VLOOKUP(A26,'Player Salaries'!$B$5:$J$632,6,FALSE)&lt;0.08*'Roster Analysis'!$J$28),AND(VLOOKUP(A26,'Player Salaries'!$B$5:$J$632,9,FALSE)="Cap Space",VLOOKUP(A26,'Player Salaries'!$B$5:$J$632,6,FALSE)&lt;1000000),AND(VLOOKUP(A26,'Player Salaries'!$B$5:$J$632,9,FALSE)="MLE",VLOOKUP(A26,'Player Salaries'!$B$5:$J$632,6,FALSE)&lt;1000000)),"RFA","UFA"))),"")</f>
        <v/>
      </c>
      <c r="O26" s="438" t="str">
        <f>IFERROR(IFERROR(VLOOKUP(A26,Injuries[],4,FALSE),_xlfn.IFS(A26="Larry Nance",VLOOKUP("Larry Nance Jr.",Injuries[],4,FALSE),A26="Glenn Robinson",VLOOKUP("Glenn Robinson III",Injuries[],4,FALSE)))&amp; IF(ISNUMBER(SEARCH("Season",VLOOKUP(A26,Injuries[],5,FALSE)))=FALSE,"","   X"),"")</f>
        <v/>
      </c>
      <c r="Q26" s="432" t="str">
        <f t="shared" si="0"/>
        <v/>
      </c>
      <c r="R26" s="48"/>
      <c r="S26" s="221"/>
      <c r="T26" s="221"/>
      <c r="U26" s="221"/>
      <c r="V26" s="220" t="s">
        <v>1161</v>
      </c>
      <c r="W26" s="221"/>
      <c r="X26" s="221"/>
      <c r="Y26" s="221"/>
      <c r="Z26" s="221"/>
      <c r="AA26" s="221"/>
      <c r="AB26" s="221"/>
      <c r="AC26" s="221"/>
      <c r="AD26" s="221"/>
      <c r="AE26" s="221"/>
      <c r="AF26" s="221"/>
      <c r="AI26" s="33"/>
      <c r="AJ26" s="34"/>
    </row>
    <row r="27" spans="1:43">
      <c r="A27" s="93" t="s">
        <v>1004</v>
      </c>
      <c r="B27" s="84"/>
      <c r="C27" s="440">
        <f>AVERAGE(C5:C25)</f>
        <v>27.53846153846154</v>
      </c>
      <c r="D27" s="433">
        <f>VLOOKUP($A$1,Standings!$C$6:$D$35,2,FALSE)</f>
        <v>71</v>
      </c>
      <c r="E27" s="435">
        <f>AVERAGE(E5:E25)</f>
        <v>20.853846153846153</v>
      </c>
      <c r="F27" s="435">
        <f>AVERAGE(F5:F25)</f>
        <v>0.29699999999999993</v>
      </c>
      <c r="G27" s="90"/>
      <c r="H27" s="435">
        <f>AVERAGE(H5:H25)</f>
        <v>13.769230769230772</v>
      </c>
      <c r="I27" s="94"/>
      <c r="J27" s="241" t="s">
        <v>791</v>
      </c>
      <c r="K27" s="242" t="s">
        <v>792</v>
      </c>
      <c r="L27" s="242" t="s">
        <v>796</v>
      </c>
      <c r="M27" s="242" t="s">
        <v>819</v>
      </c>
      <c r="N27" s="242" t="s">
        <v>871</v>
      </c>
      <c r="O27" s="439" t="str">
        <f>IFERROR(IFERROR(VLOOKUP(A25,Injuries[],4,FALSE),_xlfn.IFS(A25="Larry Nance",VLOOKUP("Larry Nance Jr.",Injuries[],4,FALSE),A25="Glenn Robinson",VLOOKUP("Glenn Robinson III",Injuries[],4,FALSE)))&amp; IF(ISNUMBER(SEARCH("Season",VLOOKUP(A25,Injuries[],5,FALSE)))=FALSE,"","   X"),"")</f>
        <v/>
      </c>
      <c r="P27" s="243"/>
      <c r="Q27" s="17"/>
      <c r="R27" s="48"/>
      <c r="S27" s="221"/>
      <c r="T27" s="221"/>
      <c r="U27" s="221"/>
      <c r="V27" s="221"/>
      <c r="W27" s="221"/>
      <c r="X27" s="221"/>
      <c r="Y27" s="221"/>
      <c r="Z27" s="221"/>
      <c r="AA27" s="221"/>
      <c r="AB27" s="221"/>
      <c r="AC27" s="221"/>
      <c r="AD27" s="221"/>
      <c r="AE27" s="221"/>
      <c r="AF27" s="221"/>
      <c r="AI27" s="33"/>
      <c r="AJ27" s="34"/>
    </row>
    <row r="28" spans="1:43">
      <c r="A28" s="46" t="s">
        <v>915</v>
      </c>
      <c r="B28" s="39"/>
      <c r="C28" s="441">
        <f>AVERAGE(Player_Per_Game[Age])</f>
        <v>26.216981132075471</v>
      </c>
      <c r="D28" s="39"/>
      <c r="E28" s="442">
        <f>AVERAGE(Player_Per_Game[MP])</f>
        <v>18.529088050314453</v>
      </c>
      <c r="F28" s="578" t="s">
        <v>912</v>
      </c>
      <c r="G28" s="578"/>
      <c r="H28" s="578"/>
      <c r="I28" s="579"/>
      <c r="J28" s="210">
        <v>99093000</v>
      </c>
      <c r="K28" s="188">
        <v>101000000</v>
      </c>
      <c r="L28" s="189">
        <v>108000000</v>
      </c>
      <c r="M28" s="189">
        <v>113400000</v>
      </c>
      <c r="N28" s="190">
        <v>119070000</v>
      </c>
      <c r="O28" s="185"/>
      <c r="P28" s="185"/>
      <c r="Q28" s="186"/>
      <c r="R28" s="187"/>
      <c r="S28" s="221"/>
      <c r="T28" s="221"/>
      <c r="U28" s="221"/>
      <c r="V28" s="221"/>
      <c r="W28" s="221"/>
      <c r="X28" s="221"/>
      <c r="Y28" s="221"/>
      <c r="Z28" s="221"/>
      <c r="AA28" s="221"/>
      <c r="AB28" s="221"/>
      <c r="AC28" s="221"/>
      <c r="AD28" s="221"/>
      <c r="AE28" s="221"/>
      <c r="AF28" s="221"/>
    </row>
    <row r="29" spans="1:43">
      <c r="A29" s="47"/>
      <c r="B29" s="41"/>
      <c r="C29" s="173"/>
      <c r="D29" s="41"/>
      <c r="E29" s="176"/>
      <c r="F29" s="583" t="s">
        <v>1051</v>
      </c>
      <c r="G29" s="583"/>
      <c r="H29" s="583"/>
      <c r="I29" s="583"/>
      <c r="J29" s="211">
        <v>119266000</v>
      </c>
      <c r="K29" s="174">
        <v>123000000</v>
      </c>
      <c r="L29" s="175">
        <v>131000000</v>
      </c>
      <c r="M29" s="175">
        <v>137550000</v>
      </c>
      <c r="N29" s="175">
        <v>144428000</v>
      </c>
      <c r="O29" s="38"/>
      <c r="P29" s="38"/>
      <c r="Q29" s="38"/>
      <c r="R29" s="71"/>
    </row>
    <row r="30" spans="1:43">
      <c r="A30" s="47"/>
      <c r="B30" s="41"/>
      <c r="C30" s="173"/>
      <c r="D30" s="41"/>
      <c r="E30" s="176"/>
      <c r="F30" s="177"/>
      <c r="G30" s="177"/>
      <c r="H30" s="584" t="s">
        <v>1059</v>
      </c>
      <c r="I30" s="581"/>
      <c r="J30" s="443">
        <f>J29+6000000</f>
        <v>125266000</v>
      </c>
      <c r="K30" s="444">
        <f>((1-J28/K28)/2)*(J30-J29)+(J30-J29)+K29</f>
        <v>129056643.56435643</v>
      </c>
      <c r="L30" s="445">
        <f t="shared" ref="L30:N30" si="1">((1-K28/L28)/2)*(K30-K29)+(K30-K29)+L29</f>
        <v>137252923.67986798</v>
      </c>
      <c r="M30" s="445">
        <f t="shared" si="1"/>
        <v>143951802.81510293</v>
      </c>
      <c r="N30" s="445">
        <f t="shared" si="1"/>
        <v>150982226.69165301</v>
      </c>
      <c r="O30" s="38"/>
      <c r="P30" s="38"/>
      <c r="Q30" s="38"/>
      <c r="R30" s="71"/>
      <c r="U30" s="181"/>
    </row>
    <row r="31" spans="1:43">
      <c r="A31" s="47"/>
      <c r="B31" s="41"/>
      <c r="C31" s="173"/>
      <c r="D31" s="41"/>
      <c r="E31" s="176"/>
      <c r="F31" s="178"/>
      <c r="G31" s="178"/>
      <c r="H31" s="178"/>
      <c r="I31" s="178"/>
      <c r="J31" s="212"/>
      <c r="K31" s="192"/>
      <c r="L31" s="192"/>
      <c r="M31" s="192"/>
      <c r="N31" s="192"/>
      <c r="O31" s="193"/>
      <c r="P31" s="193"/>
      <c r="Q31" s="193"/>
      <c r="R31" s="194"/>
      <c r="T31" s="7"/>
      <c r="U31" s="205"/>
      <c r="W31" s="18"/>
    </row>
    <row r="32" spans="1:43">
      <c r="A32" s="47"/>
      <c r="B32" s="41"/>
      <c r="C32" s="41"/>
      <c r="D32" s="41"/>
      <c r="E32" s="40"/>
      <c r="F32" s="215"/>
      <c r="G32" s="580" t="s">
        <v>913</v>
      </c>
      <c r="H32" s="580"/>
      <c r="I32" s="581"/>
      <c r="J32" s="446">
        <f>SUMIF($Q$5:$Q$25,"",J$5:J$27)</f>
        <v>111123011</v>
      </c>
      <c r="K32" s="447">
        <f>SUMIF($Q$5:$Q$25,"",K$5:K$27)</f>
        <v>117872916</v>
      </c>
      <c r="L32" s="447">
        <f>SUMIF($Q$5:$Q$25,"",L$5:L$27)</f>
        <v>85458080</v>
      </c>
      <c r="M32" s="447">
        <f>SUMIF($Q$5:$Q$25,"",M$5:M$27)</f>
        <v>51359486</v>
      </c>
      <c r="N32" s="447">
        <f>SUMIF($Q$5:$Q$25,"",N$5:N$27)</f>
        <v>31310000</v>
      </c>
      <c r="O32" s="186"/>
      <c r="P32" s="186"/>
      <c r="Q32" s="186"/>
      <c r="R32" s="195"/>
      <c r="T32" s="198"/>
      <c r="U32" s="198"/>
    </row>
    <row r="33" spans="1:35">
      <c r="A33" s="47"/>
      <c r="B33" s="41"/>
      <c r="C33" s="40"/>
      <c r="D33" s="41"/>
      <c r="E33" s="40"/>
      <c r="F33" s="40"/>
      <c r="G33" s="216"/>
      <c r="H33" s="557" t="s">
        <v>914</v>
      </c>
      <c r="I33" s="558"/>
      <c r="J33" s="448">
        <f>IF(SUMIF($Q$5:$Q$25,"Dead",J$5:J$27)=0,"",SUMIF($Q$5:$Q$25,"Dead",J$5:J$27))</f>
        <v>12960305</v>
      </c>
      <c r="K33" s="449">
        <f t="shared" ref="K33:N33" si="2">IF(SUMIF($Q$5:$Q$25,"Dead",K$5:K$27)=0,"",SUMIF($Q$5:$Q$25,"Dead",K$5:K$27))</f>
        <v>1360305</v>
      </c>
      <c r="L33" s="450" t="str">
        <f t="shared" si="2"/>
        <v/>
      </c>
      <c r="M33" s="450" t="str">
        <f t="shared" si="2"/>
        <v/>
      </c>
      <c r="N33" s="450" t="str">
        <f t="shared" si="2"/>
        <v/>
      </c>
      <c r="O33" s="196"/>
      <c r="P33" s="196"/>
      <c r="Q33" s="196"/>
      <c r="R33" s="197"/>
      <c r="T33" s="198"/>
      <c r="U33" s="198"/>
      <c r="W33" s="7"/>
    </row>
    <row r="34" spans="1:35" ht="15" customHeight="1">
      <c r="A34" s="566" t="s">
        <v>1121</v>
      </c>
      <c r="B34" s="566"/>
      <c r="C34" s="566"/>
      <c r="D34" s="566"/>
      <c r="E34" s="41"/>
      <c r="F34" s="560" t="s">
        <v>1119</v>
      </c>
      <c r="G34" s="560"/>
      <c r="H34" s="560"/>
      <c r="I34" s="561"/>
      <c r="J34" s="451">
        <f>SUM(J32,J33)-IF($D$1="MIA",VLOOKUP("Chris Bosh",$A$5:$N$26,10,FALSE),0)</f>
        <v>124083316</v>
      </c>
      <c r="K34" s="452">
        <f>SUM(K32,K33)-IF($D$1="MIA",VLOOKUP("Chris Bosh",$A$5:$N$26,11,FALSE),0)</f>
        <v>119233221</v>
      </c>
      <c r="L34" s="452">
        <f>SUM(L32,L33)</f>
        <v>85458080</v>
      </c>
      <c r="M34" s="452">
        <f>SUM(M32,M33)</f>
        <v>51359486</v>
      </c>
      <c r="N34" s="452">
        <f>SUM(N32,N33)</f>
        <v>31310000</v>
      </c>
      <c r="O34" s="41"/>
      <c r="P34" s="41"/>
      <c r="Q34" s="43"/>
      <c r="R34" s="41"/>
      <c r="S34" s="29"/>
      <c r="T34" s="198"/>
      <c r="U34" s="198"/>
      <c r="W34" s="18"/>
    </row>
    <row r="35" spans="1:35">
      <c r="A35" s="566"/>
      <c r="B35" s="566"/>
      <c r="C35" s="566"/>
      <c r="D35" s="566"/>
      <c r="E35" s="41"/>
      <c r="F35" s="217"/>
      <c r="G35" s="217"/>
      <c r="H35" s="217"/>
      <c r="I35" s="218"/>
      <c r="J35" s="213"/>
      <c r="K35" s="191"/>
      <c r="L35" s="191"/>
      <c r="M35" s="191"/>
      <c r="N35" s="191"/>
      <c r="O35" s="41"/>
      <c r="P35" s="41"/>
      <c r="Q35" s="43"/>
      <c r="R35" s="71"/>
      <c r="S35" s="29"/>
      <c r="T35" s="198"/>
      <c r="U35" s="207"/>
      <c r="AF35" s="7" t="s">
        <v>1131</v>
      </c>
      <c r="AG35" s="15"/>
      <c r="AI35" s="62"/>
    </row>
    <row r="36" spans="1:35">
      <c r="A36" s="566"/>
      <c r="B36" s="566"/>
      <c r="C36" s="566"/>
      <c r="D36" s="566"/>
      <c r="E36" s="41"/>
      <c r="F36" s="217"/>
      <c r="G36" s="217"/>
      <c r="H36" s="562" t="s">
        <v>1067</v>
      </c>
      <c r="I36" s="563"/>
      <c r="J36" s="453" t="str">
        <f>IF(J32&lt;(0.9*J28),"Below floor",IF(J32&gt;J29,"In Luxury Tax",IF(J32&gt;J29,"Above Tax Apron","")))</f>
        <v/>
      </c>
      <c r="K36" s="454" t="str">
        <f t="shared" ref="K36:N36" si="3">IF(K32&lt;(0.9*K28),"Below floor",IF(K32&gt;K29,"In Luxury Tax",IF(K32&gt;K29,"Above Tax Apron","")))</f>
        <v/>
      </c>
      <c r="L36" s="454" t="str">
        <f t="shared" si="3"/>
        <v>Below floor</v>
      </c>
      <c r="M36" s="454" t="str">
        <f t="shared" si="3"/>
        <v>Below floor</v>
      </c>
      <c r="N36" s="454" t="str">
        <f t="shared" si="3"/>
        <v>Below floor</v>
      </c>
      <c r="O36" s="41"/>
      <c r="P36" s="41"/>
      <c r="Q36" s="43"/>
      <c r="R36" s="71"/>
      <c r="S36" s="15"/>
      <c r="T36" s="198"/>
      <c r="U36" s="206"/>
      <c r="AF36" s="7" t="s">
        <v>1122</v>
      </c>
      <c r="AG36" s="53" t="s">
        <v>1123</v>
      </c>
      <c r="AI36" s="62"/>
    </row>
    <row r="37" spans="1:35">
      <c r="A37" s="566"/>
      <c r="B37" s="566"/>
      <c r="C37" s="566"/>
      <c r="D37" s="566"/>
      <c r="E37" s="41"/>
      <c r="F37" s="217"/>
      <c r="G37" s="217"/>
      <c r="H37" s="217"/>
      <c r="I37" s="218"/>
      <c r="J37" s="254"/>
      <c r="K37" s="255"/>
      <c r="L37" s="191"/>
      <c r="M37" s="191"/>
      <c r="N37" s="191"/>
      <c r="O37" s="41"/>
      <c r="P37" s="41"/>
      <c r="Q37" s="41"/>
      <c r="R37" s="71"/>
      <c r="S37" s="15"/>
      <c r="T37" s="253"/>
      <c r="U37" s="181"/>
      <c r="AF37"/>
      <c r="AG37" s="53" t="s">
        <v>1124</v>
      </c>
      <c r="AI37" s="62"/>
    </row>
    <row r="38" spans="1:35">
      <c r="A38" s="63"/>
      <c r="B38" s="41"/>
      <c r="C38" s="41"/>
      <c r="D38" s="41"/>
      <c r="E38" s="41"/>
      <c r="F38" s="555" t="s">
        <v>1120</v>
      </c>
      <c r="G38" s="555"/>
      <c r="H38" s="555"/>
      <c r="I38" s="556"/>
      <c r="J38" s="455">
        <f>J28-J34</f>
        <v>-24990316</v>
      </c>
      <c r="K38" s="455">
        <f t="shared" ref="K38:N38" si="4">K28-K34</f>
        <v>-18233221</v>
      </c>
      <c r="L38" s="456">
        <f t="shared" si="4"/>
        <v>22541920</v>
      </c>
      <c r="M38" s="456">
        <f t="shared" si="4"/>
        <v>62040514</v>
      </c>
      <c r="N38" s="456">
        <f t="shared" si="4"/>
        <v>87760000</v>
      </c>
      <c r="O38" s="42"/>
      <c r="P38" s="42"/>
      <c r="Q38" s="256"/>
      <c r="R38" s="180"/>
      <c r="AG38" s="7" t="s">
        <v>1125</v>
      </c>
    </row>
    <row r="39" spans="1:35">
      <c r="A39" s="63"/>
      <c r="B39" s="41"/>
      <c r="C39" s="41"/>
      <c r="D39" s="41"/>
      <c r="E39" s="41"/>
      <c r="F39" s="557" t="s">
        <v>1052</v>
      </c>
      <c r="G39" s="557"/>
      <c r="H39" s="557"/>
      <c r="I39" s="558"/>
      <c r="J39" s="457">
        <f>J29-J34</f>
        <v>-4817316</v>
      </c>
      <c r="K39" s="458">
        <f t="shared" ref="K39:N39" si="5">K29-K34</f>
        <v>3766779</v>
      </c>
      <c r="L39" s="459">
        <f t="shared" si="5"/>
        <v>45541920</v>
      </c>
      <c r="M39" s="459">
        <f t="shared" si="5"/>
        <v>86190514</v>
      </c>
      <c r="N39" s="459">
        <f t="shared" si="5"/>
        <v>113118000</v>
      </c>
      <c r="O39" s="39"/>
      <c r="P39" s="41"/>
      <c r="Q39" s="43"/>
      <c r="R39" s="71"/>
      <c r="AF39" s="7" t="s">
        <v>877</v>
      </c>
    </row>
    <row r="40" spans="1:35">
      <c r="A40" s="244"/>
      <c r="B40" s="75"/>
      <c r="C40" s="75"/>
      <c r="D40" s="41"/>
      <c r="E40" s="41"/>
      <c r="F40" s="557" t="s">
        <v>1104</v>
      </c>
      <c r="G40" s="557"/>
      <c r="H40" s="557"/>
      <c r="I40" s="558"/>
      <c r="J40" s="460">
        <f>J30-J34</f>
        <v>1182684</v>
      </c>
      <c r="K40" s="461">
        <f t="shared" ref="K40:N40" si="6">K30-K34</f>
        <v>9823422.5643564314</v>
      </c>
      <c r="L40" s="461">
        <f t="shared" si="6"/>
        <v>51794843.679867983</v>
      </c>
      <c r="M40" s="461">
        <f t="shared" si="6"/>
        <v>92592316.815102935</v>
      </c>
      <c r="N40" s="461">
        <f t="shared" si="6"/>
        <v>119672226.69165301</v>
      </c>
      <c r="O40" s="75"/>
      <c r="P40" s="75"/>
      <c r="Q40" s="75"/>
      <c r="R40" s="249"/>
    </row>
    <row r="41" spans="1:35" ht="15.6" customHeight="1">
      <c r="A41" s="245"/>
      <c r="B41" s="75"/>
      <c r="C41" s="75"/>
      <c r="D41" s="75"/>
      <c r="E41" s="246"/>
      <c r="F41" s="41"/>
      <c r="G41" s="41"/>
      <c r="H41" s="41"/>
      <c r="I41" s="71"/>
      <c r="J41" s="250"/>
      <c r="K41" s="41"/>
      <c r="L41" s="41"/>
      <c r="M41" s="41"/>
      <c r="N41" s="41"/>
      <c r="O41" s="251"/>
      <c r="P41" s="75"/>
      <c r="Q41" s="75"/>
      <c r="R41" s="249"/>
      <c r="S41"/>
      <c r="T41"/>
      <c r="U41"/>
      <c r="V41"/>
    </row>
    <row r="42" spans="1:35" ht="15.6" customHeight="1">
      <c r="A42" s="247"/>
      <c r="B42" s="248"/>
      <c r="C42" s="248"/>
      <c r="D42" s="564" t="s">
        <v>1115</v>
      </c>
      <c r="E42" s="564"/>
      <c r="F42" s="564"/>
      <c r="G42" s="564"/>
      <c r="H42" s="564"/>
      <c r="I42" s="565"/>
      <c r="J42" s="463" t="str">
        <f>IF((J32&lt;J29),"",IF((J32-J29)&lt;4999999,(J32-J29)*1.5,IF(AND((J32-J29)&gt;4999999,(J32-J29)&lt;9999999),((J32-J29)-4999999)*1.75+7500000,IF(AND((J32-J29)&gt;9999999,(J32-J29)&lt;14999999),((J32-J29)-9999999)*2.5+8750000+7500000,IF(AND((J32-J29)&gt;14999999,(J32-J29)&lt;19999999),((J32-J29)-14999999)*3.25+28750000,IF((J32-J29)&gt;19999999,((J32-J29)-19999999)*3.75)+45000000)))))</f>
        <v/>
      </c>
      <c r="K42" s="462" t="str">
        <f t="shared" ref="K42:N42" si="7">IF((K32&lt;K29),"",IF((K32-K29)&lt;4999999,(K32-K29)*1.5,IF(AND((K32-K29)&gt;4999999,(K32-K29)&lt;9999999),((K32-K29)-4999999)*1.75+7500000,IF(AND((K32-K29)&gt;9999999,(K32-K29)&lt;14999999),((K32-K29)-9999999)*2.5+8750000+7500000,IF(AND((K32-K29)&gt;14999999,(K32-K29)&lt;19999999),((K32-K29)-14999999)*3.25+28750000,IF((K32-K29)&gt;19999999,((K32-K29)-19999999)*3.75)+45000000)))))</f>
        <v/>
      </c>
      <c r="L42" s="462" t="str">
        <f t="shared" si="7"/>
        <v/>
      </c>
      <c r="M42" s="462" t="str">
        <f t="shared" si="7"/>
        <v/>
      </c>
      <c r="N42" s="462" t="str">
        <f t="shared" si="7"/>
        <v/>
      </c>
      <c r="O42" s="248"/>
      <c r="P42" s="248"/>
      <c r="Q42" s="248"/>
      <c r="R42" s="252"/>
      <c r="S42"/>
      <c r="T42"/>
      <c r="U42"/>
      <c r="V42"/>
    </row>
    <row r="43" spans="1:35" ht="15.6" customHeight="1">
      <c r="A43"/>
      <c r="B43"/>
      <c r="C43"/>
      <c r="D43"/>
      <c r="E43" s="87"/>
      <c r="F43" s="87"/>
      <c r="G43" s="87"/>
      <c r="H43" s="87"/>
      <c r="I43" s="87"/>
      <c r="J43" s="430" t="str">
        <f>IF((J34-J29)&gt;20000000,"More calculations needed","")</f>
        <v/>
      </c>
      <c r="K43" s="35"/>
      <c r="L43"/>
      <c r="M43"/>
      <c r="N43" s="179"/>
      <c r="O43"/>
      <c r="P43"/>
      <c r="Q43"/>
      <c r="R43"/>
      <c r="S43"/>
      <c r="T43"/>
      <c r="U43"/>
      <c r="V43"/>
    </row>
    <row r="44" spans="1:35" ht="15.6" customHeight="1" thickBot="1">
      <c r="A44" s="52"/>
      <c r="B44" s="15"/>
      <c r="C44" s="15"/>
      <c r="D44" s="15"/>
      <c r="N44" s="18"/>
      <c r="O44" s="208"/>
      <c r="P44" s="15"/>
      <c r="S44"/>
      <c r="T44"/>
      <c r="U44"/>
      <c r="V44"/>
    </row>
    <row r="45" spans="1:35">
      <c r="A45" s="26" t="s">
        <v>803</v>
      </c>
      <c r="K45" s="551" t="s">
        <v>906</v>
      </c>
      <c r="L45" s="15"/>
      <c r="P45" s="15"/>
      <c r="V45" s="7"/>
      <c r="AA45" s="7"/>
    </row>
    <row r="46" spans="1:35">
      <c r="A46" s="27" t="s">
        <v>804</v>
      </c>
      <c r="F46" s="17"/>
      <c r="I46" s="17"/>
      <c r="K46" s="552"/>
      <c r="L46" s="15"/>
      <c r="P46" s="15"/>
      <c r="R46" s="20"/>
      <c r="U46" s="21"/>
      <c r="V46" s="7"/>
      <c r="AA46" s="7"/>
    </row>
    <row r="47" spans="1:35">
      <c r="A47" s="28" t="s">
        <v>814</v>
      </c>
      <c r="B47" s="65" t="s">
        <v>259</v>
      </c>
      <c r="C47" s="65" t="s">
        <v>255</v>
      </c>
      <c r="D47" s="66" t="s">
        <v>256</v>
      </c>
      <c r="E47" s="67" t="s">
        <v>251</v>
      </c>
      <c r="F47" s="65" t="s">
        <v>262</v>
      </c>
      <c r="G47" s="65" t="s">
        <v>16</v>
      </c>
      <c r="H47" s="559" t="s">
        <v>273</v>
      </c>
      <c r="I47" s="559"/>
      <c r="J47" s="88" t="s">
        <v>798</v>
      </c>
      <c r="K47" s="464" t="str">
        <f>VLOOKUP($A$48,'2018 Free Agents'!$A$4:$F$117,6,FALSE)</f>
        <v>UFA</v>
      </c>
      <c r="L47" s="70" t="s">
        <v>841</v>
      </c>
      <c r="M47" s="45"/>
      <c r="P47" s="15"/>
      <c r="R47" s="36"/>
      <c r="V47" s="7"/>
      <c r="AA47" s="7"/>
    </row>
    <row r="48" spans="1:35" ht="15" customHeight="1">
      <c r="A48" s="548" t="s">
        <v>169</v>
      </c>
      <c r="B48" s="465" t="str">
        <f>VLOOKUP($A$48,'Player Per Game'!$B$6:$AD$603,2,FALSE)</f>
        <v>SF</v>
      </c>
      <c r="C48" s="466">
        <f>VLOOKUP($A$48,'Player Per Game'!$B$6:$AD$603,3,FALSE)</f>
        <v>36</v>
      </c>
      <c r="D48" s="467" t="str">
        <f>VLOOKUP(A48,'Player Salaries'!B5:C632,2,FALSE)</f>
        <v>SAC</v>
      </c>
      <c r="E48" s="468">
        <f>VLOOKUP($A$48,'Player Per Game'!B6:F641,5,FALSE)</f>
        <v>43</v>
      </c>
      <c r="F48" s="465">
        <f>VLOOKUP($A$48,Player_Per_Game[[Player]:[GS]],6,FALSE)</f>
        <v>3</v>
      </c>
      <c r="G48" s="468">
        <f>VLOOKUP($A$48,Player_Per_Game[[Player]:[PS/G]],29,FALSE)</f>
        <v>6.8</v>
      </c>
      <c r="H48" s="469">
        <f>VLOOKUP($A$48,'Player Per Game'!B6:AE502,17,FALSE)</f>
        <v>0.46700000000000003</v>
      </c>
      <c r="I48" s="470">
        <f>IFERROR(PERCENTRANK('Player Per Game'!R29:R244,H48)*100,"")</f>
        <v>27.1</v>
      </c>
      <c r="J48" s="471">
        <f>VLOOKUP($A$48,'Player Salaries'!B5:D548,3,FALSE)</f>
        <v>9505000</v>
      </c>
      <c r="K48" s="550" t="s">
        <v>835</v>
      </c>
      <c r="L48" s="472" t="str">
        <f>IFERROR(VLOOKUP(A48,Injuries[],4,FALSE),"None")&amp;IF(ISNUMBER(SEARCH("Season",VLOOKUP(A48,Injuries[],5,FALSE)))=FALSE,"","   X")</f>
        <v>None</v>
      </c>
      <c r="R48" s="36"/>
      <c r="T48" s="15"/>
      <c r="V48" s="53"/>
      <c r="W48" s="15"/>
      <c r="X48" s="15"/>
      <c r="Y48" s="15"/>
      <c r="AA48" s="53"/>
      <c r="AB48" s="15"/>
      <c r="AC48" s="15"/>
      <c r="AD48" s="15"/>
    </row>
    <row r="49" spans="1:30" ht="15.75" customHeight="1">
      <c r="A49" s="549"/>
      <c r="B49" s="68" t="s">
        <v>653</v>
      </c>
      <c r="C49" s="80" t="s">
        <v>801</v>
      </c>
      <c r="D49" s="89" t="s">
        <v>799</v>
      </c>
      <c r="E49" s="96" t="s">
        <v>801</v>
      </c>
      <c r="F49" s="67" t="s">
        <v>671</v>
      </c>
      <c r="G49" s="70" t="s">
        <v>801</v>
      </c>
      <c r="H49" s="67" t="s">
        <v>666</v>
      </c>
      <c r="I49" s="95" t="s">
        <v>801</v>
      </c>
      <c r="J49" s="132" t="s">
        <v>1033</v>
      </c>
      <c r="K49" s="550"/>
      <c r="L49" s="69"/>
      <c r="M49" s="29"/>
      <c r="R49" s="36"/>
      <c r="T49" s="16"/>
      <c r="V49" s="54"/>
      <c r="W49" s="25"/>
      <c r="X49" s="25"/>
      <c r="Y49" s="25"/>
      <c r="Z49" s="25"/>
      <c r="AA49" s="25"/>
      <c r="AB49" s="25"/>
      <c r="AC49" s="25"/>
      <c r="AD49" s="25"/>
    </row>
    <row r="50" spans="1:30" ht="15.75" customHeight="1" thickBot="1">
      <c r="A50" s="545" t="s">
        <v>816</v>
      </c>
      <c r="B50" s="473">
        <f>VLOOKUP($A$48,'Player Advanced'!B6:AA679,8,FALSE)</f>
        <v>0.49099999999999999</v>
      </c>
      <c r="C50" s="474">
        <f>PERCENTRANK(Player_Advanced[TS%],'Roster Analysis'!B50)*100</f>
        <v>22.1</v>
      </c>
      <c r="D50" s="475">
        <f>VLOOKUP($A$48,Player_Per_Game[[Player]:[PS/G]],13,FALSE)</f>
        <v>0.27900000000000003</v>
      </c>
      <c r="E50" s="476">
        <f>PERCENTRANK(Player_Per_Game[3P%],D50)*100</f>
        <v>29.4</v>
      </c>
      <c r="F50" s="477">
        <f>VLOOKUP(A48,Player_Advanced[[Player]:[VORP]],26,FALSE)</f>
        <v>-0.4</v>
      </c>
      <c r="G50" s="476">
        <f>PERCENTRANK(Player_Advanced[VORP],'Roster Analysis'!F50)*100</f>
        <v>5</v>
      </c>
      <c r="H50" s="477">
        <f>VLOOKUP(A48,Player_Advanced[[Player]:[VORP]],21,FALSE)</f>
        <v>0.7</v>
      </c>
      <c r="I50" s="478">
        <f>PERCENTRANK(Player_Advanced[WS],H50)*100</f>
        <v>43.4</v>
      </c>
      <c r="J50" s="479" t="str">
        <f>VLOOKUP(A48,Player_Per_Game[[Player]:[PS/G]],13,FALSE)&amp;" - "&amp;VLOOKUP(A48,Player_Per_Game[[Player]:[PS/G]],12,FALSE)</f>
        <v>0.279 - 2.6</v>
      </c>
      <c r="K50" s="480">
        <f>IF(VLOOKUP($A$48,Player_Advanced[[Player]:[Age]],3,FALSE)&gt;34,2328652,IF(OR(VLOOKUP($A$48,Player_Per_Game[[Player]:[PS/G]],29,FALSE)&gt;20,VLOOKUP($A$48,Player_Per_Game[[Player]:[PS/G]],24,FALSE)&gt;5&amp;(VLOOKUP($A$48,Player_Per_Game[[Player]:[Age]],3,FALSE)&lt;33)),30300000,1.019*AVERAGE(((5*10^6)*$F$50+5*10^6),(3*10^6)*$H$50+3*10^6)))</f>
        <v>2328652</v>
      </c>
      <c r="L50" s="24"/>
      <c r="R50" s="36"/>
      <c r="T50" s="16"/>
      <c r="V50" s="54"/>
      <c r="W50" s="25"/>
      <c r="X50" s="25"/>
      <c r="Y50" s="25"/>
      <c r="Z50" s="25"/>
      <c r="AA50" s="25"/>
      <c r="AB50" s="25"/>
      <c r="AC50" s="25"/>
      <c r="AD50" s="25"/>
    </row>
    <row r="51" spans="1:30">
      <c r="A51" s="546"/>
      <c r="B51" s="68"/>
      <c r="C51" s="65"/>
      <c r="D51" s="129"/>
      <c r="E51" s="129"/>
      <c r="F51" s="129"/>
      <c r="G51" s="129"/>
      <c r="H51" s="129"/>
      <c r="I51" s="129"/>
      <c r="J51" s="129"/>
      <c r="K51" s="131"/>
      <c r="L51" s="130"/>
      <c r="N51" s="15"/>
      <c r="R51" s="36"/>
      <c r="T51" s="15"/>
      <c r="V51" s="55"/>
      <c r="W51" s="15"/>
      <c r="X51" s="15"/>
      <c r="Y51" s="15"/>
      <c r="Z51" s="15"/>
      <c r="AA51" s="15"/>
      <c r="AB51" s="15"/>
      <c r="AC51" s="15"/>
      <c r="AD51" s="15"/>
    </row>
    <row r="52" spans="1:30" ht="15.6" customHeight="1">
      <c r="B52"/>
      <c r="C52"/>
      <c r="N52" s="15"/>
      <c r="R52" s="15"/>
      <c r="T52" s="15"/>
      <c r="V52" s="56"/>
      <c r="AA52" s="7"/>
    </row>
    <row r="53" spans="1:30">
      <c r="B53"/>
      <c r="C53"/>
      <c r="L53" s="21"/>
      <c r="M53" s="15"/>
      <c r="N53" s="15"/>
      <c r="P53" s="36"/>
      <c r="Q53" s="36"/>
      <c r="R53" s="15"/>
      <c r="S53" s="15"/>
      <c r="T53" s="15"/>
      <c r="V53" s="56"/>
      <c r="AA53" s="7"/>
    </row>
    <row r="54" spans="1:30" ht="15.6" customHeight="1">
      <c r="B54"/>
      <c r="C54"/>
      <c r="E54" s="547" t="s">
        <v>815</v>
      </c>
      <c r="F54" s="547"/>
      <c r="G54" s="547"/>
      <c r="H54" s="547"/>
      <c r="I54" s="110"/>
      <c r="J54" s="430">
        <f>J34+J48</f>
        <v>133588316</v>
      </c>
      <c r="K54" s="481">
        <f>K34+$K$50</f>
        <v>121561873</v>
      </c>
      <c r="M54" s="15"/>
      <c r="N54" s="15"/>
      <c r="O54" s="15"/>
      <c r="P54" s="36"/>
      <c r="Q54" s="36"/>
      <c r="R54" s="15"/>
      <c r="S54" s="15"/>
      <c r="T54" s="15"/>
      <c r="V54" s="56"/>
      <c r="AA54" s="7"/>
      <c r="AC54" s="7"/>
    </row>
    <row r="55" spans="1:30">
      <c r="A55" s="13"/>
      <c r="M55" s="15"/>
      <c r="N55" s="15"/>
      <c r="O55" s="15"/>
      <c r="P55" s="15"/>
      <c r="Q55" s="36"/>
      <c r="R55" s="15"/>
      <c r="S55" s="15"/>
      <c r="T55" s="15"/>
      <c r="U55" s="15"/>
      <c r="AA55" s="53"/>
      <c r="AC55" s="7"/>
    </row>
    <row r="56" spans="1:30">
      <c r="G56" s="279"/>
      <c r="H56" s="379" t="s">
        <v>1190</v>
      </c>
      <c r="J56" s="482">
        <f>J28-J54</f>
        <v>-34495316</v>
      </c>
      <c r="K56" s="482">
        <f>K28-K54</f>
        <v>-20561873</v>
      </c>
      <c r="L56" s="18"/>
      <c r="M56" s="15"/>
      <c r="N56" s="15"/>
      <c r="O56" s="15"/>
      <c r="P56" s="15"/>
      <c r="Q56" s="36"/>
      <c r="R56" s="15"/>
      <c r="S56" s="15"/>
      <c r="T56" s="15"/>
      <c r="U56" s="15"/>
      <c r="AA56" s="55"/>
      <c r="AC56" s="7"/>
    </row>
    <row r="57" spans="1:30">
      <c r="M57" s="15"/>
      <c r="N57" s="15"/>
      <c r="O57" s="15"/>
      <c r="P57" s="15"/>
      <c r="R57" s="15"/>
      <c r="S57" s="15"/>
      <c r="T57" s="15"/>
      <c r="U57" s="15"/>
      <c r="AA57" s="55"/>
      <c r="AC57" s="7"/>
    </row>
    <row r="58" spans="1:30">
      <c r="M58" s="15"/>
      <c r="N58" s="15"/>
      <c r="O58" s="15"/>
      <c r="P58" s="15"/>
      <c r="R58" s="15"/>
      <c r="S58" s="15"/>
      <c r="T58" s="15"/>
      <c r="U58" s="15"/>
    </row>
    <row r="59" spans="1:30">
      <c r="M59" s="15"/>
      <c r="N59" s="15"/>
      <c r="O59" s="15"/>
      <c r="P59" s="15"/>
      <c r="R59" s="15"/>
      <c r="S59" s="15"/>
      <c r="T59" s="15"/>
      <c r="U59" s="15"/>
    </row>
    <row r="60" spans="1:30">
      <c r="M60" s="15"/>
      <c r="N60" s="15"/>
      <c r="O60" s="15"/>
      <c r="R60" s="15"/>
      <c r="S60" s="15"/>
      <c r="T60" s="15"/>
      <c r="U60" s="15"/>
    </row>
    <row r="61" spans="1:30">
      <c r="S61" s="15"/>
      <c r="T61" s="15"/>
      <c r="U61" s="15"/>
    </row>
    <row r="62" spans="1:30">
      <c r="M62" s="51"/>
    </row>
    <row r="64" spans="1:30">
      <c r="AA64" s="7"/>
    </row>
    <row r="65" spans="27:27">
      <c r="AA65" s="7"/>
    </row>
    <row r="66" spans="27:27">
      <c r="AA66" s="7"/>
    </row>
    <row r="218" spans="15:16">
      <c r="O218"/>
      <c r="P218"/>
    </row>
    <row r="219" spans="15:16">
      <c r="O219"/>
      <c r="P219"/>
    </row>
    <row r="220" spans="15:16">
      <c r="O220"/>
      <c r="P220"/>
    </row>
    <row r="221" spans="15:16">
      <c r="O221"/>
      <c r="P221"/>
    </row>
    <row r="222" spans="15:16">
      <c r="O222"/>
      <c r="P222"/>
    </row>
    <row r="223" spans="15:16">
      <c r="O223"/>
      <c r="P223"/>
    </row>
    <row r="224" spans="15:16">
      <c r="O224"/>
      <c r="P224"/>
    </row>
    <row r="225" spans="15:16">
      <c r="O225"/>
      <c r="P225"/>
    </row>
    <row r="226" spans="15:16">
      <c r="O226"/>
      <c r="P226"/>
    </row>
  </sheetData>
  <mergeCells count="30">
    <mergeCell ref="O1:P1"/>
    <mergeCell ref="O2:P2"/>
    <mergeCell ref="AP4:AQ4"/>
    <mergeCell ref="F28:I28"/>
    <mergeCell ref="G32:I32"/>
    <mergeCell ref="N1:N2"/>
    <mergeCell ref="F29:I29"/>
    <mergeCell ref="AI3:AJ3"/>
    <mergeCell ref="H30:I30"/>
    <mergeCell ref="M1:M2"/>
    <mergeCell ref="H1:I3"/>
    <mergeCell ref="F1:G3"/>
    <mergeCell ref="B3:C3"/>
    <mergeCell ref="F38:I38"/>
    <mergeCell ref="H33:I33"/>
    <mergeCell ref="H47:I47"/>
    <mergeCell ref="F34:I34"/>
    <mergeCell ref="H36:I36"/>
    <mergeCell ref="F40:I40"/>
    <mergeCell ref="F39:I39"/>
    <mergeCell ref="D42:I42"/>
    <mergeCell ref="A34:D37"/>
    <mergeCell ref="A1:A3"/>
    <mergeCell ref="D1:D2"/>
    <mergeCell ref="B1:C2"/>
    <mergeCell ref="A50:A51"/>
    <mergeCell ref="E54:H54"/>
    <mergeCell ref="A48:A49"/>
    <mergeCell ref="K48:K49"/>
    <mergeCell ref="K45:K46"/>
  </mergeCells>
  <conditionalFormatting sqref="AN4:AO23 E27:I27">
    <cfRule type="containsText" dxfId="327" priority="180" operator="containsText" text="IMP">
      <formula>NOT(ISERROR(SEARCH("IMP",E4)))</formula>
    </cfRule>
  </conditionalFormatting>
  <conditionalFormatting sqref="AJ5:AJ23">
    <cfRule type="colorScale" priority="36">
      <colorScale>
        <cfvo type="min"/>
        <cfvo type="percentile" val="50"/>
        <cfvo type="max"/>
        <color rgb="FFF8696B"/>
        <color rgb="FFFCFCFF"/>
        <color rgb="FF63BE7B"/>
      </colorScale>
    </cfRule>
  </conditionalFormatting>
  <conditionalFormatting sqref="AI5:AI23">
    <cfRule type="cellIs" dxfId="326" priority="95" operator="lessThan">
      <formula>0</formula>
    </cfRule>
  </conditionalFormatting>
  <conditionalFormatting sqref="A1">
    <cfRule type="containsText" dxfId="325" priority="46" operator="containsText" text="Washington Wizards">
      <formula>NOT(ISERROR(SEARCH("Washington Wizards",A1)))</formula>
    </cfRule>
    <cfRule type="containsText" dxfId="324" priority="47" operator="containsText" text="Utah Jazz">
      <formula>NOT(ISERROR(SEARCH("Utah Jazz",A1)))</formula>
    </cfRule>
    <cfRule type="containsText" dxfId="323" priority="48" operator="containsText" text="Toronto Raptors">
      <formula>NOT(ISERROR(SEARCH("Toronto Raptors",A1)))</formula>
    </cfRule>
    <cfRule type="containsText" dxfId="322" priority="49" operator="containsText" text="San Antonio Spurs">
      <formula>NOT(ISERROR(SEARCH("San Antonio Spurs",A1)))</formula>
    </cfRule>
    <cfRule type="containsText" dxfId="321" priority="50" operator="containsText" text="Sacramento Kings">
      <formula>NOT(ISERROR(SEARCH("Sacramento Kings",A1)))</formula>
    </cfRule>
    <cfRule type="containsText" dxfId="320" priority="51" operator="containsText" text="Portland Trail Blazers">
      <formula>NOT(ISERROR(SEARCH("Portland Trail Blazers",A1)))</formula>
    </cfRule>
    <cfRule type="containsText" dxfId="319" priority="52" operator="containsText" text="Phoenix Suns">
      <formula>NOT(ISERROR(SEARCH("Phoenix Suns",A1)))</formula>
    </cfRule>
    <cfRule type="containsText" dxfId="318" priority="53" operator="containsText" text="Philadelphia 76ers">
      <formula>NOT(ISERROR(SEARCH("Philadelphia 76ers",A1)))</formula>
    </cfRule>
    <cfRule type="containsText" dxfId="317" priority="54" operator="containsText" text="Orlando Magic">
      <formula>NOT(ISERROR(SEARCH("Orlando Magic",A1)))</formula>
    </cfRule>
    <cfRule type="containsText" dxfId="316" priority="55" operator="containsText" text="Oklahoma City Thunder">
      <formula>NOT(ISERROR(SEARCH("Oklahoma City Thunder",A1)))</formula>
    </cfRule>
    <cfRule type="containsText" dxfId="315" priority="56" operator="containsText" text="New York Knicks">
      <formula>NOT(ISERROR(SEARCH("New York Knicks",A1)))</formula>
    </cfRule>
    <cfRule type="containsText" dxfId="314" priority="57" operator="containsText" text="New Orleans Pelicans">
      <formula>NOT(ISERROR(SEARCH("New Orleans Pelicans",A1)))</formula>
    </cfRule>
    <cfRule type="containsText" dxfId="313" priority="58" operator="containsText" text="Minnesota Timberwolves">
      <formula>NOT(ISERROR(SEARCH("Minnesota Timberwolves",A1)))</formula>
    </cfRule>
    <cfRule type="containsText" dxfId="312" priority="59" operator="containsText" text="MIlwaukee Bucks">
      <formula>NOT(ISERROR(SEARCH("MIlwaukee Bucks",A1)))</formula>
    </cfRule>
    <cfRule type="containsText" dxfId="311" priority="60" operator="containsText" text="Miami Heat">
      <formula>NOT(ISERROR(SEARCH("Miami Heat",A1)))</formula>
    </cfRule>
    <cfRule type="containsText" dxfId="310" priority="61" operator="containsText" text="Memphis Grizzlies">
      <formula>NOT(ISERROR(SEARCH("Memphis Grizzlies",A1)))</formula>
    </cfRule>
    <cfRule type="containsText" dxfId="309" priority="62" operator="containsText" text="Los Angeles Lakers">
      <formula>NOT(ISERROR(SEARCH("Los Angeles Lakers",A1)))</formula>
    </cfRule>
    <cfRule type="containsText" dxfId="308" priority="63" operator="containsText" text="Los Angeles Clippers">
      <formula>NOT(ISERROR(SEARCH("Los Angeles Clippers",A1)))</formula>
    </cfRule>
    <cfRule type="containsText" dxfId="307" priority="64" operator="containsText" text="Indiana Pacers">
      <formula>NOT(ISERROR(SEARCH("Indiana Pacers",A1)))</formula>
    </cfRule>
    <cfRule type="containsText" dxfId="306" priority="65" operator="containsText" text="Houston Rockets">
      <formula>NOT(ISERROR(SEARCH("Houston Rockets",A1)))</formula>
    </cfRule>
    <cfRule type="containsText" dxfId="305" priority="66" operator="containsText" text="Golden State Warriors">
      <formula>NOT(ISERROR(SEARCH("Golden State Warriors",A1)))</formula>
    </cfRule>
    <cfRule type="containsText" dxfId="304" priority="67" operator="containsText" text="Detroit Pistons">
      <formula>NOT(ISERROR(SEARCH("Detroit Pistons",A1)))</formula>
    </cfRule>
    <cfRule type="containsText" dxfId="303" priority="68" operator="containsText" text="Dallas Mavericks">
      <formula>NOT(ISERROR(SEARCH("Dallas Mavericks",A1)))</formula>
    </cfRule>
    <cfRule type="containsText" dxfId="302" priority="69" operator="containsText" text="Atlanta Hawks">
      <formula>NOT(ISERROR(SEARCH("Atlanta Hawks",A1)))</formula>
    </cfRule>
    <cfRule type="containsText" dxfId="301" priority="70" operator="containsText" text="Boston Celtics">
      <formula>NOT(ISERROR(SEARCH("Boston Celtics",A1)))</formula>
    </cfRule>
    <cfRule type="containsText" dxfId="300" priority="71" operator="containsText" text="Brooklyn Nets">
      <formula>NOT(ISERROR(SEARCH("Brooklyn Nets",A1)))</formula>
    </cfRule>
    <cfRule type="containsText" dxfId="299" priority="72" operator="containsText" text="Chicago Bulls">
      <formula>NOT(ISERROR(SEARCH("Chicago Bulls",A1)))</formula>
    </cfRule>
    <cfRule type="containsText" dxfId="298" priority="73" operator="containsText" text="Cleveland Cavaliers">
      <formula>NOT(ISERROR(SEARCH("Cleveland Cavaliers",A1)))</formula>
    </cfRule>
    <cfRule type="containsText" dxfId="297" priority="74" operator="containsText" text="Denver Nuggets">
      <formula>NOT(ISERROR(SEARCH("Denver Nuggets",A1)))</formula>
    </cfRule>
  </conditionalFormatting>
  <conditionalFormatting sqref="A1">
    <cfRule type="containsText" dxfId="296" priority="40" operator="containsText" text="Charlotte Hornets">
      <formula>NOT(ISERROR(SEARCH("Charlotte Hornets",A1)))</formula>
    </cfRule>
  </conditionalFormatting>
  <conditionalFormatting sqref="AO4:AO23">
    <cfRule type="cellIs" dxfId="295" priority="32" operator="greaterThan">
      <formula>75</formula>
    </cfRule>
  </conditionalFormatting>
  <conditionalFormatting sqref="N5:N26">
    <cfRule type="containsText" dxfId="294" priority="25" operator="containsText" text="UFA">
      <formula>NOT(ISERROR(SEARCH("UFA",N5)))</formula>
    </cfRule>
    <cfRule type="containsText" dxfId="293" priority="26" operator="containsText" text="RFA">
      <formula>NOT(ISERROR(SEARCH("RFA",N5)))</formula>
    </cfRule>
  </conditionalFormatting>
  <conditionalFormatting sqref="L5:M26">
    <cfRule type="containsText" dxfId="292" priority="27" operator="containsText" text="UFA">
      <formula>NOT(ISERROR(SEARCH("UFA",L5)))</formula>
    </cfRule>
    <cfRule type="containsText" dxfId="291" priority="28" operator="containsText" text="RFA">
      <formula>NOT(ISERROR(SEARCH("RFA",L5)))</formula>
    </cfRule>
  </conditionalFormatting>
  <conditionalFormatting sqref="A5:A27">
    <cfRule type="expression" dxfId="290" priority="197">
      <formula>ISNUMBER(SEARCH(" X",O5))</formula>
    </cfRule>
  </conditionalFormatting>
  <conditionalFormatting sqref="C27">
    <cfRule type="containsText" dxfId="289" priority="10" operator="containsText" text="IMP">
      <formula>NOT(ISERROR(SEARCH("IMP",C27)))</formula>
    </cfRule>
  </conditionalFormatting>
  <conditionalFormatting sqref="AJ5:AJ27">
    <cfRule type="colorScale" priority="208">
      <colorScale>
        <cfvo type="min"/>
        <cfvo type="max"/>
        <color rgb="FFFCFCFF"/>
        <color rgb="FF63BE7B"/>
      </colorScale>
    </cfRule>
  </conditionalFormatting>
  <conditionalFormatting sqref="I5:I26">
    <cfRule type="colorScale" priority="214">
      <colorScale>
        <cfvo type="min"/>
        <cfvo type="percentile" val="50"/>
        <cfvo type="max"/>
        <color rgb="FFF8696B"/>
        <color rgb="FFFCFCFF"/>
        <color rgb="FF63BE7B"/>
      </colorScale>
    </cfRule>
  </conditionalFormatting>
  <conditionalFormatting sqref="G5:G26">
    <cfRule type="colorScale" priority="215">
      <colorScale>
        <cfvo type="min"/>
        <cfvo type="percentile" val="50"/>
        <cfvo type="max"/>
        <color rgb="FFF8696B"/>
        <color rgb="FFFCFCFF"/>
        <color rgb="FF63BE7B"/>
      </colorScale>
    </cfRule>
  </conditionalFormatting>
  <conditionalFormatting sqref="A5:A26">
    <cfRule type="expression" dxfId="288" priority="9">
      <formula>$Q5="Dead"</formula>
    </cfRule>
  </conditionalFormatting>
  <conditionalFormatting sqref="K5:K26">
    <cfRule type="containsText" dxfId="287" priority="44" operator="containsText" text="UFA">
      <formula>NOT(ISERROR(SEARCH("UFA",K5)))</formula>
    </cfRule>
    <cfRule type="containsText" dxfId="286" priority="45" operator="containsText" text="RFA">
      <formula>NOT(ISERROR(SEARCH("RFA",K5)))</formula>
    </cfRule>
  </conditionalFormatting>
  <conditionalFormatting sqref="K47">
    <cfRule type="containsText" dxfId="285" priority="7" operator="containsText" text="UFA">
      <formula>NOT(ISERROR(SEARCH("UFA",K47)))</formula>
    </cfRule>
    <cfRule type="containsText" dxfId="284" priority="8" operator="containsText" text="RFA">
      <formula>NOT(ISERROR(SEARCH("RFA",K47)))</formula>
    </cfRule>
  </conditionalFormatting>
  <conditionalFormatting sqref="J34:N34">
    <cfRule type="expression" dxfId="283" priority="308">
      <formula>J$34&lt;J$28</formula>
    </cfRule>
    <cfRule type="expression" dxfId="282" priority="309">
      <formula>J$34&gt;J$28</formula>
    </cfRule>
  </conditionalFormatting>
  <hyperlinks>
    <hyperlink ref="A50" location="'Free Agent Roster'!A1" display="Summer 2018 Free Agent Roster" xr:uid="{00000000-0004-0000-0100-000000000000}"/>
    <hyperlink ref="O4" location="'Injury Report'!A5" tooltip="Click to view official injury report" display="Injuries +" xr:uid="{00000000-0004-0000-0100-000001000000}"/>
    <hyperlink ref="F1:F3" location="'Per Game'!A1" display="Classic" xr:uid="{00000000-0004-0000-0100-000002000000}"/>
    <hyperlink ref="H1:H3" location="Advanced!A1" display="Advanced" xr:uid="{00000000-0004-0000-0100-000003000000}"/>
    <hyperlink ref="H1:I3" location="'Roster Analysis'!A1" tooltip="Click to View all Advanced Stats" display="Advanced" xr:uid="{00000000-0004-0000-0100-000004000000}"/>
    <hyperlink ref="F28:I28" r:id="rId1" display="Projected Cap" xr:uid="{00000000-0004-0000-0100-000005000000}"/>
    <hyperlink ref="F1:G3" location="'Player Per Game'!A1" tooltip="Click to view all Classic Stats" display="Classic" xr:uid="{00000000-0004-0000-0100-000006000000}"/>
    <hyperlink ref="H30:I30" location="Glossary!H18" tooltip="Click to lean more about the tax apron" display="Tax Apron" xr:uid="{00000000-0004-0000-0100-000007000000}"/>
    <hyperlink ref="A50:A51" location="'2018 Free Agents'!A4" display="Summer 2018 Free Agent Roster" xr:uid="{00000000-0004-0000-0100-000008000000}"/>
    <hyperlink ref="B3:D3" location="Standings!A1" tooltip="Click to view League Standings" display="Standings!A1" xr:uid="{00000000-0004-0000-0100-000009000000}"/>
    <hyperlink ref="D3" location="Standings!A1" tooltip="Click to view League Standings" display="Standings!A1" xr:uid="{00000000-0004-0000-0100-00000A000000}"/>
  </hyperlinks>
  <pageMargins left="0.7" right="0.7" top="0.75" bottom="0.75" header="0.3" footer="0.3"/>
  <pageSetup scale="61" fitToWidth="0" orientation="landscape" r:id="rId2"/>
  <drawing r:id="rId3"/>
  <legacyDrawing r:id="rId4"/>
  <extLst>
    <ext xmlns:x14="http://schemas.microsoft.com/office/spreadsheetml/2009/9/main" uri="{78C0D931-6437-407d-A8EE-F0AAD7539E65}">
      <x14:conditionalFormattings>
        <x14:conditionalFormatting xmlns:xm="http://schemas.microsoft.com/office/excel/2006/main">
          <x14:cfRule type="expression" priority="19" id="{EE35FD26-0BE6-4F13-8DB3-C70CF6DB0399}">
            <xm:f>VLOOKUP($A5,'Contract Options'!$Q$7:$W$50,7,FALSE="Player")</xm:f>
            <x14:dxf>
              <font>
                <color rgb="FF00B050"/>
              </font>
            </x14:dxf>
          </x14:cfRule>
          <x14:cfRule type="expression" priority="20" id="{CC54046E-830B-4C28-8134-427061B6F482}">
            <xm:f>VLOOKUP($A5,'Contract Options'!$Q$7:$W$50,7,FALSE)="Club"</xm:f>
            <x14:dxf>
              <font>
                <color rgb="FFFF0000"/>
              </font>
            </x14:dxf>
          </x14:cfRule>
          <xm:sqref>M5:M26</xm:sqref>
        </x14:conditionalFormatting>
        <x14:conditionalFormatting xmlns:xm="http://schemas.microsoft.com/office/excel/2006/main">
          <x14:cfRule type="expression" priority="21" id="{2F630156-1309-4B59-BBA8-2E3F24C7139C}">
            <xm:f>OR(VLOOKUP($A5,'Contract Options'!$I$7:$O$86,7,FALSE)="Player",VLOOKUP($A5,'Contract Options'!$I$7:$O$86,7,FALSE)="ETO")</xm:f>
            <x14:dxf>
              <font>
                <color rgb="FF00B050"/>
              </font>
            </x14:dxf>
          </x14:cfRule>
          <x14:cfRule type="expression" priority="22" id="{BBCF3013-FE3A-4CCF-B04C-24D79AC2AE00}">
            <xm:f>VLOOKUP($A5,'Contract Options'!$I$7:$O$86,7,FALSE)="Club"</xm:f>
            <x14:dxf>
              <font>
                <color rgb="FFFF0000"/>
              </font>
            </x14:dxf>
          </x14:cfRule>
          <xm:sqref>L5:L26</xm:sqref>
        </x14:conditionalFormatting>
        <x14:conditionalFormatting xmlns:xm="http://schemas.microsoft.com/office/excel/2006/main">
          <x14:cfRule type="expression" priority="300" id="{25C08BD4-C5D7-4AD0-AC70-EF98DF7E8947}">
            <xm:f>VLOOKUP($A5,'Contract Options'!$A$7:$G$41,7,FALSE)="Club"</xm:f>
            <x14:dxf>
              <font>
                <color rgb="FFFF0000"/>
              </font>
            </x14:dxf>
          </x14:cfRule>
          <x14:cfRule type="expression" priority="301" id="{5AA56763-5D3B-4788-8C29-2E67A6D62E69}">
            <xm:f>OR(VLOOKUP($A5,'Contract Options'!$A$7:$G$41,7,FALSE)="Player",VLOOKUP($A5,'Contract Options'!$A$7:$G$41,7,FALSE)="ETO")</xm:f>
            <x14:dxf>
              <font>
                <color rgb="FF00B050"/>
              </font>
            </x14:dxf>
          </x14:cfRule>
          <xm:sqref>K5:K26</xm:sqref>
        </x14:conditionalFormatting>
      </x14:conditionalFormattings>
    </ext>
    <ext xmlns:x14="http://schemas.microsoft.com/office/spreadsheetml/2009/9/main" uri="{CCE6A557-97BC-4b89-ADB6-D9C93CAAB3DF}">
      <x14:dataValidations xmlns:xm="http://schemas.microsoft.com/office/excel/2006/main" count="6">
        <x14:dataValidation type="list" allowBlank="1" showInputMessage="1" showErrorMessage="1" xr:uid="{00000000-0002-0000-0100-000000000000}">
          <x14:formula1>
            <xm:f>'Referenced Lists'!$I$3:$I$22</xm:f>
          </x14:formula1>
          <xm:sqref>H4</xm:sqref>
        </x14:dataValidation>
        <x14:dataValidation type="list" allowBlank="1" showInputMessage="1" showErrorMessage="1" xr:uid="{00000000-0002-0000-0100-000001000000}">
          <x14:formula1>
            <xm:f>'Referenced Lists'!$H$3:$H$16</xm:f>
          </x14:formula1>
          <xm:sqref>F4</xm:sqref>
        </x14:dataValidation>
        <x14:dataValidation type="list" allowBlank="1" showInputMessage="1" showErrorMessage="1" xr:uid="{00000000-0002-0000-0100-000002000000}">
          <x14:formula1>
            <xm:f>'Referenced Lists'!$H$1:$H$25</xm:f>
          </x14:formula1>
          <xm:sqref>AK4</xm:sqref>
        </x14:dataValidation>
        <x14:dataValidation type="list" allowBlank="1" showInputMessage="1" showErrorMessage="1" xr:uid="{00000000-0002-0000-0100-000003000000}">
          <x14:formula1>
            <xm:f>'Referenced Lists'!$B$2:$B$31</xm:f>
          </x14:formula1>
          <xm:sqref>D1</xm:sqref>
        </x14:dataValidation>
        <x14:dataValidation type="list" allowBlank="1" showErrorMessage="1" promptTitle="Team Select" prompt="Select a team to view roster and contracts" xr:uid="{00000000-0002-0000-0100-000004000000}">
          <x14:formula1>
            <xm:f>'Referenced Lists'!$A$2:$A$31</xm:f>
          </x14:formula1>
          <xm:sqref>A1:A3</xm:sqref>
        </x14:dataValidation>
        <x14:dataValidation type="list" allowBlank="1" showInputMessage="1" showErrorMessage="1" xr:uid="{00000000-0002-0000-0100-000005000000}">
          <x14:formula1>
            <xm:f>'2018 Free Agents'!$A$118:$A$122</xm:f>
          </x14:formula1>
          <xm:sqref>A48:A49</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9">
    <tabColor rgb="FF0070C0"/>
  </sheetPr>
  <dimension ref="A1:AH40"/>
  <sheetViews>
    <sheetView zoomScaleNormal="100" workbookViewId="0">
      <selection sqref="A1:XFD1048576"/>
    </sheetView>
  </sheetViews>
  <sheetFormatPr defaultColWidth="8.85546875" defaultRowHeight="15"/>
  <cols>
    <col min="3" max="3" width="10.7109375" customWidth="1"/>
    <col min="9" max="9" width="10.140625" bestFit="1" customWidth="1"/>
    <col min="16" max="16" width="23" bestFit="1" customWidth="1"/>
    <col min="19" max="19" width="0" hidden="1" customWidth="1"/>
    <col min="21" max="21" width="11.140625" customWidth="1"/>
    <col min="22" max="22" width="11.140625" hidden="1" customWidth="1"/>
    <col min="25" max="25" width="0" hidden="1" customWidth="1"/>
    <col min="28" max="28" width="0" hidden="1" customWidth="1"/>
    <col min="33" max="33" width="0" hidden="1" customWidth="1"/>
  </cols>
  <sheetData>
    <row r="1" spans="1:34" ht="15.75" customHeight="1">
      <c r="A1" s="628" t="str">
        <f>'Roster Analysis'!$A$1:$A$3</f>
        <v>Minnesota Timberwolves</v>
      </c>
      <c r="B1" s="629"/>
      <c r="C1" s="629"/>
      <c r="H1" s="11"/>
      <c r="I1" s="11"/>
      <c r="J1" s="11"/>
      <c r="K1" s="11"/>
    </row>
    <row r="2" spans="1:34" ht="15" customHeight="1">
      <c r="A2" s="630"/>
      <c r="B2" s="631"/>
      <c r="C2" s="631"/>
      <c r="H2" s="635" t="s">
        <v>985</v>
      </c>
      <c r="I2" s="636"/>
      <c r="J2" s="636"/>
      <c r="K2" s="637"/>
    </row>
    <row r="3" spans="1:34" ht="15" customHeight="1" thickBot="1">
      <c r="A3" s="630"/>
      <c r="B3" s="631"/>
      <c r="C3" s="631"/>
      <c r="G3" s="60"/>
      <c r="H3" s="638"/>
      <c r="I3" s="639"/>
      <c r="J3" s="639"/>
      <c r="K3" s="640"/>
      <c r="P3" s="483" t="str">
        <f>VLOOKUP(A1,'Referenced Lists'!A2:B31,2,FALSE)</f>
        <v>MIN</v>
      </c>
      <c r="Q3" s="483">
        <f>COUNTIF('Player Salaries'!C5:C672,$P$3)</f>
        <v>16</v>
      </c>
      <c r="R3" s="11"/>
      <c r="U3" s="383"/>
      <c r="W3" t="s">
        <v>1204</v>
      </c>
    </row>
    <row r="4" spans="1:34" ht="15" customHeight="1">
      <c r="A4" s="381"/>
      <c r="B4" s="381"/>
      <c r="C4" s="381"/>
      <c r="L4" s="60"/>
      <c r="O4" s="61"/>
      <c r="P4" s="593" t="str">
        <f>$A$1&amp;" Shooting Percentages"</f>
        <v>Minnesota Timberwolves Shooting Percentages</v>
      </c>
      <c r="Q4" s="593"/>
      <c r="R4" s="593"/>
      <c r="T4" s="100"/>
      <c r="U4" s="327">
        <v>123</v>
      </c>
      <c r="W4" s="279" t="s">
        <v>1158</v>
      </c>
    </row>
    <row r="5" spans="1:34" ht="15.75" customHeight="1">
      <c r="B5" s="60"/>
      <c r="C5" s="60"/>
      <c r="D5" s="155"/>
      <c r="E5" s="155"/>
      <c r="F5" s="155"/>
      <c r="K5" s="158"/>
      <c r="L5" s="597" t="s">
        <v>1006</v>
      </c>
      <c r="M5" s="597"/>
      <c r="N5" s="645" t="s">
        <v>801</v>
      </c>
      <c r="O5" s="371"/>
      <c r="P5" s="594"/>
      <c r="Q5" s="594"/>
      <c r="R5" s="594"/>
      <c r="T5" s="330"/>
      <c r="U5" s="335">
        <v>123</v>
      </c>
      <c r="W5" s="279" t="s">
        <v>1159</v>
      </c>
    </row>
    <row r="6" spans="1:34">
      <c r="B6" s="623" t="s">
        <v>1000</v>
      </c>
      <c r="C6" s="624"/>
      <c r="D6" s="160" t="s">
        <v>801</v>
      </c>
      <c r="E6" s="634" t="s">
        <v>986</v>
      </c>
      <c r="F6" s="634"/>
      <c r="G6" s="161" t="s">
        <v>801</v>
      </c>
      <c r="I6" s="623" t="s">
        <v>1005</v>
      </c>
      <c r="J6" s="624"/>
      <c r="K6" s="162" t="s">
        <v>801</v>
      </c>
      <c r="L6" s="598"/>
      <c r="M6" s="598"/>
      <c r="N6" s="646"/>
      <c r="O6" s="100"/>
      <c r="P6" s="328" t="s">
        <v>258</v>
      </c>
      <c r="Q6" s="65" t="s">
        <v>259</v>
      </c>
      <c r="R6" s="70" t="s">
        <v>265</v>
      </c>
      <c r="S6" s="65" t="s">
        <v>1156</v>
      </c>
      <c r="T6" s="65" t="s">
        <v>266</v>
      </c>
      <c r="U6" s="70" t="s">
        <v>268</v>
      </c>
      <c r="V6" s="65" t="s">
        <v>1155</v>
      </c>
      <c r="W6" s="65" t="s">
        <v>269</v>
      </c>
      <c r="X6" s="70" t="s">
        <v>271</v>
      </c>
      <c r="Y6" s="65" t="s">
        <v>1154</v>
      </c>
      <c r="Z6" s="66" t="s">
        <v>272</v>
      </c>
      <c r="AA6" s="70" t="s">
        <v>275</v>
      </c>
      <c r="AB6" s="65" t="s">
        <v>1157</v>
      </c>
      <c r="AC6" s="66" t="s">
        <v>276</v>
      </c>
      <c r="AD6" s="329"/>
      <c r="AE6" s="333" t="s">
        <v>16</v>
      </c>
    </row>
    <row r="7" spans="1:34">
      <c r="B7" s="632">
        <f>VLOOKUP($A$1,'Team Shooting Raw'!$A$5:$M$34,6,FALSE)</f>
        <v>0.48</v>
      </c>
      <c r="C7" s="633"/>
      <c r="D7" s="484">
        <f>_xlfn.RANK.AVG(B7,Team_Shooting[FG%])</f>
        <v>3</v>
      </c>
      <c r="E7" s="600" t="str">
        <f>VLOOKUP($A$1,'Team Shooting Raw'!$A$5:$M$34,7,FALSE)&amp;" ft"</f>
        <v>12.3 ft</v>
      </c>
      <c r="F7" s="600"/>
      <c r="G7" s="485">
        <f>RANK(VLOOKUP($A$1,'Team Shooting Raw'!$A$5:$M$34,7,FALSE),Team_Shooting[Dist.])</f>
        <v>28</v>
      </c>
      <c r="I7" s="609">
        <f>VLOOKUP(A1,'Team Shooting Raw'!A40:M69,6,FALSE)</f>
        <v>0.47799999999999998</v>
      </c>
      <c r="J7" s="610"/>
      <c r="K7" s="486">
        <f>31-RANK(I7,Opponent_Shooting[FG%])</f>
        <v>29</v>
      </c>
      <c r="L7" s="599" t="str">
        <f>VLOOKUP($A$1,'Team Shooting Raw'!$A$40:$M$69,7,FALSE)&amp;" ft"</f>
        <v>13.1 ft</v>
      </c>
      <c r="M7" s="600"/>
      <c r="N7" s="487">
        <f>31-RANK(VLOOKUP($A$1,'Team Shooting Raw'!$A$40:$M$69,7,FALSE),Opponent_Shooting[Dist.])</f>
        <v>15</v>
      </c>
      <c r="O7" s="100"/>
      <c r="P7" s="488" t="str">
        <f t="array" ref="P7">IF(ROWS(P$7:P7)&gt;$Q$3,"",INDEX('Player Salaries'!B$5:B$672,SMALL(IF('Player Salaries'!$C$5:$C$672=$P$3,ROW('Player Salaries'!$C$5:$C$672)-ROW('Player Salaries'!$E$5)+1),ROWS(P$7:P7))))</f>
        <v>Jimmy Butler</v>
      </c>
      <c r="Q7" s="427" t="str">
        <f>IFERROR(VLOOKUP(P7,Player_Per_Game[[Player]:[Pos]],2,FALSE),"")</f>
        <v>SG</v>
      </c>
      <c r="R7" s="427">
        <f>IFERROR(VLOOKUP($P7,Player_Per_Game[[Player]:[PS/G]],9,FALSE),"")</f>
        <v>15.8</v>
      </c>
      <c r="S7" s="427">
        <f>IFERROR(VLOOKUP(P7,Player_Totals[[Player]:[PTS]],9,FALSE),"")</f>
        <v>882</v>
      </c>
      <c r="T7" s="489">
        <f>IFERROR(VLOOKUP($P7,Player_Per_Game[[Player]:[PS/G]],10,FALSE),"")</f>
        <v>0.47299999999999998</v>
      </c>
      <c r="U7" s="427">
        <f>IFERROR(VLOOKUP($P7,Player_Per_Game[[Player]:[PS/G]],12,FALSE),"")</f>
        <v>3.5</v>
      </c>
      <c r="V7" s="427">
        <f>IFERROR(VLOOKUP(P7,Player_Totals[[Player]:[PTS]],12,FALSE),"")</f>
        <v>194</v>
      </c>
      <c r="W7" s="489">
        <f>IFERROR(VLOOKUP($P7,Player_Per_Game[[Player]:[PS/G]],13,FALSE),"")</f>
        <v>0.35599999999999998</v>
      </c>
      <c r="X7" s="427">
        <f>IFERROR(VLOOKUP($P7,Player_Per_Game[[Player]:[PS/G]],15,FALSE),"")</f>
        <v>12.3</v>
      </c>
      <c r="Y7" s="427">
        <f>IFERROR(VLOOKUP(P7,Player_Totals[[Player]:[PTS]],15,FALSE),"")</f>
        <v>688</v>
      </c>
      <c r="Z7" s="490">
        <f>IFERROR(VLOOKUP($P7,Player_Per_Game[[Player]:[PS/G]],16,FALSE),"")</f>
        <v>0.50600000000000001</v>
      </c>
      <c r="AA7" s="427">
        <f>IFERROR(VLOOKUP($P7,Player_Per_Game[[Player]:[PS/G]],19,FALSE),"")</f>
        <v>7</v>
      </c>
      <c r="AB7" s="427">
        <f>IFERROR(VLOOKUP(P7,Player_Totals[[Player]:[PTS]],19,FALSE),"")</f>
        <v>393</v>
      </c>
      <c r="AC7" s="490">
        <f>IFERROR(VLOOKUP($P7,Player_Per_Game[[Player]:[PS/G]],20,FALSE),"")</f>
        <v>0.86499999999999999</v>
      </c>
      <c r="AD7" s="60"/>
      <c r="AE7" s="495">
        <f>IFERROR(VLOOKUP(P7,Player_Per_Game[[Player]:[PS/G]],29,FALSE),"")</f>
        <v>22.2</v>
      </c>
      <c r="AG7" s="507">
        <f>IFERROR(VLOOKUP(P7,Player_Advanced[[Player]:[DBPM]],24,FALSE),"")</f>
        <v>0</v>
      </c>
    </row>
    <row r="8" spans="1:34" ht="15" customHeight="1">
      <c r="B8" s="159"/>
      <c r="C8" s="159"/>
      <c r="D8" s="159"/>
      <c r="E8" s="159"/>
      <c r="F8" s="159"/>
      <c r="G8" s="159"/>
      <c r="H8" s="60"/>
      <c r="I8" s="382"/>
      <c r="J8" s="60"/>
      <c r="K8" s="60"/>
      <c r="M8" s="60"/>
      <c r="N8" s="159"/>
      <c r="O8" s="61"/>
      <c r="P8" s="491" t="str">
        <f t="array" ref="P8">IF(ROWS(P$7:P8)&gt;$Q$3,"",INDEX('Player Salaries'!B$5:B$672,SMALL(IF('Player Salaries'!$C$5:$C$672=$P$3,ROW('Player Salaries'!$C$5:$C$672)-ROW('Player Salaries'!$E$5)+1),ROWS(P$7:P8))))</f>
        <v>Jeff Teague</v>
      </c>
      <c r="Q8" s="427" t="str">
        <f>IFERROR(VLOOKUP(P8,Player_Per_Game[[Player]:[Pos]],2,FALSE),"")</f>
        <v>PG</v>
      </c>
      <c r="R8" s="427">
        <f>IFERROR(VLOOKUP($P8,Player_Per_Game[[Player]:[PS/G]],9,FALSE),"")</f>
        <v>11.1</v>
      </c>
      <c r="S8" s="427">
        <f>IFERROR(VLOOKUP(P8,Player_Totals[[Player]:[PTS]],9,FALSE),"")</f>
        <v>667</v>
      </c>
      <c r="T8" s="492">
        <f>IFERROR(VLOOKUP($P8,Player_Per_Game[[Player]:[PS/G]],10,FALSE),"")</f>
        <v>0.44700000000000001</v>
      </c>
      <c r="U8" s="427">
        <f>IFERROR(VLOOKUP($P8,Player_Per_Game[[Player]:[PS/G]],12,FALSE),"")</f>
        <v>3.2</v>
      </c>
      <c r="V8" s="427">
        <f>IFERROR(VLOOKUP(P8,Player_Totals[[Player]:[PTS]],12,FALSE),"")</f>
        <v>190</v>
      </c>
      <c r="W8" s="492">
        <f>IFERROR(VLOOKUP($P8,Player_Per_Game[[Player]:[PS/G]],13,FALSE),"")</f>
        <v>0.379</v>
      </c>
      <c r="X8" s="427">
        <f>IFERROR(VLOOKUP($P8,Player_Per_Game[[Player]:[PS/G]],15,FALSE),"")</f>
        <v>8</v>
      </c>
      <c r="Y8" s="427">
        <f>IFERROR(VLOOKUP(P8,Player_Totals[[Player]:[PTS]],15,FALSE),"")</f>
        <v>477</v>
      </c>
      <c r="Z8" s="492">
        <f>IFERROR(VLOOKUP($P8,Player_Per_Game[[Player]:[PS/G]],16,FALSE),"")</f>
        <v>0.47399999999999998</v>
      </c>
      <c r="AA8" s="427">
        <f>IFERROR(VLOOKUP($P8,Player_Per_Game[[Player]:[PS/G]],19,FALSE),"")</f>
        <v>3.3</v>
      </c>
      <c r="AB8" s="427">
        <f>IFERROR(VLOOKUP(P8,Player_Totals[[Player]:[PTS]],19,FALSE),"")</f>
        <v>196</v>
      </c>
      <c r="AC8" s="492">
        <f>IFERROR(VLOOKUP($P8,Player_Per_Game[[Player]:[PS/G]],20,FALSE),"")</f>
        <v>0.82699999999999996</v>
      </c>
      <c r="AD8" s="60"/>
      <c r="AE8" s="496">
        <f>IFERROR(VLOOKUP(P8,Player_Per_Game[[Player]:[PS/G]],29,FALSE),"")</f>
        <v>13.8</v>
      </c>
      <c r="AG8" s="507">
        <f>IFERROR(VLOOKUP(P8,Player_Advanced[[Player]:[DBPM]],24,FALSE),"")</f>
        <v>-1.2</v>
      </c>
    </row>
    <row r="9" spans="1:34" ht="18.75">
      <c r="I9" s="641" t="str">
        <f>A1</f>
        <v>Minnesota Timberwolves</v>
      </c>
      <c r="J9" s="641"/>
      <c r="K9" s="641"/>
      <c r="L9" s="641"/>
      <c r="M9" s="641"/>
      <c r="N9" s="641"/>
      <c r="O9" s="61"/>
      <c r="P9" s="491" t="str">
        <f t="array" ref="P9">IF(ROWS(P$7:P9)&gt;$Q$3,"",INDEX('Player Salaries'!B$5:B$672,SMALL(IF('Player Salaries'!$C$5:$C$672=$P$3,ROW('Player Salaries'!$C$5:$C$672)-ROW('Player Salaries'!$E$5)+1),ROWS(P$7:P9))))</f>
        <v>Gorgui Dieng</v>
      </c>
      <c r="Q9" s="427" t="str">
        <f>IFERROR(VLOOKUP(P9,Player_Per_Game[[Player]:[Pos]],2,FALSE),"")</f>
        <v>C</v>
      </c>
      <c r="R9" s="427">
        <f>IFERROR(VLOOKUP($P9,Player_Per_Game[[Player]:[PS/G]],9,FALSE),"")</f>
        <v>4.9000000000000004</v>
      </c>
      <c r="S9" s="427">
        <f>IFERROR(VLOOKUP(P9,Player_Totals[[Player]:[PTS]],9,FALSE),"")</f>
        <v>334</v>
      </c>
      <c r="T9" s="492">
        <f>IFERROR(VLOOKUP($P9,Player_Per_Game[[Player]:[PS/G]],10,FALSE),"")</f>
        <v>0.47599999999999998</v>
      </c>
      <c r="U9" s="427">
        <f>IFERROR(VLOOKUP($P9,Player_Per_Game[[Player]:[PS/G]],12,FALSE),"")</f>
        <v>0.7</v>
      </c>
      <c r="V9" s="427">
        <f>IFERROR(VLOOKUP(P9,Player_Totals[[Player]:[PTS]],12,FALSE),"")</f>
        <v>48</v>
      </c>
      <c r="W9" s="492">
        <f>IFERROR(VLOOKUP($P9,Player_Per_Game[[Player]:[PS/G]],13,FALSE),"")</f>
        <v>0.27100000000000002</v>
      </c>
      <c r="X9" s="427">
        <f>IFERROR(VLOOKUP($P9,Player_Per_Game[[Player]:[PS/G]],15,FALSE),"")</f>
        <v>4.2</v>
      </c>
      <c r="Y9" s="427">
        <f>IFERROR(VLOOKUP(P9,Player_Totals[[Player]:[PTS]],15,FALSE),"")</f>
        <v>286</v>
      </c>
      <c r="Z9" s="492">
        <f>IFERROR(VLOOKUP($P9,Player_Per_Game[[Player]:[PS/G]],16,FALSE),"")</f>
        <v>0.51</v>
      </c>
      <c r="AA9" s="427">
        <f>IFERROR(VLOOKUP($P9,Player_Per_Game[[Player]:[PS/G]],19,FALSE),"")</f>
        <v>1.4</v>
      </c>
      <c r="AB9" s="427">
        <f>IFERROR(VLOOKUP(P9,Player_Totals[[Player]:[PTS]],19,FALSE),"")</f>
        <v>95</v>
      </c>
      <c r="AC9" s="492">
        <f>IFERROR(VLOOKUP($P9,Player_Per_Game[[Player]:[PS/G]],20,FALSE),"")</f>
        <v>0.76800000000000002</v>
      </c>
      <c r="AD9" s="60"/>
      <c r="AE9" s="496">
        <f>IFERROR(VLOOKUP(P9,Player_Per_Game[[Player]:[PS/G]],29,FALSE),"")</f>
        <v>5.9</v>
      </c>
      <c r="AG9" s="507">
        <f>IFERROR(VLOOKUP(P9,Player_Advanced[[Player]:[DBPM]],24,FALSE),"")</f>
        <v>0.4</v>
      </c>
    </row>
    <row r="10" spans="1:34" ht="15" customHeight="1">
      <c r="H10" s="152"/>
      <c r="I10" s="170"/>
      <c r="J10" s="617" t="s">
        <v>996</v>
      </c>
      <c r="K10" s="617"/>
      <c r="L10" s="617"/>
      <c r="M10" s="617"/>
      <c r="N10" s="618"/>
      <c r="P10" s="491" t="str">
        <f t="array" ref="P10">IF(ROWS(P$7:P10)&gt;$Q$3,"",INDEX('Player Salaries'!B$5:B$672,SMALL(IF('Player Salaries'!$C$5:$C$672=$P$3,ROW('Player Salaries'!$C$5:$C$672)-ROW('Player Salaries'!$E$5)+1),ROWS(P$7:P10))))</f>
        <v>Taj Gibson</v>
      </c>
      <c r="Q10" s="427" t="str">
        <f>IFERROR(VLOOKUP(P10,Player_Per_Game[[Player]:[Pos]],2,FALSE),"")</f>
        <v>PF</v>
      </c>
      <c r="R10" s="427">
        <f>IFERROR(VLOOKUP($P10,Player_Per_Game[[Player]:[PS/G]],9,FALSE),"")</f>
        <v>9.1</v>
      </c>
      <c r="S10" s="427">
        <f>IFERROR(VLOOKUP(P10,Player_Totals[[Player]:[PTS]],9,FALSE),"")</f>
        <v>643</v>
      </c>
      <c r="T10" s="492">
        <f>IFERROR(VLOOKUP($P10,Player_Per_Game[[Player]:[PS/G]],10,FALSE),"")</f>
        <v>0.57899999999999996</v>
      </c>
      <c r="U10" s="427">
        <f>IFERROR(VLOOKUP($P10,Player_Per_Game[[Player]:[PS/G]],12,FALSE),"")</f>
        <v>0.5</v>
      </c>
      <c r="V10" s="427">
        <f>IFERROR(VLOOKUP(P10,Player_Totals[[Player]:[PTS]],12,FALSE),"")</f>
        <v>33</v>
      </c>
      <c r="W10" s="492">
        <f>IFERROR(VLOOKUP($P10,Player_Per_Game[[Player]:[PS/G]],13,FALSE),"")</f>
        <v>0.21199999999999999</v>
      </c>
      <c r="X10" s="427">
        <f>IFERROR(VLOOKUP($P10,Player_Per_Game[[Player]:[PS/G]],15,FALSE),"")</f>
        <v>8.6</v>
      </c>
      <c r="Y10" s="427">
        <f>IFERROR(VLOOKUP(P10,Player_Totals[[Player]:[PTS]],15,FALSE),"")</f>
        <v>610</v>
      </c>
      <c r="Z10" s="492">
        <f>IFERROR(VLOOKUP($P10,Player_Per_Game[[Player]:[PS/G]],16,FALSE),"")</f>
        <v>0.59799999999999998</v>
      </c>
      <c r="AA10" s="427">
        <f>IFERROR(VLOOKUP($P10,Player_Per_Game[[Player]:[PS/G]],19,FALSE),"")</f>
        <v>2.2000000000000002</v>
      </c>
      <c r="AB10" s="427">
        <f>IFERROR(VLOOKUP(P10,Player_Totals[[Player]:[PTS]],19,FALSE),"")</f>
        <v>155</v>
      </c>
      <c r="AC10" s="492">
        <f>IFERROR(VLOOKUP($P10,Player_Per_Game[[Player]:[PS/G]],20,FALSE),"")</f>
        <v>0.76100000000000001</v>
      </c>
      <c r="AD10" s="60"/>
      <c r="AE10" s="496">
        <f>IFERROR(VLOOKUP(P10,Player_Per_Game[[Player]:[PS/G]],29,FALSE),"")</f>
        <v>12.2</v>
      </c>
      <c r="AG10" s="507">
        <f>IFERROR(VLOOKUP(P10,Player_Advanced[[Player]:[DBPM]],24,FALSE),"")</f>
        <v>0.2</v>
      </c>
    </row>
    <row r="11" spans="1:34">
      <c r="H11" s="61"/>
      <c r="I11" s="99"/>
      <c r="J11" s="166" t="s">
        <v>987</v>
      </c>
      <c r="K11" s="167" t="s">
        <v>991</v>
      </c>
      <c r="L11" s="168" t="s">
        <v>992</v>
      </c>
      <c r="M11" s="169" t="s">
        <v>990</v>
      </c>
      <c r="N11" s="373" t="s">
        <v>267</v>
      </c>
      <c r="O11" s="60"/>
      <c r="P11" s="491" t="str">
        <f t="array" ref="P11">IF(ROWS(P$7:P11)&gt;$Q$3,"",INDEX('Player Salaries'!B$5:B$672,SMALL(IF('Player Salaries'!$C$5:$C$672=$P$3,ROW('Player Salaries'!$C$5:$C$672)-ROW('Player Salaries'!$E$5)+1),ROWS(P$7:P11))))</f>
        <v>Nikola Pekovic</v>
      </c>
      <c r="Q11" s="427" t="str">
        <f>IFERROR(VLOOKUP(P11,Player_Per_Game[[Player]:[Pos]],2,FALSE),"")</f>
        <v/>
      </c>
      <c r="R11" s="427" t="str">
        <f>IFERROR(VLOOKUP($P11,Player_Per_Game[[Player]:[PS/G]],9,FALSE),"")</f>
        <v/>
      </c>
      <c r="S11" s="427" t="str">
        <f>IFERROR(VLOOKUP(P11,Player_Totals[[Player]:[PTS]],9,FALSE),"")</f>
        <v/>
      </c>
      <c r="T11" s="492" t="str">
        <f>IFERROR(VLOOKUP($P11,Player_Per_Game[[Player]:[PS/G]],10,FALSE),"")</f>
        <v/>
      </c>
      <c r="U11" s="427" t="str">
        <f>IFERROR(VLOOKUP($P11,Player_Per_Game[[Player]:[PS/G]],12,FALSE),"")</f>
        <v/>
      </c>
      <c r="V11" s="427" t="str">
        <f>IFERROR(VLOOKUP(P11,Player_Totals[[Player]:[PTS]],12,FALSE),"")</f>
        <v/>
      </c>
      <c r="W11" s="492" t="str">
        <f>IFERROR(VLOOKUP($P11,Player_Per_Game[[Player]:[PS/G]],13,FALSE),"")</f>
        <v/>
      </c>
      <c r="X11" s="427" t="str">
        <f>IFERROR(VLOOKUP($P11,Player_Per_Game[[Player]:[PS/G]],15,FALSE),"")</f>
        <v/>
      </c>
      <c r="Y11" s="427" t="str">
        <f>IFERROR(VLOOKUP(P11,Player_Totals[[Player]:[PTS]],15,FALSE),"")</f>
        <v/>
      </c>
      <c r="Z11" s="492" t="str">
        <f>IFERROR(VLOOKUP($P11,Player_Per_Game[[Player]:[PS/G]],16,FALSE),"")</f>
        <v/>
      </c>
      <c r="AA11" s="427" t="str">
        <f>IFERROR(VLOOKUP($P11,Player_Per_Game[[Player]:[PS/G]],19,FALSE),"")</f>
        <v/>
      </c>
      <c r="AB11" s="427" t="str">
        <f>IFERROR(VLOOKUP(P11,Player_Totals[[Player]:[PTS]],19,FALSE),"")</f>
        <v/>
      </c>
      <c r="AC11" s="492" t="str">
        <f>IFERROR(VLOOKUP($P11,Player_Per_Game[[Player]:[PS/G]],20,FALSE),"")</f>
        <v/>
      </c>
      <c r="AD11" s="60"/>
      <c r="AE11" s="496" t="str">
        <f>IFERROR(VLOOKUP(P11,Player_Per_Game[[Player]:[PS/G]],29,FALSE),"")</f>
        <v/>
      </c>
      <c r="AG11" s="507" t="str">
        <f>IFERROR(VLOOKUP(P11,Player_Advanced[[Player]:[DBPM]],24,FALSE),"")</f>
        <v/>
      </c>
    </row>
    <row r="12" spans="1:34">
      <c r="I12" s="643" t="s">
        <v>993</v>
      </c>
      <c r="J12" s="493">
        <f>VLOOKUP($A$1,'Team Shooting Raw'!$A$5:$AC$34,9,FALSE)</f>
        <v>0.26100000000000001</v>
      </c>
      <c r="K12" s="493">
        <f>VLOOKUP($A$1,'Team Shooting Raw'!$A$5:$AC$34,10,FALSE)</f>
        <v>0.19500000000000001</v>
      </c>
      <c r="L12" s="493">
        <f>VLOOKUP($A$1,'Team Shooting Raw'!$A$5:$AC$34,11,FALSE)</f>
        <v>0.13100000000000001</v>
      </c>
      <c r="M12" s="493">
        <f>VLOOKUP($A$1,'Team Shooting Raw'!$A$5:$AC$34,12,FALSE)</f>
        <v>0.155</v>
      </c>
      <c r="N12" s="625">
        <f>VLOOKUP($A$1,'Team Shooting Raw'!$A$5:$AC$34,13,FALSE)</f>
        <v>0.25800000000000001</v>
      </c>
      <c r="O12" s="60"/>
      <c r="P12" s="491" t="str">
        <f t="array" ref="P12">IF(ROWS(P$7:P12)&gt;$Q$3,"",INDEX('Player Salaries'!B$5:B$672,SMALL(IF('Player Salaries'!$C$5:$C$672=$P$3,ROW('Player Salaries'!$C$5:$C$672)-ROW('Player Salaries'!$E$5)+1),ROWS(P$7:P12))))</f>
        <v>Andrew Wiggins</v>
      </c>
      <c r="Q12" s="427" t="str">
        <f>IFERROR(VLOOKUP(P12,Player_Per_Game[[Player]:[Pos]],2,FALSE),"")</f>
        <v>SF</v>
      </c>
      <c r="R12" s="427">
        <f>IFERROR(VLOOKUP($P12,Player_Per_Game[[Player]:[PS/G]],9,FALSE),"")</f>
        <v>15.9</v>
      </c>
      <c r="S12" s="427">
        <f>IFERROR(VLOOKUP(P12,Player_Totals[[Player]:[PTS]],9,FALSE),"")</f>
        <v>1128</v>
      </c>
      <c r="T12" s="492">
        <f>IFERROR(VLOOKUP($P12,Player_Per_Game[[Player]:[PS/G]],10,FALSE),"")</f>
        <v>0.44400000000000001</v>
      </c>
      <c r="U12" s="427">
        <f>IFERROR(VLOOKUP($P12,Player_Per_Game[[Player]:[PS/G]],12,FALSE),"")</f>
        <v>4.2</v>
      </c>
      <c r="V12" s="427">
        <f>IFERROR(VLOOKUP(P12,Player_Totals[[Player]:[PTS]],12,FALSE),"")</f>
        <v>295</v>
      </c>
      <c r="W12" s="492">
        <f>IFERROR(VLOOKUP($P12,Player_Per_Game[[Player]:[PS/G]],13,FALSE),"")</f>
        <v>0.32900000000000001</v>
      </c>
      <c r="X12" s="427">
        <f>IFERROR(VLOOKUP($P12,Player_Per_Game[[Player]:[PS/G]],15,FALSE),"")</f>
        <v>11.7</v>
      </c>
      <c r="Y12" s="427">
        <f>IFERROR(VLOOKUP(P12,Player_Totals[[Player]:[PTS]],15,FALSE),"")</f>
        <v>833</v>
      </c>
      <c r="Z12" s="492">
        <f>IFERROR(VLOOKUP($P12,Player_Per_Game[[Player]:[PS/G]],16,FALSE),"")</f>
        <v>0.48499999999999999</v>
      </c>
      <c r="AA12" s="427">
        <f>IFERROR(VLOOKUP($P12,Player_Per_Game[[Player]:[PS/G]],19,FALSE),"")</f>
        <v>3.9</v>
      </c>
      <c r="AB12" s="427">
        <f>IFERROR(VLOOKUP(P12,Player_Totals[[Player]:[PTS]],19,FALSE),"")</f>
        <v>278</v>
      </c>
      <c r="AC12" s="492">
        <f>IFERROR(VLOOKUP($P12,Player_Per_Game[[Player]:[PS/G]],20,FALSE),"")</f>
        <v>0.64</v>
      </c>
      <c r="AD12" s="60"/>
      <c r="AE12" s="496">
        <f>IFERROR(VLOOKUP(P12,Player_Per_Game[[Player]:[PS/G]],29,FALSE),"")</f>
        <v>18</v>
      </c>
      <c r="AG12" s="507">
        <f>IFERROR(VLOOKUP(P12,Player_Advanced[[Player]:[DBPM]],24,FALSE),"")</f>
        <v>-1.7</v>
      </c>
    </row>
    <row r="13" spans="1:34">
      <c r="I13" s="644"/>
      <c r="J13" s="601">
        <f>SUM(J12,K12,L12,M12)</f>
        <v>0.74199999999999999</v>
      </c>
      <c r="K13" s="602"/>
      <c r="L13" s="602"/>
      <c r="M13" s="603"/>
      <c r="N13" s="605"/>
      <c r="O13" s="60"/>
      <c r="P13" s="491" t="str">
        <f t="array" ref="P13">IF(ROWS(P$7:P13)&gt;$Q$3,"",INDEX('Player Salaries'!B$5:B$672,SMALL(IF('Player Salaries'!$C$5:$C$672=$P$3,ROW('Player Salaries'!$C$5:$C$672)-ROW('Player Salaries'!$E$5)+1),ROWS(P$7:P13))))</f>
        <v>Cole Aldrich</v>
      </c>
      <c r="Q13" s="427" t="str">
        <f>IFERROR(VLOOKUP(P13,Player_Per_Game[[Player]:[Pos]],2,FALSE),"")</f>
        <v>C</v>
      </c>
      <c r="R13" s="427">
        <f>IFERROR(VLOOKUP($P13,Player_Per_Game[[Player]:[PS/G]],9,FALSE),"")</f>
        <v>0.6</v>
      </c>
      <c r="S13" s="427">
        <f>IFERROR(VLOOKUP(P13,Player_Totals[[Player]:[PTS]],9,FALSE),"")</f>
        <v>11</v>
      </c>
      <c r="T13" s="492">
        <f>IFERROR(VLOOKUP($P13,Player_Per_Game[[Player]:[PS/G]],10,FALSE),"")</f>
        <v>0.27300000000000002</v>
      </c>
      <c r="U13" s="427">
        <f>IFERROR(VLOOKUP($P13,Player_Per_Game[[Player]:[PS/G]],12,FALSE),"")</f>
        <v>0</v>
      </c>
      <c r="V13" s="427">
        <f>IFERROR(VLOOKUP(P13,Player_Totals[[Player]:[PTS]],12,FALSE),"")</f>
        <v>0</v>
      </c>
      <c r="W13" s="492">
        <f>IFERROR(VLOOKUP($P13,Player_Per_Game[[Player]:[PS/G]],13,FALSE),"")</f>
        <v>0</v>
      </c>
      <c r="X13" s="427">
        <f>IFERROR(VLOOKUP($P13,Player_Per_Game[[Player]:[PS/G]],15,FALSE),"")</f>
        <v>0.6</v>
      </c>
      <c r="Y13" s="427">
        <f>IFERROR(VLOOKUP(P13,Player_Totals[[Player]:[PTS]],15,FALSE),"")</f>
        <v>11</v>
      </c>
      <c r="Z13" s="492">
        <f>IFERROR(VLOOKUP($P13,Player_Per_Game[[Player]:[PS/G]],16,FALSE),"")</f>
        <v>0.27300000000000002</v>
      </c>
      <c r="AA13" s="427">
        <f>IFERROR(VLOOKUP($P13,Player_Per_Game[[Player]:[PS/G]],19,FALSE),"")</f>
        <v>0.2</v>
      </c>
      <c r="AB13" s="427">
        <f>IFERROR(VLOOKUP(P13,Player_Totals[[Player]:[PTS]],19,FALSE),"")</f>
        <v>4</v>
      </c>
      <c r="AC13" s="492">
        <f>IFERROR(VLOOKUP($P13,Player_Per_Game[[Player]:[PS/G]],20,FALSE),"")</f>
        <v>0.5</v>
      </c>
      <c r="AD13" s="60"/>
      <c r="AE13" s="496">
        <f>IFERROR(VLOOKUP(P13,Player_Per_Game[[Player]:[PS/G]],29,FALSE),"")</f>
        <v>0.5</v>
      </c>
      <c r="AG13" s="507">
        <f>IFERROR(VLOOKUP(P13,Player_Advanced[[Player]:[DBPM]],24,FALSE),"")</f>
        <v>-0.3</v>
      </c>
    </row>
    <row r="14" spans="1:34">
      <c r="I14" s="626" t="s">
        <v>266</v>
      </c>
      <c r="J14" s="494">
        <f>VLOOKUP($A$1,'Team Shooting Raw'!$A$5:$AC$34,15,FALSE)</f>
        <v>0.69499999999999995</v>
      </c>
      <c r="K14" s="494">
        <f>VLOOKUP($A$1,'Team Shooting Raw'!$A$5:$AC$34,16,FALSE)</f>
        <v>0.441</v>
      </c>
      <c r="L14" s="494">
        <f>VLOOKUP($A$1,'Team Shooting Raw'!$A$5:$AC$34,17,FALSE)</f>
        <v>0.433</v>
      </c>
      <c r="M14" s="494">
        <f>VLOOKUP($A$1,'Team Shooting Raw'!$A$5:$AC$34,18,FALSE)</f>
        <v>0.41199999999999998</v>
      </c>
      <c r="N14" s="604">
        <f>VLOOKUP($A$1,'Team Shooting Raw'!$A$5:$AC$34,19,FALSE)</f>
        <v>0.35899999999999999</v>
      </c>
      <c r="P14" s="491" t="str">
        <f t="array" ref="P14">IF(ROWS(P$7:P14)&gt;$Q$3,"",INDEX('Player Salaries'!B$5:B$672,SMALL(IF('Player Salaries'!$C$5:$C$672=$P$3,ROW('Player Salaries'!$C$5:$C$672)-ROW('Player Salaries'!$E$5)+1),ROWS(P$7:P14))))</f>
        <v>Karl-Anthony Towns</v>
      </c>
      <c r="Q14" s="427" t="str">
        <f>IFERROR(VLOOKUP(P14,Player_Per_Game[[Player]:[Pos]],2,FALSE),"")</f>
        <v>C</v>
      </c>
      <c r="R14" s="427">
        <f>IFERROR(VLOOKUP($P14,Player_Per_Game[[Player]:[PS/G]],9,FALSE),"")</f>
        <v>13.8</v>
      </c>
      <c r="S14" s="427">
        <f>IFERROR(VLOOKUP(P14,Player_Totals[[Player]:[PTS]],9,FALSE),"")</f>
        <v>983</v>
      </c>
      <c r="T14" s="492">
        <f>IFERROR(VLOOKUP($P14,Player_Per_Game[[Player]:[PS/G]],10,FALSE),"")</f>
        <v>0.54900000000000004</v>
      </c>
      <c r="U14" s="427">
        <f>IFERROR(VLOOKUP($P14,Player_Per_Game[[Player]:[PS/G]],12,FALSE),"")</f>
        <v>3.3</v>
      </c>
      <c r="V14" s="427">
        <f>IFERROR(VLOOKUP(P14,Player_Totals[[Player]:[PTS]],12,FALSE),"")</f>
        <v>237</v>
      </c>
      <c r="W14" s="492">
        <f>IFERROR(VLOOKUP($P14,Player_Per_Game[[Player]:[PS/G]],13,FALSE),"")</f>
        <v>0.42599999999999999</v>
      </c>
      <c r="X14" s="427">
        <f>IFERROR(VLOOKUP($P14,Player_Per_Game[[Player]:[PS/G]],15,FALSE),"")</f>
        <v>10.5</v>
      </c>
      <c r="Y14" s="427">
        <f>IFERROR(VLOOKUP(P14,Player_Totals[[Player]:[PTS]],15,FALSE),"")</f>
        <v>746</v>
      </c>
      <c r="Z14" s="492">
        <f>IFERROR(VLOOKUP($P14,Player_Per_Game[[Player]:[PS/G]],16,FALSE),"")</f>
        <v>0.58799999999999997</v>
      </c>
      <c r="AA14" s="427">
        <f>IFERROR(VLOOKUP($P14,Player_Per_Game[[Player]:[PS/G]],19,FALSE),"")</f>
        <v>4.8</v>
      </c>
      <c r="AB14" s="427">
        <f>IFERROR(VLOOKUP(P14,Player_Totals[[Player]:[PTS]],19,FALSE),"")</f>
        <v>340</v>
      </c>
      <c r="AC14" s="492">
        <f>IFERROR(VLOOKUP($P14,Player_Per_Game[[Player]:[PS/G]],20,FALSE),"")</f>
        <v>0.85599999999999998</v>
      </c>
      <c r="AD14" s="60"/>
      <c r="AE14" s="496">
        <f>IFERROR(VLOOKUP(P14,Player_Per_Game[[Player]:[PS/G]],29,FALSE),"")</f>
        <v>20.7</v>
      </c>
      <c r="AG14" s="507">
        <f>IFERROR(VLOOKUP(P14,Player_Advanced[[Player]:[DBPM]],24,FALSE),"")</f>
        <v>1</v>
      </c>
    </row>
    <row r="15" spans="1:34">
      <c r="I15" s="627"/>
      <c r="J15" s="606">
        <f>VLOOKUP($A$1,'Team Shooting Raw'!$A$5:$AC$34,14,FALSE)</f>
        <v>0.52200000000000002</v>
      </c>
      <c r="K15" s="607"/>
      <c r="L15" s="607"/>
      <c r="M15" s="608"/>
      <c r="N15" s="605"/>
      <c r="P15" s="491" t="str">
        <f t="array" ref="P15">IF(ROWS(P$7:P15)&gt;$Q$3,"",INDEX('Player Salaries'!B$5:B$672,SMALL(IF('Player Salaries'!$C$5:$C$672=$P$3,ROW('Player Salaries'!$C$5:$C$672)-ROW('Player Salaries'!$E$5)+1),ROWS(P$7:P15))))</f>
        <v>Jamal Crawford</v>
      </c>
      <c r="Q15" s="427" t="str">
        <f>IFERROR(VLOOKUP(P15,Player_Per_Game[[Player]:[Pos]],2,FALSE),"")</f>
        <v>SG</v>
      </c>
      <c r="R15" s="427">
        <f>IFERROR(VLOOKUP($P15,Player_Per_Game[[Player]:[PS/G]],9,FALSE),"")</f>
        <v>9.1</v>
      </c>
      <c r="S15" s="427">
        <f>IFERROR(VLOOKUP(P15,Player_Totals[[Player]:[PTS]],9,FALSE),"")</f>
        <v>629</v>
      </c>
      <c r="T15" s="492">
        <f>IFERROR(VLOOKUP($P15,Player_Per_Game[[Player]:[PS/G]],10,FALSE),"")</f>
        <v>0.42</v>
      </c>
      <c r="U15" s="427">
        <f>IFERROR(VLOOKUP($P15,Player_Per_Game[[Player]:[PS/G]],12,FALSE),"")</f>
        <v>3.9</v>
      </c>
      <c r="V15" s="427">
        <f>IFERROR(VLOOKUP(P15,Player_Totals[[Player]:[PTS]],12,FALSE),"")</f>
        <v>268</v>
      </c>
      <c r="W15" s="492">
        <f>IFERROR(VLOOKUP($P15,Player_Per_Game[[Player]:[PS/G]],13,FALSE),"")</f>
        <v>0.34</v>
      </c>
      <c r="X15" s="427">
        <f>IFERROR(VLOOKUP($P15,Player_Per_Game[[Player]:[PS/G]],15,FALSE),"")</f>
        <v>5.2</v>
      </c>
      <c r="Y15" s="427">
        <f>IFERROR(VLOOKUP(P15,Player_Totals[[Player]:[PTS]],15,FALSE),"")</f>
        <v>361</v>
      </c>
      <c r="Z15" s="492">
        <f>IFERROR(VLOOKUP($P15,Player_Per_Game[[Player]:[PS/G]],16,FALSE),"")</f>
        <v>0.47899999999999998</v>
      </c>
      <c r="AA15" s="427">
        <f>IFERROR(VLOOKUP($P15,Player_Per_Game[[Player]:[PS/G]],19,FALSE),"")</f>
        <v>1.4</v>
      </c>
      <c r="AB15" s="427">
        <f>IFERROR(VLOOKUP(P15,Player_Totals[[Player]:[PTS]],19,FALSE),"")</f>
        <v>98</v>
      </c>
      <c r="AC15" s="492">
        <f>IFERROR(VLOOKUP($P15,Player_Per_Game[[Player]:[PS/G]],20,FALSE),"")</f>
        <v>0.89800000000000002</v>
      </c>
      <c r="AD15" s="60"/>
      <c r="AE15" s="496">
        <f>IFERROR(VLOOKUP(P15,Player_Per_Game[[Player]:[PS/G]],29,FALSE),"")</f>
        <v>10.199999999999999</v>
      </c>
      <c r="AG15" s="507">
        <f>IFERROR(VLOOKUP(P15,Player_Advanced[[Player]:[DBPM]],24,FALSE),"")</f>
        <v>-4.3</v>
      </c>
    </row>
    <row r="16" spans="1:34" ht="14.25" customHeight="1">
      <c r="I16" s="642" t="s">
        <v>994</v>
      </c>
      <c r="J16" s="642"/>
      <c r="K16" s="642"/>
      <c r="L16" s="642"/>
      <c r="M16" s="642"/>
      <c r="N16" s="642"/>
      <c r="P16" s="491" t="str">
        <f t="array" ref="P16">IF(ROWS(P$7:P16)&gt;$Q$3,"",INDEX('Player Salaries'!B$5:B$672,SMALL(IF('Player Salaries'!$C$5:$C$672=$P$3,ROW('Player Salaries'!$C$5:$C$672)-ROW('Player Salaries'!$E$5)+1),ROWS(P$7:P16))))</f>
        <v>Nemanja Bjelica</v>
      </c>
      <c r="Q16" s="427" t="str">
        <f>IFERROR(VLOOKUP(P16,Player_Per_Game[[Player]:[Pos]],2,FALSE),"")</f>
        <v>PF</v>
      </c>
      <c r="R16" s="427">
        <f>IFERROR(VLOOKUP($P16,Player_Per_Game[[Player]:[PS/G]],9,FALSE),"")</f>
        <v>5.3</v>
      </c>
      <c r="S16" s="427">
        <f>IFERROR(VLOOKUP(P16,Player_Totals[[Player]:[PTS]],9,FALSE),"")</f>
        <v>298</v>
      </c>
      <c r="T16" s="492">
        <f>IFERROR(VLOOKUP($P16,Player_Per_Game[[Player]:[PS/G]],10,FALSE),"")</f>
        <v>0.49</v>
      </c>
      <c r="U16" s="427">
        <f>IFERROR(VLOOKUP($P16,Player_Per_Game[[Player]:[PS/G]],12,FALSE),"")</f>
        <v>2.6</v>
      </c>
      <c r="V16" s="427">
        <f>IFERROR(VLOOKUP(P16,Player_Totals[[Player]:[PTS]],12,FALSE),"")</f>
        <v>145</v>
      </c>
      <c r="W16" s="492">
        <f>IFERROR(VLOOKUP($P16,Player_Per_Game[[Player]:[PS/G]],13,FALSE),"")</f>
        <v>0.441</v>
      </c>
      <c r="X16" s="427">
        <f>IFERROR(VLOOKUP($P16,Player_Per_Game[[Player]:[PS/G]],15,FALSE),"")</f>
        <v>2.7</v>
      </c>
      <c r="Y16" s="427">
        <f>IFERROR(VLOOKUP(P16,Player_Totals[[Player]:[PTS]],15,FALSE),"")</f>
        <v>153</v>
      </c>
      <c r="Z16" s="492">
        <f>IFERROR(VLOOKUP($P16,Player_Per_Game[[Player]:[PS/G]],16,FALSE),"")</f>
        <v>0.53600000000000003</v>
      </c>
      <c r="AA16" s="427">
        <f>IFERROR(VLOOKUP($P16,Player_Per_Game[[Player]:[PS/G]],19,FALSE),"")</f>
        <v>0.7</v>
      </c>
      <c r="AB16" s="427">
        <f>IFERROR(VLOOKUP(P16,Player_Totals[[Player]:[PTS]],19,FALSE),"")</f>
        <v>39</v>
      </c>
      <c r="AC16" s="492">
        <f>IFERROR(VLOOKUP($P16,Player_Per_Game[[Player]:[PS/G]],20,FALSE),"")</f>
        <v>0.82099999999999995</v>
      </c>
      <c r="AD16" s="60"/>
      <c r="AE16" s="496">
        <f>IFERROR(VLOOKUP(P16,Player_Per_Game[[Player]:[PS/G]],29,FALSE),"")</f>
        <v>6.9</v>
      </c>
      <c r="AG16" s="507">
        <f>IFERROR(VLOOKUP(P16,Player_Advanced[[Player]:[DBPM]],24,FALSE),"")</f>
        <v>-0.4</v>
      </c>
      <c r="AH16" s="219"/>
    </row>
    <row r="17" spans="1:34">
      <c r="I17" s="149"/>
      <c r="J17" s="611" t="s">
        <v>996</v>
      </c>
      <c r="K17" s="611"/>
      <c r="L17" s="611"/>
      <c r="M17" s="611"/>
      <c r="N17" s="612"/>
      <c r="P17" s="491" t="str">
        <f t="array" ref="P17">IF(ROWS(P$7:P17)&gt;$Q$3,"",INDEX('Player Salaries'!B$5:B$672,SMALL(IF('Player Salaries'!$C$5:$C$672=$P$3,ROW('Player Salaries'!$C$5:$C$672)-ROW('Player Salaries'!$E$5)+1),ROWS(P$7:P17))))</f>
        <v>Justin Patton</v>
      </c>
      <c r="Q17" s="427" t="str">
        <f>IFERROR(VLOOKUP(P17,Player_Per_Game[[Player]:[Pos]],2,FALSE),"")</f>
        <v/>
      </c>
      <c r="R17" s="427" t="str">
        <f>IFERROR(VLOOKUP($P17,Player_Per_Game[[Player]:[PS/G]],9,FALSE),"")</f>
        <v/>
      </c>
      <c r="S17" s="427" t="str">
        <f>IFERROR(VLOOKUP(P17,Player_Totals[[Player]:[PTS]],9,FALSE),"")</f>
        <v/>
      </c>
      <c r="T17" s="492" t="str">
        <f>IFERROR(VLOOKUP($P17,Player_Per_Game[[Player]:[PS/G]],10,FALSE),"")</f>
        <v/>
      </c>
      <c r="U17" s="427" t="str">
        <f>IFERROR(VLOOKUP($P17,Player_Per_Game[[Player]:[PS/G]],12,FALSE),"")</f>
        <v/>
      </c>
      <c r="V17" s="427" t="str">
        <f>IFERROR(VLOOKUP(P17,Player_Totals[[Player]:[PTS]],12,FALSE),"")</f>
        <v/>
      </c>
      <c r="W17" s="492" t="str">
        <f>IFERROR(VLOOKUP($P17,Player_Per_Game[[Player]:[PS/G]],13,FALSE),"")</f>
        <v/>
      </c>
      <c r="X17" s="427" t="str">
        <f>IFERROR(VLOOKUP($P17,Player_Per_Game[[Player]:[PS/G]],15,FALSE),"")</f>
        <v/>
      </c>
      <c r="Y17" s="427" t="str">
        <f>IFERROR(VLOOKUP(P17,Player_Totals[[Player]:[PTS]],15,FALSE),"")</f>
        <v/>
      </c>
      <c r="Z17" s="492" t="str">
        <f>IFERROR(VLOOKUP($P17,Player_Per_Game[[Player]:[PS/G]],16,FALSE),"")</f>
        <v/>
      </c>
      <c r="AA17" s="427" t="str">
        <f>IFERROR(VLOOKUP($P17,Player_Per_Game[[Player]:[PS/G]],19,FALSE),"")</f>
        <v/>
      </c>
      <c r="AB17" s="427" t="str">
        <f>IFERROR(VLOOKUP(P17,Player_Totals[[Player]:[PTS]],19,FALSE),"")</f>
        <v/>
      </c>
      <c r="AC17" s="492" t="str">
        <f>IFERROR(VLOOKUP($P17,Player_Per_Game[[Player]:[PS/G]],20,FALSE),"")</f>
        <v/>
      </c>
      <c r="AD17" s="60"/>
      <c r="AE17" s="496" t="str">
        <f>IFERROR(VLOOKUP(P17,Player_Per_Game[[Player]:[PS/G]],29,FALSE),"")</f>
        <v/>
      </c>
      <c r="AG17" s="507" t="str">
        <f>IFERROR(VLOOKUP(P17,Player_Advanced[[Player]:[DBPM]],24,FALSE),"")</f>
        <v/>
      </c>
      <c r="AH17" s="219"/>
    </row>
    <row r="18" spans="1:34">
      <c r="I18" s="148"/>
      <c r="J18" s="111" t="s">
        <v>987</v>
      </c>
      <c r="K18" s="112" t="s">
        <v>991</v>
      </c>
      <c r="L18" s="113" t="s">
        <v>992</v>
      </c>
      <c r="M18" s="114" t="s">
        <v>990</v>
      </c>
      <c r="N18" s="115" t="s">
        <v>267</v>
      </c>
      <c r="P18" s="491" t="str">
        <f t="array" ref="P18">IF(ROWS(P$7:P18)&gt;$Q$3,"",INDEX('Player Salaries'!B$5:B$672,SMALL(IF('Player Salaries'!$C$5:$C$672=$P$3,ROW('Player Salaries'!$C$5:$C$672)-ROW('Player Salaries'!$E$5)+1),ROWS(P$7:P18))))</f>
        <v>Aaron Brooks</v>
      </c>
      <c r="Q18" s="427" t="str">
        <f>IFERROR(VLOOKUP(P18,Player_Per_Game[[Player]:[Pos]],2,FALSE),"")</f>
        <v>PG</v>
      </c>
      <c r="R18" s="427">
        <f>IFERROR(VLOOKUP($P18,Player_Per_Game[[Player]:[PS/G]],9,FALSE),"")</f>
        <v>1.8</v>
      </c>
      <c r="S18" s="427">
        <f>IFERROR(VLOOKUP(P18,Player_Totals[[Player]:[PTS]],9,FALSE),"")</f>
        <v>51</v>
      </c>
      <c r="T18" s="492">
        <f>IFERROR(VLOOKUP($P18,Player_Per_Game[[Player]:[PS/G]],10,FALSE),"")</f>
        <v>0.43099999999999999</v>
      </c>
      <c r="U18" s="427">
        <f>IFERROR(VLOOKUP($P18,Player_Per_Game[[Player]:[PS/G]],12,FALSE),"")</f>
        <v>0.7</v>
      </c>
      <c r="V18" s="427">
        <f>IFERROR(VLOOKUP(P18,Player_Totals[[Player]:[PTS]],12,FALSE),"")</f>
        <v>21</v>
      </c>
      <c r="W18" s="492">
        <f>IFERROR(VLOOKUP($P18,Player_Per_Game[[Player]:[PS/G]],13,FALSE),"")</f>
        <v>0.33300000000000002</v>
      </c>
      <c r="X18" s="427">
        <f>IFERROR(VLOOKUP($P18,Player_Per_Game[[Player]:[PS/G]],15,FALSE),"")</f>
        <v>1</v>
      </c>
      <c r="Y18" s="427">
        <f>IFERROR(VLOOKUP(P18,Player_Totals[[Player]:[PTS]],15,FALSE),"")</f>
        <v>30</v>
      </c>
      <c r="Z18" s="492">
        <f>IFERROR(VLOOKUP($P18,Player_Per_Game[[Player]:[PS/G]],16,FALSE),"")</f>
        <v>0.5</v>
      </c>
      <c r="AA18" s="427">
        <f>IFERROR(VLOOKUP($P18,Player_Per_Game[[Player]:[PS/G]],19,FALSE),"")</f>
        <v>0.2</v>
      </c>
      <c r="AB18" s="427">
        <f>IFERROR(VLOOKUP(P18,Player_Totals[[Player]:[PTS]],19,FALSE),"")</f>
        <v>6</v>
      </c>
      <c r="AC18" s="492">
        <f>IFERROR(VLOOKUP($P18,Player_Per_Game[[Player]:[PS/G]],20,FALSE),"")</f>
        <v>0.66700000000000004</v>
      </c>
      <c r="AD18" s="60"/>
      <c r="AE18" s="496">
        <f>IFERROR(VLOOKUP(P18,Player_Per_Game[[Player]:[PS/G]],29,FALSE),"")</f>
        <v>1.9</v>
      </c>
      <c r="AG18" s="507">
        <f>IFERROR(VLOOKUP(P18,Player_Advanced[[Player]:[DBPM]],24,FALSE),"")</f>
        <v>-3.1</v>
      </c>
    </row>
    <row r="19" spans="1:34">
      <c r="I19" s="626" t="s">
        <v>993</v>
      </c>
      <c r="J19" s="493">
        <f>AVERAGE(Team_Shooting[% of FGA by Distance 0-3])</f>
        <v>0.2809666666666667</v>
      </c>
      <c r="K19" s="493">
        <f>AVERAGE(Team_Shooting[% of FGA by Distance 3-10])</f>
        <v>0.15456666666666669</v>
      </c>
      <c r="L19" s="493">
        <f>AVERAGE(Team_Shooting[% of FGA by Distance 10-16])</f>
        <v>0.10640000000000002</v>
      </c>
      <c r="M19" s="493">
        <f>AVERAGE(Team_Shooting[% of FGA by Distance 16 &lt;3])</f>
        <v>0.12086666666666666</v>
      </c>
      <c r="N19" s="604">
        <f>AVERAGE(Team_Shooting[% of FGA by Distance 3P])</f>
        <v>0.33640000000000003</v>
      </c>
      <c r="P19" s="491" t="str">
        <f t="array" ref="P19">IF(ROWS(P$7:P19)&gt;$Q$3,"",INDEX('Player Salaries'!B$5:B$672,SMALL(IF('Player Salaries'!$C$5:$C$672=$P$3,ROW('Player Salaries'!$C$5:$C$672)-ROW('Player Salaries'!$E$5)+1),ROWS(P$7:P19))))</f>
        <v>Shabazz Muhammad</v>
      </c>
      <c r="Q19" s="427" t="str">
        <f>IFERROR(VLOOKUP(P19,Player_Per_Game[[Player]:[Pos]],2,FALSE),"")</f>
        <v>SF-SG</v>
      </c>
      <c r="R19" s="427">
        <f>IFERROR(VLOOKUP($P19,Player_Per_Game[[Player]:[PS/G]],9,FALSE),"")</f>
        <v>3.7</v>
      </c>
      <c r="S19" s="427">
        <f>IFERROR(VLOOKUP(P19,Player_Totals[[Player]:[PTS]],9,FALSE),"")</f>
        <v>130</v>
      </c>
      <c r="T19" s="492">
        <f>IFERROR(VLOOKUP($P19,Player_Per_Game[[Player]:[PS/G]],10,FALSE),"")</f>
        <v>0.4</v>
      </c>
      <c r="U19" s="427">
        <f>IFERROR(VLOOKUP($P19,Player_Per_Game[[Player]:[PS/G]],12,FALSE),"")</f>
        <v>0.5</v>
      </c>
      <c r="V19" s="427">
        <f>IFERROR(VLOOKUP(P19,Player_Totals[[Player]:[PTS]],12,FALSE),"")</f>
        <v>19</v>
      </c>
      <c r="W19" s="492">
        <f>IFERROR(VLOOKUP($P19,Player_Per_Game[[Player]:[PS/G]],13,FALSE),"")</f>
        <v>0.21099999999999999</v>
      </c>
      <c r="X19" s="427">
        <f>IFERROR(VLOOKUP($P19,Player_Per_Game[[Player]:[PS/G]],15,FALSE),"")</f>
        <v>3.2</v>
      </c>
      <c r="Y19" s="427">
        <f>IFERROR(VLOOKUP(P19,Player_Totals[[Player]:[PTS]],15,FALSE),"")</f>
        <v>111</v>
      </c>
      <c r="Z19" s="492">
        <f>IFERROR(VLOOKUP($P19,Player_Per_Game[[Player]:[PS/G]],16,FALSE),"")</f>
        <v>0.432</v>
      </c>
      <c r="AA19" s="427">
        <f>IFERROR(VLOOKUP($P19,Player_Per_Game[[Player]:[PS/G]],19,FALSE),"")</f>
        <v>1</v>
      </c>
      <c r="AB19" s="427">
        <f>IFERROR(VLOOKUP(P19,Player_Totals[[Player]:[PTS]],19,FALSE),"")</f>
        <v>34</v>
      </c>
      <c r="AC19" s="492">
        <f>IFERROR(VLOOKUP($P19,Player_Per_Game[[Player]:[PS/G]],20,FALSE),"")</f>
        <v>0.70599999999999996</v>
      </c>
      <c r="AD19" s="60"/>
      <c r="AE19" s="496">
        <f>IFERROR(VLOOKUP(P19,Player_Per_Game[[Player]:[PS/G]],29,FALSE),"")</f>
        <v>3.8</v>
      </c>
      <c r="AG19" s="507">
        <f>IFERROR(VLOOKUP(P19,Player_Advanced[[Player]:[DBPM]],24,FALSE),"")</f>
        <v>-4.3</v>
      </c>
    </row>
    <row r="20" spans="1:34">
      <c r="I20" s="627"/>
      <c r="J20" s="601">
        <f>SUM(J19,K19,L19,M19)</f>
        <v>0.66280000000000006</v>
      </c>
      <c r="K20" s="602"/>
      <c r="L20" s="602"/>
      <c r="M20" s="603"/>
      <c r="N20" s="605"/>
      <c r="P20" s="491" t="str">
        <f t="array" ref="P20">IF(ROWS(P$7:P20)&gt;$Q$3,"",INDEX('Player Salaries'!B$5:B$672,SMALL(IF('Player Salaries'!$C$5:$C$672=$P$3,ROW('Player Salaries'!$C$5:$C$672)-ROW('Player Salaries'!$E$5)+1),ROWS(P$7:P20))))</f>
        <v>Tyus Jones</v>
      </c>
      <c r="Q20" s="427" t="str">
        <f>IFERROR(VLOOKUP(P20,Player_Per_Game[[Player]:[Pos]],2,FALSE),"")</f>
        <v>PG</v>
      </c>
      <c r="R20" s="427">
        <f>IFERROR(VLOOKUP($P20,Player_Per_Game[[Player]:[PS/G]],9,FALSE),"")</f>
        <v>4</v>
      </c>
      <c r="S20" s="427">
        <f>IFERROR(VLOOKUP(P20,Player_Totals[[Player]:[PTS]],9,FALSE),"")</f>
        <v>281</v>
      </c>
      <c r="T20" s="492">
        <f>IFERROR(VLOOKUP($P20,Player_Per_Game[[Player]:[PS/G]],10,FALSE),"")</f>
        <v>0.46600000000000003</v>
      </c>
      <c r="U20" s="427">
        <f>IFERROR(VLOOKUP($P20,Player_Per_Game[[Player]:[PS/G]],12,FALSE),"")</f>
        <v>1.5</v>
      </c>
      <c r="V20" s="427">
        <f>IFERROR(VLOOKUP(P20,Player_Totals[[Player]:[PTS]],12,FALSE),"")</f>
        <v>106</v>
      </c>
      <c r="W20" s="492">
        <f>IFERROR(VLOOKUP($P20,Player_Per_Game[[Player]:[PS/G]],13,FALSE),"")</f>
        <v>0.34899999999999998</v>
      </c>
      <c r="X20" s="427">
        <f>IFERROR(VLOOKUP($P20,Player_Per_Game[[Player]:[PS/G]],15,FALSE),"")</f>
        <v>2.5</v>
      </c>
      <c r="Y20" s="427">
        <f>IFERROR(VLOOKUP(P20,Player_Totals[[Player]:[PTS]],15,FALSE),"")</f>
        <v>175</v>
      </c>
      <c r="Z20" s="492">
        <f>IFERROR(VLOOKUP($P20,Player_Per_Game[[Player]:[PS/G]],16,FALSE),"")</f>
        <v>0.53700000000000003</v>
      </c>
      <c r="AA20" s="427">
        <f>IFERROR(VLOOKUP($P20,Player_Per_Game[[Player]:[PS/G]],19,FALSE),"")</f>
        <v>0.9</v>
      </c>
      <c r="AB20" s="427">
        <f>IFERROR(VLOOKUP(P20,Player_Totals[[Player]:[PTS]],19,FALSE),"")</f>
        <v>64</v>
      </c>
      <c r="AC20" s="492">
        <f>IFERROR(VLOOKUP($P20,Player_Per_Game[[Player]:[PS/G]],20,FALSE),"")</f>
        <v>0.89100000000000001</v>
      </c>
      <c r="AD20" s="60"/>
      <c r="AE20" s="496">
        <f>IFERROR(VLOOKUP(P20,Player_Per_Game[[Player]:[PS/G]],29,FALSE),"")</f>
        <v>5</v>
      </c>
      <c r="AG20" s="507">
        <f>IFERROR(VLOOKUP(P20,Player_Advanced[[Player]:[DBPM]],24,FALSE),"")</f>
        <v>-0.4</v>
      </c>
    </row>
    <row r="21" spans="1:34">
      <c r="I21" s="626" t="s">
        <v>266</v>
      </c>
      <c r="J21" s="494">
        <f>AVERAGE(Team_Shooting[FG% by Distance 0-3])</f>
        <v>0.65803333333333336</v>
      </c>
      <c r="K21" s="494">
        <f>AVERAGE(Team_Shooting[FG% by Distance 3-10])</f>
        <v>0.39083333333333331</v>
      </c>
      <c r="L21" s="494">
        <f>AVERAGE(Team_Shooting[FG% by Distance 10-16])</f>
        <v>0.41449999999999998</v>
      </c>
      <c r="M21" s="494">
        <f>AVERAGE(Team_Shooting[FG% by Distance 16 &lt;3])</f>
        <v>0.40099999999999997</v>
      </c>
      <c r="N21" s="604">
        <f>AVERAGE(Team_Shooting[FG% by Distance 3P])</f>
        <v>0.36269999999999997</v>
      </c>
      <c r="P21" s="491" t="str">
        <f t="array" ref="P21">IF(ROWS(P$7:P21)&gt;$Q$3,"",INDEX('Player Salaries'!B$5:B$672,SMALL(IF('Player Salaries'!$C$5:$C$672=$P$3,ROW('Player Salaries'!$C$5:$C$672)-ROW('Player Salaries'!$E$5)+1),ROWS(P$7:P21))))</f>
        <v>Kevin Martin</v>
      </c>
      <c r="Q21" s="427" t="str">
        <f>IFERROR(VLOOKUP(P21,Player_Per_Game[[Player]:[Pos]],2,FALSE),"")</f>
        <v/>
      </c>
      <c r="R21" s="427" t="str">
        <f>IFERROR(VLOOKUP($P21,Player_Per_Game[[Player]:[PS/G]],9,FALSE),"")</f>
        <v/>
      </c>
      <c r="S21" s="427" t="str">
        <f>IFERROR(VLOOKUP(P21,Player_Totals[[Player]:[PTS]],9,FALSE),"")</f>
        <v/>
      </c>
      <c r="T21" s="492" t="str">
        <f>IFERROR(VLOOKUP($P21,Player_Per_Game[[Player]:[PS/G]],10,FALSE),"")</f>
        <v/>
      </c>
      <c r="U21" s="427" t="str">
        <f>IFERROR(VLOOKUP($P21,Player_Per_Game[[Player]:[PS/G]],12,FALSE),"")</f>
        <v/>
      </c>
      <c r="V21" s="427" t="str">
        <f>IFERROR(VLOOKUP(P21,Player_Totals[[Player]:[PTS]],12,FALSE),"")</f>
        <v/>
      </c>
      <c r="W21" s="492" t="str">
        <f>IFERROR(VLOOKUP($P21,Player_Per_Game[[Player]:[PS/G]],13,FALSE),"")</f>
        <v/>
      </c>
      <c r="X21" s="427" t="str">
        <f>IFERROR(VLOOKUP($P21,Player_Per_Game[[Player]:[PS/G]],15,FALSE),"")</f>
        <v/>
      </c>
      <c r="Y21" s="427" t="str">
        <f>IFERROR(VLOOKUP(P21,Player_Totals[[Player]:[PTS]],15,FALSE),"")</f>
        <v/>
      </c>
      <c r="Z21" s="492" t="str">
        <f>IFERROR(VLOOKUP($P21,Player_Per_Game[[Player]:[PS/G]],16,FALSE),"")</f>
        <v/>
      </c>
      <c r="AA21" s="427" t="str">
        <f>IFERROR(VLOOKUP($P21,Player_Per_Game[[Player]:[PS/G]],19,FALSE),"")</f>
        <v/>
      </c>
      <c r="AB21" s="427" t="str">
        <f>IFERROR(VLOOKUP(P21,Player_Totals[[Player]:[PTS]],19,FALSE),"")</f>
        <v/>
      </c>
      <c r="AC21" s="492" t="str">
        <f>IFERROR(VLOOKUP($P21,Player_Per_Game[[Player]:[PS/G]],20,FALSE),"")</f>
        <v/>
      </c>
      <c r="AD21" s="60"/>
      <c r="AE21" s="496" t="str">
        <f>IFERROR(VLOOKUP(P21,Player_Per_Game[[Player]:[PS/G]],29,FALSE),"")</f>
        <v/>
      </c>
      <c r="AG21" s="507" t="str">
        <f>IFERROR(VLOOKUP(P21,Player_Advanced[[Player]:[DBPM]],24,FALSE),"")</f>
        <v/>
      </c>
      <c r="AH21" s="219"/>
    </row>
    <row r="22" spans="1:34" ht="15" customHeight="1">
      <c r="I22" s="627"/>
      <c r="J22" s="606">
        <f>AVERAGE(Team_Shooting[FG% by Distance 2P])</f>
        <v>0.51086666666666658</v>
      </c>
      <c r="K22" s="607"/>
      <c r="L22" s="607"/>
      <c r="M22" s="608"/>
      <c r="N22" s="605"/>
      <c r="P22" s="491" t="str">
        <f t="array" ref="P22">IF(ROWS(P$7:P22)&gt;$Q$3,"",INDEX('Player Salaries'!B$5:B$672,SMALL(IF('Player Salaries'!$C$5:$C$672=$P$3,ROW('Player Salaries'!$C$5:$C$672)-ROW('Player Salaries'!$E$5)+1),ROWS(P$7:P22))))</f>
        <v>Marcus Georges-Hunt</v>
      </c>
      <c r="Q22" s="427" t="str">
        <f>IFERROR(VLOOKUP(P22,Player_Per_Game[[Player]:[Pos]],2,FALSE),"")</f>
        <v>SG</v>
      </c>
      <c r="R22" s="427">
        <f>IFERROR(VLOOKUP($P22,Player_Per_Game[[Player]:[PS/G]],9,FALSE),"")</f>
        <v>1.1000000000000001</v>
      </c>
      <c r="S22" s="427">
        <f>IFERROR(VLOOKUP(P22,Player_Totals[[Player]:[PTS]],9,FALSE),"")</f>
        <v>42</v>
      </c>
      <c r="T22" s="492">
        <f>IFERROR(VLOOKUP($P22,Player_Per_Game[[Player]:[PS/G]],10,FALSE),"")</f>
        <v>0.40500000000000003</v>
      </c>
      <c r="U22" s="427">
        <f>IFERROR(VLOOKUP($P22,Player_Per_Game[[Player]:[PS/G]],12,FALSE),"")</f>
        <v>0.4</v>
      </c>
      <c r="V22" s="427">
        <f>IFERROR(VLOOKUP(P22,Player_Totals[[Player]:[PTS]],12,FALSE),"")</f>
        <v>14</v>
      </c>
      <c r="W22" s="492">
        <f>IFERROR(VLOOKUP($P22,Player_Per_Game[[Player]:[PS/G]],13,FALSE),"")</f>
        <v>0.214</v>
      </c>
      <c r="X22" s="427">
        <f>IFERROR(VLOOKUP($P22,Player_Per_Game[[Player]:[PS/G]],15,FALSE),"")</f>
        <v>0.7</v>
      </c>
      <c r="Y22" s="427">
        <f>IFERROR(VLOOKUP(P22,Player_Totals[[Player]:[PTS]],15,FALSE),"")</f>
        <v>28</v>
      </c>
      <c r="Z22" s="492">
        <f>IFERROR(VLOOKUP($P22,Player_Per_Game[[Player]:[PS/G]],16,FALSE),"")</f>
        <v>0.5</v>
      </c>
      <c r="AA22" s="427">
        <f>IFERROR(VLOOKUP($P22,Player_Per_Game[[Player]:[PS/G]],19,FALSE),"")</f>
        <v>0.4</v>
      </c>
      <c r="AB22" s="427">
        <f>IFERROR(VLOOKUP(P22,Player_Totals[[Player]:[PTS]],19,FALSE),"")</f>
        <v>16</v>
      </c>
      <c r="AC22" s="492">
        <f>IFERROR(VLOOKUP($P22,Player_Per_Game[[Player]:[PS/G]],20,FALSE),"")</f>
        <v>0.5</v>
      </c>
      <c r="AD22" s="60"/>
      <c r="AE22" s="496">
        <f>IFERROR(VLOOKUP(P22,Player_Per_Game[[Player]:[PS/G]],29,FALSE),"")</f>
        <v>1.2</v>
      </c>
      <c r="AG22" s="507">
        <f>IFERROR(VLOOKUP(P22,Player_Advanced[[Player]:[DBPM]],24,FALSE),"")</f>
        <v>-2.9</v>
      </c>
    </row>
    <row r="23" spans="1:34">
      <c r="P23" s="491" t="str">
        <f t="array" ref="P23">IF(ROWS(P$7:P23)&gt;$Q$3,"",INDEX('Player Salaries'!B$5:B$672,SMALL(IF('Player Salaries'!$C$5:$C$672=$P$3,ROW('Player Salaries'!$C$5:$C$672)-ROW('Player Salaries'!$E$5)+1),ROWS(P$7:P23))))</f>
        <v/>
      </c>
      <c r="Q23" s="427" t="str">
        <f>IFERROR(VLOOKUP(P23,Player_Per_Game[[Player]:[Pos]],2,FALSE),"")</f>
        <v/>
      </c>
      <c r="R23" s="427" t="str">
        <f>IFERROR(VLOOKUP($P23,Player_Per_Game[[Player]:[PS/G]],9,FALSE),"")</f>
        <v/>
      </c>
      <c r="S23" s="427" t="str">
        <f>IFERROR(VLOOKUP(P23,Player_Totals[[Player]:[PTS]],9,FALSE),"")</f>
        <v/>
      </c>
      <c r="T23" s="492" t="str">
        <f>IFERROR(VLOOKUP($P23,Player_Per_Game[[Player]:[PS/G]],10,FALSE),"")</f>
        <v/>
      </c>
      <c r="U23" s="427" t="str">
        <f>IFERROR(VLOOKUP($P23,Player_Per_Game[[Player]:[PS/G]],12,FALSE),"")</f>
        <v/>
      </c>
      <c r="V23" s="427" t="str">
        <f>IFERROR(VLOOKUP(P23,Player_Totals[[Player]:[PTS]],12,FALSE),"")</f>
        <v/>
      </c>
      <c r="W23" s="492" t="str">
        <f>IFERROR(VLOOKUP($P23,Player_Per_Game[[Player]:[PS/G]],13,FALSE),"")</f>
        <v/>
      </c>
      <c r="X23" s="427" t="str">
        <f>IFERROR(VLOOKUP($P23,Player_Per_Game[[Player]:[PS/G]],15,FALSE),"")</f>
        <v/>
      </c>
      <c r="Y23" s="427" t="str">
        <f>IFERROR(VLOOKUP(P23,Player_Totals[[Player]:[PTS]],15,FALSE),"")</f>
        <v/>
      </c>
      <c r="Z23" s="492" t="str">
        <f>IFERROR(VLOOKUP($P23,Player_Per_Game[[Player]:[PS/G]],16,FALSE),"")</f>
        <v/>
      </c>
      <c r="AA23" s="427" t="str">
        <f>IFERROR(VLOOKUP($P23,Player_Per_Game[[Player]:[PS/G]],19,FALSE),"")</f>
        <v/>
      </c>
      <c r="AB23" s="427" t="str">
        <f>IFERROR(VLOOKUP(P23,Player_Totals[[Player]:[PTS]],19,FALSE),"")</f>
        <v/>
      </c>
      <c r="AC23" s="492" t="str">
        <f>IFERROR(VLOOKUP($P23,Player_Per_Game[[Player]:[PS/G]],20,FALSE),"")</f>
        <v/>
      </c>
      <c r="AD23" s="60"/>
      <c r="AE23" s="496" t="str">
        <f>IFERROR(VLOOKUP(P23,Player_Per_Game[[Player]:[PS/G]],29,FALSE),"")</f>
        <v/>
      </c>
      <c r="AG23" s="507" t="str">
        <f>IFERROR(VLOOKUP(P23,Player_Advanced[[Player]:[DBPM]],24,FALSE),"")</f>
        <v/>
      </c>
    </row>
    <row r="24" spans="1:34">
      <c r="P24" s="491" t="str">
        <f t="array" ref="P24">IF(ROWS(P$7:P24)&gt;$Q$3,"",INDEX('Player Salaries'!B$5:B$672,SMALL(IF('Player Salaries'!$C$5:$C$672=$P$3,ROW('Player Salaries'!$C$5:$C$672)-ROW('Player Salaries'!$E$5)+1),ROWS(P$7:P24))))</f>
        <v/>
      </c>
      <c r="Q24" s="427" t="str">
        <f>IFERROR(VLOOKUP(P24,Player_Per_Game[[Player]:[Pos]],2,FALSE),"")</f>
        <v/>
      </c>
      <c r="R24" s="427" t="str">
        <f>IFERROR(VLOOKUP($P24,Player_Per_Game[[Player]:[PS/G]],9,FALSE),"")</f>
        <v/>
      </c>
      <c r="S24" s="427" t="str">
        <f>IFERROR(VLOOKUP(P24,Player_Totals[[Player]:[PTS]],9,FALSE),"")</f>
        <v/>
      </c>
      <c r="T24" s="492" t="str">
        <f>IFERROR(VLOOKUP($P24,Player_Per_Game[[Player]:[PS/G]],10,FALSE),"")</f>
        <v/>
      </c>
      <c r="U24" s="427" t="str">
        <f>IFERROR(VLOOKUP($P24,Player_Per_Game[[Player]:[PS/G]],12,FALSE),"")</f>
        <v/>
      </c>
      <c r="V24" s="427" t="str">
        <f>IFERROR(VLOOKUP(P24,Player_Totals[[Player]:[PTS]],12,FALSE),"")</f>
        <v/>
      </c>
      <c r="W24" s="492" t="str">
        <f>IFERROR(VLOOKUP($P24,Player_Per_Game[[Player]:[PS/G]],13,FALSE),"")</f>
        <v/>
      </c>
      <c r="X24" s="427" t="str">
        <f>IFERROR(VLOOKUP($P24,Player_Per_Game[[Player]:[PS/G]],15,FALSE),"")</f>
        <v/>
      </c>
      <c r="Y24" s="427" t="str">
        <f>IFERROR(VLOOKUP(P24,Player_Totals[[Player]:[PTS]],15,FALSE),"")</f>
        <v/>
      </c>
      <c r="Z24" s="492" t="str">
        <f>IFERROR(VLOOKUP($P24,Player_Per_Game[[Player]:[PS/G]],16,FALSE),"")</f>
        <v/>
      </c>
      <c r="AA24" s="427" t="str">
        <f>IFERROR(VLOOKUP($P24,Player_Per_Game[[Player]:[PS/G]],19,FALSE),"")</f>
        <v/>
      </c>
      <c r="AB24" s="427" t="str">
        <f>IFERROR(VLOOKUP(P24,Player_Totals[[Player]:[PTS]],19,FALSE),"")</f>
        <v/>
      </c>
      <c r="AC24" s="492" t="str">
        <f>IFERROR(VLOOKUP($P24,Player_Per_Game[[Player]:[PS/G]],20,FALSE),"")</f>
        <v/>
      </c>
      <c r="AD24" s="60"/>
      <c r="AE24" s="496" t="str">
        <f>IFERROR(VLOOKUP(P24,Player_Per_Game[[Player]:[PS/G]],29,FALSE),"")</f>
        <v/>
      </c>
      <c r="AG24" s="507" t="str">
        <f>IFERROR(VLOOKUP(P24,Player_Advanced[[Player]:[DBPM]],24,FALSE),"")</f>
        <v/>
      </c>
    </row>
    <row r="25" spans="1:34">
      <c r="P25" s="491" t="str">
        <f t="array" ref="P25">IF(ROWS(P$7:P25)&gt;$Q$3,"",INDEX('Player Salaries'!B$5:B$672,SMALL(IF('Player Salaries'!$C$5:$C$672=$P$3,ROW('Player Salaries'!$C$5:$C$672)-ROW('Player Salaries'!$E$5)+1),ROWS(P$7:P25))))</f>
        <v/>
      </c>
      <c r="Q25" s="427" t="str">
        <f>IFERROR(VLOOKUP(P25,Player_Per_Game[[Player]:[Pos]],2,FALSE),"")</f>
        <v/>
      </c>
      <c r="R25" s="427" t="str">
        <f>IFERROR(VLOOKUP($P25,Player_Per_Game[[Player]:[PS/G]],9,FALSE),"")</f>
        <v/>
      </c>
      <c r="S25" s="427" t="str">
        <f>IFERROR(VLOOKUP(P25,Player_Totals[[Player]:[PTS]],9,FALSE),"")</f>
        <v/>
      </c>
      <c r="T25" s="492" t="str">
        <f>IFERROR(VLOOKUP($P25,Player_Per_Game[[Player]:[PS/G]],10,FALSE),"")</f>
        <v/>
      </c>
      <c r="U25" s="427" t="str">
        <f>IFERROR(VLOOKUP($P25,Player_Per_Game[[Player]:[PS/G]],12,FALSE),"")</f>
        <v/>
      </c>
      <c r="V25" s="427" t="str">
        <f>IFERROR(VLOOKUP(P25,Player_Totals[[Player]:[PTS]],12,FALSE),"")</f>
        <v/>
      </c>
      <c r="W25" s="492" t="str">
        <f>IFERROR(VLOOKUP($P25,Player_Per_Game[[Player]:[PS/G]],13,FALSE),"")</f>
        <v/>
      </c>
      <c r="X25" s="427" t="str">
        <f>IFERROR(VLOOKUP($P25,Player_Per_Game[[Player]:[PS/G]],15,FALSE),"")</f>
        <v/>
      </c>
      <c r="Y25" s="427" t="str">
        <f>IFERROR(VLOOKUP(P25,Player_Totals[[Player]:[PTS]],15,FALSE),"")</f>
        <v/>
      </c>
      <c r="Z25" s="492" t="str">
        <f>IFERROR(VLOOKUP($P25,Player_Per_Game[[Player]:[PS/G]],16,FALSE),"")</f>
        <v/>
      </c>
      <c r="AA25" s="427" t="str">
        <f>IFERROR(VLOOKUP($P25,Player_Per_Game[[Player]:[PS/G]],19,FALSE),"")</f>
        <v/>
      </c>
      <c r="AB25" s="427" t="str">
        <f>IFERROR(VLOOKUP(P25,Player_Totals[[Player]:[PTS]],19,FALSE),"")</f>
        <v/>
      </c>
      <c r="AC25" s="492" t="str">
        <f>IFERROR(VLOOKUP($P25,Player_Per_Game[[Player]:[PS/G]],20,FALSE),"")</f>
        <v/>
      </c>
      <c r="AD25" s="60"/>
      <c r="AE25" s="496" t="str">
        <f>IFERROR(VLOOKUP(P25,Player_Per_Game[[Player]:[PS/G]],29,FALSE),"")</f>
        <v/>
      </c>
      <c r="AG25" s="507" t="str">
        <f>IFERROR(VLOOKUP(P25,Player_Advanced[[Player]:[DBPM]],24,FALSE),"")</f>
        <v/>
      </c>
    </row>
    <row r="26" spans="1:34">
      <c r="P26" s="491" t="str">
        <f t="array" ref="P26">IF(ROWS(P$7:P26)&gt;$Q$3,"",INDEX('Player Salaries'!B$5:B$672,SMALL(IF('Player Salaries'!$C$5:$C$672=$P$3,ROW('Player Salaries'!$C$5:$C$672)-ROW('Player Salaries'!$E$5)+1),ROWS(P$7:P26))))</f>
        <v/>
      </c>
      <c r="Q26" s="427" t="str">
        <f>IFERROR(VLOOKUP(P26,Player_Per_Game[[Player]:[Pos]],2,FALSE),"")</f>
        <v/>
      </c>
      <c r="R26" s="427" t="str">
        <f>IFERROR(VLOOKUP($P26,Player_Per_Game[[Player]:[PS/G]],9,FALSE),"")</f>
        <v/>
      </c>
      <c r="S26" s="427" t="str">
        <f>IFERROR(VLOOKUP(P26,Player_Totals[[Player]:[PTS]],9,FALSE),"")</f>
        <v/>
      </c>
      <c r="T26" s="492" t="str">
        <f>IFERROR(VLOOKUP($P26,Player_Per_Game[[Player]:[PS/G]],10,FALSE),"")</f>
        <v/>
      </c>
      <c r="U26" s="427" t="str">
        <f>IFERROR(VLOOKUP($P26,Player_Per_Game[[Player]:[PS/G]],12,FALSE),"")</f>
        <v/>
      </c>
      <c r="V26" s="427" t="str">
        <f>IFERROR(VLOOKUP(P26,Player_Totals[[Player]:[PTS]],12,FALSE),"")</f>
        <v/>
      </c>
      <c r="W26" s="492" t="str">
        <f>IFERROR(VLOOKUP($P26,Player_Per_Game[[Player]:[PS/G]],13,FALSE),"")</f>
        <v/>
      </c>
      <c r="X26" s="427" t="str">
        <f>IFERROR(VLOOKUP($P26,Player_Per_Game[[Player]:[PS/G]],15,FALSE),"")</f>
        <v/>
      </c>
      <c r="Y26" s="427" t="str">
        <f>IFERROR(VLOOKUP(P26,Player_Totals[[Player]:[PTS]],15,FALSE),"")</f>
        <v/>
      </c>
      <c r="Z26" s="492" t="str">
        <f>IFERROR(VLOOKUP($P26,Player_Per_Game[[Player]:[PS/G]],16,FALSE),"")</f>
        <v/>
      </c>
      <c r="AA26" s="427" t="str">
        <f>IFERROR(VLOOKUP($P26,Player_Per_Game[[Player]:[PS/G]],19,FALSE),"")</f>
        <v/>
      </c>
      <c r="AB26" s="427" t="str">
        <f>IFERROR(VLOOKUP(P26,Player_Totals[[Player]:[PTS]],19,FALSE),"")</f>
        <v/>
      </c>
      <c r="AC26" s="492" t="str">
        <f>IFERROR(VLOOKUP($P26,Player_Per_Game[[Player]:[PS/G]],20,FALSE),"")</f>
        <v/>
      </c>
      <c r="AD26" s="60"/>
      <c r="AE26" s="496" t="str">
        <f>IFERROR(VLOOKUP(P26,Player_Per_Game[[Player]:[PS/G]],29,FALSE),"")</f>
        <v/>
      </c>
      <c r="AG26" s="507" t="str">
        <f>IFERROR(VLOOKUP(P26,Player_Advanced[[Player]:[DBPM]],24,FALSE),"")</f>
        <v/>
      </c>
    </row>
    <row r="27" spans="1:34">
      <c r="C27" s="155"/>
      <c r="P27" s="491" t="str">
        <f t="array" ref="P27">IF(ROWS(P$7:P27)&gt;$Q$3,"",INDEX('Player Salaries'!B$5:B$672,SMALL(IF('Player Salaries'!$C$5:$C$672=$P$3,ROW('Player Salaries'!$C$5:$C$672)-ROW('Player Salaries'!$E$5)+1),ROWS(P$7:P27))))</f>
        <v/>
      </c>
      <c r="Q27" s="427" t="str">
        <f>IFERROR(VLOOKUP(P27,Player_Per_Game[[Player]:[Pos]],2,FALSE),"")</f>
        <v/>
      </c>
      <c r="R27" s="427" t="str">
        <f>IFERROR(VLOOKUP($P27,Player_Per_Game[[Player]:[PS/G]],9,FALSE),"")</f>
        <v/>
      </c>
      <c r="S27" s="427" t="str">
        <f>IFERROR(VLOOKUP(P27,Player_Totals[[Player]:[PTS]],9,FALSE),"")</f>
        <v/>
      </c>
      <c r="T27" s="492" t="str">
        <f>IFERROR(VLOOKUP($P27,Player_Per_Game[[Player]:[PS/G]],10,FALSE),"")</f>
        <v/>
      </c>
      <c r="U27" s="427" t="str">
        <f>IFERROR(VLOOKUP($P27,Player_Per_Game[[Player]:[PS/G]],12,FALSE),"")</f>
        <v/>
      </c>
      <c r="V27" s="427" t="str">
        <f>IFERROR(VLOOKUP(P27,Player_Totals[[Player]:[PTS]],12,FALSE),"")</f>
        <v/>
      </c>
      <c r="W27" s="492" t="str">
        <f>IFERROR(VLOOKUP($P27,Player_Per_Game[[Player]:[PS/G]],13,FALSE),"")</f>
        <v/>
      </c>
      <c r="X27" s="427" t="str">
        <f>IFERROR(VLOOKUP($P27,Player_Per_Game[[Player]:[PS/G]],15,FALSE),"")</f>
        <v/>
      </c>
      <c r="Y27" s="427" t="str">
        <f>IFERROR(VLOOKUP(P27,Player_Totals[[Player]:[PTS]],15,FALSE),"")</f>
        <v/>
      </c>
      <c r="Z27" s="492" t="str">
        <f>IFERROR(VLOOKUP($P27,Player_Per_Game[[Player]:[PS/G]],16,FALSE),"")</f>
        <v/>
      </c>
      <c r="AA27" s="427" t="str">
        <f>IFERROR(VLOOKUP($P27,Player_Per_Game[[Player]:[PS/G]],19,FALSE),"")</f>
        <v/>
      </c>
      <c r="AB27" s="427" t="str">
        <f>IFERROR(VLOOKUP(P27,Player_Totals[[Player]:[PTS]],19,FALSE),"")</f>
        <v/>
      </c>
      <c r="AC27" s="492" t="str">
        <f>IFERROR(VLOOKUP($P27,Player_Per_Game[[Player]:[PS/G]],20,FALSE),"")</f>
        <v/>
      </c>
      <c r="AD27" s="60"/>
      <c r="AE27" s="496" t="str">
        <f>IFERROR(VLOOKUP(P27,Player_Per_Game[[Player]:[PS/G]],29,FALSE),"")</f>
        <v/>
      </c>
      <c r="AG27" s="507" t="str">
        <f>IFERROR(VLOOKUP(P27,Player_Advanced[[Player]:[DBPM]],24,FALSE),"")</f>
        <v/>
      </c>
    </row>
    <row r="28" spans="1:34">
      <c r="B28" s="152"/>
      <c r="C28" s="172"/>
      <c r="D28" s="595" t="str">
        <f>A1</f>
        <v>Minnesota Timberwolves</v>
      </c>
      <c r="E28" s="595"/>
      <c r="F28" s="613" t="s">
        <v>915</v>
      </c>
      <c r="G28" s="614"/>
      <c r="P28" s="491" t="str">
        <f t="array" ref="P28">IF(ROWS(P$7:P28)&gt;$Q$3,"",INDEX('Player Salaries'!B$5:B$672,SMALL(IF('Player Salaries'!$C$5:$C$672=$P$3,ROW('Player Salaries'!$C$5:$C$672)-ROW('Player Salaries'!$E$5)+1),ROWS(P$7:P28))))</f>
        <v/>
      </c>
      <c r="Q28" s="427" t="str">
        <f>IFERROR(VLOOKUP(P28,Player_Per_Game[[Player]:[Pos]],2,FALSE),"")</f>
        <v/>
      </c>
      <c r="R28" s="427" t="str">
        <f>IFERROR(VLOOKUP($P28,Player_Per_Game[[Player]:[PS/G]],9,FALSE),"")</f>
        <v/>
      </c>
      <c r="S28" s="427" t="str">
        <f>IFERROR(VLOOKUP(P28,Player_Totals[[Player]:[PTS]],9,FALSE),"")</f>
        <v/>
      </c>
      <c r="T28" s="492" t="str">
        <f>IFERROR(VLOOKUP($P28,Player_Per_Game[[Player]:[PS/G]],10,FALSE),"")</f>
        <v/>
      </c>
      <c r="U28" s="427" t="str">
        <f>IFERROR(VLOOKUP($P28,Player_Per_Game[[Player]:[PS/G]],12,FALSE),"")</f>
        <v/>
      </c>
      <c r="V28" s="427" t="str">
        <f>IFERROR(VLOOKUP(P28,Player_Totals[[Player]:[PTS]],12,FALSE),"")</f>
        <v/>
      </c>
      <c r="W28" s="492" t="str">
        <f>IFERROR(VLOOKUP($P28,Player_Per_Game[[Player]:[PS/G]],13,FALSE),"")</f>
        <v/>
      </c>
      <c r="X28" s="427" t="str">
        <f>IFERROR(VLOOKUP($P28,Player_Per_Game[[Player]:[PS/G]],15,FALSE),"")</f>
        <v/>
      </c>
      <c r="Y28" s="427" t="str">
        <f>IFERROR(VLOOKUP(P28,Player_Totals[[Player]:[PTS]],15,FALSE),"")</f>
        <v/>
      </c>
      <c r="Z28" s="492" t="str">
        <f>IFERROR(VLOOKUP($P28,Player_Per_Game[[Player]:[PS/G]],16,FALSE),"")</f>
        <v/>
      </c>
      <c r="AA28" s="427" t="str">
        <f>IFERROR(VLOOKUP($P28,Player_Per_Game[[Player]:[PS/G]],19,FALSE),"")</f>
        <v/>
      </c>
      <c r="AB28" s="427" t="str">
        <f>IFERROR(VLOOKUP(P28,Player_Totals[[Player]:[PTS]],19,FALSE),"")</f>
        <v/>
      </c>
      <c r="AC28" s="492" t="str">
        <f>IFERROR(VLOOKUP($P28,Player_Per_Game[[Player]:[PS/G]],20,FALSE),"")</f>
        <v/>
      </c>
      <c r="AD28" s="60"/>
      <c r="AE28" s="497" t="str">
        <f>IFERROR(VLOOKUP(P28,Player_Per_Game[[Player]:[PS/G]],29,FALSE),"")</f>
        <v/>
      </c>
      <c r="AG28" s="507" t="str">
        <f>IFERROR(VLOOKUP(P28,Player_Advanced[[Player]:[DBPM]],24,FALSE),"")</f>
        <v/>
      </c>
    </row>
    <row r="29" spans="1:34">
      <c r="B29" s="152"/>
      <c r="C29" s="172"/>
      <c r="D29" s="596"/>
      <c r="E29" s="596"/>
      <c r="F29" s="615"/>
      <c r="G29" s="616"/>
      <c r="P29" s="491" t="str">
        <f t="array" ref="P29">IF(ROWS(P$7:P29)&gt;$Q$3,"",INDEX('Player Salaries'!B$5:B$672,SMALL(IF('Player Salaries'!$C$5:$C$672=$P$3,ROW('Player Salaries'!$C$5:$C$672)-ROW('Player Salaries'!$E$5)+1),ROWS(P$7:P29))))</f>
        <v/>
      </c>
      <c r="Q29" s="427" t="str">
        <f>IFERROR(VLOOKUP(P29,Player_Per_Game[[Player]:[Pos]],2,FALSE),"")</f>
        <v/>
      </c>
      <c r="R29" s="427" t="str">
        <f>IFERROR(VLOOKUP($P29,Player_Per_Game[[Player]:[PS/G]],9,FALSE),"")</f>
        <v/>
      </c>
      <c r="S29" s="427" t="str">
        <f>IFERROR(VLOOKUP(P29,Player_Totals[[Player]:[PTS]],9,FALSE),"")</f>
        <v/>
      </c>
      <c r="T29" s="492" t="str">
        <f>IFERROR(VLOOKUP($P29,Player_Per_Game[[Player]:[PS/G]],10,FALSE),"")</f>
        <v/>
      </c>
      <c r="U29" s="427" t="str">
        <f>IFERROR(VLOOKUP($P29,Player_Per_Game[[Player]:[PS/G]],12,FALSE),"")</f>
        <v/>
      </c>
      <c r="V29" s="427" t="str">
        <f>IFERROR(VLOOKUP(P29,Player_Totals[[Player]:[PTS]],12,FALSE),"")</f>
        <v/>
      </c>
      <c r="W29" s="492" t="str">
        <f>IFERROR(VLOOKUP($P29,Player_Per_Game[[Player]:[PS/G]],13,FALSE),"")</f>
        <v/>
      </c>
      <c r="X29" s="427" t="str">
        <f>IFERROR(VLOOKUP($P29,Player_Per_Game[[Player]:[PS/G]],15,FALSE),"")</f>
        <v/>
      </c>
      <c r="Y29" s="427" t="str">
        <f>IFERROR(VLOOKUP(P29,Player_Totals[[Player]:[PTS]],15,FALSE),"")</f>
        <v/>
      </c>
      <c r="Z29" s="492" t="str">
        <f>IFERROR(VLOOKUP($P29,Player_Per_Game[[Player]:[PS/G]],16,FALSE),"")</f>
        <v/>
      </c>
      <c r="AA29" s="427" t="str">
        <f>IFERROR(VLOOKUP($P29,Player_Per_Game[[Player]:[PS/G]],19,FALSE),"")</f>
        <v/>
      </c>
      <c r="AB29" s="427" t="str">
        <f>IFERROR(VLOOKUP(P29,Player_Totals[[Player]:[PTS]],19,FALSE),"")</f>
        <v/>
      </c>
      <c r="AC29" s="492" t="str">
        <f>IFERROR(VLOOKUP($P29,Player_Per_Game[[Player]:[PS/G]],20,FALSE),"")</f>
        <v/>
      </c>
      <c r="AD29" s="60"/>
      <c r="AE29" s="497" t="str">
        <f>IFERROR(VLOOKUP(P29,Player_Per_Game[[Player]:[PS/G]],29,FALSE),"")</f>
        <v/>
      </c>
      <c r="AG29" s="507" t="str">
        <f>IFERROR(VLOOKUP(P29,Player_Advanced[[Player]:[DBPM]],24,FALSE),"")</f>
        <v/>
      </c>
    </row>
    <row r="30" spans="1:34">
      <c r="A30" s="60"/>
      <c r="B30" s="152"/>
      <c r="C30" s="156" t="s">
        <v>996</v>
      </c>
      <c r="D30" s="154" t="s">
        <v>993</v>
      </c>
      <c r="E30" s="150" t="s">
        <v>266</v>
      </c>
      <c r="F30" s="150" t="s">
        <v>993</v>
      </c>
      <c r="G30" s="151" t="s">
        <v>266</v>
      </c>
      <c r="P30" s="491" t="str">
        <f t="array" ref="P30">IF(ROWS(P$7:P30)&gt;$Q$3,"",INDEX('Player Salaries'!B$5:B$672,SMALL(IF('Player Salaries'!$C$5:$C$672=$P$3,ROW('Player Salaries'!$C$5:$C$672)-ROW('Player Salaries'!$E$5)+1),ROWS(P$7:P30))))</f>
        <v/>
      </c>
      <c r="Q30" s="427" t="str">
        <f>IFERROR(VLOOKUP(P30,Player_Per_Game[[Player]:[Pos]],2,FALSE),"")</f>
        <v/>
      </c>
      <c r="R30" s="427" t="str">
        <f>IFERROR(VLOOKUP($P30,Player_Per_Game[[Player]:[PS/G]],9,FALSE),"")</f>
        <v/>
      </c>
      <c r="S30" s="427" t="str">
        <f>IFERROR(VLOOKUP(P30,Player_Totals[[Player]:[PTS]],9,FALSE),"")</f>
        <v/>
      </c>
      <c r="T30" s="492" t="str">
        <f>IFERROR(VLOOKUP($P30,Player_Per_Game[[Player]:[PS/G]],10,FALSE),"")</f>
        <v/>
      </c>
      <c r="U30" s="427" t="str">
        <f>IFERROR(VLOOKUP($P30,Player_Per_Game[[Player]:[PS/G]],12,FALSE),"")</f>
        <v/>
      </c>
      <c r="V30" s="427" t="str">
        <f>IFERROR(VLOOKUP(P30,Player_Totals[[Player]:[PTS]],12,FALSE),"")</f>
        <v/>
      </c>
      <c r="W30" s="492" t="str">
        <f>IFERROR(VLOOKUP($P30,Player_Per_Game[[Player]:[PS/G]],13,FALSE),"")</f>
        <v/>
      </c>
      <c r="X30" s="427" t="str">
        <f>IFERROR(VLOOKUP($P30,Player_Per_Game[[Player]:[PS/G]],15,FALSE),"")</f>
        <v/>
      </c>
      <c r="Y30" s="427" t="str">
        <f>IFERROR(VLOOKUP(P30,Player_Totals[[Player]:[PTS]],15,FALSE),"")</f>
        <v/>
      </c>
      <c r="Z30" s="492" t="str">
        <f>IFERROR(VLOOKUP($P30,Player_Per_Game[[Player]:[PS/G]],16,FALSE),"")</f>
        <v/>
      </c>
      <c r="AA30" s="427" t="str">
        <f>IFERROR(VLOOKUP($P30,Player_Per_Game[[Player]:[PS/G]],19,FALSE),"")</f>
        <v/>
      </c>
      <c r="AB30" s="427" t="str">
        <f>IFERROR(VLOOKUP(P30,Player_Totals[[Player]:[PTS]],19,FALSE),"")</f>
        <v/>
      </c>
      <c r="AC30" s="492" t="str">
        <f>IFERROR(VLOOKUP($P30,Player_Per_Game[[Player]:[PS/G]],20,FALSE),"")</f>
        <v/>
      </c>
      <c r="AD30" s="60"/>
      <c r="AE30" s="497" t="str">
        <f>IFERROR(VLOOKUP(P30,Player_Per_Game[[Player]:[PS/G]],29,FALSE),"")</f>
        <v/>
      </c>
      <c r="AG30" s="507" t="str">
        <f>IFERROR(VLOOKUP(P30,Player_Advanced[[Player]:[DBPM]],24,FALSE),"")</f>
        <v/>
      </c>
    </row>
    <row r="31" spans="1:34">
      <c r="A31" s="60"/>
      <c r="B31" s="152"/>
      <c r="C31" s="157" t="s">
        <v>987</v>
      </c>
      <c r="D31" s="498">
        <f>J12</f>
        <v>0.26100000000000001</v>
      </c>
      <c r="E31" s="499">
        <f>J14</f>
        <v>0.69499999999999995</v>
      </c>
      <c r="F31" s="500">
        <f>J19</f>
        <v>0.2809666666666667</v>
      </c>
      <c r="G31" s="501">
        <f>J21</f>
        <v>0.65803333333333336</v>
      </c>
      <c r="O31" s="61"/>
      <c r="AF31" s="372"/>
      <c r="AG31" s="507" t="str">
        <f>IFERROR(VLOOKUP(P31,Player_Advanced[[Player]:[DBPM]],24,FALSE),"")</f>
        <v/>
      </c>
    </row>
    <row r="32" spans="1:34">
      <c r="C32" s="510" t="str">
        <f>"3-10"</f>
        <v>3-10</v>
      </c>
      <c r="D32" s="498">
        <f>K12</f>
        <v>0.19500000000000001</v>
      </c>
      <c r="E32" s="499">
        <f>K14</f>
        <v>0.441</v>
      </c>
      <c r="F32" s="502">
        <f>K19</f>
        <v>0.15456666666666669</v>
      </c>
      <c r="G32" s="501">
        <f>K21</f>
        <v>0.39083333333333331</v>
      </c>
      <c r="P32" s="337" t="s">
        <v>1160</v>
      </c>
      <c r="Q32" s="338"/>
      <c r="R32" s="338"/>
      <c r="S32" s="338"/>
      <c r="T32" s="508">
        <f>SUM(T7:T30)/MAX(1,COUNT(T7:T30)-COUNTIF(T7:T30,0))</f>
        <v>0.45023076923076927</v>
      </c>
      <c r="U32" s="338"/>
      <c r="V32" s="508">
        <f>SUM(V7:V30)/MAX(1,COUNT(V7:V30)-COUNTIF(V7:V30,0))</f>
        <v>130.83333333333334</v>
      </c>
      <c r="W32" s="508">
        <f>SUM(W7:W30)/MAX(1,COUNT(W7:W30)-COUNTIF(W7:W30,0))</f>
        <v>0.32174999999999992</v>
      </c>
      <c r="X32" s="338"/>
      <c r="Y32" s="508">
        <f>SUM(Y7:Y30)/MAX(1,COUNT(Y7:Y30)-COUNTIF(Y7:Y30,0))</f>
        <v>346.84615384615387</v>
      </c>
      <c r="Z32" s="508">
        <f>SUM(Z7:Z30)/MAX(1,COUNT(Z7:Z30)-COUNTIF(Z7:Z30,0))</f>
        <v>0.49369230769230771</v>
      </c>
      <c r="AA32" s="338"/>
      <c r="AB32" s="508">
        <f>SUM(AB7:AB30)/MAX(1,COUNT(AB7:AB30)-COUNTIF(AB7:AB30,0))</f>
        <v>132.15384615384616</v>
      </c>
      <c r="AC32" s="508">
        <f>SUM(AC7:AC30)/MAX(1,COUNT(AC7:AC30)-COUNTIF(AC7:AC30,0))</f>
        <v>0.74615384615384606</v>
      </c>
      <c r="AD32" s="338"/>
      <c r="AE32" s="339"/>
    </row>
    <row r="33" spans="2:31" ht="15.75" thickBot="1">
      <c r="C33" s="511" t="str">
        <f>"10-16"</f>
        <v>10-16</v>
      </c>
      <c r="D33" s="498">
        <f>L12</f>
        <v>0.13100000000000001</v>
      </c>
      <c r="E33" s="499">
        <f>L14</f>
        <v>0.433</v>
      </c>
      <c r="F33" s="502">
        <f>L19</f>
        <v>0.10640000000000002</v>
      </c>
      <c r="G33" s="501">
        <f>L21</f>
        <v>0.41449999999999998</v>
      </c>
      <c r="P33" s="336" t="s">
        <v>915</v>
      </c>
      <c r="Q33" s="331"/>
      <c r="R33" s="268"/>
      <c r="S33" s="268"/>
      <c r="T33" s="509">
        <f>SUM(Player_Per_Game[FG%])/MAX(1,COUNT(Player_Per_Game[FG%])-COUNTIF(Player_Per_Game[FG%],0))</f>
        <v>0.44921732026143829</v>
      </c>
      <c r="U33" s="332"/>
      <c r="V33" s="332"/>
      <c r="W33" s="509">
        <f>SUM(Player_Per_Game[3P%])/MAX(1,COUNT(Player_Per_Game[3P%])-COUNTIF(Player_Per_Game[3P%],0))</f>
        <v>0.35088686868686919</v>
      </c>
      <c r="X33" s="332"/>
      <c r="Y33" s="332"/>
      <c r="Z33" s="509">
        <f>SUM(Player_Per_Game[2P%])/MAX(1,COUNT(Player_Per_Game[2P%])-COUNTIF(Player_Per_Game[2P%],0))</f>
        <v>0.50186544850498327</v>
      </c>
      <c r="AA33" s="332"/>
      <c r="AB33" s="332"/>
      <c r="AC33" s="509">
        <f>SUM(Player_Per_Game[FT%])/MAX(1,COUNT(Player_Per_Game[FT%])-COUNTIF(Player_Per_Game[FT%],0))</f>
        <v>0.75076869565217419</v>
      </c>
      <c r="AD33" s="331"/>
      <c r="AE33" s="334"/>
    </row>
    <row r="34" spans="2:31">
      <c r="C34" s="512" t="str">
        <f>"16&lt;3"</f>
        <v>16&lt;3</v>
      </c>
      <c r="D34" s="498">
        <f>M12</f>
        <v>0.155</v>
      </c>
      <c r="E34" s="499">
        <f>M14</f>
        <v>0.41199999999999998</v>
      </c>
      <c r="F34" s="502">
        <f>M19</f>
        <v>0.12086666666666666</v>
      </c>
      <c r="G34" s="501">
        <f>M21</f>
        <v>0.40099999999999997</v>
      </c>
    </row>
    <row r="35" spans="2:31">
      <c r="C35" s="153" t="s">
        <v>267</v>
      </c>
      <c r="D35" s="503">
        <f>N12</f>
        <v>0.25800000000000001</v>
      </c>
      <c r="E35" s="504">
        <f>N14</f>
        <v>0.35899999999999999</v>
      </c>
      <c r="F35" s="505">
        <f>N19</f>
        <v>0.33640000000000003</v>
      </c>
      <c r="G35" s="506">
        <f>N21</f>
        <v>0.36269999999999997</v>
      </c>
    </row>
    <row r="37" spans="2:31">
      <c r="B37" s="61"/>
      <c r="C37" s="619" t="s">
        <v>1026</v>
      </c>
      <c r="D37" s="619"/>
      <c r="E37" s="619"/>
      <c r="F37" s="620"/>
    </row>
    <row r="38" spans="2:31">
      <c r="B38" s="61"/>
      <c r="C38" s="596" t="str">
        <f>A1</f>
        <v>Minnesota Timberwolves</v>
      </c>
      <c r="D38" s="596"/>
      <c r="E38" s="621" t="s">
        <v>915</v>
      </c>
      <c r="F38" s="622"/>
    </row>
    <row r="39" spans="2:31">
      <c r="B39" s="61"/>
      <c r="C39" s="164" t="s">
        <v>988</v>
      </c>
      <c r="D39" s="163" t="s">
        <v>989</v>
      </c>
      <c r="E39" s="165" t="s">
        <v>988</v>
      </c>
      <c r="F39" s="163" t="s">
        <v>989</v>
      </c>
    </row>
    <row r="40" spans="2:31">
      <c r="B40" s="61"/>
      <c r="C40" s="513">
        <f>VLOOKUP($A$1,'Team Shooting Raw'!$A$5:$AC$34,8,FALSE)</f>
        <v>0.74199999999999999</v>
      </c>
      <c r="D40" s="514">
        <f>VLOOKUP($A$1,'Team Shooting Raw'!$A$5:$AC$34,13,FALSE)</f>
        <v>0.25800000000000001</v>
      </c>
      <c r="E40" s="513">
        <f>AVERAGE(Team_Shooting[% of FGA by Distance 2P])</f>
        <v>0.66359999999999997</v>
      </c>
      <c r="F40" s="514">
        <f>AVERAGE(Team_Shooting[% of FGA by Distance 3P])</f>
        <v>0.33640000000000003</v>
      </c>
    </row>
  </sheetData>
  <mergeCells count="33">
    <mergeCell ref="H2:K3"/>
    <mergeCell ref="I9:N9"/>
    <mergeCell ref="I16:N16"/>
    <mergeCell ref="J15:M15"/>
    <mergeCell ref="N14:N15"/>
    <mergeCell ref="I14:I15"/>
    <mergeCell ref="I12:I13"/>
    <mergeCell ref="N5:N6"/>
    <mergeCell ref="A1:C3"/>
    <mergeCell ref="B7:C7"/>
    <mergeCell ref="E7:F7"/>
    <mergeCell ref="B6:C6"/>
    <mergeCell ref="E6:F6"/>
    <mergeCell ref="C37:F37"/>
    <mergeCell ref="C38:D38"/>
    <mergeCell ref="E38:F38"/>
    <mergeCell ref="I6:J6"/>
    <mergeCell ref="N12:N13"/>
    <mergeCell ref="I21:I22"/>
    <mergeCell ref="I19:I20"/>
    <mergeCell ref="P4:R5"/>
    <mergeCell ref="D28:E29"/>
    <mergeCell ref="L5:M6"/>
    <mergeCell ref="L7:M7"/>
    <mergeCell ref="J20:M20"/>
    <mergeCell ref="N21:N22"/>
    <mergeCell ref="J22:M22"/>
    <mergeCell ref="I7:J7"/>
    <mergeCell ref="J17:N17"/>
    <mergeCell ref="N19:N20"/>
    <mergeCell ref="F28:G29"/>
    <mergeCell ref="J10:N10"/>
    <mergeCell ref="J13:M13"/>
  </mergeCells>
  <conditionalFormatting sqref="AD8:AD12">
    <cfRule type="colorScale" priority="52">
      <colorScale>
        <cfvo type="min"/>
        <cfvo type="max"/>
        <color rgb="FF63BE7B"/>
        <color rgb="FFFFEF9C"/>
      </colorScale>
    </cfRule>
  </conditionalFormatting>
  <conditionalFormatting sqref="A1">
    <cfRule type="containsText" dxfId="275" priority="23" operator="containsText" text="Washington Wizards">
      <formula>NOT(ISERROR(SEARCH("Washington Wizards",A1)))</formula>
    </cfRule>
    <cfRule type="containsText" dxfId="274" priority="24" operator="containsText" text="Utah Jazz">
      <formula>NOT(ISERROR(SEARCH("Utah Jazz",A1)))</formula>
    </cfRule>
    <cfRule type="containsText" dxfId="273" priority="25" operator="containsText" text="Toronto Raptors">
      <formula>NOT(ISERROR(SEARCH("Toronto Raptors",A1)))</formula>
    </cfRule>
    <cfRule type="containsText" dxfId="272" priority="26" operator="containsText" text="San Antonio Spurs">
      <formula>NOT(ISERROR(SEARCH("San Antonio Spurs",A1)))</formula>
    </cfRule>
    <cfRule type="containsText" dxfId="271" priority="27" operator="containsText" text="Sacramento Kings">
      <formula>NOT(ISERROR(SEARCH("Sacramento Kings",A1)))</formula>
    </cfRule>
    <cfRule type="containsText" dxfId="270" priority="28" operator="containsText" text="Portland Trail Blazers">
      <formula>NOT(ISERROR(SEARCH("Portland Trail Blazers",A1)))</formula>
    </cfRule>
    <cfRule type="containsText" dxfId="269" priority="29" operator="containsText" text="Phoenix Suns">
      <formula>NOT(ISERROR(SEARCH("Phoenix Suns",A1)))</formula>
    </cfRule>
    <cfRule type="containsText" dxfId="268" priority="30" operator="containsText" text="Philadelphia 76ers">
      <formula>NOT(ISERROR(SEARCH("Philadelphia 76ers",A1)))</formula>
    </cfRule>
    <cfRule type="containsText" dxfId="267" priority="31" operator="containsText" text="Orlando Magic">
      <formula>NOT(ISERROR(SEARCH("Orlando Magic",A1)))</formula>
    </cfRule>
    <cfRule type="containsText" dxfId="266" priority="32" operator="containsText" text="Oklahoma City Thunder">
      <formula>NOT(ISERROR(SEARCH("Oklahoma City Thunder",A1)))</formula>
    </cfRule>
    <cfRule type="containsText" dxfId="265" priority="33" operator="containsText" text="New York Knicks">
      <formula>NOT(ISERROR(SEARCH("New York Knicks",A1)))</formula>
    </cfRule>
    <cfRule type="containsText" dxfId="264" priority="34" operator="containsText" text="New Orleans Pelicans">
      <formula>NOT(ISERROR(SEARCH("New Orleans Pelicans",A1)))</formula>
    </cfRule>
    <cfRule type="containsText" dxfId="263" priority="35" operator="containsText" text="Minnesota Timberwolves">
      <formula>NOT(ISERROR(SEARCH("Minnesota Timberwolves",A1)))</formula>
    </cfRule>
    <cfRule type="containsText" dxfId="262" priority="36" operator="containsText" text="MIlwaukee Bucks">
      <formula>NOT(ISERROR(SEARCH("MIlwaukee Bucks",A1)))</formula>
    </cfRule>
    <cfRule type="containsText" dxfId="261" priority="37" operator="containsText" text="Miami Heat">
      <formula>NOT(ISERROR(SEARCH("Miami Heat",A1)))</formula>
    </cfRule>
    <cfRule type="containsText" dxfId="260" priority="38" operator="containsText" text="Memphis Grizzlies">
      <formula>NOT(ISERROR(SEARCH("Memphis Grizzlies",A1)))</formula>
    </cfRule>
    <cfRule type="containsText" dxfId="259" priority="39" operator="containsText" text="Los Angeles Lakers">
      <formula>NOT(ISERROR(SEARCH("Los Angeles Lakers",A1)))</formula>
    </cfRule>
    <cfRule type="containsText" dxfId="258" priority="40" operator="containsText" text="Los Angeles Clippers">
      <formula>NOT(ISERROR(SEARCH("Los Angeles Clippers",A1)))</formula>
    </cfRule>
    <cfRule type="containsText" dxfId="257" priority="41" operator="containsText" text="Indiana Pacers">
      <formula>NOT(ISERROR(SEARCH("Indiana Pacers",A1)))</formula>
    </cfRule>
    <cfRule type="containsText" dxfId="256" priority="42" operator="containsText" text="Houston Rockets">
      <formula>NOT(ISERROR(SEARCH("Houston Rockets",A1)))</formula>
    </cfRule>
    <cfRule type="containsText" dxfId="255" priority="43" operator="containsText" text="Golden State Warriors">
      <formula>NOT(ISERROR(SEARCH("Golden State Warriors",A1)))</formula>
    </cfRule>
    <cfRule type="containsText" dxfId="254" priority="44" operator="containsText" text="Detroit Pistons">
      <formula>NOT(ISERROR(SEARCH("Detroit Pistons",A1)))</formula>
    </cfRule>
    <cfRule type="containsText" dxfId="253" priority="45" operator="containsText" text="Dallas Mavericks">
      <formula>NOT(ISERROR(SEARCH("Dallas Mavericks",A1)))</formula>
    </cfRule>
    <cfRule type="containsText" dxfId="252" priority="46" operator="containsText" text="Atlanta Hawks">
      <formula>NOT(ISERROR(SEARCH("Atlanta Hawks",A1)))</formula>
    </cfRule>
    <cfRule type="containsText" dxfId="251" priority="47" operator="containsText" text="Boston Celtics">
      <formula>NOT(ISERROR(SEARCH("Boston Celtics",A1)))</formula>
    </cfRule>
    <cfRule type="containsText" dxfId="250" priority="48" operator="containsText" text="Brooklyn Nets">
      <formula>NOT(ISERROR(SEARCH("Brooklyn Nets",A1)))</formula>
    </cfRule>
    <cfRule type="containsText" dxfId="249" priority="49" operator="containsText" text="Chicago Bulls">
      <formula>NOT(ISERROR(SEARCH("Chicago Bulls",A1)))</formula>
    </cfRule>
    <cfRule type="containsText" dxfId="248" priority="50" operator="containsText" text="Cleveland Cavaliers">
      <formula>NOT(ISERROR(SEARCH("Cleveland Cavaliers",A1)))</formula>
    </cfRule>
    <cfRule type="containsText" dxfId="247" priority="51" operator="containsText" text="Denver Nuggets">
      <formula>NOT(ISERROR(SEARCH("Denver Nuggets",A1)))</formula>
    </cfRule>
  </conditionalFormatting>
  <conditionalFormatting sqref="A1">
    <cfRule type="containsText" dxfId="246" priority="22" operator="containsText" text="Charlotte Hornets">
      <formula>NOT(ISERROR(SEARCH("Charlotte Hornets",A1)))</formula>
    </cfRule>
  </conditionalFormatting>
  <conditionalFormatting sqref="R7:AC30">
    <cfRule type="cellIs" dxfId="245" priority="7" operator="equal">
      <formula>0</formula>
    </cfRule>
  </conditionalFormatting>
  <conditionalFormatting sqref="T7:T30">
    <cfRule type="expression" dxfId="244" priority="357">
      <formula>S7&lt;90</formula>
    </cfRule>
    <cfRule type="cellIs" dxfId="243" priority="358" operator="lessThan">
      <formula>$T$33</formula>
    </cfRule>
  </conditionalFormatting>
  <conditionalFormatting sqref="W7:W30">
    <cfRule type="expression" dxfId="242" priority="359">
      <formula>V7&lt;40</formula>
    </cfRule>
    <cfRule type="cellIs" dxfId="241" priority="360" operator="between">
      <formula>$W$33</formula>
      <formula>0.000000001</formula>
    </cfRule>
  </conditionalFormatting>
  <conditionalFormatting sqref="Z7:Z30">
    <cfRule type="expression" dxfId="240" priority="361">
      <formula>Y7&lt;50</formula>
    </cfRule>
    <cfRule type="expression" dxfId="239" priority="362">
      <formula>X7&lt;1</formula>
    </cfRule>
    <cfRule type="cellIs" dxfId="238" priority="363" operator="lessThan">
      <formula>$Z$33</formula>
    </cfRule>
  </conditionalFormatting>
  <conditionalFormatting sqref="AC7:AC30">
    <cfRule type="expression" dxfId="237" priority="364">
      <formula>AB7&lt;20</formula>
    </cfRule>
    <cfRule type="cellIs" dxfId="236" priority="365" operator="lessThan">
      <formula>$AC$33</formula>
    </cfRule>
  </conditionalFormatting>
  <pageMargins left="0.7" right="0.7" top="0.75" bottom="0.75" header="0.3" footer="0.3"/>
  <pageSetup orientation="portrait" r:id="rId1"/>
  <ignoredErrors>
    <ignoredError sqref="A1:XFD1048576" unlockedFormula="1"/>
  </ignoredErrors>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20" id="{24326F81-3730-47AE-AB06-8AEAC8D21A6A}">
            <xm:f>'Roster Analysis'!$Q5="Dead"</xm:f>
            <x14:dxf>
              <font>
                <color theme="2" tint="-0.24994659260841701"/>
              </font>
            </x14:dxf>
          </x14:cfRule>
          <x14:cfRule type="expression" priority="21" id="{AB31B34D-C594-470B-93B9-2581DE6096A8}">
            <xm:f>ISNUMBER(SEARCH(" X",'Roster Analysis'!O5))</xm:f>
            <x14:dxf>
              <font>
                <strike/>
              </font>
            </x14:dxf>
          </x14:cfRule>
          <xm:sqref>P7:P30</xm:sqref>
        </x14:conditionalFormatting>
        <x14:conditionalFormatting xmlns:xm="http://schemas.microsoft.com/office/excel/2006/main">
          <x14:cfRule type="expression" priority="19" id="{68A939AB-9B7B-413E-B3EB-02749D95A826}">
            <xm:f>ISNUMBER(SEARCH(" X",'Roster Analysis'!$O5))</xm:f>
            <x14:dxf>
              <font>
                <strike val="0"/>
                <color theme="2" tint="-9.9948118533890809E-2"/>
              </font>
            </x14:dxf>
          </x14:cfRule>
          <xm:sqref>Q7:AC30</xm:sqref>
        </x14:conditionalFormatting>
        <x14:conditionalFormatting xmlns:xm="http://schemas.microsoft.com/office/excel/2006/main">
          <x14:cfRule type="expression" priority="345" id="{68A939AB-9B7B-413E-B3EB-02749D95A826}">
            <xm:f>ISNUMBER(SEARCH(" X",'Roster Analysis'!$O28))</xm:f>
            <x14:dxf>
              <font>
                <strike val="0"/>
                <color theme="2" tint="-9.9948118533890809E-2"/>
              </font>
            </x14:dxf>
          </x14:cfRule>
          <xm:sqref>T33</xm:sqref>
        </x14:conditionalFormatting>
        <x14:conditionalFormatting xmlns:xm="http://schemas.microsoft.com/office/excel/2006/main">
          <x14:cfRule type="expression" priority="1" id="{BAFB00B2-9687-4017-9B3A-314363DFCCC0}">
            <xm:f>'Roster Analysis'!O5&lt;&gt;""</xm:f>
            <x14:dxf>
              <fill>
                <patternFill>
                  <bgColor rgb="FFFEA0A0"/>
                </patternFill>
              </fill>
            </x14:dxf>
          </x14:cfRule>
          <xm:sqref>P7:P30</xm:sqref>
        </x14:conditionalFormatting>
        <x14:conditionalFormatting xmlns:xm="http://schemas.microsoft.com/office/excel/2006/main">
          <x14:cfRule type="expression" priority="368" id="{24326F81-3730-47AE-AB06-8AEAC8D21A6A}">
            <xm:f>'Roster Analysis'!$Q29="Dead"</xm:f>
            <x14:dxf>
              <font>
                <color theme="2" tint="-0.24994659260841701"/>
              </font>
            </x14:dxf>
          </x14:cfRule>
          <x14:cfRule type="expression" priority="369" id="{AB31B34D-C594-470B-93B9-2581DE6096A8}">
            <xm:f>ISNUMBER(SEARCH(" X",'Roster Analysis'!O29))</xm:f>
            <x14:dxf>
              <font>
                <strike/>
              </font>
            </x14:dxf>
          </x14:cfRule>
          <xm:sqref>P32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1">
    <tabColor theme="7" tint="0.39997558519241921"/>
  </sheetPr>
  <dimension ref="A1:AB36"/>
  <sheetViews>
    <sheetView zoomScale="110" zoomScaleNormal="110" workbookViewId="0">
      <selection activeCell="L16" sqref="L16"/>
    </sheetView>
  </sheetViews>
  <sheetFormatPr defaultColWidth="8.85546875" defaultRowHeight="15"/>
  <cols>
    <col min="21" max="22" width="8.85546875" customWidth="1"/>
    <col min="23" max="23" width="6.140625" hidden="1" customWidth="1"/>
    <col min="24" max="24" width="20.140625" hidden="1" customWidth="1"/>
    <col min="25" max="26" width="8.85546875" hidden="1" customWidth="1"/>
  </cols>
  <sheetData>
    <row r="1" spans="1:26" ht="15" customHeight="1">
      <c r="A1" s="631" t="str">
        <f>'Roster Analysis'!A1:A3</f>
        <v>Minnesota Timberwolves</v>
      </c>
      <c r="B1" s="631"/>
      <c r="C1" s="631"/>
      <c r="W1" t="s">
        <v>1187</v>
      </c>
      <c r="X1" s="507" t="str">
        <f>IF($A$1="Los Angeles Clippers","LA Clippers",$A$1)</f>
        <v>Minnesota Timberwolves</v>
      </c>
    </row>
    <row r="2" spans="1:26" ht="15" customHeight="1">
      <c r="A2" s="631"/>
      <c r="B2" s="631"/>
      <c r="C2" s="631"/>
      <c r="W2" t="s">
        <v>1188</v>
      </c>
      <c r="X2" s="507" t="str">
        <f>IF(M5="Los Angeles Clippers","LA Clippers",M5)</f>
        <v>San Antonio Spurs</v>
      </c>
    </row>
    <row r="3" spans="1:26" ht="15" customHeight="1">
      <c r="A3" s="631"/>
      <c r="B3" s="631"/>
      <c r="C3" s="631"/>
      <c r="P3" s="515" t="str">
        <f>VLOOKUP(M5,'Referenced Lists'!$A$2:$B$31,2,FALSE)</f>
        <v>SAS</v>
      </c>
      <c r="Q3" s="515">
        <f>COUNTIF(Salaries[Tm],P3)</f>
        <v>17</v>
      </c>
    </row>
    <row r="4" spans="1:26">
      <c r="A4" s="237"/>
      <c r="B4" s="60"/>
      <c r="C4" s="60"/>
      <c r="D4" s="238"/>
      <c r="E4" s="236" t="s">
        <v>1092</v>
      </c>
      <c r="M4" s="661" t="s">
        <v>1116</v>
      </c>
      <c r="N4" s="661"/>
      <c r="O4" s="661"/>
      <c r="P4" s="236" t="s">
        <v>1092</v>
      </c>
      <c r="X4" t="s">
        <v>258</v>
      </c>
      <c r="Y4" t="s">
        <v>16</v>
      </c>
      <c r="Z4" t="s">
        <v>669</v>
      </c>
    </row>
    <row r="5" spans="1:26" ht="15.75">
      <c r="B5" s="649" t="str">
        <f>A1</f>
        <v>Minnesota Timberwolves</v>
      </c>
      <c r="C5" s="650"/>
      <c r="D5" s="651"/>
      <c r="E5" s="427" t="str">
        <f>VLOOKUP($A$1,Standings!$C$6:$E$35,3,FALSE)&amp;"-"&amp;VLOOKUP($A$1,Standings!$C$6:$F$35,4,FALSE)</f>
        <v>40-31</v>
      </c>
      <c r="F5" s="427" t="str">
        <f>IFERROR(RANK(VLOOKUP($A$1,Standings!$M$5:$N$19,2,FALSE),Standings!$N$5:$N$19),RANK(VLOOKUP($A$1,Standings!$M$22:$N$36,2,FALSE),Standings!$N$22:$N$36))&amp;" - "&amp;IF(COUNTIF(Standings!$M$5:$M$19,$A$1),"West","East")</f>
        <v>8 - West</v>
      </c>
      <c r="M5" s="658" t="s">
        <v>698</v>
      </c>
      <c r="N5" s="659"/>
      <c r="O5" s="660"/>
      <c r="P5" s="427" t="str">
        <f>VLOOKUP($M$5,Standings!$C$6:$F$35,3,FALSE)&amp;"-"&amp;VLOOKUP($M$5,Standings!$C$6:$F$35,4,FALSE)</f>
        <v>41-30</v>
      </c>
      <c r="Q5" s="427" t="str">
        <f>IFERROR(RANK(VLOOKUP($M$5,Standings!$M$5:$N$19,2,FALSE),Standings!$N$5:$N$19),RANK(VLOOKUP($M$5,Standings!$M$22:$N$36,2,FALSE),Standings!$N$22:$N$36))&amp;" - "&amp;IF(COUNTIF(Standings!$M$5:$M$19,$M$5),"West","East")</f>
        <v>5 - West</v>
      </c>
      <c r="R5" s="60"/>
      <c r="S5" s="60"/>
      <c r="T5" s="60"/>
      <c r="X5" s="507" t="str">
        <f t="array" ref="X5">IF(ROWS(X$5:X5)&gt;$Q$3,"",INDEX('Player Salaries'!B$5:B$672,SMALL(IF('Player Salaries'!$C$5:$C$672=$P$3,ROW('Player Salaries'!$C$5:$C$672)-ROW('Player Salaries'!$E$5)+1),ROWS(X$5:X5))))</f>
        <v>LaMarcus Aldridge</v>
      </c>
      <c r="Y5" s="507">
        <f>IFERROR(VLOOKUP(X5,Player_Per_Game[[Player]:[PS/G]],29,FALSE),"")</f>
        <v>22.7</v>
      </c>
      <c r="Z5" s="507">
        <f>IFERROR(VLOOKUP(X5,Player_Advanced[[Player]:[DBPM]],24,FALSE),"")</f>
        <v>0.2</v>
      </c>
    </row>
    <row r="6" spans="1:26">
      <c r="B6" s="22" t="s">
        <v>1040</v>
      </c>
      <c r="C6" s="60"/>
      <c r="D6" s="11"/>
      <c r="E6" s="11"/>
      <c r="F6" s="11"/>
      <c r="G6" s="11"/>
      <c r="H6" s="11"/>
      <c r="I6" s="11"/>
      <c r="J6" s="60"/>
      <c r="K6" s="60"/>
      <c r="M6" s="11" t="s">
        <v>1040</v>
      </c>
      <c r="N6" s="11"/>
      <c r="O6" s="11"/>
      <c r="P6" s="11"/>
      <c r="Q6" s="11"/>
      <c r="R6" s="11"/>
      <c r="S6" s="11"/>
      <c r="T6" s="11"/>
      <c r="X6" s="507" t="str">
        <f t="array" ref="X6">IF(ROWS(X$5:X6)&gt;$Q$3,"",INDEX('Player Salaries'!B$5:B$672,SMALL(IF('Player Salaries'!$C$5:$C$672=$P$3,ROW('Player Salaries'!$C$5:$C$672)-ROW('Player Salaries'!$E$5)+1),ROWS(X$5:X6))))</f>
        <v>Kawhi Leonard</v>
      </c>
      <c r="Y6" s="507">
        <f>IFERROR(VLOOKUP(X6,Player_Per_Game[[Player]:[PS/G]],29,FALSE),"")</f>
        <v>16.2</v>
      </c>
      <c r="Z6" s="507">
        <f>IFERROR(VLOOKUP(X6,Player_Advanced[[Player]:[DBPM]],24,FALSE),"")</f>
        <v>3.4</v>
      </c>
    </row>
    <row r="7" spans="1:26">
      <c r="A7" s="61"/>
      <c r="B7" s="647" t="s">
        <v>1016</v>
      </c>
      <c r="C7" s="662"/>
      <c r="D7" s="653" t="s">
        <v>1015</v>
      </c>
      <c r="E7" s="657"/>
      <c r="F7" s="653" t="s">
        <v>1014</v>
      </c>
      <c r="G7" s="657"/>
      <c r="H7" s="653" t="s">
        <v>1013</v>
      </c>
      <c r="I7" s="654"/>
      <c r="J7" s="60"/>
      <c r="K7" s="60"/>
      <c r="L7" s="61"/>
      <c r="M7" s="653" t="s">
        <v>1016</v>
      </c>
      <c r="N7" s="657"/>
      <c r="O7" s="653" t="s">
        <v>1015</v>
      </c>
      <c r="P7" s="657"/>
      <c r="Q7" s="653" t="s">
        <v>1014</v>
      </c>
      <c r="R7" s="657"/>
      <c r="S7" s="653" t="s">
        <v>1013</v>
      </c>
      <c r="T7" s="654"/>
      <c r="X7" s="507" t="str">
        <f t="array" ref="X7">IF(ROWS(X$5:X7)&gt;$Q$3,"",INDEX('Player Salaries'!B$5:B$672,SMALL(IF('Player Salaries'!$C$5:$C$672=$P$3,ROW('Player Salaries'!$C$5:$C$672)-ROW('Player Salaries'!$E$5)+1),ROWS(X$5:X7))))</f>
        <v>Pau Gasol</v>
      </c>
      <c r="Y7" s="507">
        <f>IFERROR(VLOOKUP(X7,Player_Per_Game[[Player]:[PS/G]],29,FALSE),"")</f>
        <v>10.4</v>
      </c>
      <c r="Z7" s="507">
        <f>IFERROR(VLOOKUP(X7,Player_Advanced[[Player]:[DBPM]],24,FALSE),"")</f>
        <v>3.5</v>
      </c>
    </row>
    <row r="8" spans="1:26">
      <c r="A8" s="61"/>
      <c r="B8" s="125" t="s">
        <v>1010</v>
      </c>
      <c r="C8" s="126" t="s">
        <v>801</v>
      </c>
      <c r="D8" s="125" t="s">
        <v>1010</v>
      </c>
      <c r="E8" s="126" t="s">
        <v>801</v>
      </c>
      <c r="F8" s="125" t="s">
        <v>1012</v>
      </c>
      <c r="G8" s="126" t="s">
        <v>801</v>
      </c>
      <c r="H8" s="125" t="s">
        <v>1010</v>
      </c>
      <c r="I8" s="145" t="s">
        <v>801</v>
      </c>
      <c r="J8" s="60"/>
      <c r="K8" s="60"/>
      <c r="L8" s="61"/>
      <c r="M8" s="125" t="s">
        <v>1010</v>
      </c>
      <c r="N8" s="126" t="s">
        <v>801</v>
      </c>
      <c r="O8" s="125" t="s">
        <v>1010</v>
      </c>
      <c r="P8" s="126" t="s">
        <v>801</v>
      </c>
      <c r="Q8" s="125" t="s">
        <v>1012</v>
      </c>
      <c r="R8" s="126" t="s">
        <v>801</v>
      </c>
      <c r="S8" s="125" t="s">
        <v>1010</v>
      </c>
      <c r="T8" s="145" t="s">
        <v>801</v>
      </c>
      <c r="X8" s="507" t="str">
        <f t="array" ref="X8">IF(ROWS(X$5:X8)&gt;$Q$3,"",INDEX('Player Salaries'!B$5:B$672,SMALL(IF('Player Salaries'!$C$5:$C$672=$P$3,ROW('Player Salaries'!$C$5:$C$672)-ROW('Player Salaries'!$E$5)+1),ROWS(X$5:X8))))</f>
        <v>Tony Parker</v>
      </c>
      <c r="Y8" s="507">
        <f>IFERROR(VLOOKUP(X8,Player_Per_Game[[Player]:[PS/G]],29,FALSE),"")</f>
        <v>8.6</v>
      </c>
      <c r="Z8" s="507">
        <f>IFERROR(VLOOKUP(X8,Player_Advanced[[Player]:[DBPM]],24,FALSE),"")</f>
        <v>-1.5</v>
      </c>
    </row>
    <row r="9" spans="1:26">
      <c r="A9" s="50" t="s">
        <v>1009</v>
      </c>
      <c r="B9" s="516">
        <f>VLOOKUP($X$1,TeamAd_Season[[TEAM]:[NetRtg]],6,FALSE)</f>
        <v>111.4</v>
      </c>
      <c r="C9" s="517">
        <f>RANK(B9,TeamAd_Season[OffRtg])</f>
        <v>4</v>
      </c>
      <c r="D9" s="516">
        <f>VLOOKUP($X$1,TeamAd_15[[TEAM]:[NetRtg]],6,FALSE)</f>
        <v>113.7</v>
      </c>
      <c r="E9" s="517">
        <f>RANK(D9,TeamAd_15[OffRtg])</f>
        <v>4</v>
      </c>
      <c r="F9" s="516">
        <f>VLOOKUP($X$1,TeamAd_10[[TEAM]:[NetRtg]],6,FALSE)</f>
        <v>111.9</v>
      </c>
      <c r="G9" s="517">
        <f>RANK(F9,TeamAd_10[OffRtg])</f>
        <v>7</v>
      </c>
      <c r="H9" s="516">
        <f>VLOOKUP($X$1,TeamAd_5[[TEAM]:[NetRtg]],6,FALSE)</f>
        <v>113.6</v>
      </c>
      <c r="I9" s="518">
        <f>RANK(H9,TeamAd_5[OffRtg])</f>
        <v>7</v>
      </c>
      <c r="J9" s="60"/>
      <c r="K9" s="60"/>
      <c r="L9" s="50" t="s">
        <v>1009</v>
      </c>
      <c r="M9" s="516">
        <f>VLOOKUP($X$2,TeamAd_Season[[TEAM]:[NetRtg]],6,FALSE)</f>
        <v>105.1</v>
      </c>
      <c r="N9" s="517">
        <f>RANK(M9,TeamAd_Season[OffRtg])</f>
        <v>18</v>
      </c>
      <c r="O9" s="516">
        <f>VLOOKUP($X$2,TeamAd_15[[TEAM]:[NetRtg]],6,FALSE)</f>
        <v>105.1</v>
      </c>
      <c r="P9" s="517">
        <f>RANK(O9,TeamAd_15[OffRtg])</f>
        <v>21</v>
      </c>
      <c r="Q9" s="516">
        <f>VLOOKUP($X$2,TeamAd_10[[TEAM]:[NetRtg]],6,FALSE)</f>
        <v>103.3</v>
      </c>
      <c r="R9" s="517">
        <f>RANK(Q9,TeamAd_10[OffRtg])</f>
        <v>23</v>
      </c>
      <c r="S9" s="516">
        <f>VLOOKUP($X$2,TeamAd_5[[TEAM]:[NetRtg]],6,FALSE)</f>
        <v>103.9</v>
      </c>
      <c r="T9" s="518">
        <f>RANK(S9,TeamAd_5[OffRtg])</f>
        <v>23</v>
      </c>
      <c r="X9" s="507" t="str">
        <f t="array" ref="X9">IF(ROWS(X$5:X9)&gt;$Q$3,"",INDEX('Player Salaries'!B$5:B$672,SMALL(IF('Player Salaries'!$C$5:$C$672=$P$3,ROW('Player Salaries'!$C$5:$C$672)-ROW('Player Salaries'!$E$5)+1),ROWS(X$5:X9))))</f>
        <v>Patty Mills</v>
      </c>
      <c r="Y9" s="507">
        <f>IFERROR(VLOOKUP(X9,Player_Per_Game[[Player]:[PS/G]],29,FALSE),"")</f>
        <v>9.6</v>
      </c>
      <c r="Z9" s="507">
        <f>IFERROR(VLOOKUP(X9,Player_Advanced[[Player]:[DBPM]],24,FALSE),"")</f>
        <v>-1.1000000000000001</v>
      </c>
    </row>
    <row r="10" spans="1:26">
      <c r="A10" s="50" t="s">
        <v>1008</v>
      </c>
      <c r="B10" s="519">
        <f>VLOOKUP($X$1,TeamAd_Season[[TEAM]:[NetRtg]],7,FALSE)</f>
        <v>109.1</v>
      </c>
      <c r="C10" s="517">
        <f>31-RANK(B10,TeamAd_Season[DefRtg])</f>
        <v>27</v>
      </c>
      <c r="D10" s="519">
        <f>VLOOKUP($X$1,TeamAd_15[[TEAM]:[NetRtg]],7,FALSE)</f>
        <v>115.1</v>
      </c>
      <c r="E10" s="517">
        <f>31-RANK(D10,TeamAd_15[DefRtg])</f>
        <v>30</v>
      </c>
      <c r="F10" s="519">
        <f>VLOOKUP($X$1,TeamAd_10[[TEAM]:[NetRtg]],7,FALSE)</f>
        <v>113.9</v>
      </c>
      <c r="G10" s="517">
        <f>31-RANK(F10,TeamAd_10[DefRtg])</f>
        <v>27</v>
      </c>
      <c r="H10" s="519">
        <f>VLOOKUP($X$1,TeamAd_5[[TEAM]:[NetRtg]],7,FALSE)</f>
        <v>119.7</v>
      </c>
      <c r="I10" s="520">
        <f>31-RANK(H10,TeamAd_5[DefRtg])</f>
        <v>29</v>
      </c>
      <c r="L10" s="50" t="s">
        <v>1008</v>
      </c>
      <c r="M10" s="519">
        <f>VLOOKUP($X$2,TeamAd_Season[[TEAM]:[NetRtg]],7,FALSE)</f>
        <v>101.7</v>
      </c>
      <c r="N10" s="517">
        <f>31-RANK(M10,TeamAd_Season[DefRtg])</f>
        <v>2</v>
      </c>
      <c r="O10" s="519">
        <f>VLOOKUP($X$2,TeamAd_15[[TEAM]:[NetRtg]],7,FALSE)</f>
        <v>103.9</v>
      </c>
      <c r="P10" s="517">
        <f>31-RANK(O10,TeamAd_15[DefRtg])</f>
        <v>7</v>
      </c>
      <c r="Q10" s="519">
        <f>VLOOKUP($X$2,TeamAd_10[[TEAM]:[NetRtg]],7,FALSE)</f>
        <v>99.7</v>
      </c>
      <c r="R10" s="517">
        <f>31-RANK(Q10,TeamAd_10[DefRtg])</f>
        <v>2</v>
      </c>
      <c r="S10" s="519">
        <f>VLOOKUP($X$2,TeamAd_5[[TEAM]:[NetRtg]],7,FALSE)</f>
        <v>92.4</v>
      </c>
      <c r="T10" s="520">
        <f>31-RANK(S10,TeamAd_5[DefRtg])</f>
        <v>2</v>
      </c>
      <c r="X10" s="507" t="str">
        <f t="array" ref="X10">IF(ROWS(X$5:X10)&gt;$Q$3,"",INDEX('Player Salaries'!B$5:B$672,SMALL(IF('Player Salaries'!$C$5:$C$672=$P$3,ROW('Player Salaries'!$C$5:$C$672)-ROW('Player Salaries'!$E$5)+1),ROWS(X$5:X10))))</f>
        <v>Danny Green</v>
      </c>
      <c r="Y10" s="507">
        <f>IFERROR(VLOOKUP(X10,Player_Per_Game[[Player]:[PS/G]],29,FALSE),"")</f>
        <v>8.8000000000000007</v>
      </c>
      <c r="Z10" s="507">
        <f>IFERROR(VLOOKUP(X10,Player_Advanced[[Player]:[DBPM]],24,FALSE),"")</f>
        <v>2.5</v>
      </c>
    </row>
    <row r="11" spans="1:26" ht="15.75" thickBot="1">
      <c r="A11" s="50" t="s">
        <v>1007</v>
      </c>
      <c r="B11" s="521">
        <f>VLOOKUP($X$1,TeamAd_Season[[TEAM]:[NetRtg]],8,FALSE)</f>
        <v>2.2999999999999998</v>
      </c>
      <c r="C11" s="522">
        <f>RANK(B11,TeamAd_Season[NetRtg])</f>
        <v>9</v>
      </c>
      <c r="D11" s="521">
        <f>VLOOKUP($X$1,TeamAd_15[[TEAM]:[NetRtg]],8,FALSE)</f>
        <v>-1.4</v>
      </c>
      <c r="E11" s="522">
        <f>RANK(D11,TeamAd_15[NetRtg])</f>
        <v>19</v>
      </c>
      <c r="F11" s="521">
        <f>VLOOKUP($X$1,TeamAd_10[[TEAM]:[NetRtg]],8,FALSE)</f>
        <v>-2</v>
      </c>
      <c r="G11" s="522">
        <f>RANK(F11,TeamAd_10[NetRtg])</f>
        <v>20</v>
      </c>
      <c r="H11" s="521">
        <f>VLOOKUP($X$1,TeamAd_5[[TEAM]:[NetRtg]],8,FALSE)</f>
        <v>-6.1</v>
      </c>
      <c r="I11" s="523">
        <f>RANK(H11,TeamAd_5[NetRtg])</f>
        <v>26</v>
      </c>
      <c r="L11" s="50" t="s">
        <v>1007</v>
      </c>
      <c r="M11" s="521">
        <f>VLOOKUP($X$2,TeamAd_Season[[TEAM]:[NetRtg]],8,FALSE)</f>
        <v>3.4</v>
      </c>
      <c r="N11" s="522">
        <f>RANK(M11,TeamAd_Season[NetRtg])</f>
        <v>6</v>
      </c>
      <c r="O11" s="521">
        <f>VLOOKUP($X$2,TeamAd_15[[TEAM]:[NetRtg]],8,FALSE)</f>
        <v>1.2</v>
      </c>
      <c r="P11" s="522">
        <f>RANK(O11,TeamAd_15[NetRtg])</f>
        <v>15</v>
      </c>
      <c r="Q11" s="521">
        <f>VLOOKUP($X$2,TeamAd_10[[TEAM]:[NetRtg]],8,FALSE)</f>
        <v>3.6</v>
      </c>
      <c r="R11" s="522">
        <f>RANK(Q11,TeamAd_10[NetRtg])</f>
        <v>8</v>
      </c>
      <c r="S11" s="521">
        <f>VLOOKUP($X$2,TeamAd_5[[TEAM]:[NetRtg]],8,FALSE)</f>
        <v>11.5</v>
      </c>
      <c r="T11" s="523">
        <f>RANK(S11,TeamAd_5[NetRtg])</f>
        <v>4</v>
      </c>
      <c r="X11" s="507" t="str">
        <f t="array" ref="X11">IF(ROWS(X$5:X11)&gt;$Q$3,"",INDEX('Player Salaries'!B$5:B$672,SMALL(IF('Player Salaries'!$C$5:$C$672=$P$3,ROW('Player Salaries'!$C$5:$C$672)-ROW('Player Salaries'!$E$5)+1),ROWS(X$5:X11))))</f>
        <v>Rudy Gay</v>
      </c>
      <c r="Y11" s="507">
        <f>IFERROR(VLOOKUP(X11,Player_Per_Game[[Player]:[PS/G]],29,FALSE),"")</f>
        <v>11.2</v>
      </c>
      <c r="Z11" s="507">
        <f>IFERROR(VLOOKUP(X11,Player_Advanced[[Player]:[DBPM]],24,FALSE),"")</f>
        <v>1.2</v>
      </c>
    </row>
    <row r="12" spans="1:26">
      <c r="I12" s="118"/>
      <c r="X12" s="507" t="str">
        <f t="array" ref="X12">IF(ROWS(X$5:X12)&gt;$Q$3,"",INDEX('Player Salaries'!B$5:B$672,SMALL(IF('Player Salaries'!$C$5:$C$672=$P$3,ROW('Player Salaries'!$C$5:$C$672)-ROW('Player Salaries'!$E$5)+1),ROWS(X$5:X12))))</f>
        <v>Manu Ginobili</v>
      </c>
      <c r="Y12" s="507">
        <f>IFERROR(VLOOKUP(X12,Player_Per_Game[[Player]:[PS/G]],29,FALSE),"")</f>
        <v>8.8000000000000007</v>
      </c>
      <c r="Z12" s="507">
        <f>IFERROR(VLOOKUP(X12,Player_Advanced[[Player]:[DBPM]],24,FALSE),"")</f>
        <v>-0.3</v>
      </c>
    </row>
    <row r="13" spans="1:26" ht="15" customHeight="1">
      <c r="C13" t="s">
        <v>1038</v>
      </c>
      <c r="D13" s="60"/>
      <c r="G13" s="652" t="s">
        <v>1039</v>
      </c>
      <c r="H13" s="652"/>
      <c r="N13" t="s">
        <v>1038</v>
      </c>
      <c r="O13" s="143"/>
      <c r="R13" s="652" t="s">
        <v>1039</v>
      </c>
      <c r="S13" s="652"/>
      <c r="X13" s="507" t="str">
        <f t="array" ref="X13">IF(ROWS(X$5:X13)&gt;$Q$3,"",INDEX('Player Salaries'!B$5:B$672,SMALL(IF('Player Salaries'!$C$5:$C$672=$P$3,ROW('Player Salaries'!$C$5:$C$672)-ROW('Player Salaries'!$E$5)+1),ROWS(X$5:X13))))</f>
        <v>Kyle Anderson</v>
      </c>
      <c r="Y13" s="507">
        <f>IFERROR(VLOOKUP(X13,Player_Per_Game[[Player]:[PS/G]],29,FALSE),"")</f>
        <v>7.9</v>
      </c>
      <c r="Z13" s="507">
        <f>IFERROR(VLOOKUP(X13,Player_Advanced[[Player]:[DBPM]],24,FALSE),"")</f>
        <v>4.5999999999999996</v>
      </c>
    </row>
    <row r="14" spans="1:26" ht="15" customHeight="1">
      <c r="B14" s="61"/>
      <c r="C14" s="647" t="s">
        <v>1016</v>
      </c>
      <c r="D14" s="648"/>
      <c r="E14" s="109"/>
      <c r="F14" s="61"/>
      <c r="G14" s="653" t="s">
        <v>1016</v>
      </c>
      <c r="H14" s="654"/>
      <c r="M14" s="144"/>
      <c r="N14" s="655" t="s">
        <v>1016</v>
      </c>
      <c r="O14" s="656"/>
      <c r="P14" s="109"/>
      <c r="Q14" s="61"/>
      <c r="R14" s="655" t="s">
        <v>1016</v>
      </c>
      <c r="S14" s="656"/>
      <c r="X14" s="507" t="str">
        <f t="array" ref="X14">IF(ROWS(X$5:X14)&gt;$Q$3,"",INDEX('Player Salaries'!B$5:B$672,SMALL(IF('Player Salaries'!$C$5:$C$672=$P$3,ROW('Player Salaries'!$C$5:$C$672)-ROW('Player Salaries'!$E$5)+1),ROWS(X$5:X14))))</f>
        <v>Tim Duncan</v>
      </c>
      <c r="Y14" s="507" t="str">
        <f>IFERROR(VLOOKUP(X14,Player_Per_Game[[Player]:[PS/G]],29,FALSE),"")</f>
        <v/>
      </c>
      <c r="Z14" s="507" t="str">
        <f>IFERROR(VLOOKUP(X14,Player_Advanced[[Player]:[DBPM]],24,FALSE),"")</f>
        <v/>
      </c>
    </row>
    <row r="15" spans="1:26" ht="15" customHeight="1">
      <c r="B15" s="61"/>
      <c r="C15" s="125" t="s">
        <v>1010</v>
      </c>
      <c r="D15" s="145" t="s">
        <v>801</v>
      </c>
      <c r="F15" s="141"/>
      <c r="G15" s="125" t="s">
        <v>1012</v>
      </c>
      <c r="H15" s="145" t="s">
        <v>801</v>
      </c>
      <c r="M15" s="144"/>
      <c r="N15" s="125" t="s">
        <v>1010</v>
      </c>
      <c r="O15" s="145" t="s">
        <v>801</v>
      </c>
      <c r="Q15" s="141"/>
      <c r="R15" s="125" t="s">
        <v>1012</v>
      </c>
      <c r="S15" s="145" t="s">
        <v>801</v>
      </c>
      <c r="X15" s="507" t="str">
        <f t="array" ref="X15">IF(ROWS(X$5:X15)&gt;$Q$3,"",INDEX('Player Salaries'!B$5:B$672,SMALL(IF('Player Salaries'!$C$5:$C$672=$P$3,ROW('Player Salaries'!$C$5:$C$672)-ROW('Player Salaries'!$E$5)+1),ROWS(X$5:X15))))</f>
        <v>Joffrey Lauvergne</v>
      </c>
      <c r="Y15" s="507">
        <f>IFERROR(VLOOKUP(X15,Player_Per_Game[[Player]:[PS/G]],29,FALSE),"")</f>
        <v>4.4000000000000004</v>
      </c>
      <c r="Z15" s="507">
        <f>IFERROR(VLOOKUP(X15,Player_Advanced[[Player]:[DBPM]],24,FALSE),"")</f>
        <v>0.1</v>
      </c>
    </row>
    <row r="16" spans="1:26">
      <c r="B16" s="50" t="s">
        <v>653</v>
      </c>
      <c r="C16" s="516">
        <f>VLOOKUP($X$1,TeamAd_Season[[TEAM]:[TS%]],17,FALSE)</f>
        <v>56.9</v>
      </c>
      <c r="D16" s="518">
        <f>RANK(C16,TeamAd_Season[TS%])</f>
        <v>7</v>
      </c>
      <c r="F16" s="142" t="s">
        <v>1182</v>
      </c>
      <c r="G16" s="526">
        <f>VLOOKUP($A$1,'Team Stats'!$V$5:$AU$34,11,FALSE)*100</f>
        <v>36.4</v>
      </c>
      <c r="H16" s="520">
        <f>31-RANK(VLOOKUP($A$1,'Team Stats'!$V$5:$AU$34,11,FALSE),Opponent_Per_Game[3P%])</f>
        <v>14</v>
      </c>
      <c r="M16" s="50" t="s">
        <v>653</v>
      </c>
      <c r="N16" s="516">
        <f>VLOOKUP($X$2,TeamAd_Season[[TEAM]:[TS%]],17,FALSE)</f>
        <v>54.3</v>
      </c>
      <c r="O16" s="518">
        <f>RANK(N16,TeamAd_Season[TS%])</f>
        <v>24</v>
      </c>
      <c r="Q16" s="142" t="s">
        <v>1182</v>
      </c>
      <c r="R16" s="526">
        <f>VLOOKUP($M$5,'Team Stats'!$V$5:$AU$34,11,FALSE)*100</f>
        <v>34.599999999999994</v>
      </c>
      <c r="S16" s="520" t="e">
        <f>31-RANK(VLOOKUP($M$5,'Team Stats'!V5:AU34,11,FALSE),Opponent_Shooting[FG% by Distance 3P])</f>
        <v>#N/A</v>
      </c>
      <c r="X16" s="507" t="str">
        <f t="array" ref="X16">IF(ROWS(X$5:X16)&gt;$Q$3,"",INDEX('Player Salaries'!B$5:B$672,SMALL(IF('Player Salaries'!$C$5:$C$672=$P$3,ROW('Player Salaries'!$C$5:$C$672)-ROW('Player Salaries'!$E$5)+1),ROWS(X$5:X16))))</f>
        <v>Derrick White</v>
      </c>
      <c r="Y16" s="507">
        <f>IFERROR(VLOOKUP(X16,Player_Per_Game[[Player]:[PS/G]],29,FALSE),"")</f>
        <v>3.2</v>
      </c>
      <c r="Z16" s="507">
        <f>IFERROR(VLOOKUP(X16,Player_Advanced[[Player]:[DBPM]],24,FALSE),"")</f>
        <v>0.7</v>
      </c>
    </row>
    <row r="17" spans="2:28">
      <c r="B17" s="121" t="s">
        <v>1011</v>
      </c>
      <c r="C17" s="519">
        <f>VLOOKUP($X$1,TeamAd_Season[[TEAM]:[TS%]],11,FALSE)</f>
        <v>17.2</v>
      </c>
      <c r="D17" s="520">
        <f>RANK(C17,TeamAd_Season[AST Ratio])</f>
        <v>15</v>
      </c>
      <c r="F17" s="142" t="s">
        <v>1183</v>
      </c>
      <c r="G17" s="526">
        <f>VLOOKUP($A$1,'Team Stats'!$V$5:$AU$34,8,FALSE)*100</f>
        <v>47.8</v>
      </c>
      <c r="H17" s="520">
        <f>31-RANK(VLOOKUP($A$1,'Team Stats'!$V$5:$AU$34,8,FALSE),Opponent_Shooting[FG%])</f>
        <v>29</v>
      </c>
      <c r="I17" s="60"/>
      <c r="M17" s="121" t="s">
        <v>1011</v>
      </c>
      <c r="N17" s="519">
        <f>VLOOKUP($X$2,TeamAd_Season[[TEAM]:[TS%]],11,FALSE)</f>
        <v>17.600000000000001</v>
      </c>
      <c r="O17" s="520">
        <f>RANK(N17,TeamAd_Season[AST Ratio])</f>
        <v>9</v>
      </c>
      <c r="Q17" s="142" t="s">
        <v>1183</v>
      </c>
      <c r="R17" s="526">
        <f>VLOOKUP($M$5,'Team Stats'!$V$5:$AU$34,8,FALSE)*100</f>
        <v>45</v>
      </c>
      <c r="S17" s="520">
        <f>31-RANK(VLOOKUP($M$5,'Team Stats'!$V$5:$AU$34,8,FALSE),Opponent_Shooting[FG%])</f>
        <v>6</v>
      </c>
      <c r="X17" s="507" t="str">
        <f t="array" ref="X17">IF(ROWS(X$5:X17)&gt;$Q$3,"",INDEX('Player Salaries'!B$5:B$672,SMALL(IF('Player Salaries'!$C$5:$C$672=$P$3,ROW('Player Salaries'!$C$5:$C$672)-ROW('Player Salaries'!$E$5)+1),ROWS(X$5:X17))))</f>
        <v>Dejounte Murray</v>
      </c>
      <c r="Y17" s="507">
        <f>IFERROR(VLOOKUP(X17,Player_Per_Game[[Player]:[PS/G]],29,FALSE),"")</f>
        <v>7.8</v>
      </c>
      <c r="Z17" s="507">
        <f>IFERROR(VLOOKUP(X17,Player_Advanced[[Player]:[DBPM]],24,FALSE),"")</f>
        <v>3.5</v>
      </c>
    </row>
    <row r="18" spans="2:28">
      <c r="B18" s="142" t="s">
        <v>273</v>
      </c>
      <c r="C18" s="524">
        <f>VLOOKUP($X$1,TeamAd_Season[[TEAM]:[PIE]],16,FALSE)</f>
        <v>52.7</v>
      </c>
      <c r="D18" s="520">
        <f>RANK(C18,TeamAd_Season[eFG%])</f>
        <v>10</v>
      </c>
      <c r="F18" s="147" t="s">
        <v>1020</v>
      </c>
      <c r="G18" s="526">
        <f>VLOOKUP($X$1,TeamAd_Season[[TEAM]:[DREB%]],13,FALSE)</f>
        <v>75.900000000000006</v>
      </c>
      <c r="H18" s="520">
        <f>RANK(G18,TeamAd_Season[DREB%])</f>
        <v>28</v>
      </c>
      <c r="M18" s="142" t="s">
        <v>273</v>
      </c>
      <c r="N18" s="524">
        <f>VLOOKUP($X$2,TeamAd_Season[[TEAM]:[PIE]],16,FALSE)</f>
        <v>50.8</v>
      </c>
      <c r="O18" s="520">
        <f>RANK(N18,TeamAd_Season[eFG%])</f>
        <v>24</v>
      </c>
      <c r="Q18" s="147" t="s">
        <v>1020</v>
      </c>
      <c r="R18" s="526">
        <f>VLOOKUP($X$2,TeamAd_Season[[TEAM]:[DREB%]],13,FALSE)</f>
        <v>78.7</v>
      </c>
      <c r="S18" s="520">
        <f>RANK(R18,TeamAd_Season[DREB%])</f>
        <v>7</v>
      </c>
      <c r="X18" s="507" t="str">
        <f t="array" ref="X18">IF(ROWS(X$5:X18)&gt;$Q$3,"",INDEX('Player Salaries'!B$5:B$672,SMALL(IF('Player Salaries'!$C$5:$C$672=$P$3,ROW('Player Salaries'!$C$5:$C$672)-ROW('Player Salaries'!$E$5)+1),ROWS(X$5:X18))))</f>
        <v>Bryn Forbes</v>
      </c>
      <c r="Y18" s="507">
        <f>IFERROR(VLOOKUP(X18,Player_Per_Game[[Player]:[PS/G]],29,FALSE),"")</f>
        <v>7.2</v>
      </c>
      <c r="Z18" s="507">
        <f>IFERROR(VLOOKUP(X18,Player_Advanced[[Player]:[DBPM]],24,FALSE),"")</f>
        <v>-1.6</v>
      </c>
    </row>
    <row r="19" spans="2:28">
      <c r="B19" s="142" t="s">
        <v>1036</v>
      </c>
      <c r="C19" s="524">
        <f>VLOOKUP($X$1,TeamAd_Season[[TEAM]:[PIE]],18,FALSE)</f>
        <v>98.05</v>
      </c>
      <c r="D19" s="520">
        <f>RANK(C19,TeamAd_Season[PACE])</f>
        <v>24</v>
      </c>
      <c r="F19" s="147" t="s">
        <v>1048</v>
      </c>
      <c r="G19" s="527">
        <f>VLOOKUP($A$1,'Team Stats'!$V$5:$AU$34,24,FALSE)</f>
        <v>15.1</v>
      </c>
      <c r="H19" s="528">
        <f>RANK(G19,Opponent_Per_Game[TOV])</f>
        <v>5</v>
      </c>
      <c r="M19" s="142" t="s">
        <v>1036</v>
      </c>
      <c r="N19" s="524">
        <f>VLOOKUP($X$2,TeamAd_Season[[TEAM]:[PIE]],18,FALSE)</f>
        <v>97.24</v>
      </c>
      <c r="O19" s="520">
        <f>RANK(N19,TeamAd_Season[PACE])</f>
        <v>28</v>
      </c>
      <c r="Q19" s="147" t="s">
        <v>1048</v>
      </c>
      <c r="R19" s="527">
        <f>VLOOKUP($M$5,'Team Stats'!$V$5:$AU$34,24,FALSE)</f>
        <v>14.1</v>
      </c>
      <c r="S19" s="528">
        <f>RANK(R19,Opponent_Per_Game[TOV])</f>
        <v>18</v>
      </c>
      <c r="X19" s="507" t="str">
        <f t="array" ref="X19">IF(ROWS(X$5:X19)&gt;$Q$3,"",INDEX('Player Salaries'!B$5:B$672,SMALL(IF('Player Salaries'!$C$5:$C$672=$P$3,ROW('Player Salaries'!$C$5:$C$672)-ROW('Player Salaries'!$E$5)+1),ROWS(X$5:X19))))</f>
        <v>Davis Bertans</v>
      </c>
      <c r="Y19" s="507">
        <f>IFERROR(VLOOKUP(X19,Player_Per_Game[[Player]:[PS/G]],29,FALSE),"")</f>
        <v>6.4</v>
      </c>
      <c r="Z19" s="507">
        <f>IFERROR(VLOOKUP(X19,Player_Advanced[[Player]:[DBPM]],24,FALSE),"")</f>
        <v>0</v>
      </c>
    </row>
    <row r="20" spans="2:28">
      <c r="B20" s="142" t="s">
        <v>1037</v>
      </c>
      <c r="C20" s="524">
        <f>VLOOKUP($X$1,TeamAd_Season[[TEAM]:[PIE]],19,FALSE)</f>
        <v>51.8</v>
      </c>
      <c r="D20" s="520">
        <f>RANK(C20,TeamAd_Season[PIE])</f>
        <v>9</v>
      </c>
      <c r="F20" s="146" t="s">
        <v>247</v>
      </c>
      <c r="G20" s="529">
        <f>VLOOKUP($A$1,'Team Stats'!$V$5:$AU$34,23,FALSE)</f>
        <v>4.7</v>
      </c>
      <c r="H20" s="520">
        <f>RANK(G20,Team_Per_Game_Stats_Table[BLK])</f>
        <v>16</v>
      </c>
      <c r="M20" s="142" t="s">
        <v>1037</v>
      </c>
      <c r="N20" s="524">
        <f>VLOOKUP($X$2,TeamAd_Season[[TEAM]:[PIE]],19,FALSE)</f>
        <v>52.9</v>
      </c>
      <c r="O20" s="520">
        <f>RANK(N20,TeamAd_Season[PIE])</f>
        <v>4</v>
      </c>
      <c r="Q20" s="146" t="s">
        <v>247</v>
      </c>
      <c r="R20" s="529">
        <f>VLOOKUP($M$5,'Team Stats'!$V$5:$AU$34,23,FALSE)</f>
        <v>3.9</v>
      </c>
      <c r="S20" s="520" t="e">
        <f>RANK(R20,Team_Per_Game_Stats_Table[BLK])</f>
        <v>#N/A</v>
      </c>
      <c r="X20" s="507" t="str">
        <f t="array" ref="X20">IF(ROWS(X$5:X20)&gt;$Q$3,"",INDEX('Player Salaries'!B$5:B$672,SMALL(IF('Player Salaries'!$C$5:$C$672=$P$3,ROW('Player Salaries'!$C$5:$C$672)-ROW('Player Salaries'!$E$5)+1),ROWS(X$5:X20))))</f>
        <v>Livio Jean-Charles</v>
      </c>
      <c r="Y20" s="507" t="str">
        <f>IFERROR(VLOOKUP(X20,Player_Per_Game[[Player]:[PS/G]],29,FALSE),"")</f>
        <v/>
      </c>
      <c r="Z20" s="507" t="str">
        <f>IFERROR(VLOOKUP(X20,Player_Advanced[[Player]:[DBPM]],24,FALSE),"")</f>
        <v/>
      </c>
    </row>
    <row r="21" spans="2:28" ht="15.75" thickBot="1">
      <c r="B21" s="146" t="s">
        <v>1181</v>
      </c>
      <c r="C21" s="525">
        <f>VLOOKUP($X$1,'Team Stats'!V5:AU34,25,FALSE)</f>
        <v>20.7</v>
      </c>
      <c r="D21" s="523">
        <f>RANK(C21,Opponent_Per_Game[PF])</f>
        <v>8</v>
      </c>
      <c r="F21" s="146" t="s">
        <v>248</v>
      </c>
      <c r="G21" s="529">
        <f>VLOOKUP($A$1,'Team Stats'!$V$5:$AU$34,22,FALSE)</f>
        <v>6.4</v>
      </c>
      <c r="H21" s="520" t="e">
        <f>RANK(G21,Team_Per_Game_Stats_Table[STL])</f>
        <v>#N/A</v>
      </c>
      <c r="M21" s="146" t="s">
        <v>1181</v>
      </c>
      <c r="N21" s="525">
        <f>VLOOKUP($X$2,'Team Stats'!V5:AU34,25,FALSE)</f>
        <v>19.5</v>
      </c>
      <c r="O21" s="523">
        <f>RANK(N21,Opponent_Per_Game[PF])</f>
        <v>20</v>
      </c>
      <c r="Q21" s="146" t="s">
        <v>248</v>
      </c>
      <c r="R21" s="529">
        <f>VLOOKUP($M$5,'Team Stats'!$V$5:$AU$34,22,FALSE)</f>
        <v>7.7</v>
      </c>
      <c r="S21" s="520" t="e">
        <f>RANK(R21,Team_Per_Game_Stats_Table[STL])</f>
        <v>#N/A</v>
      </c>
      <c r="X21" s="507" t="str">
        <f t="array" ref="X21">IF(ROWS(X$5:X21)&gt;$Q$3,"",INDEX('Player Salaries'!B$5:B$672,SMALL(IF('Player Salaries'!$C$5:$C$672=$P$3,ROW('Player Salaries'!$C$5:$C$672)-ROW('Player Salaries'!$E$5)+1),ROWS(X$5:X21))))</f>
        <v>Brandon Paul</v>
      </c>
      <c r="Y21" s="507">
        <f>IFERROR(VLOOKUP(X21,Player_Per_Game[[Player]:[PS/G]],29,FALSE),"")</f>
        <v>2.2999999999999998</v>
      </c>
      <c r="Z21" s="507">
        <f>IFERROR(VLOOKUP(X21,Player_Advanced[[Player]:[DBPM]],24,FALSE),"")</f>
        <v>1.4</v>
      </c>
    </row>
    <row r="22" spans="2:28" ht="15.75" thickBot="1">
      <c r="F22" s="121" t="s">
        <v>38</v>
      </c>
      <c r="G22" s="530">
        <f>VLOOKUP($A$1,'Team Stats'!$V$40:$AU$69,25,FALSE)</f>
        <v>18.100000000000001</v>
      </c>
      <c r="H22" s="531">
        <f>31-RANK(G22,Team_Per_Game_Stats_Table[PF])</f>
        <v>3</v>
      </c>
      <c r="Q22" s="121" t="s">
        <v>38</v>
      </c>
      <c r="R22" s="530">
        <f>VLOOKUP($M$5,'Team Stats'!V40:AU69,25,FALSE)</f>
        <v>17</v>
      </c>
      <c r="S22" s="531">
        <f>31-RANK(R22,Team_Per_Game_Stats_Table[PF])</f>
        <v>1</v>
      </c>
      <c r="X22" s="507" t="str">
        <f t="array" ref="X22">IF(ROWS(X$5:X22)&gt;$Q$3,"",INDEX('Player Salaries'!B$5:B$672,SMALL(IF('Player Salaries'!$C$5:$C$672=$P$3,ROW('Player Salaries'!$C$5:$C$672)-ROW('Player Salaries'!$E$5)+1),ROWS(X$5:X22))))</f>
        <v/>
      </c>
      <c r="Y22" s="507" t="str">
        <f>IFERROR(VLOOKUP(X22,Player_Per_Game[[Player]:[PS/G]],29,FALSE),"")</f>
        <v/>
      </c>
      <c r="Z22" s="507" t="str">
        <f>IFERROR(VLOOKUP(X22,Player_Advanced[[Player]:[DBPM]],24,FALSE),"")</f>
        <v/>
      </c>
      <c r="AB22" t="s">
        <v>1186</v>
      </c>
    </row>
    <row r="23" spans="2:28">
      <c r="X23" s="507" t="str">
        <f t="array" ref="X23">IF(ROWS(X$5:X23)&gt;$Q$3,"",INDEX('Player Salaries'!B$5:B$672,SMALL(IF('Player Salaries'!$C$5:$C$672=$P$3,ROW('Player Salaries'!$C$5:$C$672)-ROW('Player Salaries'!$E$5)+1),ROWS(X$5:X23))))</f>
        <v/>
      </c>
      <c r="Y23" s="507" t="str">
        <f>IFERROR(VLOOKUP(X23,Player_Per_Game[[Player]:[PS/G]],29,FALSE),"")</f>
        <v/>
      </c>
      <c r="Z23" s="507" t="str">
        <f>IFERROR(VLOOKUP(X23,Player_Advanced[[Player]:[DBPM]],24,FALSE),"")</f>
        <v/>
      </c>
    </row>
    <row r="24" spans="2:28">
      <c r="B24" s="328" t="s">
        <v>1184</v>
      </c>
      <c r="C24" s="329"/>
      <c r="D24" s="376" t="s">
        <v>16</v>
      </c>
      <c r="G24" s="328" t="s">
        <v>1185</v>
      </c>
      <c r="H24" s="91"/>
      <c r="I24" s="376" t="s">
        <v>669</v>
      </c>
      <c r="M24" s="328" t="s">
        <v>1184</v>
      </c>
      <c r="N24" s="329"/>
      <c r="O24" s="376" t="s">
        <v>16</v>
      </c>
      <c r="R24" s="328" t="s">
        <v>1185</v>
      </c>
      <c r="S24" s="91"/>
      <c r="T24" s="376" t="s">
        <v>669</v>
      </c>
      <c r="X24" s="507" t="str">
        <f t="array" ref="X24">IF(ROWS(X$5:X24)&gt;$Q$3,"",INDEX('Player Salaries'!B$5:B$672,SMALL(IF('Player Salaries'!$C$5:$C$672=$P$3,ROW('Player Salaries'!$C$5:$C$672)-ROW('Player Salaries'!$E$5)+1),ROWS(X$5:X24))))</f>
        <v/>
      </c>
      <c r="Y24" s="507" t="str">
        <f>IFERROR(VLOOKUP(X24,Player_Per_Game[[Player]:[PS/G]],29,FALSE),"")</f>
        <v/>
      </c>
      <c r="Z24" s="507" t="str">
        <f>IFERROR(VLOOKUP(X24,Player_Advanced[[Player]:[DBPM]],24,FALSE),"")</f>
        <v/>
      </c>
    </row>
    <row r="25" spans="2:28">
      <c r="B25" s="532" t="str">
        <f t="array" ref="B25">INDEX('Team Shooting'!$P$7:$P$30,MATCH(1,INDEX(('Team Shooting'!$AE$7:$AE$30=LARGE('Team Shooting'!$AE$7:$AE$30,ROWS(B$24:B24)))*(COUNTIF(B$24:B24,'Team Shooting'!$P$7:$P$30)=0),),0))</f>
        <v>Jimmy Butler</v>
      </c>
      <c r="C25" s="375"/>
      <c r="D25" s="535">
        <f>VLOOKUP(B25,'Team Shooting'!$P$7:$AE$30,16,FALSE)</f>
        <v>22.2</v>
      </c>
      <c r="G25" s="532" t="str">
        <f t="array" ref="G25">INDEX('Team Shooting'!$P$7:$P$30,MATCH(1,INDEX(('Team Shooting'!$AG$7:$AG$30=LARGE('Team Shooting'!$AG$7:$AG$30,ROWS(G$24:G24)))*(COUNTIF(G$24:G24,'Team Shooting'!$P$7:$P$30)=0),),0))</f>
        <v>Karl-Anthony Towns</v>
      </c>
      <c r="H25" s="375"/>
      <c r="I25" s="535">
        <f>VLOOKUP(G25,'Team Shooting'!$P$7:$AG$30,18,FALSE)</f>
        <v>1</v>
      </c>
      <c r="M25" s="538" t="str">
        <f t="array" ref="M25">INDEX($X$5:$X$27,MATCH(1,INDEX(($Y$5:$Y$27=LARGE($Y$5:$Y$27,ROWS(M$24:M24)))*(COUNTIF(M$24:M24,$X$5:$X$27)=0),),0))</f>
        <v>LaMarcus Aldridge</v>
      </c>
      <c r="N25" s="375"/>
      <c r="O25" s="535">
        <f>VLOOKUP(M25,$X$5:$Y$27,2,FALSE)</f>
        <v>22.7</v>
      </c>
      <c r="R25" s="532" t="str">
        <f t="array" ref="R25">IFERROR(INDEX($X$5:$X$27,MATCH(1,INDEX(($Z$5:$Z$27=LARGE($Z$5:$Z$27,ROWS(M$24:M24)))*(COUNTIF(M$24:M24,$X$5:$X$27)=0),),0)),"")</f>
        <v>Kyle Anderson</v>
      </c>
      <c r="S25" s="375"/>
      <c r="T25" s="535">
        <f t="shared" ref="T25:T28" si="0">IFERROR(VLOOKUP(R25,$X$5:$Z$27,3,FALSE),"")</f>
        <v>4.5999999999999996</v>
      </c>
      <c r="X25" s="507" t="str">
        <f t="array" ref="X25">IF(ROWS(X$5:X25)&gt;$Q$3,"",INDEX('Player Salaries'!B$5:B$672,SMALL(IF('Player Salaries'!$C$5:$C$672=$P$3,ROW('Player Salaries'!$C$5:$C$672)-ROW('Player Salaries'!$E$5)+1),ROWS(X$5:X25))))</f>
        <v/>
      </c>
      <c r="Y25" s="507" t="str">
        <f>IFERROR(VLOOKUP(X25,Player_Per_Game[[Player]:[PS/G]],29,FALSE),"")</f>
        <v/>
      </c>
      <c r="Z25" s="507" t="str">
        <f>IFERROR(VLOOKUP(X25,Player_Advanced[[Player]:[DBPM]],24,FALSE),"")</f>
        <v/>
      </c>
    </row>
    <row r="26" spans="2:28">
      <c r="B26" s="533" t="str">
        <f t="array" ref="B26">INDEX('Team Shooting'!$P$7:$P$30,MATCH(1,INDEX(('Team Shooting'!$AE$7:$AE$30=LARGE('Team Shooting'!$AE$7:$AE$30,ROWS(B$24:B25)))*(COUNTIF(B$24:B25,'Team Shooting'!$P$7:$P$30)=0),),0))</f>
        <v>Karl-Anthony Towns</v>
      </c>
      <c r="C26" s="75"/>
      <c r="D26" s="536">
        <f>VLOOKUP(B26,'Team Shooting'!$P$7:$AE$30,16,FALSE)</f>
        <v>20.7</v>
      </c>
      <c r="G26" s="533" t="str">
        <f t="array" ref="G26">INDEX('Team Shooting'!$P$7:$P$30,MATCH(1,INDEX(('Team Shooting'!$AG$7:$AG$30=LARGE('Team Shooting'!$AG$7:$AG$30,ROWS(G$24:G25)))*(COUNTIF(G$24:G25,'Team Shooting'!$P$7:$P$30)=0),),0))</f>
        <v>Gorgui Dieng</v>
      </c>
      <c r="H26" s="75"/>
      <c r="I26" s="536">
        <f>VLOOKUP(G26,'Team Shooting'!$P$7:$AG$30,18,FALSE)</f>
        <v>0.4</v>
      </c>
      <c r="M26" s="539" t="str">
        <f t="array" ref="M26">INDEX($X$5:$X$27,MATCH(1,INDEX(($Y$5:$Y$27=LARGE($Y$5:$Y$27,ROWS(M$24:M25)))*(COUNTIF(M$24:M25,$X$5:$X$27)=0),),0))</f>
        <v>Kawhi Leonard</v>
      </c>
      <c r="N26" s="75"/>
      <c r="O26" s="536">
        <f t="shared" ref="O26:O29" si="1">VLOOKUP(M26,$X$5:$Y$27,2,FALSE)</f>
        <v>16.2</v>
      </c>
      <c r="R26" s="533" t="str">
        <f t="array" ref="R26">IFERROR(INDEX($X$5:$X$27,MATCH(1,INDEX(($Z$5:$Z$27=LARGE($Z$5:$Z$27,ROWS(M$24:M25)))*(COUNTIF(M$24:M25,$X$5:$X$27)=0),),0)),"")</f>
        <v>Pau Gasol</v>
      </c>
      <c r="S26" s="75"/>
      <c r="T26" s="536">
        <f t="shared" si="0"/>
        <v>3.5</v>
      </c>
      <c r="Z26" s="507" t="str">
        <f>IFERROR(VLOOKUP(X26,Player_Advanced[[Player]:[DBPM]],24,FALSE),"")</f>
        <v/>
      </c>
    </row>
    <row r="27" spans="2:28">
      <c r="B27" s="533" t="str">
        <f t="array" ref="B27">INDEX('Team Shooting'!$P$7:$P$30,MATCH(1,INDEX(('Team Shooting'!$AE$7:$AE$30=LARGE('Team Shooting'!$AE$7:$AE$30,ROWS(B$24:B26)))*(COUNTIF(B$24:B26,'Team Shooting'!$P$7:$P$30)=0),),0))</f>
        <v>Andrew Wiggins</v>
      </c>
      <c r="C27" s="75"/>
      <c r="D27" s="536">
        <f>VLOOKUP(B27,'Team Shooting'!$P$7:$AE$30,16,FALSE)</f>
        <v>18</v>
      </c>
      <c r="F27" s="4"/>
      <c r="G27" s="533" t="str">
        <f t="array" ref="G27">INDEX('Team Shooting'!$P$7:$P$30,MATCH(1,INDEX(('Team Shooting'!$AG$7:$AG$30=LARGE('Team Shooting'!$AG$7:$AG$30,ROWS(G$24:G26)))*(COUNTIF(G$24:G26,'Team Shooting'!$P$7:$P$30)=0),),0))</f>
        <v>Taj Gibson</v>
      </c>
      <c r="H27" s="75"/>
      <c r="I27" s="536">
        <f>VLOOKUP(G27,'Team Shooting'!$P$7:$AG$30,18,FALSE)</f>
        <v>0.2</v>
      </c>
      <c r="M27" s="539" t="str">
        <f t="array" ref="M27">INDEX($X$5:$X$27,MATCH(1,INDEX(($Y$5:$Y$27=LARGE($Y$5:$Y$27,ROWS(M$24:M26)))*(COUNTIF(M$24:M26,$X$5:$X$27)=0),),0))</f>
        <v>Rudy Gay</v>
      </c>
      <c r="N27" s="75"/>
      <c r="O27" s="536">
        <f t="shared" si="1"/>
        <v>11.2</v>
      </c>
      <c r="Q27" s="4"/>
      <c r="R27" s="533" t="str">
        <f t="array" ref="R27">IFERROR(INDEX($X$5:$X$27,MATCH(1,INDEX(($Z$5:$Z$27=LARGE($Z$5:$Z$27,ROWS(M$24:M26)))*(COUNTIF(M$24:M26,$X$5:$X$27)=0),),0)),"")</f>
        <v>Pau Gasol</v>
      </c>
      <c r="S27" s="75"/>
      <c r="T27" s="536">
        <f t="shared" si="0"/>
        <v>3.5</v>
      </c>
    </row>
    <row r="28" spans="2:28">
      <c r="B28" s="533" t="str">
        <f t="array" ref="B28">INDEX('Team Shooting'!$P$7:$P$30,MATCH(1,INDEX(('Team Shooting'!$AE$7:$AE$30=LARGE('Team Shooting'!$AE$7:$AE$30,ROWS(B$24:B27)))*(COUNTIF(B$24:B27,'Team Shooting'!$P$7:$P$30)=0),),0))</f>
        <v>Jeff Teague</v>
      </c>
      <c r="C28" s="75"/>
      <c r="D28" s="536">
        <f>VLOOKUP(B28,'Team Shooting'!$P$7:$AE$30,16,FALSE)</f>
        <v>13.8</v>
      </c>
      <c r="G28" s="533" t="str">
        <f t="array" ref="G28">INDEX('Team Shooting'!$P$7:$P$30,MATCH(1,INDEX(('Team Shooting'!$AG$7:$AG$30=LARGE('Team Shooting'!$AG$7:$AG$30,ROWS(G$24:G27)))*(COUNTIF(G$24:G27,'Team Shooting'!$P$7:$P$30)=0),),0))</f>
        <v>Jimmy Butler</v>
      </c>
      <c r="H28" s="75"/>
      <c r="I28" s="536">
        <f>VLOOKUP(G28,'Team Shooting'!$P$7:$AG$30,18,FALSE)</f>
        <v>0</v>
      </c>
      <c r="M28" s="539" t="str">
        <f t="array" ref="M28">INDEX($X$5:$X$27,MATCH(1,INDEX(($Y$5:$Y$27=LARGE($Y$5:$Y$27,ROWS(M$24:M27)))*(COUNTIF(M$24:M27,$X$5:$X$27)=0),),0))</f>
        <v>Pau Gasol</v>
      </c>
      <c r="N28" s="75"/>
      <c r="O28" s="536">
        <f t="shared" si="1"/>
        <v>10.4</v>
      </c>
      <c r="R28" s="533" t="str">
        <f t="array" ref="R28">IFERROR(INDEX($X$5:$X$27,MATCH(1,INDEX(($Z$5:$Z$27=LARGE($Z$5:$Z$27,ROWS(M$24:M27)))*(COUNTIF(M$24:M27,$X$5:$X$27)=0),),0)),"")</f>
        <v/>
      </c>
      <c r="S28" s="75"/>
      <c r="T28" s="536" t="str">
        <f t="shared" si="0"/>
        <v/>
      </c>
    </row>
    <row r="29" spans="2:28" ht="15.75" thickBot="1">
      <c r="B29" s="534" t="str">
        <f t="array" ref="B29">INDEX('Team Shooting'!$P$7:$P$30,MATCH(1,INDEX(('Team Shooting'!$AE$7:$AE$30=LARGE('Team Shooting'!$AE$7:$AE$30,ROWS(B$24:B28)))*(COUNTIF(B$24:B28,'Team Shooting'!$P$7:$P$30)=0),),0))</f>
        <v>Taj Gibson</v>
      </c>
      <c r="C29" s="377"/>
      <c r="D29" s="537">
        <f>VLOOKUP(B29,'Team Shooting'!$P$7:$AE$30,16,FALSE)</f>
        <v>12.2</v>
      </c>
      <c r="G29" s="534" t="str">
        <f t="array" ref="G29">INDEX('Team Shooting'!$P$7:$P$30,MATCH(1,INDEX(('Team Shooting'!$AG$7:$AG$30=LARGE('Team Shooting'!$AG$7:$AG$30,ROWS(G$24:G28)))*(COUNTIF(G$24:G28,'Team Shooting'!$P$7:$P$30)=0),),0))</f>
        <v>Cole Aldrich</v>
      </c>
      <c r="H29" s="377"/>
      <c r="I29" s="537">
        <f>VLOOKUP(G29,'Team Shooting'!$P$7:$AG$30,18,FALSE)</f>
        <v>-0.3</v>
      </c>
      <c r="M29" s="540" t="str">
        <f t="array" ref="M29">INDEX($X$5:$X$27,MATCH(1,INDEX(($Y$5:$Y$27=LARGE($Y$5:$Y$27,ROWS(M$24:M28)))*(COUNTIF(M$24:M28,$X$5:$X$27)=0),),0))</f>
        <v>Patty Mills</v>
      </c>
      <c r="N29" s="377"/>
      <c r="O29" s="537">
        <f t="shared" si="1"/>
        <v>9.6</v>
      </c>
      <c r="R29" s="534" t="str">
        <f t="array" ref="R29">IFERROR(INDEX($X$5:$X$27,MATCH(1,INDEX(($Z$5:$Z$27=LARGE($Z$5:$Z$27,ROWS(M$24:M28)))*(COUNTIF(M$24:M28,$X$5:$X$27)=0),),0)),"")</f>
        <v>Danny Green</v>
      </c>
      <c r="S29" s="377"/>
      <c r="T29" s="537">
        <f>IFERROR(VLOOKUP(R29,$X$5:$Z$27,3,FALSE),"")</f>
        <v>2.5</v>
      </c>
    </row>
    <row r="30" spans="2:28">
      <c r="M30" s="60"/>
    </row>
    <row r="31" spans="2:28">
      <c r="I31" s="374"/>
    </row>
    <row r="34" spans="7:7">
      <c r="G34" s="109"/>
    </row>
    <row r="35" spans="7:7">
      <c r="G35" s="109"/>
    </row>
    <row r="36" spans="7:7">
      <c r="G36" s="109"/>
    </row>
  </sheetData>
  <mergeCells count="18">
    <mergeCell ref="M4:O4"/>
    <mergeCell ref="A1:C3"/>
    <mergeCell ref="G13:H13"/>
    <mergeCell ref="B7:C7"/>
    <mergeCell ref="D7:E7"/>
    <mergeCell ref="F7:G7"/>
    <mergeCell ref="O7:P7"/>
    <mergeCell ref="C14:D14"/>
    <mergeCell ref="B5:D5"/>
    <mergeCell ref="R13:S13"/>
    <mergeCell ref="H7:I7"/>
    <mergeCell ref="G14:H14"/>
    <mergeCell ref="R14:S14"/>
    <mergeCell ref="Q7:R7"/>
    <mergeCell ref="S7:T7"/>
    <mergeCell ref="M5:O5"/>
    <mergeCell ref="N14:O14"/>
    <mergeCell ref="M7:N7"/>
  </mergeCells>
  <conditionalFormatting sqref="A1">
    <cfRule type="containsText" dxfId="228" priority="32" operator="containsText" text="Washington Wizards">
      <formula>NOT(ISERROR(SEARCH("Washington Wizards",A1)))</formula>
    </cfRule>
    <cfRule type="containsText" dxfId="227" priority="33" operator="containsText" text="Utah Jazz">
      <formula>NOT(ISERROR(SEARCH("Utah Jazz",A1)))</formula>
    </cfRule>
    <cfRule type="containsText" dxfId="226" priority="34" operator="containsText" text="Toronto Raptors">
      <formula>NOT(ISERROR(SEARCH("Toronto Raptors",A1)))</formula>
    </cfRule>
    <cfRule type="containsText" dxfId="225" priority="35" operator="containsText" text="San Antonio Spurs">
      <formula>NOT(ISERROR(SEARCH("San Antonio Spurs",A1)))</formula>
    </cfRule>
    <cfRule type="containsText" dxfId="224" priority="36" operator="containsText" text="Sacramento Kings">
      <formula>NOT(ISERROR(SEARCH("Sacramento Kings",A1)))</formula>
    </cfRule>
    <cfRule type="containsText" dxfId="223" priority="37" operator="containsText" text="Portland Trail Blazers">
      <formula>NOT(ISERROR(SEARCH("Portland Trail Blazers",A1)))</formula>
    </cfRule>
    <cfRule type="containsText" dxfId="222" priority="38" operator="containsText" text="Phoenix Suns">
      <formula>NOT(ISERROR(SEARCH("Phoenix Suns",A1)))</formula>
    </cfRule>
    <cfRule type="containsText" dxfId="221" priority="39" operator="containsText" text="Philadelphia 76ers">
      <formula>NOT(ISERROR(SEARCH("Philadelphia 76ers",A1)))</formula>
    </cfRule>
    <cfRule type="containsText" dxfId="220" priority="40" operator="containsText" text="Orlando Magic">
      <formula>NOT(ISERROR(SEARCH("Orlando Magic",A1)))</formula>
    </cfRule>
    <cfRule type="containsText" dxfId="219" priority="41" operator="containsText" text="Oklahoma City Thunder">
      <formula>NOT(ISERROR(SEARCH("Oklahoma City Thunder",A1)))</formula>
    </cfRule>
    <cfRule type="containsText" dxfId="218" priority="42" operator="containsText" text="New York Knicks">
      <formula>NOT(ISERROR(SEARCH("New York Knicks",A1)))</formula>
    </cfRule>
    <cfRule type="containsText" dxfId="217" priority="43" operator="containsText" text="New Orleans Pelicans">
      <formula>NOT(ISERROR(SEARCH("New Orleans Pelicans",A1)))</formula>
    </cfRule>
    <cfRule type="containsText" dxfId="216" priority="44" operator="containsText" text="Minnesota Timberwolves">
      <formula>NOT(ISERROR(SEARCH("Minnesota Timberwolves",A1)))</formula>
    </cfRule>
    <cfRule type="containsText" dxfId="215" priority="45" operator="containsText" text="MIlwaukee Bucks">
      <formula>NOT(ISERROR(SEARCH("MIlwaukee Bucks",A1)))</formula>
    </cfRule>
    <cfRule type="containsText" dxfId="214" priority="46" operator="containsText" text="Miami Heat">
      <formula>NOT(ISERROR(SEARCH("Miami Heat",A1)))</formula>
    </cfRule>
    <cfRule type="containsText" dxfId="213" priority="47" operator="containsText" text="Memphis Grizzlies">
      <formula>NOT(ISERROR(SEARCH("Memphis Grizzlies",A1)))</formula>
    </cfRule>
    <cfRule type="containsText" dxfId="212" priority="48" operator="containsText" text="Los Angeles Lakers">
      <formula>NOT(ISERROR(SEARCH("Los Angeles Lakers",A1)))</formula>
    </cfRule>
    <cfRule type="containsText" dxfId="211" priority="49" operator="containsText" text="Los Angeles Clippers">
      <formula>NOT(ISERROR(SEARCH("Los Angeles Clippers",A1)))</formula>
    </cfRule>
    <cfRule type="containsText" dxfId="210" priority="50" operator="containsText" text="Indiana Pacers">
      <formula>NOT(ISERROR(SEARCH("Indiana Pacers",A1)))</formula>
    </cfRule>
    <cfRule type="containsText" dxfId="209" priority="51" operator="containsText" text="Houston Rockets">
      <formula>NOT(ISERROR(SEARCH("Houston Rockets",A1)))</formula>
    </cfRule>
    <cfRule type="containsText" dxfId="208" priority="52" operator="containsText" text="Golden State Warriors">
      <formula>NOT(ISERROR(SEARCH("Golden State Warriors",A1)))</formula>
    </cfRule>
    <cfRule type="containsText" dxfId="207" priority="53" operator="containsText" text="Detroit Pistons">
      <formula>NOT(ISERROR(SEARCH("Detroit Pistons",A1)))</formula>
    </cfRule>
    <cfRule type="containsText" dxfId="206" priority="54" operator="containsText" text="Dallas Mavericks">
      <formula>NOT(ISERROR(SEARCH("Dallas Mavericks",A1)))</formula>
    </cfRule>
    <cfRule type="containsText" dxfId="205" priority="55" operator="containsText" text="Atlanta Hawks">
      <formula>NOT(ISERROR(SEARCH("Atlanta Hawks",A1)))</formula>
    </cfRule>
    <cfRule type="containsText" dxfId="204" priority="56" operator="containsText" text="Boston Celtics">
      <formula>NOT(ISERROR(SEARCH("Boston Celtics",A1)))</formula>
    </cfRule>
    <cfRule type="containsText" dxfId="203" priority="57" operator="containsText" text="Brooklyn Nets">
      <formula>NOT(ISERROR(SEARCH("Brooklyn Nets",A1)))</formula>
    </cfRule>
    <cfRule type="containsText" dxfId="202" priority="58" operator="containsText" text="Chicago Bulls">
      <formula>NOT(ISERROR(SEARCH("Chicago Bulls",A1)))</formula>
    </cfRule>
    <cfRule type="containsText" dxfId="201" priority="59" operator="containsText" text="Cleveland Cavaliers">
      <formula>NOT(ISERROR(SEARCH("Cleveland Cavaliers",A1)))</formula>
    </cfRule>
    <cfRule type="containsText" dxfId="200" priority="60" operator="containsText" text="Denver Nuggets">
      <formula>NOT(ISERROR(SEARCH("Denver Nuggets",A1)))</formula>
    </cfRule>
  </conditionalFormatting>
  <conditionalFormatting sqref="A1">
    <cfRule type="containsText" dxfId="199" priority="31" operator="containsText" text="Charlotte Hornets">
      <formula>NOT(ISERROR(SEARCH("Charlotte Hornets",A1)))</formula>
    </cfRule>
  </conditionalFormatting>
  <pageMargins left="0.7" right="0.7" top="0.75" bottom="0.75" header="0.3" footer="0.3"/>
  <pageSetup orientation="portrait" r:id="rId1"/>
  <ignoredErrors>
    <ignoredError sqref="A1:XFD1048576" unlockedFormula="1"/>
  </ignoredErrors>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300-000000000000}">
          <x14:formula1>
            <xm:f>'Referenced Lists'!$A$2:$A$31</xm:f>
          </x14:formula1>
          <xm:sqref>M5:O5</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tabColor rgb="FF92D050"/>
  </sheetPr>
  <dimension ref="A1:AZ122"/>
  <sheetViews>
    <sheetView workbookViewId="0">
      <pane xSplit="34" ySplit="3" topLeftCell="AI4" activePane="bottomRight" state="frozen"/>
      <selection pane="topRight" activeCell="B1" sqref="B1"/>
      <selection pane="bottomLeft" activeCell="A2" sqref="A2"/>
      <selection pane="bottomRight" activeCell="K25" sqref="K25"/>
    </sheetView>
  </sheetViews>
  <sheetFormatPr defaultColWidth="8.85546875" defaultRowHeight="15"/>
  <cols>
    <col min="1" max="1" width="24.7109375" bestFit="1" customWidth="1"/>
    <col min="2" max="2" width="8.28515625" bestFit="1" customWidth="1"/>
    <col min="3" max="3" width="7.140625" bestFit="1" customWidth="1"/>
    <col min="4" max="4" width="6.85546875" bestFit="1" customWidth="1"/>
    <col min="5" max="5" width="6.5703125" bestFit="1" customWidth="1"/>
    <col min="6" max="6" width="7.7109375" style="2" bestFit="1" customWidth="1"/>
    <col min="7" max="7" width="8.85546875" bestFit="1" customWidth="1"/>
    <col min="8" max="8" width="6" bestFit="1" customWidth="1"/>
    <col min="9" max="9" width="7.85546875" bestFit="1" customWidth="1"/>
    <col min="10" max="11" width="7.140625" bestFit="1" customWidth="1"/>
    <col min="12" max="12" width="7.28515625" bestFit="1" customWidth="1"/>
    <col min="13" max="13" width="7" bestFit="1" customWidth="1"/>
    <col min="14" max="14" width="7.140625" bestFit="1" customWidth="1"/>
    <col min="15" max="15" width="8.85546875" bestFit="1" customWidth="1"/>
    <col min="16" max="19" width="19.28515625" bestFit="1" customWidth="1"/>
    <col min="20" max="20" width="19.28515625" style="22" bestFit="1" customWidth="1"/>
    <col min="21" max="21" width="19.28515625" bestFit="1" customWidth="1"/>
    <col min="22" max="27" width="11.140625" bestFit="1" customWidth="1"/>
    <col min="28" max="33" width="12.140625" bestFit="1" customWidth="1"/>
    <col min="34" max="34" width="25.42578125" style="4" bestFit="1" customWidth="1"/>
    <col min="35" max="35" width="8.140625" bestFit="1" customWidth="1"/>
    <col min="36" max="36" width="7" bestFit="1" customWidth="1"/>
    <col min="37" max="37" width="6.7109375" bestFit="1" customWidth="1"/>
    <col min="38" max="38" width="6.42578125" bestFit="1" customWidth="1"/>
    <col min="39" max="39" width="7.42578125" style="2" bestFit="1" customWidth="1"/>
    <col min="40" max="40" width="9.28515625" bestFit="1" customWidth="1"/>
    <col min="41" max="41" width="5.85546875" bestFit="1" customWidth="1"/>
    <col min="42" max="42" width="7.7109375" bestFit="1" customWidth="1"/>
    <col min="43" max="44" width="7" bestFit="1" customWidth="1"/>
    <col min="45" max="45" width="7.140625" bestFit="1" customWidth="1"/>
    <col min="46" max="46" width="6.85546875" bestFit="1" customWidth="1"/>
    <col min="47" max="47" width="7" bestFit="1" customWidth="1"/>
    <col min="48" max="48" width="16.42578125" style="2" bestFit="1" customWidth="1"/>
    <col min="49" max="49" width="6.140625" bestFit="1" customWidth="1"/>
    <col min="50" max="50" width="5.28515625" bestFit="1" customWidth="1"/>
    <col min="51" max="51" width="5.85546875" style="2" bestFit="1" customWidth="1"/>
    <col min="52" max="52" width="4.42578125" bestFit="1" customWidth="1"/>
  </cols>
  <sheetData>
    <row r="1" spans="1:51" s="73" customFormat="1">
      <c r="B1" s="664"/>
      <c r="C1" s="664"/>
      <c r="D1" s="664"/>
      <c r="E1" s="79"/>
      <c r="G1" s="79"/>
      <c r="H1" s="79"/>
      <c r="I1" s="79"/>
      <c r="J1" s="79"/>
      <c r="K1" s="79"/>
      <c r="L1" s="79"/>
      <c r="M1" s="79"/>
      <c r="N1" s="79"/>
      <c r="O1" s="79"/>
      <c r="P1" s="79"/>
      <c r="Q1" s="79"/>
      <c r="R1" s="79"/>
      <c r="S1" s="79"/>
      <c r="T1" s="239"/>
      <c r="X1" s="74"/>
      <c r="AG1" s="74"/>
      <c r="AH1" s="663" t="s">
        <v>671</v>
      </c>
      <c r="AI1" s="663"/>
      <c r="AJ1" s="663" t="s">
        <v>666</v>
      </c>
      <c r="AK1" s="663"/>
    </row>
    <row r="2" spans="1:51" s="73" customFormat="1">
      <c r="B2" s="120"/>
      <c r="C2" s="120"/>
      <c r="D2" s="120"/>
      <c r="E2" s="79"/>
      <c r="G2" s="79"/>
      <c r="H2" s="79"/>
      <c r="I2" s="79"/>
      <c r="J2" s="79"/>
      <c r="K2" s="79"/>
      <c r="L2" s="79"/>
      <c r="M2" s="79"/>
      <c r="N2" s="79"/>
      <c r="O2" s="79"/>
      <c r="P2" s="79"/>
      <c r="Q2" s="79"/>
      <c r="R2" s="79"/>
      <c r="S2" s="79"/>
      <c r="T2" s="239"/>
      <c r="X2" s="74"/>
      <c r="AG2" s="74"/>
      <c r="AH2" s="119"/>
      <c r="AI2" s="119"/>
      <c r="AJ2" s="119"/>
      <c r="AK2" s="119"/>
    </row>
    <row r="3" spans="1:51" s="8" customFormat="1">
      <c r="A3" t="s">
        <v>1268</v>
      </c>
      <c r="B3" t="s">
        <v>256</v>
      </c>
      <c r="C3" t="s">
        <v>889</v>
      </c>
      <c r="D3" t="s">
        <v>255</v>
      </c>
      <c r="E3" t="s">
        <v>254</v>
      </c>
      <c r="F3" t="s">
        <v>253</v>
      </c>
      <c r="G3" t="s">
        <v>252</v>
      </c>
      <c r="H3" t="s">
        <v>251</v>
      </c>
      <c r="I3" t="s">
        <v>15</v>
      </c>
      <c r="J3" t="s">
        <v>16</v>
      </c>
      <c r="K3" t="s">
        <v>250</v>
      </c>
      <c r="L3" t="s">
        <v>249</v>
      </c>
      <c r="M3" t="s">
        <v>248</v>
      </c>
      <c r="N3" t="s">
        <v>247</v>
      </c>
      <c r="O3" t="s">
        <v>246</v>
      </c>
      <c r="P3" s="240" t="s">
        <v>790</v>
      </c>
      <c r="Q3" s="80"/>
      <c r="R3" s="80"/>
      <c r="S3" s="81"/>
    </row>
    <row r="4" spans="1:51">
      <c r="A4" t="s">
        <v>238</v>
      </c>
      <c r="B4" s="5" t="s">
        <v>118</v>
      </c>
      <c r="C4" s="5" t="s">
        <v>26</v>
      </c>
      <c r="D4" s="408">
        <v>33</v>
      </c>
      <c r="E4" s="408">
        <v>12</v>
      </c>
      <c r="F4" s="5" t="s">
        <v>19</v>
      </c>
      <c r="G4" s="5" t="s">
        <v>18</v>
      </c>
      <c r="H4" s="408">
        <v>58</v>
      </c>
      <c r="I4" s="408">
        <v>31</v>
      </c>
      <c r="J4" s="408">
        <v>16.7</v>
      </c>
      <c r="K4" s="408">
        <v>2.6</v>
      </c>
      <c r="L4" s="408">
        <v>3</v>
      </c>
      <c r="M4" s="408">
        <v>0.6</v>
      </c>
      <c r="N4" s="408">
        <v>0.1</v>
      </c>
      <c r="O4" s="1" t="s">
        <v>237</v>
      </c>
      <c r="P4" s="104" t="s">
        <v>738</v>
      </c>
      <c r="Q4" s="30"/>
      <c r="R4" s="5"/>
      <c r="S4" s="30"/>
      <c r="T4"/>
      <c r="AH4"/>
      <c r="AM4"/>
      <c r="AV4"/>
      <c r="AY4"/>
    </row>
    <row r="5" spans="1:51">
      <c r="A5" t="s">
        <v>240</v>
      </c>
      <c r="B5" s="5" t="s">
        <v>92</v>
      </c>
      <c r="C5" s="5" t="s">
        <v>20</v>
      </c>
      <c r="D5" s="408">
        <v>32</v>
      </c>
      <c r="E5" s="408">
        <v>13</v>
      </c>
      <c r="F5" s="5" t="s">
        <v>19</v>
      </c>
      <c r="G5" s="5" t="s">
        <v>29</v>
      </c>
      <c r="H5" s="408">
        <v>52</v>
      </c>
      <c r="I5" s="408">
        <v>31.9</v>
      </c>
      <c r="J5" s="408">
        <v>18.7</v>
      </c>
      <c r="K5" s="408">
        <v>5.5</v>
      </c>
      <c r="L5" s="408">
        <v>8</v>
      </c>
      <c r="M5" s="408">
        <v>1.8</v>
      </c>
      <c r="N5" s="408">
        <v>0.3</v>
      </c>
      <c r="O5" s="1" t="s">
        <v>239</v>
      </c>
      <c r="P5" s="104" t="s">
        <v>768</v>
      </c>
      <c r="Q5" s="30"/>
      <c r="R5" s="5"/>
      <c r="S5" s="30"/>
      <c r="T5"/>
      <c r="AH5"/>
      <c r="AM5"/>
      <c r="AV5"/>
      <c r="AY5"/>
    </row>
    <row r="6" spans="1:51">
      <c r="A6" t="s">
        <v>215</v>
      </c>
      <c r="B6" s="5" t="s">
        <v>78</v>
      </c>
      <c r="C6" s="5" t="s">
        <v>83</v>
      </c>
      <c r="D6" s="408">
        <v>29</v>
      </c>
      <c r="E6" s="408">
        <v>10</v>
      </c>
      <c r="F6" s="5" t="s">
        <v>19</v>
      </c>
      <c r="G6" s="5" t="s">
        <v>29</v>
      </c>
      <c r="H6" s="408">
        <v>62</v>
      </c>
      <c r="I6" s="408">
        <v>22.9</v>
      </c>
      <c r="J6" s="408">
        <v>12.9</v>
      </c>
      <c r="K6" s="408">
        <v>3.9</v>
      </c>
      <c r="L6" s="408">
        <v>1.6</v>
      </c>
      <c r="M6" s="408">
        <v>0.4</v>
      </c>
      <c r="N6" s="408">
        <v>1.4</v>
      </c>
      <c r="O6" s="1" t="s">
        <v>214</v>
      </c>
      <c r="P6" s="104" t="s">
        <v>768</v>
      </c>
      <c r="Q6" s="30"/>
      <c r="R6" s="5"/>
      <c r="T6"/>
      <c r="AH6"/>
      <c r="AM6"/>
      <c r="AV6"/>
      <c r="AY6"/>
    </row>
    <row r="7" spans="1:51">
      <c r="A7" t="s">
        <v>223</v>
      </c>
      <c r="B7" s="5" t="s">
        <v>78</v>
      </c>
      <c r="C7" s="5" t="s">
        <v>26</v>
      </c>
      <c r="D7" s="408">
        <v>25</v>
      </c>
      <c r="E7" s="408">
        <v>5</v>
      </c>
      <c r="F7" s="5" t="s">
        <v>19</v>
      </c>
      <c r="G7" s="5" t="s">
        <v>18</v>
      </c>
      <c r="H7" s="408">
        <v>62</v>
      </c>
      <c r="I7" s="408">
        <v>33.6</v>
      </c>
      <c r="J7" s="408">
        <v>13.5</v>
      </c>
      <c r="K7" s="408">
        <v>5.5</v>
      </c>
      <c r="L7" s="408">
        <v>2.2000000000000002</v>
      </c>
      <c r="M7" s="408">
        <v>1.6</v>
      </c>
      <c r="N7" s="408">
        <v>0.2</v>
      </c>
      <c r="O7" s="1" t="s">
        <v>222</v>
      </c>
      <c r="P7" s="104" t="s">
        <v>738</v>
      </c>
      <c r="Q7" s="30"/>
      <c r="R7" s="5"/>
      <c r="S7" s="30"/>
      <c r="T7"/>
      <c r="AH7"/>
      <c r="AM7"/>
      <c r="AV7"/>
      <c r="AY7"/>
    </row>
    <row r="8" spans="1:51">
      <c r="A8" t="s">
        <v>245</v>
      </c>
      <c r="B8" s="5" t="s">
        <v>112</v>
      </c>
      <c r="C8" s="5" t="s">
        <v>83</v>
      </c>
      <c r="D8" s="408">
        <v>27</v>
      </c>
      <c r="E8" s="408">
        <v>8</v>
      </c>
      <c r="F8" s="5" t="s">
        <v>19</v>
      </c>
      <c r="G8" s="5" t="s">
        <v>29</v>
      </c>
      <c r="H8" s="408">
        <v>48</v>
      </c>
      <c r="I8" s="408">
        <v>36.200000000000003</v>
      </c>
      <c r="J8" s="408">
        <v>25.2</v>
      </c>
      <c r="K8" s="408">
        <v>12.9</v>
      </c>
      <c r="L8" s="408">
        <v>5.4</v>
      </c>
      <c r="M8" s="408">
        <v>1.7</v>
      </c>
      <c r="N8" s="408">
        <v>1.6</v>
      </c>
      <c r="O8" s="1" t="s">
        <v>244</v>
      </c>
      <c r="P8" s="104" t="s">
        <v>758</v>
      </c>
      <c r="Q8" s="30"/>
      <c r="R8" s="5"/>
      <c r="S8" s="30"/>
      <c r="T8"/>
      <c r="AH8"/>
      <c r="AM8"/>
      <c r="AV8"/>
      <c r="AY8"/>
    </row>
    <row r="9" spans="1:51">
      <c r="A9" t="s">
        <v>189</v>
      </c>
      <c r="B9" s="5" t="s">
        <v>140</v>
      </c>
      <c r="C9" s="5" t="s">
        <v>20</v>
      </c>
      <c r="D9" s="408">
        <v>35</v>
      </c>
      <c r="E9" s="408">
        <v>17</v>
      </c>
      <c r="F9" s="5" t="s">
        <v>19</v>
      </c>
      <c r="G9" s="5" t="s">
        <v>29</v>
      </c>
      <c r="H9" s="408">
        <v>44</v>
      </c>
      <c r="I9" s="408">
        <v>20.3</v>
      </c>
      <c r="J9" s="408">
        <v>8.6</v>
      </c>
      <c r="K9" s="408">
        <v>1.8</v>
      </c>
      <c r="L9" s="408">
        <v>3.9</v>
      </c>
      <c r="M9" s="408">
        <v>0.6</v>
      </c>
      <c r="N9" s="408">
        <v>0</v>
      </c>
      <c r="O9" s="1" t="s">
        <v>188</v>
      </c>
      <c r="P9" s="104" t="s">
        <v>768</v>
      </c>
      <c r="Q9" s="30"/>
      <c r="R9" s="5"/>
      <c r="S9" s="30"/>
      <c r="T9"/>
      <c r="AH9"/>
      <c r="AM9"/>
      <c r="AV9"/>
      <c r="AY9"/>
    </row>
    <row r="10" spans="1:51">
      <c r="A10" t="s">
        <v>217</v>
      </c>
      <c r="B10" s="5" t="s">
        <v>36</v>
      </c>
      <c r="C10" s="5" t="s">
        <v>38</v>
      </c>
      <c r="D10" s="408">
        <v>26</v>
      </c>
      <c r="E10" s="408">
        <v>8</v>
      </c>
      <c r="F10" s="5" t="s">
        <v>19</v>
      </c>
      <c r="G10" s="5" t="s">
        <v>29</v>
      </c>
      <c r="H10" s="408">
        <v>66</v>
      </c>
      <c r="I10" s="408">
        <v>27.8</v>
      </c>
      <c r="J10" s="408">
        <v>12</v>
      </c>
      <c r="K10" s="408">
        <v>7.2</v>
      </c>
      <c r="L10" s="408">
        <v>1.3</v>
      </c>
      <c r="M10" s="408">
        <v>0.8</v>
      </c>
      <c r="N10" s="408">
        <v>1</v>
      </c>
      <c r="O10" s="1" t="s">
        <v>216</v>
      </c>
      <c r="P10" s="104" t="s">
        <v>758</v>
      </c>
      <c r="Q10" s="30"/>
      <c r="R10" s="5"/>
      <c r="S10" s="30"/>
      <c r="T10"/>
      <c r="AH10"/>
      <c r="AM10"/>
      <c r="AV10"/>
      <c r="AY10"/>
    </row>
    <row r="11" spans="1:51">
      <c r="A11" t="s">
        <v>119</v>
      </c>
      <c r="B11" s="5" t="s">
        <v>118</v>
      </c>
      <c r="C11" s="5" t="s">
        <v>38</v>
      </c>
      <c r="D11" s="408">
        <v>30</v>
      </c>
      <c r="E11" s="408">
        <v>13</v>
      </c>
      <c r="F11" s="5" t="s">
        <v>19</v>
      </c>
      <c r="G11" s="5" t="s">
        <v>18</v>
      </c>
      <c r="H11" s="408">
        <v>62</v>
      </c>
      <c r="I11" s="408">
        <v>15.2</v>
      </c>
      <c r="J11" s="408">
        <v>4.5</v>
      </c>
      <c r="K11" s="408">
        <v>4.3</v>
      </c>
      <c r="L11" s="408">
        <v>1.3</v>
      </c>
      <c r="M11" s="408">
        <v>0.6</v>
      </c>
      <c r="N11" s="408">
        <v>0.6</v>
      </c>
      <c r="O11" s="1" t="s">
        <v>117</v>
      </c>
      <c r="P11" s="104" t="s">
        <v>738</v>
      </c>
      <c r="Q11" s="30"/>
      <c r="R11" s="5"/>
      <c r="S11" s="219"/>
      <c r="T11"/>
      <c r="U11" s="219"/>
      <c r="AH11"/>
      <c r="AM11"/>
      <c r="AV11"/>
      <c r="AY11"/>
    </row>
    <row r="12" spans="1:51">
      <c r="A12" t="s">
        <v>213</v>
      </c>
      <c r="B12" s="5" t="s">
        <v>92</v>
      </c>
      <c r="C12" s="5" t="s">
        <v>46</v>
      </c>
      <c r="D12" s="408">
        <v>32</v>
      </c>
      <c r="E12" s="408">
        <v>14</v>
      </c>
      <c r="F12" s="5" t="s">
        <v>19</v>
      </c>
      <c r="G12" s="5" t="s">
        <v>29</v>
      </c>
      <c r="H12" s="408">
        <v>57</v>
      </c>
      <c r="I12" s="408">
        <v>34.5</v>
      </c>
      <c r="J12" s="408">
        <v>12</v>
      </c>
      <c r="K12" s="408">
        <v>4.5</v>
      </c>
      <c r="L12" s="408">
        <v>1.6</v>
      </c>
      <c r="M12" s="408">
        <v>1.5</v>
      </c>
      <c r="N12" s="408">
        <v>0.2</v>
      </c>
      <c r="O12" s="1" t="s">
        <v>212</v>
      </c>
      <c r="P12" s="104" t="s">
        <v>768</v>
      </c>
      <c r="Q12" s="30"/>
      <c r="R12" s="5"/>
      <c r="S12" s="30"/>
      <c r="T12"/>
      <c r="AH12"/>
      <c r="AM12"/>
      <c r="AV12"/>
      <c r="AY12"/>
    </row>
    <row r="13" spans="1:51">
      <c r="A13" t="s">
        <v>232</v>
      </c>
      <c r="B13" s="5" t="s">
        <v>64</v>
      </c>
      <c r="C13" s="5" t="s">
        <v>26</v>
      </c>
      <c r="D13" s="408">
        <v>27</v>
      </c>
      <c r="E13" s="408">
        <v>8</v>
      </c>
      <c r="F13" s="5" t="s">
        <v>19</v>
      </c>
      <c r="G13" s="5" t="s">
        <v>29</v>
      </c>
      <c r="H13" s="408">
        <v>46</v>
      </c>
      <c r="I13" s="408">
        <v>31.2</v>
      </c>
      <c r="J13" s="408">
        <v>14.3</v>
      </c>
      <c r="K13" s="408">
        <v>2.5</v>
      </c>
      <c r="L13" s="408">
        <v>2</v>
      </c>
      <c r="M13" s="408">
        <v>1.1000000000000001</v>
      </c>
      <c r="N13" s="408">
        <v>0.2</v>
      </c>
      <c r="O13" s="1" t="s">
        <v>99</v>
      </c>
      <c r="P13" s="104" t="s">
        <v>768</v>
      </c>
      <c r="Q13" s="30"/>
      <c r="R13" s="5"/>
      <c r="S13" s="30"/>
      <c r="T13"/>
      <c r="AH13"/>
      <c r="AM13"/>
      <c r="AV13"/>
      <c r="AY13"/>
    </row>
    <row r="14" spans="1:51">
      <c r="A14" t="s">
        <v>101</v>
      </c>
      <c r="B14" s="5" t="s">
        <v>100</v>
      </c>
      <c r="C14" s="5" t="s">
        <v>26</v>
      </c>
      <c r="D14" s="408">
        <v>41</v>
      </c>
      <c r="E14" s="408">
        <v>20</v>
      </c>
      <c r="F14" s="5" t="s">
        <v>19</v>
      </c>
      <c r="G14" s="5" t="s">
        <v>18</v>
      </c>
      <c r="H14" s="408">
        <v>48</v>
      </c>
      <c r="I14" s="408">
        <v>17.7</v>
      </c>
      <c r="J14" s="408">
        <v>5.5</v>
      </c>
      <c r="K14" s="408">
        <v>2.4</v>
      </c>
      <c r="L14" s="408">
        <v>1.2</v>
      </c>
      <c r="M14" s="408">
        <v>0.9</v>
      </c>
      <c r="N14" s="408">
        <v>0.5</v>
      </c>
      <c r="O14" s="1" t="s">
        <v>99</v>
      </c>
      <c r="P14" s="104" t="s">
        <v>738</v>
      </c>
      <c r="Q14" s="30"/>
      <c r="R14" s="5"/>
      <c r="S14" s="30"/>
      <c r="T14"/>
      <c r="AH14"/>
      <c r="AM14"/>
      <c r="AV14"/>
      <c r="AY14"/>
    </row>
    <row r="15" spans="1:51">
      <c r="A15" t="s">
        <v>103</v>
      </c>
      <c r="B15" s="5" t="s">
        <v>78</v>
      </c>
      <c r="C15" s="5" t="s">
        <v>38</v>
      </c>
      <c r="D15" s="408">
        <v>34</v>
      </c>
      <c r="E15" s="408">
        <v>12</v>
      </c>
      <c r="F15" s="5" t="s">
        <v>19</v>
      </c>
      <c r="G15" s="5" t="s">
        <v>29</v>
      </c>
      <c r="H15" s="408">
        <v>45</v>
      </c>
      <c r="I15" s="408">
        <v>12.3</v>
      </c>
      <c r="J15" s="408">
        <v>4.8</v>
      </c>
      <c r="K15" s="408">
        <v>2.4</v>
      </c>
      <c r="L15" s="408">
        <v>0.6</v>
      </c>
      <c r="M15" s="408">
        <v>0.4</v>
      </c>
      <c r="N15" s="408">
        <v>0.3</v>
      </c>
      <c r="O15" s="1" t="s">
        <v>99</v>
      </c>
      <c r="P15" s="104" t="s">
        <v>746</v>
      </c>
      <c r="Q15" s="30"/>
      <c r="R15" s="5"/>
      <c r="S15" s="30"/>
      <c r="T15"/>
      <c r="AH15"/>
      <c r="AM15"/>
      <c r="AV15"/>
      <c r="AY15"/>
    </row>
    <row r="16" spans="1:51">
      <c r="A16" t="s">
        <v>42</v>
      </c>
      <c r="B16" s="5" t="s">
        <v>41</v>
      </c>
      <c r="C16" s="5" t="s">
        <v>38</v>
      </c>
      <c r="D16" s="408">
        <v>23</v>
      </c>
      <c r="E16" s="408">
        <v>4</v>
      </c>
      <c r="F16" s="5" t="s">
        <v>25</v>
      </c>
      <c r="G16" s="5" t="s">
        <v>29</v>
      </c>
      <c r="H16" s="408">
        <v>19</v>
      </c>
      <c r="I16" s="408">
        <v>21.2</v>
      </c>
      <c r="J16" s="408">
        <v>11.4</v>
      </c>
      <c r="K16" s="408">
        <v>4.2</v>
      </c>
      <c r="L16" s="408">
        <v>1.5</v>
      </c>
      <c r="M16" s="408">
        <v>0.6</v>
      </c>
      <c r="N16" s="408">
        <v>0.3</v>
      </c>
      <c r="O16" s="1" t="s">
        <v>40</v>
      </c>
      <c r="P16" s="104" t="s">
        <v>758</v>
      </c>
      <c r="Q16" s="30"/>
      <c r="R16" s="5"/>
      <c r="S16" s="30"/>
      <c r="T16"/>
      <c r="AH16"/>
      <c r="AM16"/>
      <c r="AV16"/>
      <c r="AY16"/>
    </row>
    <row r="17" spans="1:51">
      <c r="A17" t="s">
        <v>196</v>
      </c>
      <c r="B17" s="5" t="s">
        <v>78</v>
      </c>
      <c r="C17" s="5" t="s">
        <v>20</v>
      </c>
      <c r="D17" s="408">
        <v>29</v>
      </c>
      <c r="E17" s="408">
        <v>7</v>
      </c>
      <c r="F17" s="5" t="s">
        <v>19</v>
      </c>
      <c r="G17" s="5" t="s">
        <v>29</v>
      </c>
      <c r="H17" s="408">
        <v>32</v>
      </c>
      <c r="I17" s="408">
        <v>26.4</v>
      </c>
      <c r="J17" s="408">
        <v>14.7</v>
      </c>
      <c r="K17" s="408">
        <v>2.1</v>
      </c>
      <c r="L17" s="408">
        <v>4.7</v>
      </c>
      <c r="M17" s="408">
        <v>0.5</v>
      </c>
      <c r="N17" s="408">
        <v>0.1</v>
      </c>
      <c r="O17" s="1" t="s">
        <v>195</v>
      </c>
      <c r="P17" s="104" t="s">
        <v>1065</v>
      </c>
      <c r="Q17" s="30"/>
      <c r="R17" s="5"/>
      <c r="S17" s="30"/>
      <c r="T17"/>
      <c r="AH17"/>
      <c r="AM17"/>
      <c r="AV17"/>
      <c r="AY17"/>
    </row>
    <row r="18" spans="1:51">
      <c r="A18" t="s">
        <v>136</v>
      </c>
      <c r="B18" s="5" t="s">
        <v>96</v>
      </c>
      <c r="C18" s="5" t="s">
        <v>38</v>
      </c>
      <c r="D18" s="408">
        <v>28</v>
      </c>
      <c r="E18" s="408">
        <v>8</v>
      </c>
      <c r="F18" s="5" t="s">
        <v>19</v>
      </c>
      <c r="G18" s="5" t="s">
        <v>29</v>
      </c>
      <c r="H18" s="408">
        <v>70</v>
      </c>
      <c r="I18" s="408">
        <v>19</v>
      </c>
      <c r="J18" s="408">
        <v>5.6</v>
      </c>
      <c r="K18" s="408">
        <v>7.5</v>
      </c>
      <c r="L18" s="408">
        <v>0.5</v>
      </c>
      <c r="M18" s="408">
        <v>0.5</v>
      </c>
      <c r="N18" s="408">
        <v>0.7</v>
      </c>
      <c r="O18" s="1" t="s">
        <v>135</v>
      </c>
      <c r="P18" s="104" t="s">
        <v>746</v>
      </c>
      <c r="Q18" s="30"/>
      <c r="R18" s="5"/>
      <c r="S18" s="30"/>
      <c r="T18"/>
      <c r="AH18"/>
      <c r="AM18"/>
      <c r="AV18"/>
      <c r="AY18"/>
    </row>
    <row r="19" spans="1:51">
      <c r="A19" t="s">
        <v>207</v>
      </c>
      <c r="B19" s="5" t="s">
        <v>50</v>
      </c>
      <c r="C19" s="5" t="s">
        <v>26</v>
      </c>
      <c r="D19" s="408">
        <v>30</v>
      </c>
      <c r="E19" s="408">
        <v>9</v>
      </c>
      <c r="F19" s="5" t="s">
        <v>19</v>
      </c>
      <c r="G19" s="5" t="s">
        <v>24</v>
      </c>
      <c r="H19" s="408">
        <v>66</v>
      </c>
      <c r="I19" s="408">
        <v>26.7</v>
      </c>
      <c r="J19" s="408">
        <v>11.3</v>
      </c>
      <c r="K19" s="408">
        <v>3</v>
      </c>
      <c r="L19" s="408">
        <v>1.1000000000000001</v>
      </c>
      <c r="M19" s="408">
        <v>0.7</v>
      </c>
      <c r="N19" s="408">
        <v>0.1</v>
      </c>
      <c r="O19" s="1" t="s">
        <v>206</v>
      </c>
      <c r="P19" s="104" t="s">
        <v>746</v>
      </c>
      <c r="Q19" s="30"/>
      <c r="R19" s="5"/>
      <c r="S19" s="30"/>
      <c r="T19"/>
      <c r="AH19"/>
      <c r="AM19"/>
      <c r="AV19"/>
      <c r="AY19"/>
    </row>
    <row r="20" spans="1:51">
      <c r="A20" t="s">
        <v>156</v>
      </c>
      <c r="B20" s="5" t="s">
        <v>73</v>
      </c>
      <c r="C20" s="5" t="s">
        <v>26</v>
      </c>
      <c r="D20" s="408">
        <v>32</v>
      </c>
      <c r="E20" s="408">
        <v>11</v>
      </c>
      <c r="F20" s="5" t="s">
        <v>19</v>
      </c>
      <c r="G20" s="5" t="s">
        <v>18</v>
      </c>
      <c r="H20" s="408">
        <v>69</v>
      </c>
      <c r="I20" s="408">
        <v>16.2</v>
      </c>
      <c r="J20" s="408">
        <v>7.1</v>
      </c>
      <c r="K20" s="408">
        <v>1.4</v>
      </c>
      <c r="L20" s="408">
        <v>0.4</v>
      </c>
      <c r="M20" s="408">
        <v>0.5</v>
      </c>
      <c r="N20" s="408">
        <v>0.1</v>
      </c>
      <c r="O20" s="1" t="s">
        <v>155</v>
      </c>
      <c r="P20" s="104" t="s">
        <v>737</v>
      </c>
      <c r="Q20" s="30"/>
      <c r="R20" s="5"/>
      <c r="S20" s="30"/>
      <c r="T20"/>
      <c r="AH20"/>
      <c r="AM20"/>
      <c r="AV20"/>
      <c r="AY20"/>
    </row>
    <row r="21" spans="1:51">
      <c r="A21" t="s">
        <v>199</v>
      </c>
      <c r="B21" s="5" t="s">
        <v>87</v>
      </c>
      <c r="C21" s="5" t="s">
        <v>83</v>
      </c>
      <c r="D21" s="408">
        <v>27</v>
      </c>
      <c r="E21" s="408">
        <v>8</v>
      </c>
      <c r="F21" s="5" t="s">
        <v>19</v>
      </c>
      <c r="G21" s="5" t="s">
        <v>18</v>
      </c>
      <c r="H21" s="408">
        <v>39</v>
      </c>
      <c r="I21" s="408">
        <v>20.100000000000001</v>
      </c>
      <c r="J21" s="408">
        <v>10</v>
      </c>
      <c r="K21" s="408">
        <v>6.7</v>
      </c>
      <c r="L21" s="408">
        <v>1.9</v>
      </c>
      <c r="M21" s="408">
        <v>0.7</v>
      </c>
      <c r="N21" s="408">
        <v>0.4</v>
      </c>
      <c r="O21" s="1" t="s">
        <v>1093</v>
      </c>
      <c r="P21" s="104" t="s">
        <v>1065</v>
      </c>
      <c r="Q21" s="30"/>
      <c r="R21" s="5"/>
      <c r="S21" s="30"/>
      <c r="T21"/>
      <c r="AH21"/>
      <c r="AM21"/>
      <c r="AV21"/>
      <c r="AY21"/>
    </row>
    <row r="22" spans="1:51">
      <c r="A22" t="s">
        <v>147</v>
      </c>
      <c r="B22" s="5" t="s">
        <v>110</v>
      </c>
      <c r="C22" s="5" t="s">
        <v>83</v>
      </c>
      <c r="D22" s="408">
        <v>22</v>
      </c>
      <c r="E22" s="408">
        <v>3</v>
      </c>
      <c r="F22" s="5" t="s">
        <v>19</v>
      </c>
      <c r="G22" s="5" t="s">
        <v>29</v>
      </c>
      <c r="H22" s="408">
        <v>27</v>
      </c>
      <c r="I22" s="408">
        <v>12.4</v>
      </c>
      <c r="J22" s="408">
        <v>6</v>
      </c>
      <c r="K22" s="408">
        <v>3</v>
      </c>
      <c r="L22" s="408">
        <v>0.4</v>
      </c>
      <c r="M22" s="408">
        <v>0.1</v>
      </c>
      <c r="N22" s="408">
        <v>0.6</v>
      </c>
      <c r="O22" s="1" t="s">
        <v>146</v>
      </c>
      <c r="P22" s="104" t="s">
        <v>754</v>
      </c>
      <c r="Q22" s="30"/>
      <c r="R22" s="5"/>
      <c r="S22" s="30"/>
      <c r="T22"/>
      <c r="AH22"/>
      <c r="AM22"/>
      <c r="AV22"/>
      <c r="AY22"/>
    </row>
    <row r="23" spans="1:51">
      <c r="A23" t="s">
        <v>242</v>
      </c>
      <c r="B23" s="5" t="s">
        <v>75</v>
      </c>
      <c r="C23" s="5" t="s">
        <v>38</v>
      </c>
      <c r="D23" s="408">
        <v>22</v>
      </c>
      <c r="E23" s="408">
        <v>4</v>
      </c>
      <c r="F23" s="5" t="s">
        <v>25</v>
      </c>
      <c r="G23" s="5" t="s">
        <v>29</v>
      </c>
      <c r="H23" s="408">
        <v>47</v>
      </c>
      <c r="I23" s="408">
        <v>33.700000000000003</v>
      </c>
      <c r="J23" s="408">
        <v>18.3</v>
      </c>
      <c r="K23" s="408">
        <v>8.4</v>
      </c>
      <c r="L23" s="408">
        <v>2.2999999999999998</v>
      </c>
      <c r="M23" s="408">
        <v>0.9</v>
      </c>
      <c r="N23" s="408">
        <v>0.8</v>
      </c>
      <c r="O23" s="1" t="s">
        <v>241</v>
      </c>
      <c r="P23" s="104" t="s">
        <v>758</v>
      </c>
      <c r="Q23" s="30"/>
      <c r="R23" s="5"/>
      <c r="S23" s="30"/>
      <c r="T23"/>
      <c r="AH23"/>
      <c r="AM23"/>
      <c r="AV23"/>
      <c r="AY23"/>
    </row>
    <row r="24" spans="1:51">
      <c r="A24" t="s">
        <v>145</v>
      </c>
      <c r="B24" s="5" t="s">
        <v>87</v>
      </c>
      <c r="C24" s="5" t="s">
        <v>83</v>
      </c>
      <c r="D24" s="408">
        <v>31</v>
      </c>
      <c r="E24" s="408">
        <v>6</v>
      </c>
      <c r="F24" s="5" t="s">
        <v>19</v>
      </c>
      <c r="G24" s="5" t="s">
        <v>18</v>
      </c>
      <c r="H24" s="408">
        <v>69</v>
      </c>
      <c r="I24" s="408">
        <v>17.899999999999999</v>
      </c>
      <c r="J24" s="408">
        <v>5.6</v>
      </c>
      <c r="K24" s="408">
        <v>5.2</v>
      </c>
      <c r="L24" s="408">
        <v>1</v>
      </c>
      <c r="M24" s="408">
        <v>0.3</v>
      </c>
      <c r="N24" s="408">
        <v>0.7</v>
      </c>
      <c r="O24" s="1" t="s">
        <v>144</v>
      </c>
      <c r="P24" s="104" t="s">
        <v>761</v>
      </c>
      <c r="Q24" s="30"/>
      <c r="R24" s="5"/>
      <c r="S24" s="30"/>
      <c r="T24"/>
      <c r="AH24"/>
      <c r="AM24"/>
      <c r="AV24"/>
      <c r="AY24"/>
    </row>
    <row r="25" spans="1:51">
      <c r="A25" t="s">
        <v>191</v>
      </c>
      <c r="B25" s="5" t="s">
        <v>190</v>
      </c>
      <c r="C25" s="5" t="s">
        <v>83</v>
      </c>
      <c r="D25" s="408">
        <v>24</v>
      </c>
      <c r="E25" s="408">
        <v>5</v>
      </c>
      <c r="F25" s="5" t="s">
        <v>19</v>
      </c>
      <c r="G25" s="5" t="s">
        <v>29</v>
      </c>
      <c r="H25" s="408">
        <v>61</v>
      </c>
      <c r="I25" s="408">
        <v>19.7</v>
      </c>
      <c r="J25" s="408">
        <v>7.8</v>
      </c>
      <c r="K25" s="408">
        <v>7.4</v>
      </c>
      <c r="L25" s="408">
        <v>1.1000000000000001</v>
      </c>
      <c r="M25" s="408">
        <v>0.4</v>
      </c>
      <c r="N25" s="408">
        <v>0.9</v>
      </c>
      <c r="O25" s="1" t="s">
        <v>106</v>
      </c>
      <c r="P25" s="104" t="s">
        <v>758</v>
      </c>
      <c r="Q25" s="30"/>
      <c r="R25" s="5"/>
      <c r="S25" s="30"/>
      <c r="T25"/>
      <c r="AH25"/>
      <c r="AM25"/>
      <c r="AV25"/>
      <c r="AY25"/>
    </row>
    <row r="26" spans="1:51">
      <c r="A26" t="s">
        <v>107</v>
      </c>
      <c r="B26" s="5" t="s">
        <v>33</v>
      </c>
      <c r="C26" s="5" t="s">
        <v>83</v>
      </c>
      <c r="D26" s="408">
        <v>23</v>
      </c>
      <c r="E26" s="408">
        <v>4</v>
      </c>
      <c r="F26" s="5" t="s">
        <v>19</v>
      </c>
      <c r="G26" s="5" t="s">
        <v>29</v>
      </c>
      <c r="H26" s="408">
        <v>24</v>
      </c>
      <c r="I26" s="408">
        <v>15</v>
      </c>
      <c r="J26" s="408">
        <v>4.4000000000000004</v>
      </c>
      <c r="K26" s="408">
        <v>5.2</v>
      </c>
      <c r="L26" s="408">
        <v>0.5</v>
      </c>
      <c r="M26" s="408">
        <v>1</v>
      </c>
      <c r="N26" s="408">
        <v>0.7</v>
      </c>
      <c r="O26" s="1" t="s">
        <v>106</v>
      </c>
      <c r="P26" s="104" t="s">
        <v>758</v>
      </c>
      <c r="Q26" s="30"/>
      <c r="R26" s="5"/>
      <c r="S26" s="30"/>
      <c r="T26"/>
      <c r="AH26"/>
      <c r="AM26"/>
      <c r="AV26"/>
      <c r="AY26"/>
    </row>
    <row r="27" spans="1:51">
      <c r="A27" t="s">
        <v>187</v>
      </c>
      <c r="B27" s="5" t="s">
        <v>61</v>
      </c>
      <c r="C27" s="5" t="s">
        <v>20</v>
      </c>
      <c r="D27" s="408">
        <v>35</v>
      </c>
      <c r="E27" s="408">
        <v>14</v>
      </c>
      <c r="F27" s="5" t="s">
        <v>19</v>
      </c>
      <c r="G27" s="5" t="s">
        <v>29</v>
      </c>
      <c r="H27" s="408">
        <v>60</v>
      </c>
      <c r="I27" s="408">
        <v>18.3</v>
      </c>
      <c r="J27" s="408">
        <v>8.3000000000000007</v>
      </c>
      <c r="K27" s="408">
        <v>1.8</v>
      </c>
      <c r="L27" s="408">
        <v>2</v>
      </c>
      <c r="M27" s="408">
        <v>0.7</v>
      </c>
      <c r="N27" s="408">
        <v>0.2</v>
      </c>
      <c r="O27" s="1" t="s">
        <v>186</v>
      </c>
      <c r="P27" s="104" t="s">
        <v>746</v>
      </c>
      <c r="Q27" s="30"/>
      <c r="R27" s="5"/>
      <c r="S27" s="30"/>
      <c r="T27"/>
      <c r="AH27"/>
      <c r="AM27"/>
      <c r="AV27"/>
      <c r="AY27"/>
    </row>
    <row r="28" spans="1:51">
      <c r="A28" t="s">
        <v>37</v>
      </c>
      <c r="B28" s="5" t="s">
        <v>36</v>
      </c>
      <c r="C28" s="5" t="s">
        <v>20</v>
      </c>
      <c r="D28" s="408">
        <v>22</v>
      </c>
      <c r="E28" s="408">
        <v>4</v>
      </c>
      <c r="F28" s="5" t="s">
        <v>25</v>
      </c>
      <c r="G28" s="5" t="s">
        <v>29</v>
      </c>
      <c r="H28" s="408">
        <v>2</v>
      </c>
      <c r="I28" s="408">
        <v>13.5</v>
      </c>
      <c r="J28" s="408">
        <v>6</v>
      </c>
      <c r="K28" s="408">
        <v>2</v>
      </c>
      <c r="L28" s="408">
        <v>2</v>
      </c>
      <c r="M28" s="408">
        <v>0.5</v>
      </c>
      <c r="N28" s="408"/>
      <c r="O28" s="1" t="s">
        <v>35</v>
      </c>
      <c r="P28" s="104" t="s">
        <v>758</v>
      </c>
      <c r="Q28" s="30"/>
      <c r="R28" s="5"/>
      <c r="S28" s="30"/>
      <c r="T28"/>
      <c r="AH28"/>
      <c r="AM28"/>
      <c r="AV28"/>
      <c r="AY28"/>
    </row>
    <row r="29" spans="1:51">
      <c r="A29" t="s">
        <v>160</v>
      </c>
      <c r="B29" s="5" t="s">
        <v>75</v>
      </c>
      <c r="C29" s="5" t="s">
        <v>26</v>
      </c>
      <c r="D29" s="408">
        <v>23</v>
      </c>
      <c r="E29" s="408">
        <v>3</v>
      </c>
      <c r="F29" s="5" t="s">
        <v>19</v>
      </c>
      <c r="G29" s="5" t="s">
        <v>29</v>
      </c>
      <c r="H29" s="408">
        <v>63</v>
      </c>
      <c r="I29" s="408">
        <v>20.6</v>
      </c>
      <c r="J29" s="408">
        <v>9</v>
      </c>
      <c r="K29" s="408">
        <v>3.5</v>
      </c>
      <c r="L29" s="408">
        <v>1.2</v>
      </c>
      <c r="M29" s="408">
        <v>1</v>
      </c>
      <c r="N29" s="408">
        <v>0.3</v>
      </c>
      <c r="O29" s="1" t="s">
        <v>159</v>
      </c>
      <c r="P29" s="104" t="s">
        <v>754</v>
      </c>
      <c r="Q29" s="30"/>
      <c r="R29" s="5"/>
      <c r="S29" s="30"/>
      <c r="T29"/>
      <c r="AH29"/>
      <c r="AM29"/>
      <c r="AV29"/>
      <c r="AY29"/>
    </row>
    <row r="30" spans="1:51">
      <c r="A30" t="s">
        <v>5</v>
      </c>
      <c r="B30" s="5" t="s">
        <v>56</v>
      </c>
      <c r="C30" s="5" t="s">
        <v>38</v>
      </c>
      <c r="D30" s="408">
        <v>29</v>
      </c>
      <c r="E30" s="408">
        <v>3</v>
      </c>
      <c r="F30" s="5" t="s">
        <v>25</v>
      </c>
      <c r="G30" s="5" t="s">
        <v>29</v>
      </c>
      <c r="H30" s="408">
        <v>56</v>
      </c>
      <c r="I30" s="408">
        <v>19.2</v>
      </c>
      <c r="J30" s="408">
        <v>6.9</v>
      </c>
      <c r="K30" s="408">
        <v>3.9</v>
      </c>
      <c r="L30" s="408">
        <v>1.3</v>
      </c>
      <c r="M30" s="408">
        <v>0.7</v>
      </c>
      <c r="N30" s="408">
        <v>0.2</v>
      </c>
      <c r="O30" s="1" t="s">
        <v>139</v>
      </c>
      <c r="P30" s="104" t="s">
        <v>737</v>
      </c>
      <c r="Q30" s="30"/>
      <c r="R30" s="5"/>
      <c r="S30" s="30"/>
      <c r="T30"/>
      <c r="AH30"/>
      <c r="AM30"/>
      <c r="AV30"/>
      <c r="AY30"/>
    </row>
    <row r="31" spans="1:51">
      <c r="A31" t="s">
        <v>198</v>
      </c>
      <c r="B31" s="5" t="s">
        <v>87</v>
      </c>
      <c r="C31" s="5" t="s">
        <v>20</v>
      </c>
      <c r="D31" s="408">
        <v>24</v>
      </c>
      <c r="E31" s="408">
        <v>4</v>
      </c>
      <c r="F31" s="5" t="s">
        <v>25</v>
      </c>
      <c r="G31" s="5" t="s">
        <v>29</v>
      </c>
      <c r="H31" s="408">
        <v>54</v>
      </c>
      <c r="I31" s="408">
        <v>29.9</v>
      </c>
      <c r="J31" s="408">
        <v>10.199999999999999</v>
      </c>
      <c r="K31" s="408">
        <v>3.5</v>
      </c>
      <c r="L31" s="408">
        <v>4.8</v>
      </c>
      <c r="M31" s="408">
        <v>1.3</v>
      </c>
      <c r="N31" s="408">
        <v>0.4</v>
      </c>
      <c r="O31" s="1" t="s">
        <v>197</v>
      </c>
      <c r="P31" s="104" t="s">
        <v>758</v>
      </c>
      <c r="Q31" s="30"/>
      <c r="R31" s="5"/>
      <c r="S31" s="30"/>
      <c r="T31"/>
      <c r="AH31"/>
      <c r="AM31"/>
      <c r="AV31"/>
      <c r="AY31"/>
    </row>
    <row r="32" spans="1:51">
      <c r="A32" t="s">
        <v>230</v>
      </c>
      <c r="B32" s="5" t="s">
        <v>61</v>
      </c>
      <c r="C32" s="5" t="s">
        <v>26</v>
      </c>
      <c r="D32" s="408">
        <v>27</v>
      </c>
      <c r="E32" s="408">
        <v>6</v>
      </c>
      <c r="F32" s="5" t="s">
        <v>19</v>
      </c>
      <c r="G32" s="5" t="s">
        <v>29</v>
      </c>
      <c r="H32" s="408">
        <v>70</v>
      </c>
      <c r="I32" s="408">
        <v>32.6</v>
      </c>
      <c r="J32" s="408">
        <v>15</v>
      </c>
      <c r="K32" s="408">
        <v>5</v>
      </c>
      <c r="L32" s="408">
        <v>4.0999999999999996</v>
      </c>
      <c r="M32" s="408">
        <v>1.1000000000000001</v>
      </c>
      <c r="N32" s="408">
        <v>0.6</v>
      </c>
      <c r="O32" s="1" t="s">
        <v>229</v>
      </c>
      <c r="P32" s="104" t="s">
        <v>768</v>
      </c>
      <c r="Q32" s="30"/>
      <c r="R32" s="5"/>
      <c r="S32" s="30"/>
      <c r="T32"/>
      <c r="AH32"/>
      <c r="AM32"/>
      <c r="AV32"/>
      <c r="AY32"/>
    </row>
    <row r="33" spans="1:51">
      <c r="A33" t="s">
        <v>138</v>
      </c>
      <c r="B33" s="5" t="s">
        <v>73</v>
      </c>
      <c r="C33" s="5" t="s">
        <v>83</v>
      </c>
      <c r="D33" s="408">
        <v>34</v>
      </c>
      <c r="E33" s="408">
        <v>15</v>
      </c>
      <c r="F33" s="5" t="s">
        <v>19</v>
      </c>
      <c r="G33" s="5" t="s">
        <v>24</v>
      </c>
      <c r="H33" s="408">
        <v>60</v>
      </c>
      <c r="I33" s="408">
        <v>14.6</v>
      </c>
      <c r="J33" s="408">
        <v>5.8</v>
      </c>
      <c r="K33" s="408">
        <v>4.9000000000000004</v>
      </c>
      <c r="L33" s="408">
        <v>1.7</v>
      </c>
      <c r="M33" s="408">
        <v>0.6</v>
      </c>
      <c r="N33" s="408">
        <v>0.2</v>
      </c>
      <c r="O33" s="1" t="s">
        <v>137</v>
      </c>
      <c r="P33" s="104" t="s">
        <v>1065</v>
      </c>
      <c r="Q33" s="30"/>
      <c r="R33" s="5"/>
      <c r="S33" s="30"/>
      <c r="T33"/>
      <c r="AH33"/>
      <c r="AM33"/>
      <c r="AV33"/>
      <c r="AY33"/>
    </row>
    <row r="34" spans="1:51">
      <c r="A34" t="s">
        <v>221</v>
      </c>
      <c r="B34" s="5" t="s">
        <v>78</v>
      </c>
      <c r="C34" s="5" t="s">
        <v>38</v>
      </c>
      <c r="D34" s="408">
        <v>23</v>
      </c>
      <c r="E34" s="408">
        <v>3</v>
      </c>
      <c r="F34" s="5" t="s">
        <v>25</v>
      </c>
      <c r="G34" s="5" t="s">
        <v>29</v>
      </c>
      <c r="H34" s="408">
        <v>70</v>
      </c>
      <c r="I34" s="408">
        <v>26.2</v>
      </c>
      <c r="J34" s="408">
        <v>15.9</v>
      </c>
      <c r="K34" s="408">
        <v>7.9</v>
      </c>
      <c r="L34" s="408">
        <v>2.5</v>
      </c>
      <c r="M34" s="408">
        <v>0.5</v>
      </c>
      <c r="N34" s="408">
        <v>0.6</v>
      </c>
      <c r="O34" s="1" t="s">
        <v>220</v>
      </c>
      <c r="P34" s="104" t="s">
        <v>758</v>
      </c>
      <c r="Q34" s="30"/>
      <c r="R34" s="5"/>
      <c r="S34" s="30"/>
      <c r="T34"/>
      <c r="AH34"/>
      <c r="AM34"/>
      <c r="AV34"/>
      <c r="AY34"/>
    </row>
    <row r="35" spans="1:51">
      <c r="A35" t="s">
        <v>171</v>
      </c>
      <c r="B35" s="5" t="s">
        <v>112</v>
      </c>
      <c r="C35" s="5" t="s">
        <v>20</v>
      </c>
      <c r="D35" s="408">
        <v>32</v>
      </c>
      <c r="E35" s="408">
        <v>12</v>
      </c>
      <c r="F35" s="5" t="s">
        <v>19</v>
      </c>
      <c r="G35" s="5" t="s">
        <v>18</v>
      </c>
      <c r="H35" s="408">
        <v>55</v>
      </c>
      <c r="I35" s="408">
        <v>25.7</v>
      </c>
      <c r="J35" s="408">
        <v>7.8</v>
      </c>
      <c r="K35" s="408">
        <v>3.9</v>
      </c>
      <c r="L35" s="408">
        <v>7.8</v>
      </c>
      <c r="M35" s="408">
        <v>1</v>
      </c>
      <c r="N35" s="408">
        <v>0.2</v>
      </c>
      <c r="O35" s="1" t="s">
        <v>170</v>
      </c>
      <c r="P35" s="104" t="s">
        <v>737</v>
      </c>
      <c r="Q35" s="30"/>
      <c r="R35" s="5"/>
      <c r="S35" s="30"/>
      <c r="T35"/>
      <c r="AH35"/>
      <c r="AM35"/>
      <c r="AV35"/>
      <c r="AY35"/>
    </row>
    <row r="36" spans="1:51">
      <c r="A36" t="s">
        <v>93</v>
      </c>
      <c r="B36" s="5" t="s">
        <v>92</v>
      </c>
      <c r="C36" s="5" t="s">
        <v>38</v>
      </c>
      <c r="D36" s="408">
        <v>26</v>
      </c>
      <c r="E36" s="408">
        <v>4</v>
      </c>
      <c r="F36" s="5" t="s">
        <v>19</v>
      </c>
      <c r="G36" s="5" t="s">
        <v>18</v>
      </c>
      <c r="H36" s="408">
        <v>42</v>
      </c>
      <c r="I36" s="408">
        <v>10.199999999999999</v>
      </c>
      <c r="J36" s="408">
        <v>3.6</v>
      </c>
      <c r="K36" s="408">
        <v>3.1</v>
      </c>
      <c r="L36" s="408">
        <v>0.2</v>
      </c>
      <c r="M36" s="408">
        <v>0.4</v>
      </c>
      <c r="N36" s="408">
        <v>0.6</v>
      </c>
      <c r="O36" s="1" t="s">
        <v>91</v>
      </c>
      <c r="P36" s="104" t="s">
        <v>763</v>
      </c>
      <c r="Q36" s="30"/>
      <c r="R36" s="5"/>
      <c r="S36" s="30"/>
      <c r="T36"/>
      <c r="AH36"/>
      <c r="AM36"/>
      <c r="AV36"/>
      <c r="AY36"/>
    </row>
    <row r="37" spans="1:51">
      <c r="A37" t="s">
        <v>158</v>
      </c>
      <c r="B37" s="5" t="s">
        <v>157</v>
      </c>
      <c r="C37" s="5" t="s">
        <v>38</v>
      </c>
      <c r="D37" s="408">
        <v>32</v>
      </c>
      <c r="E37" s="408">
        <v>11</v>
      </c>
      <c r="F37" s="5" t="s">
        <v>19</v>
      </c>
      <c r="G37" s="5" t="s">
        <v>18</v>
      </c>
      <c r="H37" s="408">
        <v>67</v>
      </c>
      <c r="I37" s="408">
        <v>20.7</v>
      </c>
      <c r="J37" s="408">
        <v>7.8</v>
      </c>
      <c r="K37" s="408">
        <v>2.8</v>
      </c>
      <c r="L37" s="408">
        <v>1.1000000000000001</v>
      </c>
      <c r="M37" s="408">
        <v>0.4</v>
      </c>
      <c r="N37" s="408">
        <v>0.2</v>
      </c>
      <c r="O37" s="1" t="s">
        <v>91</v>
      </c>
      <c r="P37" s="104" t="s">
        <v>763</v>
      </c>
      <c r="Q37" s="30"/>
      <c r="R37" s="5"/>
      <c r="S37" s="30"/>
      <c r="T37"/>
      <c r="AH37"/>
      <c r="AM37"/>
      <c r="AV37"/>
      <c r="AY37"/>
    </row>
    <row r="38" spans="1:51">
      <c r="A38" t="s">
        <v>243</v>
      </c>
      <c r="B38" s="5" t="s">
        <v>128</v>
      </c>
      <c r="C38" s="5" t="s">
        <v>26</v>
      </c>
      <c r="D38" s="408">
        <v>28</v>
      </c>
      <c r="E38" s="408">
        <v>9</v>
      </c>
      <c r="F38" s="5" t="s">
        <v>19</v>
      </c>
      <c r="G38" s="5" t="s">
        <v>18</v>
      </c>
      <c r="H38" s="408">
        <v>51</v>
      </c>
      <c r="I38" s="408">
        <v>31.1</v>
      </c>
      <c r="J38" s="408">
        <v>19.5</v>
      </c>
      <c r="K38" s="408">
        <v>5.0999999999999996</v>
      </c>
      <c r="L38" s="408">
        <v>5.2</v>
      </c>
      <c r="M38" s="408">
        <v>1.1000000000000001</v>
      </c>
      <c r="N38" s="408">
        <v>0.3</v>
      </c>
      <c r="O38" s="1" t="s">
        <v>91</v>
      </c>
      <c r="P38" s="104" t="s">
        <v>763</v>
      </c>
      <c r="Q38" s="30"/>
      <c r="R38" s="5"/>
      <c r="S38" s="30"/>
      <c r="T38"/>
      <c r="AH38"/>
      <c r="AM38"/>
      <c r="AV38"/>
      <c r="AY38"/>
    </row>
    <row r="39" spans="1:51">
      <c r="A39" t="s">
        <v>111</v>
      </c>
      <c r="B39" s="5" t="s">
        <v>110</v>
      </c>
      <c r="C39" s="5" t="s">
        <v>26</v>
      </c>
      <c r="D39" s="408">
        <v>24</v>
      </c>
      <c r="E39" s="408">
        <v>4</v>
      </c>
      <c r="F39" s="5" t="s">
        <v>25</v>
      </c>
      <c r="G39" s="5" t="s">
        <v>29</v>
      </c>
      <c r="H39" s="408">
        <v>35</v>
      </c>
      <c r="I39" s="408">
        <v>12.2</v>
      </c>
      <c r="J39" s="408">
        <v>4.0999999999999996</v>
      </c>
      <c r="K39" s="408">
        <v>1.5</v>
      </c>
      <c r="L39" s="408">
        <v>0.8</v>
      </c>
      <c r="M39" s="408">
        <v>0.2</v>
      </c>
      <c r="N39" s="408">
        <v>0.1</v>
      </c>
      <c r="O39" s="1" t="s">
        <v>109</v>
      </c>
      <c r="P39" s="104" t="s">
        <v>758</v>
      </c>
      <c r="Q39" s="30"/>
      <c r="R39" s="5"/>
      <c r="S39" s="30"/>
      <c r="T39"/>
      <c r="AH39"/>
      <c r="AM39"/>
      <c r="AV39"/>
      <c r="AY39"/>
    </row>
    <row r="40" spans="1:51">
      <c r="A40" t="s">
        <v>34</v>
      </c>
      <c r="B40" s="5" t="s">
        <v>33</v>
      </c>
      <c r="C40" s="5" t="s">
        <v>26</v>
      </c>
      <c r="D40" s="408">
        <v>27</v>
      </c>
      <c r="E40" s="408">
        <v>5</v>
      </c>
      <c r="F40" s="5" t="s">
        <v>19</v>
      </c>
      <c r="G40" s="5" t="s">
        <v>24</v>
      </c>
      <c r="H40" s="408">
        <v>0</v>
      </c>
      <c r="I40" s="408"/>
      <c r="J40" s="408"/>
      <c r="K40" s="408"/>
      <c r="L40" s="408"/>
      <c r="M40" s="408"/>
      <c r="N40" s="408"/>
      <c r="O40" s="1" t="s">
        <v>32</v>
      </c>
      <c r="P40" s="104" t="s">
        <v>756</v>
      </c>
      <c r="Q40" s="30"/>
      <c r="R40" s="5"/>
      <c r="S40" s="30"/>
      <c r="T40"/>
      <c r="AH40"/>
      <c r="AM40"/>
      <c r="AV40"/>
      <c r="AY40"/>
    </row>
    <row r="41" spans="1:51">
      <c r="A41" t="s">
        <v>163</v>
      </c>
      <c r="B41" s="5" t="s">
        <v>157</v>
      </c>
      <c r="C41" s="5" t="s">
        <v>46</v>
      </c>
      <c r="D41" s="408">
        <v>27</v>
      </c>
      <c r="E41" s="408">
        <v>4</v>
      </c>
      <c r="F41" s="5" t="s">
        <v>19</v>
      </c>
      <c r="G41" s="5" t="s">
        <v>24</v>
      </c>
      <c r="H41" s="408">
        <v>61</v>
      </c>
      <c r="I41" s="408">
        <v>23.2</v>
      </c>
      <c r="J41" s="408">
        <v>7.2</v>
      </c>
      <c r="K41" s="408">
        <v>3.3</v>
      </c>
      <c r="L41" s="408">
        <v>1</v>
      </c>
      <c r="M41" s="408">
        <v>0.7</v>
      </c>
      <c r="N41" s="408">
        <v>0.3</v>
      </c>
      <c r="O41" s="1" t="s">
        <v>32</v>
      </c>
      <c r="P41" s="104" t="s">
        <v>756</v>
      </c>
      <c r="Q41" s="30"/>
      <c r="R41" s="5"/>
      <c r="S41" s="30"/>
      <c r="T41"/>
      <c r="AH41"/>
      <c r="AM41"/>
      <c r="AV41"/>
      <c r="AY41"/>
    </row>
    <row r="42" spans="1:51">
      <c r="A42" t="s">
        <v>97</v>
      </c>
      <c r="B42" s="5" t="s">
        <v>43</v>
      </c>
      <c r="C42" s="5" t="s">
        <v>38</v>
      </c>
      <c r="D42" s="408">
        <v>22</v>
      </c>
      <c r="E42" s="408">
        <v>4</v>
      </c>
      <c r="F42" s="5" t="s">
        <v>25</v>
      </c>
      <c r="G42" s="5" t="s">
        <v>29</v>
      </c>
      <c r="H42" s="408">
        <v>46</v>
      </c>
      <c r="I42" s="408">
        <v>15.2</v>
      </c>
      <c r="J42" s="408">
        <v>4.3</v>
      </c>
      <c r="K42" s="408">
        <v>5.4</v>
      </c>
      <c r="L42" s="408">
        <v>0.6</v>
      </c>
      <c r="M42" s="408">
        <v>0.2</v>
      </c>
      <c r="N42" s="408">
        <v>0.3</v>
      </c>
      <c r="O42" s="1" t="s">
        <v>95</v>
      </c>
      <c r="P42" s="104" t="s">
        <v>758</v>
      </c>
      <c r="Q42" s="30"/>
      <c r="R42" s="5"/>
      <c r="S42" s="30"/>
      <c r="T42"/>
      <c r="AH42"/>
      <c r="AM42"/>
      <c r="AV42"/>
      <c r="AY42"/>
    </row>
    <row r="43" spans="1:51">
      <c r="A43" t="s">
        <v>219</v>
      </c>
      <c r="B43" s="5" t="s">
        <v>190</v>
      </c>
      <c r="C43" s="5" t="s">
        <v>20</v>
      </c>
      <c r="D43" s="408">
        <v>24</v>
      </c>
      <c r="E43" s="408">
        <v>4</v>
      </c>
      <c r="F43" s="5" t="s">
        <v>25</v>
      </c>
      <c r="G43" s="5" t="s">
        <v>29</v>
      </c>
      <c r="H43" s="408">
        <v>59</v>
      </c>
      <c r="I43" s="408">
        <v>29.1</v>
      </c>
      <c r="J43" s="408">
        <v>13.1</v>
      </c>
      <c r="K43" s="408">
        <v>4.5</v>
      </c>
      <c r="L43" s="408">
        <v>6.4</v>
      </c>
      <c r="M43" s="408">
        <v>1.3</v>
      </c>
      <c r="N43" s="408">
        <v>0.4</v>
      </c>
      <c r="O43" s="1" t="s">
        <v>218</v>
      </c>
      <c r="P43" s="104" t="s">
        <v>758</v>
      </c>
      <c r="Q43" s="30"/>
      <c r="R43" s="5"/>
      <c r="S43" s="30"/>
      <c r="T43"/>
      <c r="AH43"/>
      <c r="AM43"/>
      <c r="AV43"/>
      <c r="AY43"/>
    </row>
    <row r="44" spans="1:51">
      <c r="A44" t="s">
        <v>105</v>
      </c>
      <c r="B44" s="5" t="s">
        <v>53</v>
      </c>
      <c r="C44" s="5" t="s">
        <v>20</v>
      </c>
      <c r="D44" s="408">
        <v>26</v>
      </c>
      <c r="E44" s="408">
        <v>5</v>
      </c>
      <c r="F44" s="5" t="s">
        <v>19</v>
      </c>
      <c r="G44" s="5" t="s">
        <v>18</v>
      </c>
      <c r="H44" s="408">
        <v>52</v>
      </c>
      <c r="I44" s="408">
        <v>16</v>
      </c>
      <c r="J44" s="408">
        <v>4.5999999999999996</v>
      </c>
      <c r="K44" s="408">
        <v>2.7</v>
      </c>
      <c r="L44" s="408">
        <v>2.2000000000000002</v>
      </c>
      <c r="M44" s="408">
        <v>0.9</v>
      </c>
      <c r="N44" s="408">
        <v>0.4</v>
      </c>
      <c r="O44" s="1" t="s">
        <v>104</v>
      </c>
      <c r="P44" s="104" t="s">
        <v>763</v>
      </c>
      <c r="Q44" s="30"/>
      <c r="R44" s="5"/>
      <c r="S44" s="30"/>
      <c r="T44"/>
      <c r="AH44"/>
      <c r="AM44"/>
      <c r="AV44"/>
      <c r="AY44"/>
    </row>
    <row r="45" spans="1:51">
      <c r="A45" t="s">
        <v>182</v>
      </c>
      <c r="B45" s="5" t="s">
        <v>33</v>
      </c>
      <c r="C45" s="5" t="s">
        <v>46</v>
      </c>
      <c r="D45" s="408">
        <v>26</v>
      </c>
      <c r="E45" s="408">
        <v>4</v>
      </c>
      <c r="F45" s="5" t="s">
        <v>25</v>
      </c>
      <c r="G45" s="5" t="s">
        <v>29</v>
      </c>
      <c r="H45" s="408">
        <v>70</v>
      </c>
      <c r="I45" s="408">
        <v>22</v>
      </c>
      <c r="J45" s="408">
        <v>7.6</v>
      </c>
      <c r="K45" s="408">
        <v>2.5</v>
      </c>
      <c r="L45" s="408">
        <v>1</v>
      </c>
      <c r="M45" s="408">
        <v>0.2</v>
      </c>
      <c r="N45" s="408">
        <v>0.2</v>
      </c>
      <c r="O45" s="1" t="s">
        <v>181</v>
      </c>
      <c r="P45" s="104" t="s">
        <v>758</v>
      </c>
      <c r="Q45" s="30"/>
      <c r="R45" s="5"/>
      <c r="S45" s="30"/>
      <c r="T45"/>
      <c r="AH45"/>
      <c r="AM45"/>
      <c r="AV45"/>
      <c r="AY45"/>
    </row>
    <row r="46" spans="1:51">
      <c r="A46" t="s">
        <v>150</v>
      </c>
      <c r="B46" s="5" t="s">
        <v>149</v>
      </c>
      <c r="C46" s="5" t="s">
        <v>26</v>
      </c>
      <c r="D46" s="408">
        <v>29</v>
      </c>
      <c r="E46" s="408">
        <v>2</v>
      </c>
      <c r="F46" s="5" t="s">
        <v>25</v>
      </c>
      <c r="G46" s="5" t="s">
        <v>24</v>
      </c>
      <c r="H46" s="408">
        <v>54</v>
      </c>
      <c r="I46" s="408">
        <v>18.8</v>
      </c>
      <c r="J46" s="408">
        <v>6.3</v>
      </c>
      <c r="K46" s="408">
        <v>1.9</v>
      </c>
      <c r="L46" s="408">
        <v>3</v>
      </c>
      <c r="M46" s="408">
        <v>0.6</v>
      </c>
      <c r="N46" s="408">
        <v>0.1</v>
      </c>
      <c r="O46" s="1" t="s">
        <v>148</v>
      </c>
      <c r="P46" s="104" t="s">
        <v>1065</v>
      </c>
      <c r="Q46" s="30"/>
      <c r="R46" s="5"/>
      <c r="S46" s="30"/>
      <c r="T46"/>
      <c r="AH46"/>
      <c r="AM46"/>
      <c r="AV46"/>
      <c r="AY46"/>
    </row>
    <row r="47" spans="1:51">
      <c r="A47" t="s">
        <v>225</v>
      </c>
      <c r="B47" s="5" t="s">
        <v>43</v>
      </c>
      <c r="C47" s="5" t="s">
        <v>26</v>
      </c>
      <c r="D47" s="408">
        <v>23</v>
      </c>
      <c r="E47" s="408">
        <v>4</v>
      </c>
      <c r="F47" s="5" t="s">
        <v>25</v>
      </c>
      <c r="G47" s="5" t="s">
        <v>29</v>
      </c>
      <c r="H47" s="408">
        <v>24</v>
      </c>
      <c r="I47" s="408">
        <v>27.3</v>
      </c>
      <c r="J47" s="408">
        <v>16.7</v>
      </c>
      <c r="K47" s="408">
        <v>4</v>
      </c>
      <c r="L47" s="408">
        <v>3</v>
      </c>
      <c r="M47" s="408">
        <v>1</v>
      </c>
      <c r="N47" s="408">
        <v>0.2</v>
      </c>
      <c r="O47" s="1" t="s">
        <v>224</v>
      </c>
      <c r="P47" s="104" t="s">
        <v>758</v>
      </c>
      <c r="Q47" s="30"/>
      <c r="R47" s="5"/>
      <c r="S47" s="30"/>
      <c r="T47"/>
      <c r="AH47"/>
      <c r="AM47"/>
      <c r="AV47"/>
      <c r="AY47"/>
    </row>
    <row r="48" spans="1:51">
      <c r="A48" t="s">
        <v>51</v>
      </c>
      <c r="B48" s="5" t="s">
        <v>50</v>
      </c>
      <c r="C48" s="5" t="s">
        <v>38</v>
      </c>
      <c r="D48" s="408">
        <v>37</v>
      </c>
      <c r="E48" s="408">
        <v>15</v>
      </c>
      <c r="F48" s="5" t="s">
        <v>19</v>
      </c>
      <c r="G48" s="5" t="s">
        <v>18</v>
      </c>
      <c r="H48" s="408">
        <v>12</v>
      </c>
      <c r="I48" s="408">
        <v>5.0999999999999996</v>
      </c>
      <c r="J48" s="408">
        <v>0.6</v>
      </c>
      <c r="K48" s="408">
        <v>0.8</v>
      </c>
      <c r="L48" s="408">
        <v>0.4</v>
      </c>
      <c r="M48" s="408"/>
      <c r="N48" s="408">
        <v>0.2</v>
      </c>
      <c r="O48" s="1" t="s">
        <v>49</v>
      </c>
      <c r="P48" s="104" t="s">
        <v>736</v>
      </c>
      <c r="Q48" s="30"/>
      <c r="R48" s="5"/>
      <c r="S48" s="30"/>
      <c r="T48"/>
      <c r="AH48"/>
      <c r="AM48"/>
      <c r="AV48"/>
      <c r="AY48"/>
    </row>
    <row r="49" spans="1:51">
      <c r="A49" t="s">
        <v>183</v>
      </c>
      <c r="B49" s="5" t="s">
        <v>21</v>
      </c>
      <c r="C49" s="5" t="s">
        <v>20</v>
      </c>
      <c r="D49" s="408">
        <v>34</v>
      </c>
      <c r="E49" s="408">
        <v>13</v>
      </c>
      <c r="F49" s="5" t="s">
        <v>19</v>
      </c>
      <c r="G49" s="5" t="s">
        <v>18</v>
      </c>
      <c r="H49" s="408">
        <v>58</v>
      </c>
      <c r="I49" s="408">
        <v>25.6</v>
      </c>
      <c r="J49" s="408">
        <v>7.6</v>
      </c>
      <c r="K49" s="408">
        <v>3.1</v>
      </c>
      <c r="L49" s="408">
        <v>5.7</v>
      </c>
      <c r="M49" s="408">
        <v>0.6</v>
      </c>
      <c r="N49" s="408">
        <v>0.1</v>
      </c>
      <c r="O49" s="1" t="s">
        <v>49</v>
      </c>
      <c r="P49" s="104" t="s">
        <v>736</v>
      </c>
      <c r="Q49" s="30"/>
      <c r="R49" s="5"/>
      <c r="S49" s="30"/>
      <c r="T49"/>
      <c r="AH49"/>
      <c r="AM49"/>
      <c r="AV49"/>
      <c r="AY49"/>
    </row>
    <row r="50" spans="1:51">
      <c r="A50" t="s">
        <v>210</v>
      </c>
      <c r="B50" s="5" t="s">
        <v>50</v>
      </c>
      <c r="C50" s="5" t="s">
        <v>26</v>
      </c>
      <c r="D50" s="408">
        <v>36</v>
      </c>
      <c r="E50" s="408">
        <v>15</v>
      </c>
      <c r="F50" s="5" t="s">
        <v>19</v>
      </c>
      <c r="G50" s="5" t="s">
        <v>18</v>
      </c>
      <c r="H50" s="408">
        <v>58</v>
      </c>
      <c r="I50" s="408">
        <v>23.1</v>
      </c>
      <c r="J50" s="408">
        <v>11.7</v>
      </c>
      <c r="K50" s="408">
        <v>3.9</v>
      </c>
      <c r="L50" s="408">
        <v>3.3</v>
      </c>
      <c r="M50" s="408">
        <v>0.9</v>
      </c>
      <c r="N50" s="408">
        <v>0.6</v>
      </c>
      <c r="O50" s="1" t="s">
        <v>49</v>
      </c>
      <c r="P50" s="104" t="s">
        <v>1065</v>
      </c>
      <c r="Q50" s="30"/>
      <c r="R50" s="5"/>
      <c r="S50" s="30"/>
      <c r="T50"/>
      <c r="AH50"/>
      <c r="AM50"/>
      <c r="AV50"/>
      <c r="AY50"/>
    </row>
    <row r="51" spans="1:51">
      <c r="A51" t="s">
        <v>59</v>
      </c>
      <c r="B51" s="5" t="s">
        <v>58</v>
      </c>
      <c r="C51" s="5" t="s">
        <v>38</v>
      </c>
      <c r="D51" s="408">
        <v>37</v>
      </c>
      <c r="E51" s="408">
        <v>14</v>
      </c>
      <c r="F51" s="5" t="s">
        <v>19</v>
      </c>
      <c r="G51" s="5" t="s">
        <v>29</v>
      </c>
      <c r="H51" s="408">
        <v>14</v>
      </c>
      <c r="I51" s="408">
        <v>5.0999999999999996</v>
      </c>
      <c r="J51" s="408">
        <v>2.1</v>
      </c>
      <c r="K51" s="408">
        <v>1.4</v>
      </c>
      <c r="L51" s="408">
        <v>0.3</v>
      </c>
      <c r="M51" s="408"/>
      <c r="N51" s="408"/>
      <c r="O51" s="1" t="s">
        <v>49</v>
      </c>
      <c r="P51" s="104" t="s">
        <v>736</v>
      </c>
      <c r="Q51" s="30"/>
      <c r="R51" s="5"/>
      <c r="S51" s="30"/>
      <c r="T51"/>
      <c r="AH51"/>
      <c r="AM51"/>
      <c r="AV51"/>
      <c r="AY51"/>
    </row>
    <row r="52" spans="1:51">
      <c r="A52" t="s">
        <v>57</v>
      </c>
      <c r="B52" s="5" t="s">
        <v>41</v>
      </c>
      <c r="C52" s="5" t="s">
        <v>26</v>
      </c>
      <c r="D52" s="408">
        <v>40</v>
      </c>
      <c r="E52" s="408">
        <v>19</v>
      </c>
      <c r="F52" s="5" t="s">
        <v>19</v>
      </c>
      <c r="G52" s="5" t="s">
        <v>24</v>
      </c>
      <c r="H52" s="408">
        <v>39</v>
      </c>
      <c r="I52" s="408">
        <v>14.7</v>
      </c>
      <c r="J52" s="408">
        <v>2.9</v>
      </c>
      <c r="K52" s="408">
        <v>0.9</v>
      </c>
      <c r="L52" s="408">
        <v>1.1000000000000001</v>
      </c>
      <c r="M52" s="408">
        <v>0.6</v>
      </c>
      <c r="N52" s="408">
        <v>0.3</v>
      </c>
      <c r="O52" s="1" t="s">
        <v>49</v>
      </c>
      <c r="P52" s="104" t="s">
        <v>736</v>
      </c>
      <c r="Q52" s="30"/>
      <c r="R52" s="5"/>
      <c r="S52" s="30"/>
      <c r="T52"/>
      <c r="AH52"/>
      <c r="AM52"/>
      <c r="AV52"/>
      <c r="AY52"/>
    </row>
    <row r="53" spans="1:51">
      <c r="A53" t="s">
        <v>76</v>
      </c>
      <c r="B53" s="5" t="s">
        <v>75</v>
      </c>
      <c r="C53" s="5" t="s">
        <v>26</v>
      </c>
      <c r="D53" s="408">
        <v>32</v>
      </c>
      <c r="E53" s="408">
        <v>11</v>
      </c>
      <c r="F53" s="5" t="s">
        <v>19</v>
      </c>
      <c r="G53" s="5" t="s">
        <v>18</v>
      </c>
      <c r="H53" s="408">
        <v>47</v>
      </c>
      <c r="I53" s="408">
        <v>12.7</v>
      </c>
      <c r="J53" s="408">
        <v>3.3</v>
      </c>
      <c r="K53" s="408">
        <v>1.3</v>
      </c>
      <c r="L53" s="408">
        <v>0.6</v>
      </c>
      <c r="M53" s="408">
        <v>0</v>
      </c>
      <c r="N53" s="408">
        <v>0.1</v>
      </c>
      <c r="O53" s="1" t="s">
        <v>49</v>
      </c>
      <c r="P53" s="104" t="s">
        <v>736</v>
      </c>
      <c r="Q53" s="30"/>
      <c r="R53" s="5"/>
      <c r="S53" s="30"/>
      <c r="T53"/>
      <c r="AH53"/>
      <c r="AM53"/>
      <c r="AV53"/>
      <c r="AY53"/>
    </row>
    <row r="54" spans="1:51">
      <c r="A54" t="s">
        <v>167</v>
      </c>
      <c r="B54" s="5" t="s">
        <v>73</v>
      </c>
      <c r="C54" s="5" t="s">
        <v>38</v>
      </c>
      <c r="D54" s="408">
        <v>37</v>
      </c>
      <c r="E54" s="408">
        <v>15</v>
      </c>
      <c r="F54" s="5" t="s">
        <v>19</v>
      </c>
      <c r="G54" s="5" t="s">
        <v>24</v>
      </c>
      <c r="H54" s="408">
        <v>62</v>
      </c>
      <c r="I54" s="408">
        <v>13.7</v>
      </c>
      <c r="J54" s="408">
        <v>7</v>
      </c>
      <c r="K54" s="408">
        <v>3.4</v>
      </c>
      <c r="L54" s="408">
        <v>1.9</v>
      </c>
      <c r="M54" s="408">
        <v>0.6</v>
      </c>
      <c r="N54" s="408">
        <v>1.1000000000000001</v>
      </c>
      <c r="O54" s="1" t="s">
        <v>49</v>
      </c>
      <c r="P54" s="104" t="s">
        <v>736</v>
      </c>
      <c r="Q54" s="30"/>
      <c r="R54" s="5"/>
      <c r="S54" s="30"/>
      <c r="T54"/>
      <c r="AH54"/>
      <c r="AM54"/>
      <c r="AV54"/>
      <c r="AY54"/>
    </row>
    <row r="55" spans="1:51">
      <c r="A55" t="s">
        <v>108</v>
      </c>
      <c r="B55" s="5" t="s">
        <v>102</v>
      </c>
      <c r="C55" s="5" t="s">
        <v>20</v>
      </c>
      <c r="D55" s="408">
        <v>36</v>
      </c>
      <c r="E55" s="408">
        <v>13</v>
      </c>
      <c r="F55" s="5" t="s">
        <v>19</v>
      </c>
      <c r="G55" s="5" t="s">
        <v>18</v>
      </c>
      <c r="H55" s="408">
        <v>47</v>
      </c>
      <c r="I55" s="408">
        <v>15.4</v>
      </c>
      <c r="J55" s="408">
        <v>3.9</v>
      </c>
      <c r="K55" s="408">
        <v>1.5</v>
      </c>
      <c r="L55" s="408">
        <v>2</v>
      </c>
      <c r="M55" s="408">
        <v>0.5</v>
      </c>
      <c r="N55" s="408">
        <v>0</v>
      </c>
      <c r="O55" s="1" t="s">
        <v>49</v>
      </c>
      <c r="P55" s="104" t="s">
        <v>736</v>
      </c>
      <c r="Q55" s="30"/>
      <c r="R55" s="5"/>
      <c r="S55" s="30"/>
      <c r="T55"/>
      <c r="AH55"/>
      <c r="AM55"/>
      <c r="AV55"/>
      <c r="AY55"/>
    </row>
    <row r="56" spans="1:51">
      <c r="A56" t="s">
        <v>166</v>
      </c>
      <c r="B56" s="5" t="s">
        <v>58</v>
      </c>
      <c r="C56" s="5" t="s">
        <v>20</v>
      </c>
      <c r="D56" s="408">
        <v>33</v>
      </c>
      <c r="E56" s="408">
        <v>13</v>
      </c>
      <c r="F56" s="5" t="s">
        <v>19</v>
      </c>
      <c r="G56" s="5" t="s">
        <v>18</v>
      </c>
      <c r="H56" s="408">
        <v>72</v>
      </c>
      <c r="I56" s="408">
        <v>16.899999999999999</v>
      </c>
      <c r="J56" s="408">
        <v>7</v>
      </c>
      <c r="K56" s="408">
        <v>2</v>
      </c>
      <c r="L56" s="408">
        <v>2.7</v>
      </c>
      <c r="M56" s="408">
        <v>0.6</v>
      </c>
      <c r="N56" s="408">
        <v>0.2</v>
      </c>
      <c r="O56" s="1" t="s">
        <v>49</v>
      </c>
      <c r="P56" s="104" t="s">
        <v>736</v>
      </c>
      <c r="Q56" s="30"/>
      <c r="R56" s="5"/>
      <c r="S56" s="30"/>
      <c r="T56"/>
      <c r="AH56"/>
      <c r="AM56"/>
      <c r="AV56"/>
      <c r="AY56"/>
    </row>
    <row r="57" spans="1:51">
      <c r="A57" t="s">
        <v>209</v>
      </c>
      <c r="B57" s="5" t="s">
        <v>102</v>
      </c>
      <c r="C57" s="5" t="s">
        <v>46</v>
      </c>
      <c r="D57" s="408">
        <v>31</v>
      </c>
      <c r="E57" s="408">
        <v>11</v>
      </c>
      <c r="F57" s="5" t="s">
        <v>19</v>
      </c>
      <c r="G57" s="5" t="s">
        <v>18</v>
      </c>
      <c r="H57" s="408">
        <v>67</v>
      </c>
      <c r="I57" s="408">
        <v>22.9</v>
      </c>
      <c r="J57" s="408">
        <v>10.7</v>
      </c>
      <c r="K57" s="408">
        <v>3.3</v>
      </c>
      <c r="L57" s="408">
        <v>1.3</v>
      </c>
      <c r="M57" s="408">
        <v>0.5</v>
      </c>
      <c r="N57" s="408">
        <v>0.4</v>
      </c>
      <c r="O57" s="1" t="s">
        <v>49</v>
      </c>
      <c r="P57" s="104" t="s">
        <v>736</v>
      </c>
      <c r="Q57" s="30"/>
      <c r="R57" s="5"/>
      <c r="S57" s="30"/>
      <c r="T57"/>
      <c r="AH57"/>
      <c r="AM57"/>
      <c r="AV57"/>
      <c r="AY57"/>
    </row>
    <row r="58" spans="1:51">
      <c r="A58" t="s">
        <v>62</v>
      </c>
      <c r="B58" s="5" t="s">
        <v>61</v>
      </c>
      <c r="C58" s="5" t="s">
        <v>46</v>
      </c>
      <c r="D58" s="408">
        <v>37</v>
      </c>
      <c r="E58" s="408">
        <v>17</v>
      </c>
      <c r="F58" s="5" t="s">
        <v>19</v>
      </c>
      <c r="G58" s="5" t="s">
        <v>18</v>
      </c>
      <c r="H58" s="408">
        <v>19</v>
      </c>
      <c r="I58" s="408">
        <v>8.4</v>
      </c>
      <c r="J58" s="408">
        <v>1.6</v>
      </c>
      <c r="K58" s="408">
        <v>0.8</v>
      </c>
      <c r="L58" s="408">
        <v>0.7</v>
      </c>
      <c r="M58" s="408">
        <v>0.1</v>
      </c>
      <c r="N58" s="408">
        <v>0.1</v>
      </c>
      <c r="O58" s="1" t="s">
        <v>60</v>
      </c>
      <c r="P58" s="104" t="s">
        <v>1065</v>
      </c>
      <c r="Q58" s="30"/>
      <c r="R58" s="5"/>
      <c r="S58" s="30"/>
      <c r="T58"/>
      <c r="AH58"/>
      <c r="AM58"/>
      <c r="AV58"/>
      <c r="AY58"/>
    </row>
    <row r="59" spans="1:51">
      <c r="A59" t="s">
        <v>131</v>
      </c>
      <c r="B59" s="5" t="s">
        <v>110</v>
      </c>
      <c r="C59" s="5" t="s">
        <v>38</v>
      </c>
      <c r="D59" s="408">
        <v>30</v>
      </c>
      <c r="E59" s="408">
        <v>9</v>
      </c>
      <c r="F59" s="5" t="s">
        <v>19</v>
      </c>
      <c r="G59" s="5" t="s">
        <v>29</v>
      </c>
      <c r="H59" s="408">
        <v>64</v>
      </c>
      <c r="I59" s="408">
        <v>21.6</v>
      </c>
      <c r="J59" s="408">
        <v>5.5</v>
      </c>
      <c r="K59" s="408">
        <v>4</v>
      </c>
      <c r="L59" s="408">
        <v>0.6</v>
      </c>
      <c r="M59" s="408">
        <v>0.6</v>
      </c>
      <c r="N59" s="408">
        <v>0.3</v>
      </c>
      <c r="O59" s="1" t="s">
        <v>130</v>
      </c>
      <c r="P59" s="104" t="s">
        <v>737</v>
      </c>
      <c r="Q59" s="30"/>
      <c r="R59" s="5"/>
      <c r="S59" s="30"/>
      <c r="T59"/>
      <c r="AH59"/>
      <c r="AM59"/>
      <c r="AV59"/>
      <c r="AY59"/>
    </row>
    <row r="60" spans="1:51">
      <c r="A60" t="s">
        <v>127</v>
      </c>
      <c r="B60" s="5" t="s">
        <v>157</v>
      </c>
      <c r="C60" s="5" t="s">
        <v>20</v>
      </c>
      <c r="D60" s="408">
        <v>36</v>
      </c>
      <c r="E60" s="408">
        <v>14</v>
      </c>
      <c r="F60" s="5" t="s">
        <v>19</v>
      </c>
      <c r="G60" s="5" t="s">
        <v>18</v>
      </c>
      <c r="H60" s="408">
        <v>50</v>
      </c>
      <c r="I60" s="408">
        <v>20.3</v>
      </c>
      <c r="J60" s="408">
        <v>4.9000000000000004</v>
      </c>
      <c r="K60" s="408">
        <v>2.1</v>
      </c>
      <c r="L60" s="408">
        <v>3.6</v>
      </c>
      <c r="M60" s="408">
        <v>0.5</v>
      </c>
      <c r="N60" s="408">
        <v>0.1</v>
      </c>
      <c r="O60" s="1" t="s">
        <v>126</v>
      </c>
      <c r="P60" s="104" t="s">
        <v>1065</v>
      </c>
      <c r="Q60" s="30"/>
      <c r="R60" s="5"/>
      <c r="S60" s="30"/>
      <c r="T60"/>
      <c r="AH60"/>
      <c r="AM60"/>
      <c r="AV60"/>
      <c r="AY60"/>
    </row>
    <row r="61" spans="1:51">
      <c r="A61" t="s">
        <v>90</v>
      </c>
      <c r="B61" s="5" t="s">
        <v>47</v>
      </c>
      <c r="C61" s="5" t="s">
        <v>83</v>
      </c>
      <c r="D61" s="408">
        <v>25</v>
      </c>
      <c r="E61" s="408">
        <v>4</v>
      </c>
      <c r="F61" s="5" t="s">
        <v>25</v>
      </c>
      <c r="G61" s="5" t="s">
        <v>29</v>
      </c>
      <c r="H61" s="408">
        <v>42</v>
      </c>
      <c r="I61" s="408">
        <v>8.1999999999999993</v>
      </c>
      <c r="J61" s="408">
        <v>2.5</v>
      </c>
      <c r="K61" s="408">
        <v>1.8</v>
      </c>
      <c r="L61" s="408">
        <v>0.4</v>
      </c>
      <c r="M61" s="408">
        <v>0.5</v>
      </c>
      <c r="N61" s="408">
        <v>0.8</v>
      </c>
      <c r="O61" s="1" t="s">
        <v>89</v>
      </c>
      <c r="P61" s="104" t="s">
        <v>758</v>
      </c>
      <c r="Q61" s="30"/>
      <c r="R61" s="5"/>
      <c r="S61" s="30"/>
      <c r="T61"/>
      <c r="AH61"/>
      <c r="AM61"/>
      <c r="AV61"/>
      <c r="AY61"/>
    </row>
    <row r="62" spans="1:51">
      <c r="A62" t="s">
        <v>231</v>
      </c>
      <c r="B62" s="5" t="s">
        <v>96</v>
      </c>
      <c r="C62" s="5" t="s">
        <v>83</v>
      </c>
      <c r="D62" s="408">
        <v>23</v>
      </c>
      <c r="E62" s="408">
        <v>4</v>
      </c>
      <c r="F62" s="5" t="s">
        <v>25</v>
      </c>
      <c r="G62" s="5" t="s">
        <v>29</v>
      </c>
      <c r="H62" s="408">
        <v>67</v>
      </c>
      <c r="I62" s="408">
        <v>26</v>
      </c>
      <c r="J62" s="408">
        <v>14.1</v>
      </c>
      <c r="K62" s="408">
        <v>8.6</v>
      </c>
      <c r="L62" s="408">
        <v>1.8</v>
      </c>
      <c r="M62" s="408">
        <v>0.7</v>
      </c>
      <c r="N62" s="408">
        <v>1.3</v>
      </c>
      <c r="O62" s="1" t="s">
        <v>89</v>
      </c>
      <c r="P62" s="104" t="s">
        <v>758</v>
      </c>
      <c r="Q62" s="30"/>
      <c r="R62" s="5"/>
      <c r="S62" s="30"/>
      <c r="T62"/>
      <c r="AH62"/>
      <c r="AM62"/>
      <c r="AV62"/>
      <c r="AY62"/>
    </row>
    <row r="63" spans="1:51">
      <c r="A63" t="s">
        <v>168</v>
      </c>
      <c r="B63" s="5" t="s">
        <v>75</v>
      </c>
      <c r="C63" s="5" t="s">
        <v>38</v>
      </c>
      <c r="D63" s="408">
        <v>30</v>
      </c>
      <c r="E63" s="408">
        <v>10</v>
      </c>
      <c r="F63" s="5" t="s">
        <v>19</v>
      </c>
      <c r="G63" s="5" t="s">
        <v>18</v>
      </c>
      <c r="H63" s="408">
        <v>49</v>
      </c>
      <c r="I63" s="408">
        <v>13.1</v>
      </c>
      <c r="J63" s="408">
        <v>7.7</v>
      </c>
      <c r="K63" s="408">
        <v>2.6</v>
      </c>
      <c r="L63" s="408">
        <v>0.8</v>
      </c>
      <c r="M63" s="408">
        <v>0.1</v>
      </c>
      <c r="N63" s="408">
        <v>0.4</v>
      </c>
      <c r="O63" s="1" t="s">
        <v>67</v>
      </c>
      <c r="P63" s="104" t="s">
        <v>736</v>
      </c>
      <c r="Q63" s="30"/>
      <c r="R63" s="5"/>
      <c r="S63" s="30"/>
      <c r="T63"/>
      <c r="AH63"/>
      <c r="AM63"/>
      <c r="AV63"/>
      <c r="AY63"/>
    </row>
    <row r="64" spans="1:51">
      <c r="A64" t="s">
        <v>94</v>
      </c>
      <c r="B64" s="5" t="s">
        <v>73</v>
      </c>
      <c r="C64" s="5" t="s">
        <v>83</v>
      </c>
      <c r="D64" s="408">
        <v>30</v>
      </c>
      <c r="E64" s="408">
        <v>10</v>
      </c>
      <c r="F64" s="5" t="s">
        <v>19</v>
      </c>
      <c r="G64" s="5" t="s">
        <v>24</v>
      </c>
      <c r="H64" s="408">
        <v>55</v>
      </c>
      <c r="I64" s="408">
        <v>9.1999999999999993</v>
      </c>
      <c r="J64" s="408">
        <v>4.3</v>
      </c>
      <c r="K64" s="408">
        <v>2.2999999999999998</v>
      </c>
      <c r="L64" s="408">
        <v>0.5</v>
      </c>
      <c r="M64" s="408">
        <v>0.3</v>
      </c>
      <c r="N64" s="408">
        <v>0.9</v>
      </c>
      <c r="O64" s="1" t="s">
        <v>67</v>
      </c>
      <c r="P64" s="104" t="s">
        <v>1065</v>
      </c>
      <c r="Q64" s="30"/>
      <c r="R64" s="5"/>
      <c r="S64" s="30"/>
      <c r="T64"/>
      <c r="AH64"/>
      <c r="AM64"/>
      <c r="AV64"/>
      <c r="AY64"/>
    </row>
    <row r="65" spans="1:51">
      <c r="A65" t="s">
        <v>211</v>
      </c>
      <c r="B65" s="5" t="s">
        <v>21</v>
      </c>
      <c r="C65" s="5" t="s">
        <v>46</v>
      </c>
      <c r="D65" s="408">
        <v>29</v>
      </c>
      <c r="E65" s="408">
        <v>10</v>
      </c>
      <c r="F65" s="5" t="s">
        <v>19</v>
      </c>
      <c r="G65" s="5" t="s">
        <v>18</v>
      </c>
      <c r="H65" s="408">
        <v>64</v>
      </c>
      <c r="I65" s="408">
        <v>21.7</v>
      </c>
      <c r="J65" s="408">
        <v>12.6</v>
      </c>
      <c r="K65" s="408">
        <v>5.5</v>
      </c>
      <c r="L65" s="408">
        <v>1.6</v>
      </c>
      <c r="M65" s="408">
        <v>0.5</v>
      </c>
      <c r="N65" s="408">
        <v>0.6</v>
      </c>
      <c r="O65" s="1" t="s">
        <v>67</v>
      </c>
      <c r="P65" s="104" t="s">
        <v>736</v>
      </c>
      <c r="Q65" s="30"/>
      <c r="R65" s="5"/>
      <c r="S65" s="30"/>
      <c r="T65"/>
      <c r="AH65"/>
      <c r="AM65"/>
      <c r="AV65"/>
      <c r="AY65"/>
    </row>
    <row r="66" spans="1:51">
      <c r="A66" t="s">
        <v>161</v>
      </c>
      <c r="B66" s="5" t="s">
        <v>92</v>
      </c>
      <c r="C66" s="5" t="s">
        <v>38</v>
      </c>
      <c r="D66" s="408">
        <v>31</v>
      </c>
      <c r="E66" s="408">
        <v>10</v>
      </c>
      <c r="F66" s="5" t="s">
        <v>19</v>
      </c>
      <c r="G66" s="5" t="s">
        <v>18</v>
      </c>
      <c r="H66" s="408">
        <v>53</v>
      </c>
      <c r="I66" s="408">
        <v>26.4</v>
      </c>
      <c r="J66" s="408">
        <v>7.6</v>
      </c>
      <c r="K66" s="408">
        <v>3.2</v>
      </c>
      <c r="L66" s="408">
        <v>1</v>
      </c>
      <c r="M66" s="408">
        <v>1</v>
      </c>
      <c r="N66" s="408">
        <v>0.5</v>
      </c>
      <c r="O66" s="1" t="s">
        <v>67</v>
      </c>
      <c r="P66" s="104" t="s">
        <v>1065</v>
      </c>
      <c r="Q66" s="30"/>
      <c r="R66" s="5"/>
      <c r="S66" s="30"/>
      <c r="T66"/>
      <c r="AH66"/>
      <c r="AM66"/>
      <c r="AV66"/>
      <c r="AY66"/>
    </row>
    <row r="67" spans="1:51">
      <c r="A67" t="s">
        <v>3</v>
      </c>
      <c r="B67" s="5" t="s">
        <v>56</v>
      </c>
      <c r="C67" s="5" t="s">
        <v>20</v>
      </c>
      <c r="D67" s="408">
        <v>33</v>
      </c>
      <c r="E67" s="408">
        <v>10</v>
      </c>
      <c r="F67" s="5" t="s">
        <v>19</v>
      </c>
      <c r="G67" s="5" t="s">
        <v>18</v>
      </c>
      <c r="H67" s="408">
        <v>29</v>
      </c>
      <c r="I67" s="408">
        <v>5.5</v>
      </c>
      <c r="J67" s="408">
        <v>1.9</v>
      </c>
      <c r="K67" s="408">
        <v>0.4</v>
      </c>
      <c r="L67" s="408">
        <v>0.6</v>
      </c>
      <c r="M67" s="408">
        <v>0.2</v>
      </c>
      <c r="N67" s="408"/>
      <c r="O67" s="1" t="s">
        <v>67</v>
      </c>
      <c r="P67" s="104" t="s">
        <v>1065</v>
      </c>
      <c r="Q67" s="30"/>
      <c r="R67" s="5"/>
      <c r="S67" s="30"/>
      <c r="T67"/>
      <c r="AH67"/>
      <c r="AM67"/>
      <c r="AV67"/>
      <c r="AY67"/>
    </row>
    <row r="68" spans="1:51">
      <c r="A68" t="s">
        <v>165</v>
      </c>
      <c r="B68" s="5" t="s">
        <v>73</v>
      </c>
      <c r="C68" s="5" t="s">
        <v>46</v>
      </c>
      <c r="D68" s="408">
        <v>29</v>
      </c>
      <c r="E68" s="408">
        <v>9</v>
      </c>
      <c r="F68" s="5" t="s">
        <v>19</v>
      </c>
      <c r="G68" s="5" t="s">
        <v>18</v>
      </c>
      <c r="H68" s="408">
        <v>53</v>
      </c>
      <c r="I68" s="408">
        <v>14</v>
      </c>
      <c r="J68" s="408">
        <v>5.7</v>
      </c>
      <c r="K68" s="408">
        <v>3.8</v>
      </c>
      <c r="L68" s="408">
        <v>1</v>
      </c>
      <c r="M68" s="408">
        <v>0.3</v>
      </c>
      <c r="N68" s="408">
        <v>0.4</v>
      </c>
      <c r="O68" s="1" t="s">
        <v>164</v>
      </c>
      <c r="P68" s="104" t="s">
        <v>736</v>
      </c>
      <c r="Q68" s="30"/>
      <c r="R68" s="5"/>
      <c r="S68" s="30"/>
      <c r="T68"/>
      <c r="AH68"/>
      <c r="AM68"/>
      <c r="AV68"/>
      <c r="AY68"/>
    </row>
    <row r="69" spans="1:51">
      <c r="A69" t="s">
        <v>175</v>
      </c>
      <c r="B69" s="5" t="s">
        <v>128</v>
      </c>
      <c r="C69" s="5" t="s">
        <v>20</v>
      </c>
      <c r="D69" s="408">
        <v>31</v>
      </c>
      <c r="E69" s="408">
        <v>9</v>
      </c>
      <c r="F69" s="5" t="s">
        <v>19</v>
      </c>
      <c r="G69" s="5" t="s">
        <v>18</v>
      </c>
      <c r="H69" s="408">
        <v>57</v>
      </c>
      <c r="I69" s="408">
        <v>22.2</v>
      </c>
      <c r="J69" s="408">
        <v>7.7</v>
      </c>
      <c r="K69" s="408">
        <v>2.4</v>
      </c>
      <c r="L69" s="408">
        <v>3.1</v>
      </c>
      <c r="M69" s="408">
        <v>1.2</v>
      </c>
      <c r="N69" s="408">
        <v>0.2</v>
      </c>
      <c r="O69" s="1" t="s">
        <v>164</v>
      </c>
      <c r="P69" s="104" t="s">
        <v>736</v>
      </c>
      <c r="Q69" s="30"/>
      <c r="R69" s="5"/>
      <c r="S69" s="30"/>
      <c r="T69"/>
      <c r="AH69"/>
      <c r="AM69"/>
      <c r="AV69"/>
      <c r="AY69"/>
    </row>
    <row r="70" spans="1:51">
      <c r="A70" t="s">
        <v>81</v>
      </c>
      <c r="B70" s="5" t="s">
        <v>27</v>
      </c>
      <c r="C70" s="5" t="s">
        <v>20</v>
      </c>
      <c r="D70" s="408">
        <v>27</v>
      </c>
      <c r="E70" s="408">
        <v>4</v>
      </c>
      <c r="F70" s="5" t="s">
        <v>19</v>
      </c>
      <c r="G70" s="5" t="s">
        <v>29</v>
      </c>
      <c r="H70" s="408">
        <v>52</v>
      </c>
      <c r="I70" s="408">
        <v>14.8</v>
      </c>
      <c r="J70" s="408">
        <v>3.2</v>
      </c>
      <c r="K70" s="408">
        <v>2</v>
      </c>
      <c r="L70" s="408">
        <v>3.5</v>
      </c>
      <c r="M70" s="408">
        <v>0.8</v>
      </c>
      <c r="N70" s="408">
        <v>0.1</v>
      </c>
      <c r="O70" s="1" t="s">
        <v>80</v>
      </c>
      <c r="P70" s="104" t="s">
        <v>756</v>
      </c>
      <c r="Q70" s="30"/>
      <c r="R70" s="5"/>
      <c r="S70" s="30"/>
      <c r="T70"/>
      <c r="AH70"/>
      <c r="AM70"/>
      <c r="AV70"/>
      <c r="AY70"/>
    </row>
    <row r="71" spans="1:51">
      <c r="A71" t="s">
        <v>152</v>
      </c>
      <c r="B71" s="5" t="s">
        <v>50</v>
      </c>
      <c r="C71" s="5" t="s">
        <v>46</v>
      </c>
      <c r="D71" s="408">
        <v>28</v>
      </c>
      <c r="E71" s="408">
        <v>8</v>
      </c>
      <c r="F71" s="5" t="s">
        <v>19</v>
      </c>
      <c r="G71" s="5" t="s">
        <v>18</v>
      </c>
      <c r="H71" s="408">
        <v>46</v>
      </c>
      <c r="I71" s="408">
        <v>14.7</v>
      </c>
      <c r="J71" s="408">
        <v>5.6</v>
      </c>
      <c r="K71" s="408">
        <v>2</v>
      </c>
      <c r="L71" s="408">
        <v>0.6</v>
      </c>
      <c r="M71" s="408">
        <v>0.2</v>
      </c>
      <c r="N71" s="408">
        <v>0.2</v>
      </c>
      <c r="O71" s="1" t="s">
        <v>151</v>
      </c>
      <c r="P71" s="104" t="s">
        <v>736</v>
      </c>
      <c r="Q71" s="30"/>
      <c r="R71" s="5"/>
      <c r="S71" s="30"/>
      <c r="T71"/>
      <c r="AH71"/>
      <c r="AM71"/>
      <c r="AV71"/>
      <c r="AY71"/>
    </row>
    <row r="72" spans="1:51">
      <c r="A72" t="s">
        <v>48</v>
      </c>
      <c r="B72" s="5" t="s">
        <v>100</v>
      </c>
      <c r="C72" s="5" t="s">
        <v>46</v>
      </c>
      <c r="D72" s="408">
        <v>22</v>
      </c>
      <c r="E72" s="408">
        <v>4</v>
      </c>
      <c r="F72" s="5" t="s">
        <v>25</v>
      </c>
      <c r="G72" s="5" t="s">
        <v>29</v>
      </c>
      <c r="H72" s="408">
        <v>7</v>
      </c>
      <c r="I72" s="408">
        <v>7.6</v>
      </c>
      <c r="J72" s="408">
        <v>1.6</v>
      </c>
      <c r="K72" s="408">
        <v>1.6</v>
      </c>
      <c r="L72" s="408">
        <v>0.4</v>
      </c>
      <c r="M72" s="408">
        <v>0.4</v>
      </c>
      <c r="N72" s="408">
        <v>0.1</v>
      </c>
      <c r="O72" s="1" t="s">
        <v>45</v>
      </c>
      <c r="P72" s="104" t="s">
        <v>758</v>
      </c>
      <c r="Q72" s="30"/>
      <c r="R72" s="5"/>
      <c r="S72" s="30"/>
      <c r="T72"/>
      <c r="AH72"/>
      <c r="AM72"/>
      <c r="AV72"/>
      <c r="AY72"/>
    </row>
    <row r="73" spans="1:51">
      <c r="A73" t="s">
        <v>143</v>
      </c>
      <c r="B73" s="5" t="s">
        <v>110</v>
      </c>
      <c r="C73" s="5" t="s">
        <v>38</v>
      </c>
      <c r="D73" s="408">
        <v>27</v>
      </c>
      <c r="E73" s="408">
        <v>6</v>
      </c>
      <c r="F73" s="5" t="s">
        <v>19</v>
      </c>
      <c r="G73" s="5" t="s">
        <v>24</v>
      </c>
      <c r="H73" s="408">
        <v>62</v>
      </c>
      <c r="I73" s="408">
        <v>19.5</v>
      </c>
      <c r="J73" s="408">
        <v>5.5</v>
      </c>
      <c r="K73" s="408">
        <v>3.8</v>
      </c>
      <c r="L73" s="408">
        <v>0.8</v>
      </c>
      <c r="M73" s="408">
        <v>0.5</v>
      </c>
      <c r="N73" s="408">
        <v>0.4</v>
      </c>
      <c r="O73" s="1" t="s">
        <v>142</v>
      </c>
      <c r="P73" s="104" t="s">
        <v>1065</v>
      </c>
      <c r="Q73" s="30"/>
      <c r="R73" s="5"/>
      <c r="S73" s="30"/>
      <c r="T73"/>
      <c r="AH73"/>
      <c r="AM73"/>
      <c r="AV73"/>
      <c r="AY73"/>
    </row>
    <row r="74" spans="1:51">
      <c r="A74" t="s">
        <v>236</v>
      </c>
      <c r="B74" s="5" t="s">
        <v>102</v>
      </c>
      <c r="C74" s="5" t="s">
        <v>26</v>
      </c>
      <c r="D74" s="408">
        <v>25</v>
      </c>
      <c r="E74" s="408">
        <v>4</v>
      </c>
      <c r="F74" s="5" t="s">
        <v>25</v>
      </c>
      <c r="G74" s="5" t="s">
        <v>29</v>
      </c>
      <c r="H74" s="408">
        <v>51</v>
      </c>
      <c r="I74" s="408">
        <v>27.2</v>
      </c>
      <c r="J74" s="408">
        <v>15.1</v>
      </c>
      <c r="K74" s="408">
        <v>2.8</v>
      </c>
      <c r="L74" s="408">
        <v>1.6</v>
      </c>
      <c r="M74" s="408">
        <v>0.7</v>
      </c>
      <c r="N74" s="408">
        <v>0.2</v>
      </c>
      <c r="O74" s="1" t="s">
        <v>235</v>
      </c>
      <c r="P74" s="104" t="s">
        <v>758</v>
      </c>
      <c r="Q74" s="30"/>
      <c r="R74" s="5"/>
      <c r="S74" s="30"/>
      <c r="T74"/>
      <c r="AH74"/>
      <c r="AM74"/>
      <c r="AV74"/>
      <c r="AY74"/>
    </row>
    <row r="75" spans="1:51">
      <c r="A75" t="s">
        <v>125</v>
      </c>
      <c r="B75" s="5" t="s">
        <v>112</v>
      </c>
      <c r="C75" s="5" t="s">
        <v>26</v>
      </c>
      <c r="D75" s="408">
        <v>27</v>
      </c>
      <c r="E75" s="408">
        <v>5</v>
      </c>
      <c r="F75" s="5" t="s">
        <v>19</v>
      </c>
      <c r="G75" s="5" t="s">
        <v>18</v>
      </c>
      <c r="H75" s="408">
        <v>64</v>
      </c>
      <c r="I75" s="408">
        <v>19</v>
      </c>
      <c r="J75" s="408">
        <v>6.9</v>
      </c>
      <c r="K75" s="408">
        <v>1.7</v>
      </c>
      <c r="L75" s="408">
        <v>1.4</v>
      </c>
      <c r="M75" s="408">
        <v>0.4</v>
      </c>
      <c r="N75" s="408">
        <v>0.2</v>
      </c>
      <c r="O75" s="1" t="s">
        <v>124</v>
      </c>
      <c r="P75" s="104" t="s">
        <v>736</v>
      </c>
      <c r="Q75" s="30"/>
      <c r="R75" s="5"/>
      <c r="S75" s="30"/>
      <c r="T75"/>
      <c r="AH75"/>
      <c r="AM75"/>
      <c r="AV75"/>
      <c r="AY75"/>
    </row>
    <row r="76" spans="1:51">
      <c r="A76" t="s">
        <v>134</v>
      </c>
      <c r="B76" s="5" t="s">
        <v>43</v>
      </c>
      <c r="C76" s="5" t="s">
        <v>83</v>
      </c>
      <c r="D76" s="408">
        <v>27</v>
      </c>
      <c r="E76" s="408">
        <v>5</v>
      </c>
      <c r="F76" s="5" t="s">
        <v>19</v>
      </c>
      <c r="G76" s="5" t="s">
        <v>18</v>
      </c>
      <c r="H76" s="408">
        <v>42</v>
      </c>
      <c r="I76" s="408">
        <v>10.199999999999999</v>
      </c>
      <c r="J76" s="408">
        <v>4.5999999999999996</v>
      </c>
      <c r="K76" s="408">
        <v>2.9</v>
      </c>
      <c r="L76" s="408">
        <v>0.2</v>
      </c>
      <c r="M76" s="408">
        <v>0.2</v>
      </c>
      <c r="N76" s="408">
        <v>0.5</v>
      </c>
      <c r="O76" s="1" t="s">
        <v>124</v>
      </c>
      <c r="P76" s="104" t="s">
        <v>1065</v>
      </c>
      <c r="Q76" s="30"/>
      <c r="R76" s="5"/>
      <c r="S76" s="30"/>
      <c r="T76"/>
      <c r="AH76"/>
      <c r="AM76"/>
      <c r="AV76"/>
      <c r="AY76"/>
    </row>
    <row r="77" spans="1:51">
      <c r="A77" t="s">
        <v>201</v>
      </c>
      <c r="B77" s="5" t="s">
        <v>96</v>
      </c>
      <c r="C77" s="5" t="s">
        <v>20</v>
      </c>
      <c r="D77" s="408">
        <v>26</v>
      </c>
      <c r="E77" s="408">
        <v>4</v>
      </c>
      <c r="F77" s="5" t="s">
        <v>25</v>
      </c>
      <c r="G77" s="5" t="s">
        <v>29</v>
      </c>
      <c r="H77" s="408">
        <v>63</v>
      </c>
      <c r="I77" s="408">
        <v>21</v>
      </c>
      <c r="J77" s="408">
        <v>9</v>
      </c>
      <c r="K77" s="408">
        <v>2.2000000000000002</v>
      </c>
      <c r="L77" s="408">
        <v>2.1</v>
      </c>
      <c r="M77" s="408">
        <v>1.2</v>
      </c>
      <c r="N77" s="408">
        <v>0.2</v>
      </c>
      <c r="O77" s="1" t="s">
        <v>200</v>
      </c>
      <c r="P77" s="104" t="s">
        <v>758</v>
      </c>
      <c r="Q77" s="30"/>
      <c r="R77" s="5"/>
      <c r="S77" s="30"/>
      <c r="T77"/>
      <c r="AH77"/>
      <c r="AM77"/>
      <c r="AV77"/>
      <c r="AY77"/>
    </row>
    <row r="78" spans="1:51">
      <c r="A78" t="s">
        <v>88</v>
      </c>
      <c r="B78" s="5" t="s">
        <v>87</v>
      </c>
      <c r="C78" s="5" t="s">
        <v>20</v>
      </c>
      <c r="D78" s="408">
        <v>25</v>
      </c>
      <c r="E78" s="408">
        <v>4</v>
      </c>
      <c r="F78" s="5" t="s">
        <v>19</v>
      </c>
      <c r="G78" s="5" t="s">
        <v>18</v>
      </c>
      <c r="H78" s="408">
        <v>45</v>
      </c>
      <c r="I78" s="408">
        <v>12.3</v>
      </c>
      <c r="J78" s="408">
        <v>3.8</v>
      </c>
      <c r="K78" s="408">
        <v>1.3</v>
      </c>
      <c r="L78" s="408">
        <v>1.3</v>
      </c>
      <c r="M78" s="408">
        <v>0.5</v>
      </c>
      <c r="N78" s="408">
        <v>0</v>
      </c>
      <c r="O78" s="1" t="s">
        <v>86</v>
      </c>
      <c r="P78" s="104" t="s">
        <v>736</v>
      </c>
      <c r="Q78" s="30"/>
      <c r="R78" s="5"/>
      <c r="S78" s="30"/>
      <c r="T78"/>
      <c r="AH78"/>
      <c r="AM78"/>
      <c r="AV78"/>
      <c r="AY78"/>
    </row>
    <row r="79" spans="1:51">
      <c r="A79" t="s">
        <v>228</v>
      </c>
      <c r="B79" s="5" t="s">
        <v>92</v>
      </c>
      <c r="C79" s="5" t="s">
        <v>83</v>
      </c>
      <c r="D79" s="408">
        <v>23</v>
      </c>
      <c r="E79" s="408">
        <v>4</v>
      </c>
      <c r="F79" s="5" t="s">
        <v>25</v>
      </c>
      <c r="G79" s="5" t="s">
        <v>29</v>
      </c>
      <c r="H79" s="408">
        <v>64</v>
      </c>
      <c r="I79" s="408">
        <v>27.5</v>
      </c>
      <c r="J79" s="408">
        <v>14.2</v>
      </c>
      <c r="K79" s="408">
        <v>11</v>
      </c>
      <c r="L79" s="408">
        <v>0.9</v>
      </c>
      <c r="M79" s="408">
        <v>0.7</v>
      </c>
      <c r="N79" s="408">
        <v>1.8</v>
      </c>
      <c r="O79" s="1" t="s">
        <v>227</v>
      </c>
      <c r="P79" s="104" t="s">
        <v>758</v>
      </c>
      <c r="Q79" s="30"/>
      <c r="R79" s="5"/>
      <c r="S79" s="30"/>
      <c r="T79"/>
      <c r="AH79"/>
      <c r="AM79"/>
      <c r="AV79"/>
      <c r="AY79"/>
    </row>
    <row r="80" spans="1:51">
      <c r="A80" t="s">
        <v>116</v>
      </c>
      <c r="B80" s="5" t="s">
        <v>50</v>
      </c>
      <c r="C80" s="5" t="s">
        <v>38</v>
      </c>
      <c r="D80" s="408">
        <v>23</v>
      </c>
      <c r="E80" s="408">
        <v>3</v>
      </c>
      <c r="F80" s="5" t="s">
        <v>19</v>
      </c>
      <c r="G80" s="5" t="s">
        <v>24</v>
      </c>
      <c r="H80" s="408">
        <v>20</v>
      </c>
      <c r="I80" s="408">
        <v>12.4</v>
      </c>
      <c r="J80" s="408">
        <v>4</v>
      </c>
      <c r="K80" s="408">
        <v>3.7</v>
      </c>
      <c r="L80" s="408">
        <v>0.5</v>
      </c>
      <c r="M80" s="408">
        <v>0.3</v>
      </c>
      <c r="N80" s="408">
        <v>0.5</v>
      </c>
      <c r="O80" s="1" t="s">
        <v>115</v>
      </c>
      <c r="P80" s="104" t="s">
        <v>736</v>
      </c>
      <c r="Q80" s="30"/>
      <c r="R80" s="5"/>
      <c r="S80" s="30"/>
      <c r="T80"/>
      <c r="AH80"/>
      <c r="AM80"/>
      <c r="AV80"/>
      <c r="AY80"/>
    </row>
    <row r="81" spans="1:51">
      <c r="A81" t="s">
        <v>234</v>
      </c>
      <c r="B81" s="5" t="s">
        <v>92</v>
      </c>
      <c r="C81" s="5" t="s">
        <v>26</v>
      </c>
      <c r="D81" s="408">
        <v>32</v>
      </c>
      <c r="E81" s="408">
        <v>11</v>
      </c>
      <c r="F81" s="5" t="s">
        <v>19</v>
      </c>
      <c r="G81" s="5" t="s">
        <v>18</v>
      </c>
      <c r="H81" s="408">
        <v>29</v>
      </c>
      <c r="I81" s="408">
        <v>21.2</v>
      </c>
      <c r="J81" s="408">
        <v>11.3</v>
      </c>
      <c r="K81" s="408">
        <v>3</v>
      </c>
      <c r="L81" s="408">
        <v>0.4</v>
      </c>
      <c r="M81" s="408">
        <v>0.6</v>
      </c>
      <c r="N81" s="408">
        <v>0.4</v>
      </c>
      <c r="O81" s="1" t="s">
        <v>233</v>
      </c>
      <c r="P81" s="104" t="s">
        <v>736</v>
      </c>
      <c r="Q81" s="30"/>
      <c r="R81" s="5"/>
      <c r="S81" s="30"/>
      <c r="T81"/>
      <c r="AH81"/>
      <c r="AM81"/>
      <c r="AV81"/>
      <c r="AY81"/>
    </row>
    <row r="82" spans="1:51">
      <c r="A82" t="s">
        <v>0</v>
      </c>
      <c r="B82" s="5" t="s">
        <v>56</v>
      </c>
      <c r="C82" s="5" t="s">
        <v>26</v>
      </c>
      <c r="D82" s="408">
        <v>23</v>
      </c>
      <c r="E82" s="408">
        <v>2</v>
      </c>
      <c r="F82" s="5" t="s">
        <v>25</v>
      </c>
      <c r="G82" s="5" t="s">
        <v>18</v>
      </c>
      <c r="H82" s="408">
        <v>39</v>
      </c>
      <c r="I82" s="408">
        <v>5.2</v>
      </c>
      <c r="J82" s="408">
        <v>1.2</v>
      </c>
      <c r="K82" s="408">
        <v>0.4</v>
      </c>
      <c r="L82" s="408">
        <v>0.2</v>
      </c>
      <c r="M82" s="408">
        <v>0.1</v>
      </c>
      <c r="N82" s="408"/>
      <c r="O82" s="1" t="s">
        <v>55</v>
      </c>
      <c r="P82" s="104" t="s">
        <v>736</v>
      </c>
      <c r="Q82" s="30"/>
      <c r="R82" s="5"/>
      <c r="S82" s="30"/>
      <c r="T82"/>
      <c r="AH82"/>
      <c r="AM82"/>
      <c r="AV82"/>
      <c r="AY82"/>
    </row>
    <row r="83" spans="1:51">
      <c r="A83" t="s">
        <v>65</v>
      </c>
      <c r="B83" s="5" t="s">
        <v>128</v>
      </c>
      <c r="C83" s="5" t="s">
        <v>38</v>
      </c>
      <c r="D83" s="408">
        <v>23</v>
      </c>
      <c r="E83" s="408">
        <v>2</v>
      </c>
      <c r="F83" s="5" t="s">
        <v>19</v>
      </c>
      <c r="G83" s="5" t="s">
        <v>29</v>
      </c>
      <c r="H83" s="408">
        <v>16</v>
      </c>
      <c r="I83" s="408">
        <v>4.5999999999999996</v>
      </c>
      <c r="J83" s="408">
        <v>2</v>
      </c>
      <c r="K83" s="408">
        <v>1.6</v>
      </c>
      <c r="L83" s="408">
        <v>0.1</v>
      </c>
      <c r="M83" s="408">
        <v>0.5</v>
      </c>
      <c r="N83" s="408">
        <v>0.2</v>
      </c>
      <c r="O83" s="1" t="s">
        <v>63</v>
      </c>
      <c r="P83" s="104" t="s">
        <v>749</v>
      </c>
      <c r="Q83" s="30"/>
      <c r="R83" s="5"/>
      <c r="S83" s="30"/>
      <c r="T83"/>
      <c r="AH83"/>
      <c r="AM83"/>
      <c r="AV83"/>
      <c r="AY83"/>
    </row>
    <row r="84" spans="1:51">
      <c r="A84" t="s">
        <v>71</v>
      </c>
      <c r="B84" s="5" t="s">
        <v>27</v>
      </c>
      <c r="C84" s="5" t="s">
        <v>38</v>
      </c>
      <c r="D84" s="408">
        <v>23</v>
      </c>
      <c r="E84" s="408">
        <v>3</v>
      </c>
      <c r="F84" s="5" t="s">
        <v>19</v>
      </c>
      <c r="G84" s="5" t="s">
        <v>29</v>
      </c>
      <c r="H84" s="408">
        <v>19</v>
      </c>
      <c r="I84" s="408">
        <v>4.7</v>
      </c>
      <c r="J84" s="408">
        <v>2.4</v>
      </c>
      <c r="K84" s="408">
        <v>1.3</v>
      </c>
      <c r="L84" s="408">
        <v>0.2</v>
      </c>
      <c r="M84" s="408"/>
      <c r="N84" s="408">
        <v>0.3</v>
      </c>
      <c r="O84" s="1" t="s">
        <v>70</v>
      </c>
      <c r="P84" s="104" t="s">
        <v>749</v>
      </c>
      <c r="Q84" s="30"/>
      <c r="R84" s="5"/>
      <c r="S84" s="30"/>
      <c r="T84"/>
      <c r="AH84"/>
      <c r="AM84"/>
      <c r="AV84"/>
      <c r="AY84"/>
    </row>
    <row r="85" spans="1:51">
      <c r="A85" t="s">
        <v>69</v>
      </c>
      <c r="B85" s="5" t="s">
        <v>58</v>
      </c>
      <c r="C85" s="5" t="s">
        <v>46</v>
      </c>
      <c r="D85" s="408">
        <v>26</v>
      </c>
      <c r="E85" s="408">
        <v>3</v>
      </c>
      <c r="F85" s="5" t="s">
        <v>19</v>
      </c>
      <c r="G85" s="5" t="s">
        <v>29</v>
      </c>
      <c r="H85" s="408">
        <v>65</v>
      </c>
      <c r="I85" s="408">
        <v>14.8</v>
      </c>
      <c r="J85" s="408">
        <v>2.4</v>
      </c>
      <c r="K85" s="408">
        <v>2.4</v>
      </c>
      <c r="L85" s="408">
        <v>0.3</v>
      </c>
      <c r="M85" s="408">
        <v>0.2</v>
      </c>
      <c r="N85" s="408">
        <v>0.6</v>
      </c>
      <c r="O85" s="1" t="s">
        <v>68</v>
      </c>
      <c r="P85" s="104" t="s">
        <v>1065</v>
      </c>
      <c r="Q85" s="30"/>
      <c r="R85" s="5"/>
      <c r="S85" s="30"/>
      <c r="T85"/>
      <c r="AH85"/>
      <c r="AM85"/>
      <c r="AV85"/>
      <c r="AY85"/>
    </row>
    <row r="86" spans="1:51">
      <c r="A86" t="s">
        <v>74</v>
      </c>
      <c r="B86" s="5" t="s">
        <v>73</v>
      </c>
      <c r="C86" s="5" t="s">
        <v>46</v>
      </c>
      <c r="D86" s="408">
        <v>22</v>
      </c>
      <c r="E86" s="408">
        <v>3</v>
      </c>
      <c r="F86" s="5" t="s">
        <v>19</v>
      </c>
      <c r="G86" s="5" t="s">
        <v>29</v>
      </c>
      <c r="H86" s="408">
        <v>56</v>
      </c>
      <c r="I86" s="408">
        <v>11.9</v>
      </c>
      <c r="J86" s="408">
        <v>3.5</v>
      </c>
      <c r="K86" s="408">
        <v>2.9</v>
      </c>
      <c r="L86" s="408">
        <v>0.5</v>
      </c>
      <c r="M86" s="408">
        <v>0.4</v>
      </c>
      <c r="N86" s="408">
        <v>0.7</v>
      </c>
      <c r="O86" s="1" t="s">
        <v>72</v>
      </c>
      <c r="P86" s="104" t="s">
        <v>749</v>
      </c>
      <c r="Q86" s="30"/>
      <c r="R86" s="5"/>
      <c r="S86" s="30"/>
      <c r="T86"/>
      <c r="AH86"/>
      <c r="AM86"/>
      <c r="AV86"/>
      <c r="AY86"/>
    </row>
    <row r="87" spans="1:51">
      <c r="A87" t="s">
        <v>185</v>
      </c>
      <c r="B87" s="5" t="s">
        <v>140</v>
      </c>
      <c r="C87" s="5" t="s">
        <v>26</v>
      </c>
      <c r="D87" s="408">
        <v>24</v>
      </c>
      <c r="E87" s="408">
        <v>4</v>
      </c>
      <c r="F87" s="5" t="s">
        <v>25</v>
      </c>
      <c r="G87" s="5" t="s">
        <v>29</v>
      </c>
      <c r="H87" s="408">
        <v>63</v>
      </c>
      <c r="I87" s="408">
        <v>26.9</v>
      </c>
      <c r="J87" s="408">
        <v>7.9</v>
      </c>
      <c r="K87" s="408">
        <v>5.6</v>
      </c>
      <c r="L87" s="408">
        <v>2.8</v>
      </c>
      <c r="M87" s="408">
        <v>1.5</v>
      </c>
      <c r="N87" s="408">
        <v>0.8</v>
      </c>
      <c r="O87" s="1" t="s">
        <v>184</v>
      </c>
      <c r="P87" s="104" t="s">
        <v>758</v>
      </c>
      <c r="Q87" s="30"/>
      <c r="R87" s="5"/>
      <c r="S87" s="30"/>
      <c r="T87"/>
      <c r="AH87"/>
      <c r="AM87"/>
      <c r="AV87"/>
      <c r="AY87"/>
    </row>
    <row r="88" spans="1:51">
      <c r="A88" t="s">
        <v>31</v>
      </c>
      <c r="B88" s="5" t="s">
        <v>30</v>
      </c>
      <c r="C88" s="5" t="s">
        <v>26</v>
      </c>
      <c r="D88" s="408">
        <v>24</v>
      </c>
      <c r="E88" s="408">
        <v>4</v>
      </c>
      <c r="F88" s="5" t="s">
        <v>19</v>
      </c>
      <c r="G88" s="5" t="s">
        <v>29</v>
      </c>
      <c r="H88" s="408">
        <v>12</v>
      </c>
      <c r="I88" s="408">
        <v>13.8</v>
      </c>
      <c r="J88" s="408">
        <v>3</v>
      </c>
      <c r="K88" s="408">
        <v>1.1000000000000001</v>
      </c>
      <c r="L88" s="408">
        <v>0.9</v>
      </c>
      <c r="M88" s="408">
        <v>0.5</v>
      </c>
      <c r="N88" s="408">
        <v>0.1</v>
      </c>
      <c r="O88" s="1" t="s">
        <v>28</v>
      </c>
      <c r="P88" s="104" t="s">
        <v>1065</v>
      </c>
      <c r="Q88" s="30"/>
      <c r="R88" s="5"/>
      <c r="S88" s="30"/>
      <c r="T88"/>
      <c r="AH88"/>
      <c r="AM88"/>
      <c r="AV88"/>
      <c r="AY88"/>
    </row>
    <row r="89" spans="1:51">
      <c r="A89" t="s">
        <v>173</v>
      </c>
      <c r="B89" s="5" t="s">
        <v>58</v>
      </c>
      <c r="C89" s="5" t="s">
        <v>46</v>
      </c>
      <c r="D89" s="408">
        <v>24</v>
      </c>
      <c r="E89" s="408">
        <v>4</v>
      </c>
      <c r="F89" s="5" t="s">
        <v>19</v>
      </c>
      <c r="G89" s="5" t="s">
        <v>29</v>
      </c>
      <c r="H89" s="408">
        <v>71</v>
      </c>
      <c r="I89" s="408">
        <v>20.6</v>
      </c>
      <c r="J89" s="408">
        <v>8.1999999999999993</v>
      </c>
      <c r="K89" s="408">
        <v>4</v>
      </c>
      <c r="L89" s="408">
        <v>0.7</v>
      </c>
      <c r="M89" s="408">
        <v>0.4</v>
      </c>
      <c r="N89" s="408">
        <v>0.9</v>
      </c>
      <c r="O89" s="1" t="s">
        <v>172</v>
      </c>
      <c r="P89" s="104" t="s">
        <v>750</v>
      </c>
      <c r="Q89" s="30"/>
      <c r="R89" s="5"/>
      <c r="S89" s="30"/>
      <c r="T89"/>
      <c r="AH89"/>
      <c r="AM89"/>
      <c r="AV89"/>
      <c r="AY89"/>
    </row>
    <row r="90" spans="1:51">
      <c r="A90" t="s">
        <v>180</v>
      </c>
      <c r="B90" s="5" t="s">
        <v>64</v>
      </c>
      <c r="C90" s="5" t="s">
        <v>38</v>
      </c>
      <c r="D90" s="408">
        <v>24</v>
      </c>
      <c r="E90" s="408">
        <v>3</v>
      </c>
      <c r="F90" s="5" t="s">
        <v>25</v>
      </c>
      <c r="G90" s="5" t="s">
        <v>29</v>
      </c>
      <c r="H90" s="408">
        <v>63</v>
      </c>
      <c r="I90" s="408">
        <v>16.100000000000001</v>
      </c>
      <c r="J90" s="408">
        <v>10.4</v>
      </c>
      <c r="K90" s="408">
        <v>4</v>
      </c>
      <c r="L90" s="408">
        <v>0.8</v>
      </c>
      <c r="M90" s="408">
        <v>0.5</v>
      </c>
      <c r="N90" s="408">
        <v>0.7</v>
      </c>
      <c r="O90" s="1" t="s">
        <v>179</v>
      </c>
      <c r="P90" s="104" t="s">
        <v>1065</v>
      </c>
      <c r="Q90" s="30"/>
      <c r="R90" s="5"/>
      <c r="S90" s="30"/>
      <c r="T90"/>
      <c r="AH90"/>
      <c r="AM90"/>
      <c r="AV90"/>
      <c r="AY90"/>
    </row>
    <row r="91" spans="1:51">
      <c r="A91" t="s">
        <v>203</v>
      </c>
      <c r="B91" s="5" t="s">
        <v>110</v>
      </c>
      <c r="C91" s="5" t="s">
        <v>26</v>
      </c>
      <c r="D91" s="408">
        <v>26</v>
      </c>
      <c r="E91" s="408">
        <v>4</v>
      </c>
      <c r="F91" s="5" t="s">
        <v>19</v>
      </c>
      <c r="G91" s="5" t="s">
        <v>24</v>
      </c>
      <c r="H91" s="408">
        <v>69</v>
      </c>
      <c r="I91" s="408">
        <v>25.2</v>
      </c>
      <c r="J91" s="408">
        <v>10.3</v>
      </c>
      <c r="K91" s="408">
        <v>3.3</v>
      </c>
      <c r="L91" s="408">
        <v>1.5</v>
      </c>
      <c r="M91" s="408">
        <v>0.4</v>
      </c>
      <c r="N91" s="408">
        <v>0.2</v>
      </c>
      <c r="O91" s="1" t="s">
        <v>202</v>
      </c>
      <c r="P91" s="104" t="s">
        <v>736</v>
      </c>
      <c r="Q91" s="30"/>
      <c r="R91" s="5"/>
      <c r="S91" s="30"/>
      <c r="T91"/>
      <c r="AH91"/>
      <c r="AM91"/>
      <c r="AV91"/>
      <c r="AY91"/>
    </row>
    <row r="92" spans="1:51">
      <c r="A92" t="s">
        <v>121</v>
      </c>
      <c r="B92" s="5" t="s">
        <v>36</v>
      </c>
      <c r="C92" s="5" t="s">
        <v>20</v>
      </c>
      <c r="D92" s="408">
        <v>25</v>
      </c>
      <c r="E92" s="408">
        <v>3</v>
      </c>
      <c r="F92" s="5" t="s">
        <v>25</v>
      </c>
      <c r="G92" s="5" t="s">
        <v>29</v>
      </c>
      <c r="H92" s="408">
        <v>39</v>
      </c>
      <c r="I92" s="408">
        <v>12.3</v>
      </c>
      <c r="J92" s="408">
        <v>4.5999999999999996</v>
      </c>
      <c r="K92" s="408">
        <v>1.2</v>
      </c>
      <c r="L92" s="408">
        <v>1.8</v>
      </c>
      <c r="M92" s="408">
        <v>0.3</v>
      </c>
      <c r="N92" s="408">
        <v>0.1</v>
      </c>
      <c r="O92" s="1" t="s">
        <v>120</v>
      </c>
      <c r="P92" s="104" t="s">
        <v>1065</v>
      </c>
      <c r="Q92" s="30"/>
      <c r="R92" s="5"/>
      <c r="S92" s="30"/>
      <c r="T92"/>
      <c r="AH92"/>
      <c r="AM92"/>
      <c r="AV92"/>
      <c r="AY92"/>
    </row>
    <row r="93" spans="1:51">
      <c r="A93" t="s">
        <v>123</v>
      </c>
      <c r="B93" s="5" t="s">
        <v>21</v>
      </c>
      <c r="C93" s="5" t="s">
        <v>38</v>
      </c>
      <c r="D93" s="408">
        <v>24</v>
      </c>
      <c r="E93" s="408">
        <v>4</v>
      </c>
      <c r="F93" s="5" t="s">
        <v>19</v>
      </c>
      <c r="G93" s="5" t="s">
        <v>24</v>
      </c>
      <c r="H93" s="408">
        <v>36</v>
      </c>
      <c r="I93" s="408">
        <v>10.5</v>
      </c>
      <c r="J93" s="408">
        <v>4.8</v>
      </c>
      <c r="K93" s="408">
        <v>2.6</v>
      </c>
      <c r="L93" s="408">
        <v>0.4</v>
      </c>
      <c r="M93" s="408">
        <v>0.2</v>
      </c>
      <c r="N93" s="408">
        <v>0.2</v>
      </c>
      <c r="O93" s="1" t="s">
        <v>122</v>
      </c>
      <c r="P93" s="104" t="s">
        <v>1065</v>
      </c>
      <c r="Q93" s="30"/>
      <c r="R93" s="5"/>
      <c r="S93" s="30"/>
      <c r="T93"/>
      <c r="AH93"/>
      <c r="AM93"/>
      <c r="AV93"/>
      <c r="AY93"/>
    </row>
    <row r="94" spans="1:51">
      <c r="A94" t="s">
        <v>154</v>
      </c>
      <c r="B94" s="5" t="s">
        <v>96</v>
      </c>
      <c r="C94" s="5" t="s">
        <v>26</v>
      </c>
      <c r="D94" s="408">
        <v>25</v>
      </c>
      <c r="E94" s="408">
        <v>3</v>
      </c>
      <c r="F94" s="5" t="s">
        <v>25</v>
      </c>
      <c r="G94" s="5" t="s">
        <v>29</v>
      </c>
      <c r="H94" s="408">
        <v>70</v>
      </c>
      <c r="I94" s="408">
        <v>18.3</v>
      </c>
      <c r="J94" s="408">
        <v>5.7</v>
      </c>
      <c r="K94" s="408">
        <v>1.9</v>
      </c>
      <c r="L94" s="408">
        <v>1.2</v>
      </c>
      <c r="M94" s="408">
        <v>0.3</v>
      </c>
      <c r="N94" s="408">
        <v>0.3</v>
      </c>
      <c r="O94" s="1" t="s">
        <v>153</v>
      </c>
      <c r="P94" s="104" t="s">
        <v>736</v>
      </c>
      <c r="Q94" s="30"/>
      <c r="R94" s="5"/>
      <c r="S94" s="30"/>
      <c r="T94"/>
      <c r="AH94"/>
      <c r="AM94"/>
      <c r="AV94"/>
      <c r="AY94"/>
    </row>
    <row r="95" spans="1:51">
      <c r="A95" t="s">
        <v>14</v>
      </c>
      <c r="B95" s="5" t="s">
        <v>118</v>
      </c>
      <c r="C95" s="5" t="s">
        <v>26</v>
      </c>
      <c r="D95" s="408">
        <v>31</v>
      </c>
      <c r="E95" s="408">
        <v>11</v>
      </c>
      <c r="F95" s="5" t="s">
        <v>19</v>
      </c>
      <c r="G95" s="5" t="s">
        <v>18</v>
      </c>
      <c r="H95" s="408">
        <v>67</v>
      </c>
      <c r="I95" s="408">
        <v>23.8</v>
      </c>
      <c r="J95" s="408">
        <v>11.3</v>
      </c>
      <c r="K95" s="408">
        <v>1.8</v>
      </c>
      <c r="L95" s="408">
        <v>1.8</v>
      </c>
      <c r="M95" s="408">
        <v>0.8</v>
      </c>
      <c r="N95" s="408">
        <v>0.1</v>
      </c>
      <c r="O95" s="1" t="s">
        <v>1094</v>
      </c>
      <c r="P95" s="104" t="s">
        <v>1065</v>
      </c>
      <c r="Q95" s="30"/>
      <c r="R95" s="5"/>
      <c r="S95" s="30"/>
      <c r="T95"/>
      <c r="AH95"/>
      <c r="AM95"/>
      <c r="AV95"/>
      <c r="AY95"/>
    </row>
    <row r="96" spans="1:51">
      <c r="A96" t="s">
        <v>84</v>
      </c>
      <c r="B96" s="5" t="s">
        <v>33</v>
      </c>
      <c r="C96" s="5" t="s">
        <v>83</v>
      </c>
      <c r="D96" s="408">
        <v>31</v>
      </c>
      <c r="E96" s="408">
        <v>3</v>
      </c>
      <c r="F96" s="5" t="s">
        <v>25</v>
      </c>
      <c r="G96" s="5" t="s">
        <v>29</v>
      </c>
      <c r="H96" s="408">
        <v>56</v>
      </c>
      <c r="I96" s="408">
        <v>11.9</v>
      </c>
      <c r="J96" s="408">
        <v>3.5</v>
      </c>
      <c r="K96" s="408">
        <v>4.2</v>
      </c>
      <c r="L96" s="408">
        <v>0.5</v>
      </c>
      <c r="M96" s="408">
        <v>0.4</v>
      </c>
      <c r="N96" s="408">
        <v>1.1000000000000001</v>
      </c>
      <c r="O96" s="1" t="s">
        <v>82</v>
      </c>
      <c r="P96" s="104" t="s">
        <v>736</v>
      </c>
      <c r="Q96" s="30"/>
      <c r="R96" s="5"/>
      <c r="S96" s="30"/>
      <c r="T96"/>
      <c r="AH96"/>
      <c r="AM96"/>
      <c r="AV96"/>
      <c r="AY96"/>
    </row>
    <row r="97" spans="1:51">
      <c r="A97" t="s">
        <v>54</v>
      </c>
      <c r="B97" s="5" t="s">
        <v>53</v>
      </c>
      <c r="C97" s="5" t="s">
        <v>20</v>
      </c>
      <c r="D97" s="408">
        <v>29</v>
      </c>
      <c r="E97" s="408">
        <v>4</v>
      </c>
      <c r="F97" s="5" t="s">
        <v>19</v>
      </c>
      <c r="G97" s="5" t="s">
        <v>18</v>
      </c>
      <c r="H97" s="408">
        <v>16</v>
      </c>
      <c r="I97" s="408">
        <v>3.7</v>
      </c>
      <c r="J97" s="408">
        <v>0.4</v>
      </c>
      <c r="K97" s="408">
        <v>1</v>
      </c>
      <c r="L97" s="408">
        <v>0.8</v>
      </c>
      <c r="M97" s="408">
        <v>0.1</v>
      </c>
      <c r="N97" s="408">
        <v>0.1</v>
      </c>
      <c r="O97" s="1" t="s">
        <v>52</v>
      </c>
      <c r="P97" s="104" t="s">
        <v>736</v>
      </c>
      <c r="Q97" s="30"/>
      <c r="R97" s="5"/>
      <c r="S97" s="30"/>
      <c r="T97"/>
      <c r="AH97"/>
      <c r="AM97"/>
      <c r="AV97"/>
      <c r="AY97"/>
    </row>
    <row r="98" spans="1:51">
      <c r="A98" t="s">
        <v>169</v>
      </c>
      <c r="B98" s="5" t="s">
        <v>92</v>
      </c>
      <c r="C98" s="5" t="s">
        <v>26</v>
      </c>
      <c r="D98" s="408">
        <v>36</v>
      </c>
      <c r="E98" s="408">
        <v>17</v>
      </c>
      <c r="F98" s="5" t="s">
        <v>19</v>
      </c>
      <c r="G98" s="5" t="s">
        <v>18</v>
      </c>
      <c r="H98" s="408">
        <v>43</v>
      </c>
      <c r="I98" s="408">
        <v>22</v>
      </c>
      <c r="J98" s="408">
        <v>6.8</v>
      </c>
      <c r="K98" s="408">
        <v>3.1</v>
      </c>
      <c r="L98" s="408">
        <v>1.4</v>
      </c>
      <c r="M98" s="408">
        <v>0.3</v>
      </c>
      <c r="N98" s="408">
        <v>0.1</v>
      </c>
      <c r="O98" s="1" t="s">
        <v>1095</v>
      </c>
      <c r="P98" s="104" t="s">
        <v>1065</v>
      </c>
      <c r="Q98" s="30"/>
      <c r="R98" s="5"/>
      <c r="S98" s="30"/>
      <c r="T98"/>
      <c r="AH98"/>
      <c r="AM98"/>
      <c r="AV98"/>
      <c r="AY98"/>
    </row>
    <row r="99" spans="1:51">
      <c r="A99" t="s">
        <v>193</v>
      </c>
      <c r="B99" s="5" t="s">
        <v>157</v>
      </c>
      <c r="C99" s="5" t="s">
        <v>20</v>
      </c>
      <c r="D99" s="408">
        <v>29</v>
      </c>
      <c r="E99" s="408">
        <v>3</v>
      </c>
      <c r="F99" s="5" t="s">
        <v>25</v>
      </c>
      <c r="G99" s="5" t="s">
        <v>18</v>
      </c>
      <c r="H99" s="408">
        <v>27</v>
      </c>
      <c r="I99" s="408">
        <v>15.6</v>
      </c>
      <c r="J99" s="408">
        <v>8</v>
      </c>
      <c r="K99" s="408">
        <v>1.5</v>
      </c>
      <c r="L99" s="408">
        <v>2.2000000000000002</v>
      </c>
      <c r="M99" s="408">
        <v>0.7</v>
      </c>
      <c r="N99" s="408">
        <v>0.1</v>
      </c>
      <c r="O99" s="1" t="s">
        <v>192</v>
      </c>
      <c r="P99" s="104" t="s">
        <v>830</v>
      </c>
      <c r="Q99" s="30"/>
      <c r="R99" s="5"/>
      <c r="S99" s="30"/>
      <c r="T99"/>
      <c r="AH99"/>
      <c r="AM99"/>
      <c r="AV99"/>
      <c r="AY99"/>
    </row>
    <row r="100" spans="1:51">
      <c r="A100" t="s">
        <v>141</v>
      </c>
      <c r="B100" s="5" t="s">
        <v>140</v>
      </c>
      <c r="C100" s="5" t="s">
        <v>46</v>
      </c>
      <c r="D100" s="408">
        <v>25</v>
      </c>
      <c r="E100" s="408">
        <v>2</v>
      </c>
      <c r="F100" s="5" t="s">
        <v>25</v>
      </c>
      <c r="G100" s="5" t="s">
        <v>24</v>
      </c>
      <c r="H100" s="408">
        <v>67</v>
      </c>
      <c r="I100" s="408">
        <v>15.2</v>
      </c>
      <c r="J100" s="408">
        <v>6.4</v>
      </c>
      <c r="K100" s="408">
        <v>2.2000000000000002</v>
      </c>
      <c r="L100" s="408">
        <v>1</v>
      </c>
      <c r="M100" s="408">
        <v>0.4</v>
      </c>
      <c r="N100" s="408">
        <v>0.4</v>
      </c>
      <c r="O100" s="1" t="s">
        <v>23</v>
      </c>
      <c r="P100" s="104" t="s">
        <v>736</v>
      </c>
      <c r="Q100" s="30"/>
      <c r="R100" s="5"/>
      <c r="S100" s="30"/>
      <c r="T100"/>
      <c r="AH100"/>
      <c r="AM100"/>
      <c r="AV100"/>
      <c r="AY100"/>
    </row>
    <row r="101" spans="1:51">
      <c r="A101" t="s">
        <v>162</v>
      </c>
      <c r="B101" s="5" t="s">
        <v>47</v>
      </c>
      <c r="C101" s="5" t="s">
        <v>20</v>
      </c>
      <c r="D101" s="408">
        <v>24</v>
      </c>
      <c r="E101" s="408">
        <v>2</v>
      </c>
      <c r="F101" s="5" t="s">
        <v>25</v>
      </c>
      <c r="G101" s="5" t="s">
        <v>24</v>
      </c>
      <c r="H101" s="408">
        <v>66</v>
      </c>
      <c r="I101" s="408">
        <v>19.8</v>
      </c>
      <c r="J101" s="408">
        <v>8.3000000000000007</v>
      </c>
      <c r="K101" s="408">
        <v>2.5</v>
      </c>
      <c r="L101" s="408">
        <v>3.2</v>
      </c>
      <c r="M101" s="408">
        <v>0.9</v>
      </c>
      <c r="N101" s="408">
        <v>0.3</v>
      </c>
      <c r="O101" s="1" t="s">
        <v>23</v>
      </c>
      <c r="P101" s="104" t="s">
        <v>1065</v>
      </c>
      <c r="Q101" s="30"/>
      <c r="R101" s="5"/>
      <c r="S101" s="30"/>
      <c r="T101"/>
      <c r="AH101"/>
      <c r="AM101"/>
      <c r="AV101"/>
      <c r="AY101"/>
    </row>
    <row r="102" spans="1:51">
      <c r="A102" t="s">
        <v>174</v>
      </c>
      <c r="B102" s="5" t="s">
        <v>140</v>
      </c>
      <c r="C102" s="5" t="s">
        <v>26</v>
      </c>
      <c r="D102" s="408">
        <v>24</v>
      </c>
      <c r="E102" s="408">
        <v>2</v>
      </c>
      <c r="F102" s="5" t="s">
        <v>25</v>
      </c>
      <c r="G102" s="5" t="s">
        <v>24</v>
      </c>
      <c r="H102" s="408">
        <v>70</v>
      </c>
      <c r="I102" s="408">
        <v>19.399999999999999</v>
      </c>
      <c r="J102" s="408">
        <v>7.2</v>
      </c>
      <c r="K102" s="408">
        <v>1.4</v>
      </c>
      <c r="L102" s="408">
        <v>0.9</v>
      </c>
      <c r="M102" s="408">
        <v>0.4</v>
      </c>
      <c r="N102" s="408">
        <v>0</v>
      </c>
      <c r="O102" s="1" t="s">
        <v>23</v>
      </c>
      <c r="P102" s="104" t="s">
        <v>736</v>
      </c>
      <c r="Q102" s="30"/>
      <c r="R102" s="5"/>
      <c r="S102" s="30"/>
      <c r="T102"/>
      <c r="AH102"/>
      <c r="AM102"/>
      <c r="AV102"/>
      <c r="AY102"/>
    </row>
    <row r="103" spans="1:51">
      <c r="A103" t="s">
        <v>98</v>
      </c>
      <c r="B103" s="5" t="s">
        <v>73</v>
      </c>
      <c r="C103" s="5" t="s">
        <v>26</v>
      </c>
      <c r="D103" s="408">
        <v>22</v>
      </c>
      <c r="E103" s="408">
        <v>2</v>
      </c>
      <c r="F103" s="5" t="s">
        <v>25</v>
      </c>
      <c r="G103" s="5" t="s">
        <v>24</v>
      </c>
      <c r="H103" s="408">
        <v>53</v>
      </c>
      <c r="I103" s="408">
        <v>15.7</v>
      </c>
      <c r="J103" s="408">
        <v>3.6</v>
      </c>
      <c r="K103" s="408">
        <v>1.4</v>
      </c>
      <c r="L103" s="408">
        <v>1.3</v>
      </c>
      <c r="M103" s="408">
        <v>0.7</v>
      </c>
      <c r="N103" s="408">
        <v>0.2</v>
      </c>
      <c r="O103" s="1" t="s">
        <v>23</v>
      </c>
      <c r="P103" s="104" t="s">
        <v>736</v>
      </c>
      <c r="Q103" s="30"/>
      <c r="R103" s="5"/>
      <c r="S103" s="30"/>
      <c r="T103"/>
      <c r="AH103"/>
      <c r="AM103"/>
      <c r="AV103"/>
      <c r="AY103"/>
    </row>
    <row r="104" spans="1:51">
      <c r="A104" t="s">
        <v>129</v>
      </c>
      <c r="B104" s="5" t="s">
        <v>92</v>
      </c>
      <c r="C104" s="5" t="s">
        <v>38</v>
      </c>
      <c r="D104" s="408">
        <v>30</v>
      </c>
      <c r="E104" s="408">
        <v>10</v>
      </c>
      <c r="F104" s="5" t="s">
        <v>19</v>
      </c>
      <c r="G104" s="5" t="s">
        <v>18</v>
      </c>
      <c r="H104" s="408">
        <v>28</v>
      </c>
      <c r="I104" s="408">
        <v>13.6</v>
      </c>
      <c r="J104" s="408">
        <v>5</v>
      </c>
      <c r="K104" s="408">
        <v>3.4</v>
      </c>
      <c r="L104" s="408">
        <v>0.5</v>
      </c>
      <c r="M104" s="408">
        <v>0.5</v>
      </c>
      <c r="N104" s="408">
        <v>0.9</v>
      </c>
      <c r="O104" s="1" t="s">
        <v>1096</v>
      </c>
      <c r="P104" s="104" t="s">
        <v>1065</v>
      </c>
      <c r="Q104" s="30"/>
      <c r="R104" s="5"/>
      <c r="S104" s="30"/>
      <c r="T104"/>
      <c r="AH104"/>
      <c r="AM104"/>
      <c r="AV104"/>
      <c r="AY104"/>
    </row>
    <row r="105" spans="1:51">
      <c r="A105" t="s">
        <v>177</v>
      </c>
      <c r="B105" s="5" t="s">
        <v>43</v>
      </c>
      <c r="C105" s="5" t="s">
        <v>26</v>
      </c>
      <c r="D105" s="408">
        <v>25</v>
      </c>
      <c r="E105" s="408">
        <v>2</v>
      </c>
      <c r="F105" s="5" t="s">
        <v>25</v>
      </c>
      <c r="G105" s="5" t="s">
        <v>24</v>
      </c>
      <c r="H105" s="408">
        <v>58</v>
      </c>
      <c r="I105" s="408">
        <v>22.6</v>
      </c>
      <c r="J105" s="408">
        <v>7.5</v>
      </c>
      <c r="K105" s="408">
        <v>4.5</v>
      </c>
      <c r="L105" s="408">
        <v>1.3</v>
      </c>
      <c r="M105" s="408">
        <v>0.8</v>
      </c>
      <c r="N105" s="408">
        <v>0.5</v>
      </c>
      <c r="O105" s="1" t="s">
        <v>176</v>
      </c>
      <c r="P105" s="104" t="s">
        <v>736</v>
      </c>
      <c r="Q105" s="30"/>
      <c r="R105" s="5"/>
      <c r="S105" s="30"/>
      <c r="T105"/>
      <c r="AH105"/>
      <c r="AM105"/>
      <c r="AV105"/>
      <c r="AY105"/>
    </row>
    <row r="106" spans="1:51">
      <c r="A106" t="s">
        <v>208</v>
      </c>
      <c r="B106" s="5" t="s">
        <v>118</v>
      </c>
      <c r="C106" s="5" t="s">
        <v>38</v>
      </c>
      <c r="D106" s="408">
        <v>30</v>
      </c>
      <c r="E106" s="408">
        <v>11</v>
      </c>
      <c r="F106" s="5" t="s">
        <v>19</v>
      </c>
      <c r="G106" s="5" t="s">
        <v>18</v>
      </c>
      <c r="H106" s="408">
        <v>56</v>
      </c>
      <c r="I106" s="408">
        <v>24.9</v>
      </c>
      <c r="J106" s="408">
        <v>10.4</v>
      </c>
      <c r="K106" s="408">
        <v>5.3</v>
      </c>
      <c r="L106" s="408">
        <v>1.3</v>
      </c>
      <c r="M106" s="408">
        <v>0.9</v>
      </c>
      <c r="N106" s="408">
        <v>0.3</v>
      </c>
      <c r="O106" s="1" t="s">
        <v>1097</v>
      </c>
      <c r="P106" s="104" t="s">
        <v>831</v>
      </c>
      <c r="Q106" s="30"/>
      <c r="R106" s="5"/>
      <c r="S106" s="30"/>
      <c r="T106"/>
      <c r="AH106"/>
      <c r="AM106"/>
      <c r="AV106"/>
      <c r="AY106"/>
    </row>
    <row r="107" spans="1:51">
      <c r="A107" t="s">
        <v>133</v>
      </c>
      <c r="B107" s="5" t="s">
        <v>53</v>
      </c>
      <c r="C107" s="5" t="s">
        <v>26</v>
      </c>
      <c r="D107" s="408">
        <v>24</v>
      </c>
      <c r="E107" s="408">
        <v>2</v>
      </c>
      <c r="F107" s="5" t="s">
        <v>25</v>
      </c>
      <c r="G107" s="5" t="s">
        <v>24</v>
      </c>
      <c r="H107" s="408">
        <v>58</v>
      </c>
      <c r="I107" s="408">
        <v>16.899999999999999</v>
      </c>
      <c r="J107" s="408">
        <v>4.5</v>
      </c>
      <c r="K107" s="408">
        <v>2</v>
      </c>
      <c r="L107" s="408">
        <v>0.9</v>
      </c>
      <c r="M107" s="408">
        <v>0.5</v>
      </c>
      <c r="N107" s="408">
        <v>0</v>
      </c>
      <c r="O107" s="1" t="s">
        <v>132</v>
      </c>
      <c r="P107" s="104" t="s">
        <v>1065</v>
      </c>
      <c r="Q107" s="30"/>
      <c r="R107" s="5"/>
      <c r="S107" s="30"/>
      <c r="T107"/>
      <c r="AH107"/>
      <c r="AM107"/>
      <c r="AV107"/>
      <c r="AY107"/>
    </row>
    <row r="108" spans="1:51">
      <c r="A108" t="s">
        <v>79</v>
      </c>
      <c r="B108" s="5" t="s">
        <v>58</v>
      </c>
      <c r="C108" s="5" t="s">
        <v>26</v>
      </c>
      <c r="D108" s="408">
        <v>32</v>
      </c>
      <c r="E108" s="408">
        <v>11</v>
      </c>
      <c r="F108" s="5" t="s">
        <v>19</v>
      </c>
      <c r="G108" s="5" t="s">
        <v>18</v>
      </c>
      <c r="H108" s="408">
        <v>62</v>
      </c>
      <c r="I108" s="408">
        <v>14.7</v>
      </c>
      <c r="J108" s="408">
        <v>4.7</v>
      </c>
      <c r="K108" s="408">
        <v>1.8</v>
      </c>
      <c r="L108" s="408">
        <v>0.8</v>
      </c>
      <c r="M108" s="408">
        <v>1</v>
      </c>
      <c r="N108" s="408">
        <v>0.2</v>
      </c>
      <c r="O108" s="1" t="s">
        <v>1098</v>
      </c>
      <c r="P108" s="104" t="s">
        <v>736</v>
      </c>
      <c r="Q108" s="30"/>
      <c r="R108" s="5"/>
      <c r="S108" s="30"/>
      <c r="T108"/>
      <c r="AH108"/>
      <c r="AM108"/>
      <c r="AV108"/>
      <c r="AY108"/>
    </row>
    <row r="109" spans="1:51">
      <c r="A109" t="s">
        <v>178</v>
      </c>
      <c r="B109" s="5" t="s">
        <v>30</v>
      </c>
      <c r="C109" s="5" t="s">
        <v>38</v>
      </c>
      <c r="D109" s="408">
        <v>30</v>
      </c>
      <c r="E109" s="408">
        <v>8</v>
      </c>
      <c r="F109" s="5" t="s">
        <v>19</v>
      </c>
      <c r="G109" s="5" t="s">
        <v>18</v>
      </c>
      <c r="H109" s="408">
        <v>58</v>
      </c>
      <c r="I109" s="408">
        <v>17.399999999999999</v>
      </c>
      <c r="J109" s="408">
        <v>6.3</v>
      </c>
      <c r="K109" s="408">
        <v>4.8</v>
      </c>
      <c r="L109" s="408">
        <v>1.3</v>
      </c>
      <c r="M109" s="408">
        <v>0.4</v>
      </c>
      <c r="N109" s="408">
        <v>0.3</v>
      </c>
      <c r="O109" s="1" t="s">
        <v>1099</v>
      </c>
      <c r="P109" s="104" t="s">
        <v>1065</v>
      </c>
      <c r="Q109" s="30"/>
      <c r="R109" s="5"/>
      <c r="S109" s="30"/>
      <c r="T109"/>
      <c r="AH109"/>
      <c r="AM109"/>
      <c r="AV109"/>
      <c r="AY109"/>
    </row>
    <row r="110" spans="1:51">
      <c r="A110" t="s">
        <v>226</v>
      </c>
      <c r="B110" s="5" t="s">
        <v>56</v>
      </c>
      <c r="C110" s="5" t="s">
        <v>20</v>
      </c>
      <c r="D110" s="408">
        <v>29</v>
      </c>
      <c r="E110" s="408">
        <v>9</v>
      </c>
      <c r="F110" s="5" t="s">
        <v>19</v>
      </c>
      <c r="G110" s="5" t="s">
        <v>18</v>
      </c>
      <c r="H110" s="408">
        <v>20</v>
      </c>
      <c r="I110" s="408">
        <v>18</v>
      </c>
      <c r="J110" s="408">
        <v>9.1</v>
      </c>
      <c r="K110" s="408">
        <v>1.7</v>
      </c>
      <c r="L110" s="408">
        <v>1.7</v>
      </c>
      <c r="M110" s="408">
        <v>0.3</v>
      </c>
      <c r="N110" s="408">
        <v>0.2</v>
      </c>
      <c r="O110" s="1" t="s">
        <v>1164</v>
      </c>
      <c r="P110" s="104" t="s">
        <v>1065</v>
      </c>
      <c r="Q110" s="30"/>
      <c r="R110" s="5"/>
      <c r="S110" s="30"/>
      <c r="T110"/>
      <c r="AH110"/>
      <c r="AM110"/>
      <c r="AV110"/>
      <c r="AY110"/>
    </row>
    <row r="111" spans="1:51">
      <c r="A111" t="s">
        <v>544</v>
      </c>
      <c r="B111" s="5" t="s">
        <v>27</v>
      </c>
      <c r="C111" s="5" t="s">
        <v>20</v>
      </c>
      <c r="D111" s="408">
        <v>31</v>
      </c>
      <c r="E111" s="408">
        <v>11</v>
      </c>
      <c r="F111" s="5" t="s">
        <v>19</v>
      </c>
      <c r="G111" s="5" t="s">
        <v>18</v>
      </c>
      <c r="H111" s="408">
        <v>19</v>
      </c>
      <c r="I111" s="408">
        <v>14.6</v>
      </c>
      <c r="J111" s="408">
        <v>4.7</v>
      </c>
      <c r="K111" s="408">
        <v>1.3</v>
      </c>
      <c r="L111" s="408">
        <v>2.5</v>
      </c>
      <c r="M111" s="408">
        <v>0.5</v>
      </c>
      <c r="N111" s="408">
        <v>0.1</v>
      </c>
      <c r="O111" s="1" t="s">
        <v>1269</v>
      </c>
      <c r="P111" s="104" t="s">
        <v>1065</v>
      </c>
      <c r="Q111" s="30"/>
      <c r="R111" s="5"/>
      <c r="S111" s="30"/>
      <c r="T111"/>
      <c r="AH111"/>
      <c r="AM111"/>
      <c r="AV111"/>
      <c r="AY111"/>
    </row>
    <row r="112" spans="1:51">
      <c r="A112" t="s">
        <v>2</v>
      </c>
      <c r="B112" s="5" t="s">
        <v>41</v>
      </c>
      <c r="C112" s="5" t="s">
        <v>46</v>
      </c>
      <c r="D112" s="408">
        <v>25</v>
      </c>
      <c r="E112" s="408">
        <v>5</v>
      </c>
      <c r="F112" s="5" t="s">
        <v>19</v>
      </c>
      <c r="G112" s="5" t="s">
        <v>18</v>
      </c>
      <c r="H112" s="408">
        <v>35</v>
      </c>
      <c r="I112" s="408">
        <v>9.1999999999999993</v>
      </c>
      <c r="J112" s="408">
        <v>3.8</v>
      </c>
      <c r="K112" s="408">
        <v>1.4</v>
      </c>
      <c r="L112" s="408">
        <v>0.2</v>
      </c>
      <c r="M112" s="408">
        <v>0.2</v>
      </c>
      <c r="N112" s="408">
        <v>0.1</v>
      </c>
      <c r="O112" s="1" t="s">
        <v>1100</v>
      </c>
      <c r="P112" s="104" t="s">
        <v>736</v>
      </c>
      <c r="Q112" s="30"/>
      <c r="R112" s="5"/>
      <c r="S112" s="30"/>
      <c r="T112"/>
      <c r="AH112"/>
      <c r="AM112"/>
      <c r="AV112"/>
      <c r="AY112"/>
    </row>
    <row r="113" spans="1:52">
      <c r="A113" t="s">
        <v>753</v>
      </c>
      <c r="B113" s="5" t="s">
        <v>96</v>
      </c>
      <c r="C113" s="5" t="s">
        <v>20</v>
      </c>
      <c r="D113" s="408">
        <v>21</v>
      </c>
      <c r="E113" s="408">
        <v>2</v>
      </c>
      <c r="F113" s="5" t="s">
        <v>25</v>
      </c>
      <c r="G113" s="5" t="s">
        <v>18</v>
      </c>
      <c r="H113" s="408">
        <v>1</v>
      </c>
      <c r="I113" s="408">
        <v>3</v>
      </c>
      <c r="J113" s="408">
        <v>1</v>
      </c>
      <c r="K113" s="408">
        <v>1</v>
      </c>
      <c r="L113" s="408"/>
      <c r="M113" s="408"/>
      <c r="N113" s="408"/>
      <c r="O113" s="1" t="s">
        <v>1220</v>
      </c>
      <c r="P113" s="104"/>
      <c r="Q113" s="30"/>
      <c r="R113" s="5"/>
      <c r="S113" s="30"/>
      <c r="T113"/>
      <c r="AH113"/>
      <c r="AM113"/>
      <c r="AV113"/>
      <c r="AY113"/>
    </row>
    <row r="114" spans="1:52">
      <c r="A114" t="s">
        <v>205</v>
      </c>
      <c r="B114" s="5" t="s">
        <v>33</v>
      </c>
      <c r="C114" s="5" t="s">
        <v>20</v>
      </c>
      <c r="D114" s="408">
        <v>24</v>
      </c>
      <c r="E114" s="408">
        <v>2</v>
      </c>
      <c r="F114" s="5" t="s">
        <v>25</v>
      </c>
      <c r="G114" s="5" t="s">
        <v>24</v>
      </c>
      <c r="H114" s="408">
        <v>70</v>
      </c>
      <c r="I114" s="408">
        <v>29.1</v>
      </c>
      <c r="J114" s="408">
        <v>10.1</v>
      </c>
      <c r="K114" s="408">
        <v>3.2</v>
      </c>
      <c r="L114" s="408">
        <v>2.4</v>
      </c>
      <c r="M114" s="408">
        <v>0.8</v>
      </c>
      <c r="N114" s="408">
        <v>0.1</v>
      </c>
      <c r="O114" s="1" t="s">
        <v>204</v>
      </c>
      <c r="P114" s="104"/>
      <c r="R114" s="30"/>
      <c r="S114" s="5"/>
      <c r="T114" s="30"/>
      <c r="AH114"/>
      <c r="AM114"/>
      <c r="AV114"/>
      <c r="AY114"/>
    </row>
    <row r="115" spans="1:52">
      <c r="A115" t="s">
        <v>721</v>
      </c>
      <c r="B115" s="5" t="s">
        <v>47</v>
      </c>
      <c r="C115" s="5" t="s">
        <v>38</v>
      </c>
      <c r="D115" s="408">
        <v>23</v>
      </c>
      <c r="E115" s="408">
        <v>1</v>
      </c>
      <c r="F115" s="5" t="s">
        <v>25</v>
      </c>
      <c r="G115" s="5" t="s">
        <v>18</v>
      </c>
      <c r="H115" s="408">
        <v>4</v>
      </c>
      <c r="I115" s="408">
        <v>4</v>
      </c>
      <c r="J115" s="408">
        <v>2.2999999999999998</v>
      </c>
      <c r="K115" s="408"/>
      <c r="L115" s="408">
        <v>0.5</v>
      </c>
      <c r="M115" s="408"/>
      <c r="N115" s="408"/>
      <c r="O115" s="1" t="s">
        <v>1270</v>
      </c>
      <c r="P115" s="104"/>
      <c r="Q115" s="277"/>
      <c r="S115" s="104"/>
      <c r="T115" s="30"/>
      <c r="U115" s="5"/>
      <c r="V115" s="30"/>
      <c r="AH115"/>
      <c r="AM115"/>
      <c r="AV115"/>
      <c r="AY115"/>
    </row>
    <row r="116" spans="1:52">
      <c r="A116" t="s">
        <v>22</v>
      </c>
      <c r="B116" s="5" t="s">
        <v>21</v>
      </c>
      <c r="C116" s="5" t="s">
        <v>20</v>
      </c>
      <c r="D116" s="408">
        <v>25</v>
      </c>
      <c r="E116" s="408">
        <v>5</v>
      </c>
      <c r="F116" s="5" t="s">
        <v>19</v>
      </c>
      <c r="G116" s="5" t="s">
        <v>18</v>
      </c>
      <c r="H116" s="408">
        <v>25</v>
      </c>
      <c r="I116" s="408">
        <v>17</v>
      </c>
      <c r="J116" s="408">
        <v>10.5</v>
      </c>
      <c r="K116" s="408">
        <v>1.6</v>
      </c>
      <c r="L116" s="408">
        <v>3.6</v>
      </c>
      <c r="M116" s="408">
        <v>0.4</v>
      </c>
      <c r="N116" s="408">
        <v>0.2</v>
      </c>
      <c r="O116" s="1" t="s">
        <v>17</v>
      </c>
      <c r="P116" s="104"/>
      <c r="Q116" s="326"/>
      <c r="R116" s="277"/>
      <c r="T116" s="104"/>
      <c r="U116" s="30"/>
      <c r="V116" s="5"/>
      <c r="W116" s="30"/>
      <c r="AH116"/>
      <c r="AM116"/>
      <c r="AV116"/>
      <c r="AY116"/>
    </row>
    <row r="117" spans="1:52">
      <c r="A117" t="s">
        <v>44</v>
      </c>
      <c r="B117" s="5" t="s">
        <v>43</v>
      </c>
      <c r="C117" s="5" t="s">
        <v>20</v>
      </c>
      <c r="D117" s="408">
        <v>23</v>
      </c>
      <c r="E117" s="408">
        <v>1</v>
      </c>
      <c r="F117" s="5" t="s">
        <v>25</v>
      </c>
      <c r="G117" s="5"/>
      <c r="H117" s="408">
        <v>13</v>
      </c>
      <c r="I117" s="408">
        <v>9.1999999999999993</v>
      </c>
      <c r="J117" s="408">
        <v>1.2</v>
      </c>
      <c r="K117" s="408">
        <v>0.5</v>
      </c>
      <c r="L117" s="408">
        <v>1</v>
      </c>
      <c r="M117" s="408">
        <v>0.4</v>
      </c>
      <c r="N117" s="408"/>
      <c r="O117" s="1" t="s">
        <v>17</v>
      </c>
      <c r="P117" s="104" t="s">
        <v>1065</v>
      </c>
      <c r="Q117" s="326"/>
      <c r="R117" s="277"/>
      <c r="T117" s="104"/>
      <c r="U117" s="30"/>
      <c r="V117" s="5"/>
      <c r="W117" s="30"/>
      <c r="AH117"/>
      <c r="AM117"/>
      <c r="AV117"/>
      <c r="AY117"/>
    </row>
    <row r="118" spans="1:52">
      <c r="B118" s="277"/>
      <c r="C118" s="277"/>
      <c r="D118" s="277"/>
      <c r="E118" s="277"/>
      <c r="F118" s="277"/>
      <c r="G118" s="277"/>
      <c r="H118" s="277"/>
      <c r="I118" s="277"/>
      <c r="J118" s="277"/>
      <c r="K118" s="277"/>
      <c r="L118" s="277"/>
      <c r="M118" s="277"/>
      <c r="N118" s="277"/>
      <c r="O118" s="408"/>
      <c r="P118" s="380"/>
      <c r="Q118" s="326"/>
      <c r="R118" s="277"/>
      <c r="T118" s="104"/>
      <c r="U118" s="30"/>
      <c r="V118" s="5"/>
      <c r="W118" s="30"/>
      <c r="AH118"/>
      <c r="AM118"/>
      <c r="AV118"/>
      <c r="AY118"/>
    </row>
    <row r="119" spans="1:52">
      <c r="B119" s="2"/>
      <c r="C119" s="2"/>
      <c r="D119" s="2"/>
      <c r="E119" s="2"/>
      <c r="G119" s="2"/>
      <c r="H119" s="2"/>
      <c r="I119" s="2"/>
      <c r="J119" s="2"/>
      <c r="K119" s="2"/>
      <c r="L119" s="2"/>
      <c r="M119" s="2"/>
      <c r="N119" s="2"/>
      <c r="O119" s="408"/>
      <c r="P119" s="380"/>
      <c r="Q119" s="326"/>
      <c r="R119" s="277"/>
      <c r="T119" s="104"/>
      <c r="U119" s="30"/>
      <c r="V119" s="5"/>
      <c r="W119" s="30"/>
      <c r="AH119"/>
      <c r="AM119"/>
      <c r="AV119"/>
      <c r="AY119"/>
    </row>
    <row r="120" spans="1:52">
      <c r="B120" s="2"/>
      <c r="C120" s="2"/>
      <c r="D120" s="2"/>
      <c r="E120" s="2"/>
      <c r="G120" s="2"/>
      <c r="H120" s="2"/>
      <c r="I120" s="2"/>
      <c r="J120" s="2"/>
      <c r="K120" s="2"/>
      <c r="L120" s="2"/>
      <c r="M120" s="2"/>
      <c r="N120" s="2"/>
      <c r="O120" s="408"/>
      <c r="P120" s="380"/>
      <c r="Q120" s="326"/>
      <c r="AH120" s="6"/>
      <c r="AI120" s="5"/>
      <c r="AJ120" s="5"/>
      <c r="AM120" s="5"/>
      <c r="AN120" s="5"/>
      <c r="AV120" s="5"/>
      <c r="AW120" s="5"/>
      <c r="AX120" s="30"/>
      <c r="AY120" s="5"/>
      <c r="AZ120" s="30"/>
    </row>
    <row r="121" spans="1:52">
      <c r="B121" s="2"/>
      <c r="C121" s="2"/>
      <c r="D121" s="2"/>
      <c r="E121" s="2"/>
      <c r="G121" s="2"/>
      <c r="H121" s="2"/>
      <c r="I121" s="2"/>
      <c r="J121" s="2"/>
      <c r="K121" s="2"/>
      <c r="L121" s="2"/>
      <c r="M121" s="2"/>
      <c r="N121" s="2"/>
      <c r="O121" s="408"/>
      <c r="P121" s="380"/>
      <c r="AH121" s="6"/>
      <c r="AI121" s="5"/>
      <c r="AJ121" s="5"/>
      <c r="AK121" s="5"/>
      <c r="AL121" s="5"/>
      <c r="AM121" s="5"/>
      <c r="AN121" s="5"/>
      <c r="AO121" s="5"/>
      <c r="AP121" s="5"/>
      <c r="AQ121" s="5"/>
      <c r="AR121" s="5"/>
      <c r="AS121" s="5"/>
      <c r="AT121" s="5"/>
      <c r="AU121" s="5"/>
      <c r="AV121" s="3"/>
      <c r="AW121" s="5"/>
      <c r="AX121" s="30"/>
      <c r="AY121" s="5"/>
      <c r="AZ121" s="30"/>
    </row>
    <row r="122" spans="1:52">
      <c r="B122" s="2"/>
      <c r="C122" s="2"/>
      <c r="D122" s="2"/>
      <c r="E122" s="2"/>
      <c r="G122" s="2"/>
      <c r="H122" s="2"/>
      <c r="I122" s="2"/>
      <c r="J122" s="2"/>
      <c r="K122" s="2"/>
      <c r="L122" s="2"/>
      <c r="M122" s="2"/>
      <c r="N122" s="2"/>
      <c r="O122" s="408"/>
      <c r="P122" s="380"/>
      <c r="AH122" s="6"/>
      <c r="AI122" s="5"/>
      <c r="AJ122" s="5"/>
      <c r="AK122" s="5"/>
      <c r="AL122" s="5"/>
      <c r="AM122" s="5"/>
      <c r="AN122" s="5"/>
      <c r="AO122" s="5"/>
      <c r="AP122" s="5"/>
      <c r="AQ122" s="5"/>
      <c r="AR122" s="5"/>
      <c r="AS122" s="5"/>
      <c r="AT122" s="5"/>
      <c r="AU122" s="5"/>
      <c r="AV122" s="3"/>
      <c r="AW122" s="5"/>
      <c r="AX122" s="30"/>
      <c r="AY122" s="5"/>
      <c r="AZ122" s="30"/>
    </row>
  </sheetData>
  <mergeCells count="3">
    <mergeCell ref="AH1:AI1"/>
    <mergeCell ref="AJ1:AK1"/>
    <mergeCell ref="B1:D1"/>
  </mergeCells>
  <conditionalFormatting sqref="AV120:AV1048576 AG1:AG2">
    <cfRule type="dataBar" priority="171">
      <dataBar>
        <cfvo type="min"/>
        <cfvo type="max"/>
        <color rgb="FF638EC6"/>
      </dataBar>
      <extLst>
        <ext xmlns:x14="http://schemas.microsoft.com/office/spreadsheetml/2009/9/main" uri="{B025F937-C7B1-47D3-B67F-A62EFF666E3E}">
          <x14:id>{16BAE319-F418-46CD-B6A8-3791921AB71A}</x14:id>
        </ext>
      </extLst>
    </cfRule>
  </conditionalFormatting>
  <conditionalFormatting sqref="B1:B2 F3:F1048576">
    <cfRule type="containsText" dxfId="198" priority="1" operator="containsText" text="RFA">
      <formula>NOT(ISERROR(SEARCH("RFA",B1)))</formula>
    </cfRule>
    <cfRule type="containsText" dxfId="197" priority="2" operator="containsText" text="UFA">
      <formula>NOT(ISERROR(SEARCH("UFA",B1)))</formula>
    </cfRule>
  </conditionalFormatting>
  <pageMargins left="0.7" right="0.7" top="0.75" bottom="0.75" header="0.3" footer="0.3"/>
  <pageSetup orientation="portrait"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16BAE319-F418-46CD-B6A8-3791921AB71A}">
            <x14:dataBar minLength="0" maxLength="100" border="1" negativeBarBorderColorSameAsPositive="0">
              <x14:cfvo type="autoMin"/>
              <x14:cfvo type="autoMax"/>
              <x14:borderColor rgb="FF638EC6"/>
              <x14:negativeFillColor rgb="FFFF0000"/>
              <x14:negativeBorderColor rgb="FFFF0000"/>
              <x14:axisColor rgb="FF000000"/>
            </x14:dataBar>
          </x14:cfRule>
          <xm:sqref>AV120:AV1048576 AG1:AG2</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0">
    <tabColor theme="8" tint="0.39997558519241921"/>
  </sheetPr>
  <dimension ref="A1:O580"/>
  <sheetViews>
    <sheetView topLeftCell="B1" zoomScale="110" zoomScaleNormal="110" workbookViewId="0">
      <pane ySplit="4" topLeftCell="A5" activePane="bottomLeft" state="frozen"/>
      <selection activeCell="B1" sqref="B1"/>
      <selection pane="bottomLeft" activeCell="F16" sqref="F16"/>
    </sheetView>
  </sheetViews>
  <sheetFormatPr defaultColWidth="8.85546875" defaultRowHeight="15"/>
  <cols>
    <col min="1" max="1" width="5.42578125" hidden="1" customWidth="1"/>
    <col min="2" max="2" width="24.85546875" bestFit="1" customWidth="1"/>
    <col min="3" max="3" width="6" bestFit="1" customWidth="1"/>
    <col min="4" max="9" width="17.28515625" style="32" bestFit="1" customWidth="1"/>
    <col min="10" max="10" width="24.28515625" bestFit="1" customWidth="1"/>
    <col min="11" max="11" width="15.42578125" style="32" bestFit="1" customWidth="1"/>
    <col min="15" max="15" width="9" customWidth="1"/>
  </cols>
  <sheetData>
    <row r="1" spans="1:15" s="73" customFormat="1" ht="15" customHeight="1">
      <c r="E1" s="233"/>
      <c r="F1" s="233"/>
      <c r="K1" s="76"/>
    </row>
    <row r="2" spans="1:15" s="73" customFormat="1" ht="15" customHeight="1">
      <c r="D2" s="233"/>
      <c r="E2" s="233"/>
      <c r="F2" s="233"/>
      <c r="G2" s="233"/>
      <c r="H2" s="665"/>
      <c r="I2" s="665"/>
      <c r="J2" s="665"/>
      <c r="K2" s="665"/>
    </row>
    <row r="3" spans="1:15" s="73" customFormat="1">
      <c r="D3" s="137"/>
      <c r="E3" s="137"/>
      <c r="F3" s="137"/>
      <c r="K3" s="76"/>
    </row>
    <row r="4" spans="1:15" s="8" customFormat="1">
      <c r="A4" s="8" t="s">
        <v>257</v>
      </c>
      <c r="B4" s="77" t="s">
        <v>258</v>
      </c>
      <c r="C4" s="77" t="s">
        <v>260</v>
      </c>
      <c r="D4" s="78" t="s">
        <v>824</v>
      </c>
      <c r="E4" s="78" t="s">
        <v>825</v>
      </c>
      <c r="F4" s="78" t="s">
        <v>826</v>
      </c>
      <c r="G4" s="78" t="s">
        <v>827</v>
      </c>
      <c r="H4" s="78" t="s">
        <v>828</v>
      </c>
      <c r="I4" s="78" t="s">
        <v>829</v>
      </c>
      <c r="J4" s="77" t="s">
        <v>790</v>
      </c>
      <c r="K4" s="78" t="s">
        <v>789</v>
      </c>
      <c r="L4" s="77"/>
      <c r="M4" s="171" t="s">
        <v>16</v>
      </c>
    </row>
    <row r="5" spans="1:15">
      <c r="A5" s="1">
        <v>1</v>
      </c>
      <c r="B5" s="1" t="s">
        <v>288</v>
      </c>
      <c r="C5" s="1" t="s">
        <v>73</v>
      </c>
      <c r="D5" s="32">
        <v>34682550</v>
      </c>
      <c r="E5" s="32">
        <v>37457154</v>
      </c>
      <c r="F5" s="32">
        <v>40231758</v>
      </c>
      <c r="G5" s="32">
        <v>43006362</v>
      </c>
      <c r="H5" s="32">
        <v>45780966</v>
      </c>
      <c r="J5" s="1" t="s">
        <v>768</v>
      </c>
      <c r="K5" s="32">
        <v>201158790</v>
      </c>
      <c r="M5">
        <f>IFERROR(VLOOKUP(Salaries[[#This Row],[Player]],Player_Per_Game[[Player]:[PS/G]],29,FALSE),"")</f>
        <v>26.3</v>
      </c>
      <c r="O5" s="32"/>
    </row>
    <row r="6" spans="1:15">
      <c r="A6" s="1">
        <v>2</v>
      </c>
      <c r="B6" s="1" t="s">
        <v>354</v>
      </c>
      <c r="C6" s="1" t="s">
        <v>102</v>
      </c>
      <c r="D6" s="32">
        <v>33285709</v>
      </c>
      <c r="E6" s="32">
        <v>35607968</v>
      </c>
      <c r="J6" s="1" t="s">
        <v>24</v>
      </c>
      <c r="K6" s="32">
        <v>33285709</v>
      </c>
      <c r="M6">
        <f>IFERROR(VLOOKUP(Salaries[[#This Row],[Player]],Player_Per_Game[[Player]:[PS/G]],29,FALSE),"")</f>
        <v>27.3</v>
      </c>
    </row>
    <row r="7" spans="1:15">
      <c r="A7" s="1">
        <v>3</v>
      </c>
      <c r="B7" s="1" t="s">
        <v>407</v>
      </c>
      <c r="C7" s="1" t="s">
        <v>61</v>
      </c>
      <c r="D7" s="32">
        <v>31269231</v>
      </c>
      <c r="E7" s="32">
        <v>29730769</v>
      </c>
      <c r="F7" s="32">
        <v>30500000</v>
      </c>
      <c r="J7" s="1" t="s">
        <v>738</v>
      </c>
      <c r="K7" s="32">
        <v>61000000</v>
      </c>
      <c r="M7">
        <f>IFERROR(VLOOKUP(Salaries[[#This Row],[Player]],Player_Per_Game[[Player]:[PS/G]],29,FALSE),"")</f>
        <v>13.9</v>
      </c>
    </row>
    <row r="8" spans="1:15">
      <c r="A8" s="1">
        <v>4</v>
      </c>
      <c r="B8" s="1" t="s">
        <v>635</v>
      </c>
      <c r="C8" s="1" t="s">
        <v>87</v>
      </c>
      <c r="D8" s="32">
        <v>29727900</v>
      </c>
      <c r="E8" s="32">
        <v>31214295</v>
      </c>
      <c r="F8" s="32">
        <v>32700690</v>
      </c>
      <c r="G8" s="32">
        <v>34187085</v>
      </c>
      <c r="J8" s="1" t="s">
        <v>738</v>
      </c>
      <c r="K8" s="32">
        <v>93642885</v>
      </c>
      <c r="M8">
        <f>IFERROR(VLOOKUP(Salaries[[#This Row],[Player]],Player_Per_Game[[Player]:[PS/G]],29,FALSE),"")</f>
        <v>2</v>
      </c>
    </row>
    <row r="9" spans="1:15">
      <c r="A9" s="1">
        <v>5</v>
      </c>
      <c r="B9" s="1" t="s">
        <v>335</v>
      </c>
      <c r="C9" s="1" t="s">
        <v>157</v>
      </c>
      <c r="D9" s="32">
        <v>29512900</v>
      </c>
      <c r="E9" s="32">
        <v>31873932</v>
      </c>
      <c r="F9" s="32">
        <v>34234964</v>
      </c>
      <c r="G9" s="32">
        <v>36595996</v>
      </c>
      <c r="H9" s="32">
        <v>38957028</v>
      </c>
      <c r="J9" s="1" t="s">
        <v>768</v>
      </c>
      <c r="K9" s="32">
        <v>132217792</v>
      </c>
      <c r="M9">
        <f>IFERROR(VLOOKUP(Salaries[[#This Row],[Player]],Player_Per_Game[[Player]:[PS/G]],29,FALSE),"")</f>
        <v>21.7</v>
      </c>
    </row>
    <row r="10" spans="1:15">
      <c r="A10" s="1">
        <v>6</v>
      </c>
      <c r="B10" s="1" t="s">
        <v>294</v>
      </c>
      <c r="C10" s="1" t="s">
        <v>47</v>
      </c>
      <c r="D10" s="32">
        <v>28703704</v>
      </c>
      <c r="E10" s="32">
        <v>31000000</v>
      </c>
      <c r="F10" s="32">
        <v>33296296</v>
      </c>
      <c r="J10" s="1" t="s">
        <v>768</v>
      </c>
      <c r="K10" s="32">
        <v>93000000</v>
      </c>
      <c r="M10">
        <f>IFERROR(VLOOKUP(Salaries[[#This Row],[Player]],Player_Per_Game[[Player]:[PS/G]],29,FALSE),"")</f>
        <v>16.399999999999999</v>
      </c>
    </row>
    <row r="11" spans="1:15">
      <c r="A11" s="1">
        <v>7</v>
      </c>
      <c r="B11" s="1" t="s">
        <v>366</v>
      </c>
      <c r="C11" s="1" t="s">
        <v>58</v>
      </c>
      <c r="D11" s="32">
        <v>28530608</v>
      </c>
      <c r="E11" s="32">
        <v>35350000</v>
      </c>
      <c r="F11" s="32">
        <v>38178000</v>
      </c>
      <c r="G11" s="32">
        <v>41006000</v>
      </c>
      <c r="H11" s="32">
        <v>43848000</v>
      </c>
      <c r="J11" s="1" t="s">
        <v>768</v>
      </c>
      <c r="K11" s="32">
        <v>186912608</v>
      </c>
      <c r="M11">
        <f>IFERROR(VLOOKUP(Salaries[[#This Row],[Player]],Player_Per_Game[[Player]:[PS/G]],29,FALSE),"")</f>
        <v>25.3</v>
      </c>
    </row>
    <row r="12" spans="1:15">
      <c r="A12" s="1">
        <v>8</v>
      </c>
      <c r="B12" s="1" t="s">
        <v>322</v>
      </c>
      <c r="C12" s="1" t="s">
        <v>128</v>
      </c>
      <c r="D12" s="32">
        <v>28530608</v>
      </c>
      <c r="E12" s="32">
        <v>30521115</v>
      </c>
      <c r="F12" s="32">
        <v>32511623</v>
      </c>
      <c r="G12" s="32">
        <v>34504132</v>
      </c>
      <c r="J12" s="1" t="s">
        <v>746</v>
      </c>
      <c r="K12" s="32">
        <v>113989729</v>
      </c>
      <c r="M12">
        <f>IFERROR(VLOOKUP(Salaries[[#This Row],[Player]],Player_Per_Game[[Player]:[PS/G]],29,FALSE),"")</f>
        <v>17.100000000000001</v>
      </c>
    </row>
    <row r="13" spans="1:15">
      <c r="A13" s="1">
        <v>9</v>
      </c>
      <c r="B13" s="1" t="s">
        <v>286</v>
      </c>
      <c r="C13" s="1" t="s">
        <v>92</v>
      </c>
      <c r="D13" s="32">
        <v>28299399</v>
      </c>
      <c r="E13" s="32">
        <v>30431854</v>
      </c>
      <c r="F13" s="32">
        <v>37800000</v>
      </c>
      <c r="G13" s="32">
        <v>40824000</v>
      </c>
      <c r="H13" s="32">
        <v>43848000</v>
      </c>
      <c r="J13" s="1" t="s">
        <v>768</v>
      </c>
      <c r="K13" s="32">
        <v>181203253</v>
      </c>
      <c r="M13">
        <f>IFERROR(VLOOKUP(Salaries[[#This Row],[Player]],Player_Per_Game[[Player]:[PS/G]],29,FALSE),"")</f>
        <v>31</v>
      </c>
    </row>
    <row r="14" spans="1:15">
      <c r="A14" s="1">
        <v>10</v>
      </c>
      <c r="B14" s="1" t="s">
        <v>419</v>
      </c>
      <c r="C14" s="1" t="s">
        <v>47</v>
      </c>
      <c r="D14" s="32">
        <v>27739975</v>
      </c>
      <c r="E14" s="32">
        <v>27739975</v>
      </c>
      <c r="F14" s="32">
        <v>27739975</v>
      </c>
      <c r="G14" s="32">
        <v>27739975</v>
      </c>
      <c r="J14" s="1" t="s">
        <v>746</v>
      </c>
      <c r="K14" s="32">
        <v>83219925</v>
      </c>
      <c r="M14">
        <f>IFERROR(VLOOKUP(Salaries[[#This Row],[Player]],Player_Per_Game[[Player]:[PS/G]],29,FALSE),"")</f>
        <v>23.7</v>
      </c>
    </row>
    <row r="15" spans="1:15">
      <c r="A15" s="1">
        <v>11</v>
      </c>
      <c r="B15" s="1" t="s">
        <v>417</v>
      </c>
      <c r="C15" s="1" t="s">
        <v>87</v>
      </c>
      <c r="D15" s="32">
        <v>27734405</v>
      </c>
      <c r="E15" s="32">
        <v>28928710</v>
      </c>
      <c r="F15" s="32">
        <v>30123015</v>
      </c>
      <c r="J15" s="1" t="s">
        <v>746</v>
      </c>
      <c r="K15" s="32">
        <v>56663115</v>
      </c>
      <c r="M15">
        <f>IFERROR(VLOOKUP(Salaries[[#This Row],[Player]],Player_Per_Game[[Player]:[PS/G]],29,FALSE),"")</f>
        <v>12.8</v>
      </c>
    </row>
    <row r="16" spans="1:15">
      <c r="A16" s="1">
        <v>12</v>
      </c>
      <c r="B16" s="1" t="s">
        <v>329</v>
      </c>
      <c r="C16" s="1" t="s">
        <v>58</v>
      </c>
      <c r="D16" s="32">
        <v>26243760</v>
      </c>
      <c r="E16" s="32">
        <v>27928140</v>
      </c>
      <c r="J16" s="1" t="s">
        <v>768</v>
      </c>
      <c r="K16" s="32">
        <v>26243760</v>
      </c>
      <c r="M16">
        <f>IFERROR(VLOOKUP(Salaries[[#This Row],[Player]],Player_Per_Game[[Player]:[PS/G]],29,FALSE),"")</f>
        <v>16.7</v>
      </c>
    </row>
    <row r="17" spans="1:13">
      <c r="A17" s="1">
        <v>13</v>
      </c>
      <c r="B17" s="1" t="s">
        <v>292</v>
      </c>
      <c r="C17" s="1" t="s">
        <v>96</v>
      </c>
      <c r="D17" s="32">
        <v>26153057</v>
      </c>
      <c r="E17" s="32">
        <v>27977689</v>
      </c>
      <c r="F17" s="32">
        <v>29802321</v>
      </c>
      <c r="G17" s="32">
        <v>31626953</v>
      </c>
      <c r="J17" s="1" t="s">
        <v>758</v>
      </c>
      <c r="K17" s="32">
        <v>115560020</v>
      </c>
      <c r="M17">
        <f>IFERROR(VLOOKUP(Salaries[[#This Row],[Player]],Player_Per_Game[[Player]:[PS/G]],29,FALSE),"")</f>
        <v>26.7</v>
      </c>
    </row>
    <row r="18" spans="1:13">
      <c r="A18" s="1">
        <v>14</v>
      </c>
      <c r="B18" s="1" t="s">
        <v>350</v>
      </c>
      <c r="C18" s="1" t="s">
        <v>112</v>
      </c>
      <c r="D18" s="32">
        <v>25686667</v>
      </c>
      <c r="E18" s="32">
        <v>26131111</v>
      </c>
      <c r="F18" s="32">
        <v>26131111</v>
      </c>
      <c r="G18" s="32">
        <v>26131111</v>
      </c>
      <c r="H18" s="32">
        <v>27020000</v>
      </c>
      <c r="J18" s="1" t="s">
        <v>768</v>
      </c>
      <c r="K18" s="32">
        <v>104080000</v>
      </c>
      <c r="M18">
        <f>IFERROR(VLOOKUP(Salaries[[#This Row],[Player]],Player_Per_Game[[Player]:[PS/G]],29,FALSE),"")</f>
        <v>19.100000000000001</v>
      </c>
    </row>
    <row r="19" spans="1:13">
      <c r="A19" s="1">
        <v>15</v>
      </c>
      <c r="B19" s="1" t="s">
        <v>787</v>
      </c>
      <c r="C19" s="1" t="s">
        <v>50</v>
      </c>
      <c r="D19" s="32">
        <v>25289390</v>
      </c>
      <c r="E19" s="32">
        <v>26837720</v>
      </c>
      <c r="J19" s="1"/>
      <c r="K19" s="32">
        <v>52127110</v>
      </c>
      <c r="M19" t="str">
        <f>IFERROR(VLOOKUP(Salaries[[#This Row],[Player]],Player_Per_Game[[Player]:[PS/G]],29,FALSE),"")</f>
        <v/>
      </c>
    </row>
    <row r="20" spans="1:13">
      <c r="A20" s="1">
        <v>16</v>
      </c>
      <c r="B20" s="1" t="s">
        <v>326</v>
      </c>
      <c r="C20" s="1" t="s">
        <v>73</v>
      </c>
      <c r="D20" s="32">
        <v>25000000</v>
      </c>
      <c r="E20" s="32">
        <v>26250000</v>
      </c>
      <c r="J20" s="1" t="s">
        <v>757</v>
      </c>
      <c r="K20" s="32">
        <v>25000000</v>
      </c>
      <c r="M20">
        <f>IFERROR(VLOOKUP(Salaries[[#This Row],[Player]],Player_Per_Game[[Player]:[PS/G]],29,FALSE),"")</f>
        <v>26.6</v>
      </c>
    </row>
    <row r="21" spans="1:13">
      <c r="A21" s="1">
        <v>17</v>
      </c>
      <c r="B21" s="1" t="s">
        <v>386</v>
      </c>
      <c r="C21" s="1" t="s">
        <v>27</v>
      </c>
      <c r="D21" s="32">
        <v>24773250</v>
      </c>
      <c r="E21" s="32">
        <v>26011913</v>
      </c>
      <c r="F21" s="32">
        <v>27250576</v>
      </c>
      <c r="G21" s="32">
        <v>28489239</v>
      </c>
      <c r="J21" s="1" t="s">
        <v>768</v>
      </c>
      <c r="K21" s="32">
        <v>78035739</v>
      </c>
      <c r="M21">
        <f>IFERROR(VLOOKUP(Salaries[[#This Row],[Player]],Player_Per_Game[[Player]:[PS/G]],29,FALSE),"")</f>
        <v>14.8</v>
      </c>
    </row>
    <row r="22" spans="1:13">
      <c r="A22" s="1">
        <v>18</v>
      </c>
      <c r="B22" s="1" t="s">
        <v>240</v>
      </c>
      <c r="C22" s="1" t="s">
        <v>92</v>
      </c>
      <c r="D22" s="32">
        <v>24599495</v>
      </c>
      <c r="J22" s="1" t="s">
        <v>768</v>
      </c>
      <c r="K22" s="32">
        <v>24599495</v>
      </c>
      <c r="M22">
        <f>IFERROR(VLOOKUP(Salaries[[#This Row],[Player]],Player_Per_Game[[Player]:[PS/G]],29,FALSE),"")</f>
        <v>18.7</v>
      </c>
    </row>
    <row r="23" spans="1:13">
      <c r="A23" s="1">
        <v>19</v>
      </c>
      <c r="B23" s="1" t="s">
        <v>334</v>
      </c>
      <c r="C23" s="1" t="s">
        <v>96</v>
      </c>
      <c r="D23" s="32">
        <v>23962573</v>
      </c>
      <c r="E23" s="32">
        <v>25759766</v>
      </c>
      <c r="F23" s="32">
        <v>27556959</v>
      </c>
      <c r="G23" s="32">
        <v>29354152</v>
      </c>
      <c r="J23" s="1" t="s">
        <v>758</v>
      </c>
      <c r="K23" s="32">
        <v>106633450</v>
      </c>
      <c r="M23">
        <f>IFERROR(VLOOKUP(Salaries[[#This Row],[Player]],Player_Per_Game[[Player]:[PS/G]],29,FALSE),"")</f>
        <v>21.7</v>
      </c>
    </row>
    <row r="24" spans="1:13">
      <c r="A24" s="1">
        <v>20</v>
      </c>
      <c r="B24" s="1" t="s">
        <v>318</v>
      </c>
      <c r="C24" s="1" t="s">
        <v>27</v>
      </c>
      <c r="D24" s="32">
        <v>23775506</v>
      </c>
      <c r="E24" s="32">
        <v>25434263</v>
      </c>
      <c r="F24" s="32">
        <v>27093019</v>
      </c>
      <c r="G24" s="32">
        <v>28751775</v>
      </c>
      <c r="J24" s="1" t="s">
        <v>746</v>
      </c>
      <c r="K24" s="32">
        <v>105054563</v>
      </c>
      <c r="M24">
        <f>IFERROR(VLOOKUP(Salaries[[#This Row],[Player]],Player_Per_Game[[Player]:[PS/G]],29,FALSE),"")</f>
        <v>23.3</v>
      </c>
    </row>
    <row r="25" spans="1:13">
      <c r="A25" s="1"/>
      <c r="B25" s="1"/>
      <c r="C25" s="1"/>
      <c r="J25" s="1"/>
      <c r="M25" t="str">
        <f>IFERROR(VLOOKUP(Salaries[[#This Row],[Player]],Player_Per_Game[[Player]:[PS/G]],29,FALSE),"")</f>
        <v/>
      </c>
    </row>
    <row r="26" spans="1:13">
      <c r="A26" s="1">
        <v>21</v>
      </c>
      <c r="B26" s="1" t="s">
        <v>485</v>
      </c>
      <c r="C26" s="1" t="s">
        <v>112</v>
      </c>
      <c r="D26" s="32">
        <v>23775506</v>
      </c>
      <c r="E26" s="32">
        <v>25434263</v>
      </c>
      <c r="F26" s="32">
        <v>27093019</v>
      </c>
      <c r="G26" s="32">
        <v>28751775</v>
      </c>
      <c r="J26" s="1" t="s">
        <v>758</v>
      </c>
      <c r="K26" s="32">
        <v>76302788</v>
      </c>
      <c r="M26">
        <f>IFERROR(VLOOKUP(Salaries[[#This Row],[Player]],Player_Per_Game[[Player]:[PS/G]],29,FALSE),"")</f>
        <v>28</v>
      </c>
    </row>
    <row r="27" spans="1:13">
      <c r="A27" s="1">
        <v>22</v>
      </c>
      <c r="B27" s="1" t="s">
        <v>578</v>
      </c>
      <c r="C27" s="1" t="s">
        <v>157</v>
      </c>
      <c r="D27" s="32">
        <v>23775506</v>
      </c>
      <c r="E27" s="32">
        <v>25434263</v>
      </c>
      <c r="F27" s="32">
        <v>27093019</v>
      </c>
      <c r="G27" s="32">
        <v>28751775</v>
      </c>
      <c r="J27" s="1" t="s">
        <v>746</v>
      </c>
      <c r="K27" s="32">
        <v>76302788</v>
      </c>
      <c r="M27">
        <f>IFERROR(VLOOKUP(Salaries[[#This Row],[Player]],Player_Per_Game[[Player]:[PS/G]],29,FALSE),"")</f>
        <v>14.9</v>
      </c>
    </row>
    <row r="28" spans="1:13">
      <c r="A28" s="1">
        <v>23</v>
      </c>
      <c r="B28" s="1" t="s">
        <v>574</v>
      </c>
      <c r="C28" s="1" t="s">
        <v>50</v>
      </c>
      <c r="D28" s="32">
        <v>23775506</v>
      </c>
      <c r="E28" s="32">
        <v>25434263</v>
      </c>
      <c r="F28" s="32">
        <v>27093018</v>
      </c>
      <c r="J28" s="1" t="s">
        <v>746</v>
      </c>
      <c r="K28" s="32">
        <v>49209769</v>
      </c>
      <c r="M28">
        <f>IFERROR(VLOOKUP(Salaries[[#This Row],[Player]],Player_Per_Game[[Player]:[PS/G]],29,FALSE),"")</f>
        <v>14.3</v>
      </c>
    </row>
    <row r="29" spans="1:13">
      <c r="A29" s="1">
        <v>24</v>
      </c>
      <c r="B29" s="1" t="s">
        <v>580</v>
      </c>
      <c r="C29" s="1" t="s">
        <v>311</v>
      </c>
      <c r="D29" s="32">
        <v>23500000</v>
      </c>
      <c r="E29" s="32">
        <v>23819725</v>
      </c>
      <c r="J29" s="1" t="s">
        <v>746</v>
      </c>
      <c r="K29" s="32">
        <v>47319725</v>
      </c>
      <c r="M29">
        <f>IFERROR(VLOOKUP(Salaries[[#This Row],[Player]],Player_Per_Game[[Player]:[PS/G]],29,FALSE),"")</f>
        <v>16.3</v>
      </c>
    </row>
    <row r="30" spans="1:13">
      <c r="A30" s="1">
        <v>25</v>
      </c>
      <c r="B30" s="1" t="s">
        <v>404</v>
      </c>
      <c r="C30" s="1" t="s">
        <v>128</v>
      </c>
      <c r="D30" s="32">
        <v>23112004</v>
      </c>
      <c r="E30" s="32">
        <v>24107258</v>
      </c>
      <c r="F30" s="32">
        <v>25102511</v>
      </c>
      <c r="J30" s="1" t="s">
        <v>746</v>
      </c>
      <c r="K30" s="32">
        <v>72321773</v>
      </c>
      <c r="M30">
        <f>IFERROR(VLOOKUP(Salaries[[#This Row],[Player]],Player_Per_Game[[Player]:[PS/G]],29,FALSE),"")</f>
        <v>8</v>
      </c>
    </row>
    <row r="31" spans="1:13">
      <c r="A31" s="1">
        <v>26</v>
      </c>
      <c r="B31" s="1" t="s">
        <v>390</v>
      </c>
      <c r="C31" s="1" t="s">
        <v>33</v>
      </c>
      <c r="D31" s="32">
        <v>23112004</v>
      </c>
      <c r="E31" s="32">
        <v>24107258</v>
      </c>
      <c r="F31" s="32">
        <v>25102512</v>
      </c>
      <c r="J31" s="1" t="s">
        <v>746</v>
      </c>
      <c r="K31" s="32">
        <v>47219262</v>
      </c>
      <c r="M31">
        <f>IFERROR(VLOOKUP(Salaries[[#This Row],[Player]],Player_Per_Game[[Player]:[PS/G]],29,FALSE),"")</f>
        <v>18.7</v>
      </c>
    </row>
    <row r="32" spans="1:13">
      <c r="A32" s="1">
        <v>27</v>
      </c>
      <c r="B32" s="1" t="s">
        <v>238</v>
      </c>
      <c r="C32" s="1" t="s">
        <v>118</v>
      </c>
      <c r="D32" s="32">
        <v>23000000</v>
      </c>
      <c r="J32" s="1" t="s">
        <v>738</v>
      </c>
      <c r="K32" s="32">
        <v>23000000</v>
      </c>
      <c r="M32">
        <f>IFERROR(VLOOKUP(Salaries[[#This Row],[Player]],Player_Per_Game[[Player]:[PS/G]],29,FALSE),"")</f>
        <v>16.7</v>
      </c>
    </row>
    <row r="33" spans="1:13">
      <c r="A33" s="1">
        <v>28</v>
      </c>
      <c r="B33" s="1" t="s">
        <v>375</v>
      </c>
      <c r="C33" s="1" t="s">
        <v>128</v>
      </c>
      <c r="D33" s="32">
        <v>22642350</v>
      </c>
      <c r="E33" s="32">
        <v>24119025</v>
      </c>
      <c r="F33" s="32">
        <v>25595700</v>
      </c>
      <c r="J33" s="1" t="s">
        <v>768</v>
      </c>
      <c r="K33" s="32">
        <v>46761375</v>
      </c>
      <c r="M33">
        <f>IFERROR(VLOOKUP(Salaries[[#This Row],[Player]],Player_Per_Game[[Player]:[PS/G]],29,FALSE),"")</f>
        <v>17.7</v>
      </c>
    </row>
    <row r="34" spans="1:13">
      <c r="A34" s="1">
        <v>29</v>
      </c>
      <c r="B34" s="1" t="s">
        <v>333</v>
      </c>
      <c r="C34" s="1" t="s">
        <v>102</v>
      </c>
      <c r="D34" s="32">
        <v>22642350</v>
      </c>
      <c r="E34" s="32">
        <v>24119025</v>
      </c>
      <c r="F34" s="32">
        <v>25595700</v>
      </c>
      <c r="J34" s="1" t="s">
        <v>768</v>
      </c>
      <c r="K34" s="32">
        <v>46761375</v>
      </c>
      <c r="M34">
        <f>IFERROR(VLOOKUP(Salaries[[#This Row],[Player]],Player_Per_Game[[Player]:[PS/G]],29,FALSE),"")</f>
        <v>17.899999999999999</v>
      </c>
    </row>
    <row r="35" spans="1:13">
      <c r="A35" s="1">
        <v>30</v>
      </c>
      <c r="B35" s="1" t="s">
        <v>215</v>
      </c>
      <c r="C35" s="1" t="s">
        <v>78</v>
      </c>
      <c r="D35" s="32">
        <v>22642350</v>
      </c>
      <c r="J35" s="1" t="s">
        <v>768</v>
      </c>
      <c r="K35" s="32">
        <v>22642350</v>
      </c>
      <c r="M35">
        <f>IFERROR(VLOOKUP(Salaries[[#This Row],[Player]],Player_Per_Game[[Player]:[PS/G]],29,FALSE),"")</f>
        <v>12.9</v>
      </c>
    </row>
    <row r="36" spans="1:13">
      <c r="A36" s="1">
        <v>31</v>
      </c>
      <c r="B36" s="1" t="s">
        <v>606</v>
      </c>
      <c r="C36" s="1" t="s">
        <v>64</v>
      </c>
      <c r="D36" s="32">
        <v>22642350</v>
      </c>
      <c r="E36" s="32">
        <v>24119025</v>
      </c>
      <c r="J36" s="1" t="s">
        <v>768</v>
      </c>
      <c r="K36" s="32">
        <v>22642350</v>
      </c>
      <c r="M36">
        <f>IFERROR(VLOOKUP(Salaries[[#This Row],[Player]],Player_Per_Game[[Player]:[PS/G]],29,FALSE),"")</f>
        <v>12</v>
      </c>
    </row>
    <row r="37" spans="1:13">
      <c r="A37" s="1">
        <v>32</v>
      </c>
      <c r="B37" s="1" t="s">
        <v>589</v>
      </c>
      <c r="C37" s="1" t="s">
        <v>58</v>
      </c>
      <c r="D37" s="32">
        <v>22471910</v>
      </c>
      <c r="E37" s="32">
        <v>24157303</v>
      </c>
      <c r="F37" s="32">
        <v>25842697</v>
      </c>
      <c r="G37" s="32">
        <v>27528090</v>
      </c>
      <c r="J37" s="1" t="s">
        <v>758</v>
      </c>
      <c r="K37" s="32">
        <v>100000000</v>
      </c>
      <c r="M37">
        <f>IFERROR(VLOOKUP(Salaries[[#This Row],[Player]],Player_Per_Game[[Player]:[PS/G]],29,FALSE),"")</f>
        <v>13.9</v>
      </c>
    </row>
    <row r="38" spans="1:13">
      <c r="A38" s="1">
        <v>33</v>
      </c>
      <c r="B38" s="1" t="s">
        <v>501</v>
      </c>
      <c r="C38" s="1" t="s">
        <v>41</v>
      </c>
      <c r="D38" s="32">
        <v>22471910</v>
      </c>
      <c r="E38" s="32">
        <v>24157303</v>
      </c>
      <c r="F38" s="32">
        <v>25842697</v>
      </c>
      <c r="G38" s="32">
        <v>27528090</v>
      </c>
      <c r="J38" s="1" t="s">
        <v>758</v>
      </c>
      <c r="K38" s="32">
        <v>100000000</v>
      </c>
      <c r="M38">
        <f>IFERROR(VLOOKUP(Salaries[[#This Row],[Player]],Player_Per_Game[[Player]:[PS/G]],29,FALSE),"")</f>
        <v>27.5</v>
      </c>
    </row>
    <row r="39" spans="1:13">
      <c r="A39" s="1">
        <v>34</v>
      </c>
      <c r="B39" s="1" t="s">
        <v>395</v>
      </c>
      <c r="C39" s="1" t="s">
        <v>311</v>
      </c>
      <c r="D39" s="32">
        <v>22434783</v>
      </c>
      <c r="E39" s="32">
        <v>24000000</v>
      </c>
      <c r="F39" s="32">
        <v>25565217</v>
      </c>
      <c r="G39" s="32">
        <v>27130434</v>
      </c>
      <c r="J39" s="1" t="s">
        <v>746</v>
      </c>
      <c r="K39" s="32">
        <v>72000000</v>
      </c>
      <c r="M39">
        <f>IFERROR(VLOOKUP(Salaries[[#This Row],[Player]],Player_Per_Game[[Player]:[PS/G]],29,FALSE),"")</f>
        <v>11.9</v>
      </c>
    </row>
    <row r="40" spans="1:13">
      <c r="A40" s="1">
        <v>35</v>
      </c>
      <c r="B40" s="1" t="s">
        <v>588</v>
      </c>
      <c r="C40" s="1" t="s">
        <v>305</v>
      </c>
      <c r="D40" s="32">
        <v>21974719</v>
      </c>
      <c r="E40" s="32">
        <v>23491573</v>
      </c>
      <c r="F40" s="32">
        <v>25008427</v>
      </c>
      <c r="G40" s="32">
        <v>26525281</v>
      </c>
      <c r="J40" s="1" t="s">
        <v>758</v>
      </c>
      <c r="K40" s="32">
        <v>97000000</v>
      </c>
      <c r="M40">
        <f>IFERROR(VLOOKUP(Salaries[[#This Row],[Player]],Player_Per_Game[[Player]:[PS/G]],29,FALSE),"")</f>
        <v>14</v>
      </c>
    </row>
    <row r="41" spans="1:13">
      <c r="A41" s="1">
        <v>36</v>
      </c>
      <c r="B41" s="1" t="s">
        <v>504</v>
      </c>
      <c r="C41" s="1" t="s">
        <v>140</v>
      </c>
      <c r="D41" s="32">
        <v>21461010</v>
      </c>
      <c r="E41" s="32">
        <v>22347015</v>
      </c>
      <c r="F41" s="32">
        <v>26000000</v>
      </c>
      <c r="J41" s="1" t="s">
        <v>746</v>
      </c>
      <c r="K41" s="32">
        <v>69808025</v>
      </c>
      <c r="M41">
        <f>IFERROR(VLOOKUP(Salaries[[#This Row],[Player]],Player_Per_Game[[Player]:[PS/G]],29,FALSE),"")</f>
        <v>22.7</v>
      </c>
    </row>
    <row r="42" spans="1:13">
      <c r="A42" s="1">
        <v>37</v>
      </c>
      <c r="B42" s="1" t="s">
        <v>323</v>
      </c>
      <c r="C42" s="1" t="s">
        <v>30</v>
      </c>
      <c r="D42" s="32">
        <v>21000000</v>
      </c>
      <c r="E42" s="32">
        <v>21000000</v>
      </c>
      <c r="F42" s="32">
        <v>21000000</v>
      </c>
      <c r="G42" s="32">
        <v>21000000</v>
      </c>
      <c r="J42" s="1" t="s">
        <v>758</v>
      </c>
      <c r="K42" s="32">
        <v>84000000</v>
      </c>
      <c r="M42">
        <f>IFERROR(VLOOKUP(Salaries[[#This Row],[Player]],Player_Per_Game[[Player]:[PS/G]],29,FALSE),"")</f>
        <v>23.3</v>
      </c>
    </row>
    <row r="43" spans="1:13">
      <c r="A43" s="1">
        <v>38</v>
      </c>
      <c r="B43" s="1" t="s">
        <v>564</v>
      </c>
      <c r="C43" s="1" t="s">
        <v>21</v>
      </c>
      <c r="D43" s="32">
        <v>20566802</v>
      </c>
      <c r="E43" s="32">
        <v>18622514</v>
      </c>
      <c r="J43" s="1" t="s">
        <v>768</v>
      </c>
      <c r="K43" s="32">
        <v>20566802</v>
      </c>
      <c r="M43">
        <f>IFERROR(VLOOKUP(Salaries[[#This Row],[Player]],Player_Per_Game[[Player]:[PS/G]],29,FALSE),"")</f>
        <v>14</v>
      </c>
    </row>
    <row r="44" spans="1:13">
      <c r="A44" s="1">
        <v>39</v>
      </c>
      <c r="B44" s="1" t="s">
        <v>337</v>
      </c>
      <c r="C44" s="1" t="s">
        <v>64</v>
      </c>
      <c r="D44" s="32">
        <v>20559599</v>
      </c>
      <c r="E44" s="32">
        <v>21587579</v>
      </c>
      <c r="F44" s="32">
        <v>22615559</v>
      </c>
      <c r="J44" s="1" t="s">
        <v>788</v>
      </c>
      <c r="K44" s="32">
        <v>64762737</v>
      </c>
      <c r="M44">
        <f>IFERROR(VLOOKUP(Salaries[[#This Row],[Player]],Player_Per_Game[[Player]:[PS/G]],29,FALSE),"")</f>
        <v>15.9</v>
      </c>
    </row>
    <row r="45" spans="1:13">
      <c r="A45" s="1">
        <v>40</v>
      </c>
      <c r="B45" s="1" t="s">
        <v>384</v>
      </c>
      <c r="C45" s="1" t="s">
        <v>47</v>
      </c>
      <c r="D45" s="32">
        <v>20061729</v>
      </c>
      <c r="E45" s="32">
        <v>21666667</v>
      </c>
      <c r="F45" s="32">
        <v>23271604</v>
      </c>
      <c r="J45" s="1" t="s">
        <v>738</v>
      </c>
      <c r="K45" s="32">
        <v>65000000</v>
      </c>
      <c r="M45">
        <f>IFERROR(VLOOKUP(Salaries[[#This Row],[Player]],Player_Per_Game[[Player]:[PS/G]],29,FALSE),"")</f>
        <v>12.6</v>
      </c>
    </row>
    <row r="46" spans="1:13">
      <c r="A46" s="1">
        <v>41</v>
      </c>
      <c r="B46" s="1" t="s">
        <v>432</v>
      </c>
      <c r="C46" s="1" t="s">
        <v>102</v>
      </c>
      <c r="D46" s="32">
        <v>20000000</v>
      </c>
      <c r="E46" s="32">
        <v>19000000</v>
      </c>
      <c r="F46" s="32">
        <v>18000000</v>
      </c>
      <c r="J46" s="1" t="s">
        <v>738</v>
      </c>
      <c r="K46" s="32">
        <v>40000000</v>
      </c>
      <c r="M46">
        <f>IFERROR(VLOOKUP(Salaries[[#This Row],[Player]],Player_Per_Game[[Player]:[PS/G]],29,FALSE),"")</f>
        <v>10</v>
      </c>
    </row>
    <row r="47" spans="1:13">
      <c r="A47" s="1">
        <v>42</v>
      </c>
      <c r="B47" s="1" t="s">
        <v>328</v>
      </c>
      <c r="C47" s="1" t="s">
        <v>92</v>
      </c>
      <c r="D47" s="32">
        <v>19578455</v>
      </c>
      <c r="E47" s="32">
        <v>20421546</v>
      </c>
      <c r="F47" s="32">
        <v>21264635</v>
      </c>
      <c r="J47" s="1" t="s">
        <v>746</v>
      </c>
      <c r="K47" s="32">
        <v>61264636</v>
      </c>
      <c r="M47">
        <f>IFERROR(VLOOKUP(Salaries[[#This Row],[Player]],Player_Per_Game[[Player]:[PS/G]],29,FALSE),"")</f>
        <v>9.9</v>
      </c>
    </row>
    <row r="48" spans="1:13">
      <c r="A48" s="1">
        <v>43</v>
      </c>
      <c r="B48" s="1" t="s">
        <v>307</v>
      </c>
      <c r="C48" s="1" t="s">
        <v>58</v>
      </c>
      <c r="D48" s="32">
        <v>19508958</v>
      </c>
      <c r="E48" s="32">
        <v>20703384</v>
      </c>
      <c r="J48" s="1" t="s">
        <v>758</v>
      </c>
      <c r="K48" s="32">
        <v>19508958</v>
      </c>
      <c r="M48">
        <f>IFERROR(VLOOKUP(Salaries[[#This Row],[Player]],Player_Per_Game[[Player]:[PS/G]],29,FALSE),"")</f>
        <v>21.8</v>
      </c>
    </row>
    <row r="49" spans="1:13">
      <c r="A49" s="1">
        <v>44</v>
      </c>
      <c r="B49" s="1" t="s">
        <v>314</v>
      </c>
      <c r="C49" s="1" t="s">
        <v>315</v>
      </c>
      <c r="D49" s="32">
        <v>19332500</v>
      </c>
      <c r="E49" s="32">
        <v>18500000</v>
      </c>
      <c r="F49" s="32">
        <v>18500000</v>
      </c>
      <c r="J49" s="1" t="s">
        <v>746</v>
      </c>
      <c r="K49" s="32">
        <v>37832500</v>
      </c>
      <c r="M49">
        <f>IFERROR(VLOOKUP(Salaries[[#This Row],[Player]],Player_Per_Game[[Player]:[PS/G]],29,FALSE),"")</f>
        <v>12.8</v>
      </c>
    </row>
    <row r="50" spans="1:13">
      <c r="A50" s="1">
        <v>45</v>
      </c>
      <c r="B50" s="1" t="s">
        <v>13</v>
      </c>
      <c r="C50" s="1" t="s">
        <v>56</v>
      </c>
      <c r="D50" s="32">
        <v>19301070</v>
      </c>
      <c r="E50" s="32">
        <v>20445779</v>
      </c>
      <c r="F50" s="32">
        <v>19841627</v>
      </c>
      <c r="J50" s="1" t="s">
        <v>768</v>
      </c>
      <c r="K50" s="32">
        <v>39746849</v>
      </c>
      <c r="M50">
        <f>IFERROR(VLOOKUP(Salaries[[#This Row],[Player]],Player_Per_Game[[Player]:[PS/G]],29,FALSE),"")</f>
        <v>22.2</v>
      </c>
    </row>
    <row r="51" spans="1:13">
      <c r="A51" s="1">
        <v>46</v>
      </c>
      <c r="B51" s="1" t="s">
        <v>12</v>
      </c>
      <c r="C51" s="1" t="s">
        <v>56</v>
      </c>
      <c r="D51" s="32">
        <v>19000000</v>
      </c>
      <c r="E51" s="32">
        <v>19000000</v>
      </c>
      <c r="F51" s="32">
        <v>19000000</v>
      </c>
      <c r="J51" s="1" t="s">
        <v>738</v>
      </c>
      <c r="K51" s="32">
        <v>38000000</v>
      </c>
      <c r="M51">
        <f>IFERROR(VLOOKUP(Salaries[[#This Row],[Player]],Player_Per_Game[[Player]:[PS/G]],29,FALSE),"")</f>
        <v>13.8</v>
      </c>
    </row>
    <row r="52" spans="1:13">
      <c r="A52" s="1">
        <v>47</v>
      </c>
      <c r="B52" s="1" t="s">
        <v>373</v>
      </c>
      <c r="C52" s="1" t="s">
        <v>140</v>
      </c>
      <c r="D52" s="32">
        <v>18868625</v>
      </c>
      <c r="E52" s="32">
        <v>20099189</v>
      </c>
      <c r="F52" s="32">
        <v>21329752</v>
      </c>
      <c r="J52" s="1" t="s">
        <v>768</v>
      </c>
      <c r="K52" s="32">
        <v>38967814</v>
      </c>
      <c r="M52">
        <f>IFERROR(VLOOKUP(Salaries[[#This Row],[Player]],Player_Per_Game[[Player]:[PS/G]],29,FALSE),"")</f>
        <v>16.2</v>
      </c>
    </row>
    <row r="53" spans="1:13">
      <c r="A53" s="1">
        <v>48</v>
      </c>
      <c r="B53" s="1" t="s">
        <v>317</v>
      </c>
      <c r="C53" s="1" t="s">
        <v>87</v>
      </c>
      <c r="D53" s="32">
        <v>18868625</v>
      </c>
      <c r="E53" s="32">
        <v>20099188</v>
      </c>
      <c r="F53" s="32">
        <v>21329750</v>
      </c>
      <c r="J53" s="1" t="s">
        <v>768</v>
      </c>
      <c r="K53" s="32">
        <v>38967813</v>
      </c>
      <c r="M53">
        <f>IFERROR(VLOOKUP(Salaries[[#This Row],[Player]],Player_Per_Game[[Player]:[PS/G]],29,FALSE),"")</f>
        <v>24.4</v>
      </c>
    </row>
    <row r="54" spans="1:13">
      <c r="A54" s="1">
        <v>49</v>
      </c>
      <c r="B54" s="1" t="s">
        <v>387</v>
      </c>
      <c r="C54" s="1" t="s">
        <v>27</v>
      </c>
      <c r="D54" s="32">
        <v>18063850</v>
      </c>
      <c r="E54" s="32">
        <v>19169800</v>
      </c>
      <c r="F54" s="32">
        <v>37800000</v>
      </c>
      <c r="G54" s="32">
        <v>40824000</v>
      </c>
      <c r="H54" s="32">
        <v>43848000</v>
      </c>
      <c r="J54" s="1" t="s">
        <v>768</v>
      </c>
      <c r="K54" s="32">
        <v>159705650</v>
      </c>
      <c r="M54">
        <f>IFERROR(VLOOKUP(Salaries[[#This Row],[Player]],Player_Per_Game[[Player]:[PS/G]],29,FALSE),"")</f>
        <v>19.399999999999999</v>
      </c>
    </row>
    <row r="55" spans="1:13">
      <c r="A55" s="1">
        <v>50</v>
      </c>
      <c r="B55" s="1" t="s">
        <v>245</v>
      </c>
      <c r="C55" s="1" t="s">
        <v>112</v>
      </c>
      <c r="D55" s="32">
        <v>18063850</v>
      </c>
      <c r="J55" s="1" t="s">
        <v>758</v>
      </c>
      <c r="K55" s="32">
        <v>18063850</v>
      </c>
      <c r="M55">
        <f>IFERROR(VLOOKUP(Salaries[[#This Row],[Player]],Player_Per_Game[[Player]:[PS/G]],29,FALSE),"")</f>
        <v>25.2</v>
      </c>
    </row>
    <row r="56" spans="1:13">
      <c r="A56" s="1">
        <v>51</v>
      </c>
      <c r="B56" s="1" t="s">
        <v>199</v>
      </c>
      <c r="C56" s="1" t="s">
        <v>313</v>
      </c>
      <c r="D56" s="32">
        <v>17884176</v>
      </c>
      <c r="J56" s="1"/>
      <c r="K56" s="32">
        <v>17884176</v>
      </c>
      <c r="M56">
        <f>IFERROR(VLOOKUP(Salaries[[#This Row],[Player]],Player_Per_Game[[Player]:[PS/G]],29,FALSE),"")</f>
        <v>10</v>
      </c>
    </row>
    <row r="57" spans="1:13">
      <c r="A57" s="1">
        <v>52</v>
      </c>
      <c r="B57" s="1" t="s">
        <v>327</v>
      </c>
      <c r="C57" s="1" t="s">
        <v>33</v>
      </c>
      <c r="D57" s="32">
        <v>17884176</v>
      </c>
      <c r="E57" s="32">
        <v>18622514</v>
      </c>
      <c r="J57" s="1" t="s">
        <v>746</v>
      </c>
      <c r="K57" s="32">
        <v>17884176</v>
      </c>
      <c r="M57">
        <f>IFERROR(VLOOKUP(Salaries[[#This Row],[Player]],Player_Per_Game[[Player]:[PS/G]],29,FALSE),"")</f>
        <v>12.7</v>
      </c>
    </row>
    <row r="58" spans="1:13">
      <c r="A58" s="1">
        <v>53</v>
      </c>
      <c r="B58" s="1" t="s">
        <v>293</v>
      </c>
      <c r="C58" s="1" t="s">
        <v>73</v>
      </c>
      <c r="D58" s="32">
        <v>17826150</v>
      </c>
      <c r="E58" s="32">
        <v>18988725</v>
      </c>
      <c r="J58" s="1" t="s">
        <v>758</v>
      </c>
      <c r="K58" s="32">
        <v>36814875</v>
      </c>
      <c r="M58">
        <f>IFERROR(VLOOKUP(Salaries[[#This Row],[Player]],Player_Per_Game[[Player]:[PS/G]],29,FALSE),"")</f>
        <v>19.7</v>
      </c>
    </row>
    <row r="59" spans="1:13">
      <c r="A59" s="1">
        <v>54</v>
      </c>
      <c r="B59" s="1" t="s">
        <v>592</v>
      </c>
      <c r="C59" s="1" t="s">
        <v>21</v>
      </c>
      <c r="D59" s="32">
        <v>17765000</v>
      </c>
      <c r="E59" s="32">
        <v>18530000</v>
      </c>
      <c r="F59" s="32">
        <v>19295000</v>
      </c>
      <c r="J59" s="1" t="s">
        <v>746</v>
      </c>
      <c r="K59" s="32">
        <v>55590000</v>
      </c>
      <c r="M59">
        <f>IFERROR(VLOOKUP(Salaries[[#This Row],[Player]],Player_Per_Game[[Player]:[PS/G]],29,FALSE),"")</f>
        <v>1.7</v>
      </c>
    </row>
    <row r="60" spans="1:13">
      <c r="A60" s="1">
        <v>55</v>
      </c>
      <c r="B60" s="1" t="s">
        <v>223</v>
      </c>
      <c r="C60" s="1" t="s">
        <v>78</v>
      </c>
      <c r="D60" s="32">
        <v>17745894</v>
      </c>
      <c r="J60" s="1" t="s">
        <v>738</v>
      </c>
      <c r="K60" s="32">
        <v>17745894</v>
      </c>
      <c r="M60">
        <f>IFERROR(VLOOKUP(Salaries[[#This Row],[Player]],Player_Per_Game[[Player]:[PS/G]],29,FALSE),"")</f>
        <v>13.5</v>
      </c>
    </row>
    <row r="61" spans="1:13">
      <c r="A61" s="1">
        <v>56</v>
      </c>
      <c r="B61" s="1" t="s">
        <v>624</v>
      </c>
      <c r="C61" s="1" t="s">
        <v>78</v>
      </c>
      <c r="D61" s="32">
        <v>17190000</v>
      </c>
      <c r="E61" s="32">
        <v>18000000</v>
      </c>
      <c r="F61" s="32">
        <v>18810000</v>
      </c>
      <c r="J61" s="1" t="s">
        <v>746</v>
      </c>
      <c r="K61" s="32">
        <v>54000000</v>
      </c>
      <c r="M61">
        <f>IFERROR(VLOOKUP(Salaries[[#This Row],[Player]],Player_Per_Game[[Player]:[PS/G]],29,FALSE),"")</f>
        <v>2</v>
      </c>
    </row>
    <row r="62" spans="1:13">
      <c r="A62" s="1">
        <v>57</v>
      </c>
      <c r="B62" s="1" t="s">
        <v>505</v>
      </c>
      <c r="C62" s="1" t="s">
        <v>96</v>
      </c>
      <c r="D62" s="32">
        <v>17131148</v>
      </c>
      <c r="E62" s="32">
        <v>17868852</v>
      </c>
      <c r="F62" s="32">
        <v>18606557</v>
      </c>
      <c r="J62" s="1" t="s">
        <v>746</v>
      </c>
      <c r="K62" s="32">
        <v>53606557</v>
      </c>
      <c r="M62">
        <f>IFERROR(VLOOKUP(Salaries[[#This Row],[Player]],Player_Per_Game[[Player]:[PS/G]],29,FALSE),"")</f>
        <v>8.1</v>
      </c>
    </row>
    <row r="63" spans="1:13">
      <c r="A63" s="1">
        <v>58</v>
      </c>
      <c r="B63" s="1" t="s">
        <v>376</v>
      </c>
      <c r="C63" s="1" t="s">
        <v>50</v>
      </c>
      <c r="D63" s="32">
        <v>17000450</v>
      </c>
      <c r="E63" s="32">
        <v>18109175</v>
      </c>
      <c r="F63" s="32">
        <v>19217900</v>
      </c>
      <c r="J63" s="1" t="s">
        <v>768</v>
      </c>
      <c r="K63" s="32">
        <v>35109625</v>
      </c>
      <c r="M63">
        <f>IFERROR(VLOOKUP(Salaries[[#This Row],[Player]],Player_Per_Game[[Player]:[PS/G]],29,FALSE),"")</f>
        <v>17.7</v>
      </c>
    </row>
    <row r="64" spans="1:13">
      <c r="A64" s="1">
        <v>59</v>
      </c>
      <c r="B64" s="1" t="s">
        <v>343</v>
      </c>
      <c r="C64" s="1" t="s">
        <v>75</v>
      </c>
      <c r="D64" s="32">
        <v>17000000</v>
      </c>
      <c r="E64" s="32">
        <v>17000000</v>
      </c>
      <c r="F64" s="32">
        <v>17000000</v>
      </c>
      <c r="G64" s="32">
        <v>17000000</v>
      </c>
      <c r="J64" s="1" t="s">
        <v>746</v>
      </c>
      <c r="K64" s="32">
        <v>51000000</v>
      </c>
      <c r="M64">
        <f>IFERROR(VLOOKUP(Salaries[[#This Row],[Player]],Player_Per_Game[[Player]:[PS/G]],29,FALSE),"")</f>
        <v>17.8</v>
      </c>
    </row>
    <row r="65" spans="1:13">
      <c r="A65" s="1">
        <v>60</v>
      </c>
      <c r="B65" s="1" t="s">
        <v>591</v>
      </c>
      <c r="C65" s="1" t="s">
        <v>75</v>
      </c>
      <c r="D65" s="32">
        <v>17000000</v>
      </c>
      <c r="E65" s="32">
        <v>17000000</v>
      </c>
      <c r="F65" s="32">
        <v>17000000</v>
      </c>
      <c r="J65" s="1" t="s">
        <v>746</v>
      </c>
      <c r="K65" s="32">
        <v>34000000</v>
      </c>
      <c r="M65">
        <f>IFERROR(VLOOKUP(Salaries[[#This Row],[Player]],Player_Per_Game[[Player]:[PS/G]],29,FALSE),"")</f>
        <v>5.5</v>
      </c>
    </row>
    <row r="66" spans="1:13">
      <c r="A66" s="1">
        <v>61</v>
      </c>
      <c r="B66" s="1" t="s">
        <v>382</v>
      </c>
      <c r="C66" s="1" t="s">
        <v>149</v>
      </c>
      <c r="D66" s="32">
        <v>16910113</v>
      </c>
      <c r="E66" s="32">
        <v>18089887</v>
      </c>
      <c r="F66" s="32">
        <v>19269662</v>
      </c>
      <c r="J66" s="1" t="s">
        <v>746</v>
      </c>
      <c r="K66" s="32">
        <v>35000000</v>
      </c>
      <c r="M66">
        <f>IFERROR(VLOOKUP(Salaries[[#This Row],[Player]],Player_Per_Game[[Player]:[PS/G]],29,FALSE),"")</f>
        <v>12.9</v>
      </c>
    </row>
    <row r="67" spans="1:13">
      <c r="A67" s="1">
        <v>62</v>
      </c>
      <c r="B67" s="1" t="s">
        <v>296</v>
      </c>
      <c r="C67" s="1" t="s">
        <v>118</v>
      </c>
      <c r="D67" s="32">
        <v>16698103</v>
      </c>
      <c r="E67" s="32">
        <v>10464092</v>
      </c>
      <c r="F67" s="32">
        <v>11301219</v>
      </c>
      <c r="G67" s="32">
        <v>12138345</v>
      </c>
      <c r="H67" s="32">
        <v>12975471</v>
      </c>
      <c r="J67" s="1" t="s">
        <v>746</v>
      </c>
      <c r="K67" s="32">
        <v>63577230</v>
      </c>
      <c r="M67">
        <f>IFERROR(VLOOKUP(Salaries[[#This Row],[Player]],Player_Per_Game[[Player]:[PS/G]],29,FALSE),"")</f>
        <v>12.6</v>
      </c>
    </row>
    <row r="68" spans="1:13">
      <c r="A68" s="1">
        <v>63</v>
      </c>
      <c r="B68" s="1" t="s">
        <v>587</v>
      </c>
      <c r="C68" s="1" t="s">
        <v>27</v>
      </c>
      <c r="D68" s="32">
        <v>16661641</v>
      </c>
      <c r="E68" s="32">
        <v>15944154</v>
      </c>
      <c r="F68" s="32">
        <v>15450051</v>
      </c>
      <c r="J68" s="1" t="s">
        <v>746</v>
      </c>
      <c r="K68" s="32">
        <v>48055846</v>
      </c>
      <c r="M68">
        <f>IFERROR(VLOOKUP(Salaries[[#This Row],[Player]],Player_Per_Game[[Player]:[PS/G]],29,FALSE),"")</f>
        <v>4.7</v>
      </c>
    </row>
    <row r="69" spans="1:13">
      <c r="A69" s="1">
        <v>64</v>
      </c>
      <c r="B69" s="1" t="s">
        <v>309</v>
      </c>
      <c r="C69" s="1" t="s">
        <v>21</v>
      </c>
      <c r="D69" s="32">
        <v>16500000</v>
      </c>
      <c r="E69" s="32">
        <v>17325000</v>
      </c>
      <c r="F69" s="32">
        <v>18150000</v>
      </c>
      <c r="G69" s="32">
        <v>18975000</v>
      </c>
      <c r="J69" s="1" t="s">
        <v>738</v>
      </c>
      <c r="K69" s="32">
        <v>51975000</v>
      </c>
      <c r="M69">
        <f>IFERROR(VLOOKUP(Salaries[[#This Row],[Player]],Player_Per_Game[[Player]:[PS/G]],29,FALSE),"")</f>
        <v>17.5</v>
      </c>
    </row>
    <row r="70" spans="1:13">
      <c r="A70" s="1">
        <v>65</v>
      </c>
      <c r="B70" s="1" t="s">
        <v>396</v>
      </c>
      <c r="C70" s="1" t="s">
        <v>73</v>
      </c>
      <c r="D70" s="32">
        <v>16400000</v>
      </c>
      <c r="E70" s="32">
        <v>17469565</v>
      </c>
      <c r="F70" s="32">
        <v>18539130</v>
      </c>
      <c r="J70" s="1" t="s">
        <v>768</v>
      </c>
      <c r="K70" s="32">
        <v>52408695</v>
      </c>
      <c r="M70">
        <f>IFERROR(VLOOKUP(Salaries[[#This Row],[Player]],Player_Per_Game[[Player]:[PS/G]],29,FALSE),"")</f>
        <v>11.3</v>
      </c>
    </row>
    <row r="71" spans="1:13">
      <c r="A71" s="1">
        <v>66</v>
      </c>
      <c r="B71" s="1" t="s">
        <v>609</v>
      </c>
      <c r="C71" s="1" t="s">
        <v>102</v>
      </c>
      <c r="D71" s="32">
        <v>16400000</v>
      </c>
      <c r="E71" s="32">
        <v>17469565</v>
      </c>
      <c r="F71" s="32">
        <v>18539130</v>
      </c>
      <c r="J71" s="1" t="s">
        <v>768</v>
      </c>
      <c r="K71" s="32">
        <v>52408695</v>
      </c>
      <c r="M71">
        <f>IFERROR(VLOOKUP(Salaries[[#This Row],[Player]],Player_Per_Game[[Player]:[PS/G]],29,FALSE),"")</f>
        <v>6.3</v>
      </c>
    </row>
    <row r="72" spans="1:13">
      <c r="A72" s="1">
        <v>67</v>
      </c>
      <c r="B72" s="1" t="s">
        <v>394</v>
      </c>
      <c r="C72" s="1" t="s">
        <v>157</v>
      </c>
      <c r="D72" s="32">
        <v>16000000</v>
      </c>
      <c r="E72" s="32">
        <v>17043478</v>
      </c>
      <c r="F72" s="32">
        <v>18086956</v>
      </c>
      <c r="J72" s="1" t="s">
        <v>768</v>
      </c>
      <c r="K72" s="32">
        <v>51130434</v>
      </c>
      <c r="M72">
        <f>IFERROR(VLOOKUP(Salaries[[#This Row],[Player]],Player_Per_Game[[Player]:[PS/G]],29,FALSE),"")</f>
        <v>14.6</v>
      </c>
    </row>
    <row r="73" spans="1:13">
      <c r="A73" s="1">
        <v>68</v>
      </c>
      <c r="B73" s="1" t="s">
        <v>477</v>
      </c>
      <c r="C73" s="1" t="s">
        <v>140</v>
      </c>
      <c r="D73" s="32">
        <v>16000000</v>
      </c>
      <c r="E73" s="32">
        <v>16000000</v>
      </c>
      <c r="F73" s="32">
        <v>16000000</v>
      </c>
      <c r="J73" s="1"/>
      <c r="K73" s="32">
        <v>38700000</v>
      </c>
      <c r="M73">
        <f>IFERROR(VLOOKUP(Salaries[[#This Row],[Player]],Player_Per_Game[[Player]:[PS/G]],29,FALSE),"")</f>
        <v>10.4</v>
      </c>
    </row>
    <row r="74" spans="1:13">
      <c r="A74" s="1">
        <v>69</v>
      </c>
      <c r="B74" s="1" t="s">
        <v>331</v>
      </c>
      <c r="C74" s="1" t="s">
        <v>64</v>
      </c>
      <c r="D74" s="32">
        <v>16000000</v>
      </c>
      <c r="E74" s="32">
        <v>14800000</v>
      </c>
      <c r="J74" s="1" t="s">
        <v>768</v>
      </c>
      <c r="K74" s="32">
        <v>30800000</v>
      </c>
      <c r="M74">
        <f>IFERROR(VLOOKUP(Salaries[[#This Row],[Player]],Player_Per_Game[[Player]:[PS/G]],29,FALSE),"")</f>
        <v>18.600000000000001</v>
      </c>
    </row>
    <row r="75" spans="1:13">
      <c r="A75" s="1">
        <v>70</v>
      </c>
      <c r="B75" s="1" t="s">
        <v>210</v>
      </c>
      <c r="C75" s="1" t="s">
        <v>43</v>
      </c>
      <c r="D75" s="32">
        <v>15550000</v>
      </c>
      <c r="J75" s="1"/>
      <c r="K75" s="32">
        <v>15550000</v>
      </c>
      <c r="M75">
        <f>IFERROR(VLOOKUP(Salaries[[#This Row],[Player]],Player_Per_Game[[Player]:[PS/G]],29,FALSE),"")</f>
        <v>11.7</v>
      </c>
    </row>
    <row r="76" spans="1:13">
      <c r="A76" s="1">
        <v>71</v>
      </c>
      <c r="B76" s="1" t="s">
        <v>399</v>
      </c>
      <c r="C76" s="1" t="s">
        <v>149</v>
      </c>
      <c r="D76" s="32">
        <v>15500000</v>
      </c>
      <c r="E76" s="32">
        <v>15500000</v>
      </c>
      <c r="F76" s="32">
        <v>15500000</v>
      </c>
      <c r="G76" s="32">
        <v>15500000</v>
      </c>
      <c r="J76" s="1" t="s">
        <v>758</v>
      </c>
      <c r="K76" s="32">
        <v>62000000</v>
      </c>
      <c r="M76">
        <f>IFERROR(VLOOKUP(Salaries[[#This Row],[Player]],Player_Per_Game[[Player]:[PS/G]],29,FALSE),"")</f>
        <v>19.100000000000001</v>
      </c>
    </row>
    <row r="77" spans="1:13">
      <c r="A77" s="1">
        <v>72</v>
      </c>
      <c r="B77" s="1" t="s">
        <v>554</v>
      </c>
      <c r="C77" s="1" t="s">
        <v>47</v>
      </c>
      <c r="D77" s="32">
        <v>15460675</v>
      </c>
      <c r="E77" s="32">
        <v>16539326</v>
      </c>
      <c r="F77" s="32">
        <v>17617977</v>
      </c>
      <c r="J77" s="1" t="s">
        <v>758</v>
      </c>
      <c r="K77" s="32">
        <v>32000001</v>
      </c>
      <c r="M77">
        <f>IFERROR(VLOOKUP(Salaries[[#This Row],[Player]],Player_Per_Game[[Player]:[PS/G]],29,FALSE),"")</f>
        <v>12.5</v>
      </c>
    </row>
    <row r="78" spans="1:13">
      <c r="A78" s="1">
        <v>73</v>
      </c>
      <c r="B78" s="1" t="s">
        <v>189</v>
      </c>
      <c r="C78" s="1" t="s">
        <v>140</v>
      </c>
      <c r="D78" s="32">
        <v>15453126</v>
      </c>
      <c r="J78" s="1" t="s">
        <v>768</v>
      </c>
      <c r="K78" s="32">
        <v>15453126</v>
      </c>
      <c r="M78">
        <f>IFERROR(VLOOKUP(Salaries[[#This Row],[Player]],Player_Per_Game[[Player]:[PS/G]],29,FALSE),"")</f>
        <v>8.6</v>
      </c>
    </row>
    <row r="79" spans="1:13">
      <c r="A79" s="1">
        <v>74</v>
      </c>
      <c r="B79" s="1" t="s">
        <v>547</v>
      </c>
      <c r="C79" s="1" t="s">
        <v>315</v>
      </c>
      <c r="D79" s="32">
        <v>15280000</v>
      </c>
      <c r="E79" s="32">
        <v>16000000</v>
      </c>
      <c r="F79" s="32">
        <v>16720000</v>
      </c>
      <c r="J79" s="1" t="s">
        <v>746</v>
      </c>
      <c r="K79" s="32">
        <v>48000000</v>
      </c>
      <c r="M79">
        <f>IFERROR(VLOOKUP(Salaries[[#This Row],[Player]],Player_Per_Game[[Player]:[PS/G]],29,FALSE),"")</f>
        <v>4</v>
      </c>
    </row>
    <row r="80" spans="1:13">
      <c r="A80" s="1">
        <v>75</v>
      </c>
      <c r="B80" s="1" t="s">
        <v>490</v>
      </c>
      <c r="C80" s="1" t="s">
        <v>73</v>
      </c>
      <c r="D80" s="32">
        <v>14814815</v>
      </c>
      <c r="E80" s="32">
        <v>16000000</v>
      </c>
      <c r="F80" s="32">
        <v>17185185</v>
      </c>
      <c r="J80" s="1" t="s">
        <v>768</v>
      </c>
      <c r="K80" s="32">
        <v>48000000</v>
      </c>
      <c r="M80">
        <f>IFERROR(VLOOKUP(Salaries[[#This Row],[Player]],Player_Per_Game[[Player]:[PS/G]],29,FALSE),"")</f>
        <v>6</v>
      </c>
    </row>
    <row r="81" spans="1:13">
      <c r="A81" s="1">
        <v>76</v>
      </c>
      <c r="B81" s="1" t="s">
        <v>355</v>
      </c>
      <c r="C81" s="1" t="s">
        <v>315</v>
      </c>
      <c r="D81" s="32">
        <v>14800000</v>
      </c>
      <c r="E81" s="32">
        <v>15400000</v>
      </c>
      <c r="J81" s="1" t="s">
        <v>746</v>
      </c>
      <c r="K81" s="32">
        <v>30200000</v>
      </c>
      <c r="M81">
        <f>IFERROR(VLOOKUP(Salaries[[#This Row],[Player]],Player_Per_Game[[Player]:[PS/G]],29,FALSE),"")</f>
        <v>13.7</v>
      </c>
    </row>
    <row r="82" spans="1:13">
      <c r="A82" s="1">
        <v>77</v>
      </c>
      <c r="B82" s="1" t="s">
        <v>453</v>
      </c>
      <c r="C82" s="1" t="s">
        <v>30</v>
      </c>
      <c r="D82" s="32">
        <v>14796348</v>
      </c>
      <c r="E82" s="32">
        <v>13764045</v>
      </c>
      <c r="J82" s="1" t="s">
        <v>768</v>
      </c>
      <c r="K82" s="32">
        <v>14796348</v>
      </c>
      <c r="M82">
        <f>IFERROR(VLOOKUP(Salaries[[#This Row],[Player]],Player_Per_Game[[Player]:[PS/G]],29,FALSE),"")</f>
        <v>11.7</v>
      </c>
    </row>
    <row r="83" spans="1:13">
      <c r="A83" s="1">
        <v>78</v>
      </c>
      <c r="B83" s="1" t="s">
        <v>356</v>
      </c>
      <c r="C83" s="1" t="s">
        <v>41</v>
      </c>
      <c r="D83" s="32">
        <v>14500000</v>
      </c>
      <c r="E83" s="32">
        <v>15000000</v>
      </c>
      <c r="J83" s="1" t="s">
        <v>768</v>
      </c>
      <c r="K83" s="32">
        <v>29500000</v>
      </c>
      <c r="M83">
        <f>IFERROR(VLOOKUP(Salaries[[#This Row],[Player]],Player_Per_Game[[Player]:[PS/G]],29,FALSE),"")</f>
        <v>17.3</v>
      </c>
    </row>
    <row r="84" spans="1:13">
      <c r="A84" s="1">
        <v>79</v>
      </c>
      <c r="B84" s="1" t="s">
        <v>405</v>
      </c>
      <c r="C84" s="1" t="s">
        <v>305</v>
      </c>
      <c r="D84" s="32">
        <v>14275000</v>
      </c>
      <c r="E84" s="32">
        <v>14975000</v>
      </c>
      <c r="J84" s="1" t="s">
        <v>758</v>
      </c>
      <c r="K84" s="32">
        <v>29250000</v>
      </c>
      <c r="M84">
        <f>IFERROR(VLOOKUP(Salaries[[#This Row],[Player]],Player_Per_Game[[Player]:[PS/G]],29,FALSE),"")</f>
        <v>12.4</v>
      </c>
    </row>
    <row r="85" spans="1:13">
      <c r="A85" s="1">
        <v>80</v>
      </c>
      <c r="B85" s="1" t="s">
        <v>344</v>
      </c>
      <c r="C85" s="1" t="s">
        <v>305</v>
      </c>
      <c r="D85" s="32">
        <v>14136364</v>
      </c>
      <c r="E85" s="32">
        <v>13045455</v>
      </c>
      <c r="F85" s="32">
        <v>11954546</v>
      </c>
      <c r="G85" s="32">
        <v>10863637</v>
      </c>
      <c r="J85" s="1" t="s">
        <v>768</v>
      </c>
      <c r="K85" s="32">
        <v>50000002</v>
      </c>
      <c r="M85">
        <f>IFERROR(VLOOKUP(Salaries[[#This Row],[Player]],Player_Per_Game[[Player]:[PS/G]],29,FALSE),"")</f>
        <v>11.3</v>
      </c>
    </row>
    <row r="86" spans="1:13">
      <c r="A86" s="1">
        <v>81</v>
      </c>
      <c r="B86" s="1" t="s">
        <v>11</v>
      </c>
      <c r="C86" s="1" t="s">
        <v>56</v>
      </c>
      <c r="D86" s="32">
        <v>14112360</v>
      </c>
      <c r="E86" s="32">
        <v>15170787</v>
      </c>
      <c r="F86" s="32">
        <v>16229213</v>
      </c>
      <c r="G86" s="32">
        <v>17287640</v>
      </c>
      <c r="J86" s="1" t="s">
        <v>758</v>
      </c>
      <c r="K86" s="32">
        <v>62800000</v>
      </c>
      <c r="M86">
        <f>IFERROR(VLOOKUP(Salaries[[#This Row],[Player]],Player_Per_Game[[Player]:[PS/G]],29,FALSE),"")</f>
        <v>5.9</v>
      </c>
    </row>
    <row r="87" spans="1:13">
      <c r="A87" s="1">
        <v>82</v>
      </c>
      <c r="B87" s="1" t="s">
        <v>338</v>
      </c>
      <c r="C87" s="1" t="s">
        <v>41</v>
      </c>
      <c r="D87" s="32">
        <v>14100000</v>
      </c>
      <c r="E87" s="32">
        <v>13000000</v>
      </c>
      <c r="F87" s="32">
        <v>13000000</v>
      </c>
      <c r="J87" s="1" t="s">
        <v>768</v>
      </c>
      <c r="K87" s="32">
        <v>27100000</v>
      </c>
      <c r="M87">
        <f>IFERROR(VLOOKUP(Salaries[[#This Row],[Player]],Player_Per_Game[[Player]:[PS/G]],29,FALSE),"")</f>
        <v>20.2</v>
      </c>
    </row>
    <row r="88" spans="1:13">
      <c r="A88" s="1">
        <v>83</v>
      </c>
      <c r="B88" s="1" t="s">
        <v>621</v>
      </c>
      <c r="C88" s="1" t="s">
        <v>61</v>
      </c>
      <c r="D88" s="32">
        <v>14041096</v>
      </c>
      <c r="E88" s="32">
        <v>12917808</v>
      </c>
      <c r="F88" s="32">
        <v>14041096</v>
      </c>
      <c r="J88" s="1" t="s">
        <v>738</v>
      </c>
      <c r="K88" s="32">
        <v>41000000</v>
      </c>
      <c r="M88">
        <f>IFERROR(VLOOKUP(Salaries[[#This Row],[Player]],Player_Per_Game[[Player]:[PS/G]],29,FALSE),"")</f>
        <v>7.3</v>
      </c>
    </row>
    <row r="89" spans="1:13">
      <c r="A89" s="1">
        <v>84</v>
      </c>
      <c r="B89" s="1" t="s">
        <v>10</v>
      </c>
      <c r="C89" s="1" t="s">
        <v>56</v>
      </c>
      <c r="D89" s="32">
        <v>14000000</v>
      </c>
      <c r="E89" s="32">
        <v>14000000</v>
      </c>
      <c r="J89" s="1" t="s">
        <v>738</v>
      </c>
      <c r="K89" s="32">
        <v>28000000</v>
      </c>
      <c r="M89">
        <f>IFERROR(VLOOKUP(Salaries[[#This Row],[Player]],Player_Per_Game[[Player]:[PS/G]],29,FALSE),"")</f>
        <v>12.2</v>
      </c>
    </row>
    <row r="90" spans="1:13">
      <c r="A90" s="1">
        <v>85</v>
      </c>
      <c r="B90" s="1" t="s">
        <v>444</v>
      </c>
      <c r="C90" s="1" t="s">
        <v>50</v>
      </c>
      <c r="D90" s="32">
        <v>13954000</v>
      </c>
      <c r="E90" s="32">
        <v>14651700</v>
      </c>
      <c r="F90" s="32">
        <v>15349400</v>
      </c>
      <c r="J90" s="1" t="s">
        <v>738</v>
      </c>
      <c r="K90" s="32">
        <v>43955100</v>
      </c>
      <c r="M90">
        <f>IFERROR(VLOOKUP(Salaries[[#This Row],[Player]],Player_Per_Game[[Player]:[PS/G]],29,FALSE),"")</f>
        <v>10.6</v>
      </c>
    </row>
    <row r="91" spans="1:13">
      <c r="A91" s="1">
        <v>86</v>
      </c>
      <c r="B91" s="1" t="s">
        <v>560</v>
      </c>
      <c r="C91" s="1" t="s">
        <v>43</v>
      </c>
      <c r="D91" s="32">
        <v>13788500</v>
      </c>
      <c r="E91" s="32">
        <v>14357750</v>
      </c>
      <c r="J91" s="1" t="s">
        <v>746</v>
      </c>
      <c r="K91" s="32">
        <v>28146250</v>
      </c>
      <c r="M91">
        <f>IFERROR(VLOOKUP(Salaries[[#This Row],[Player]],Player_Per_Game[[Player]:[PS/G]],29,FALSE),"")</f>
        <v>12</v>
      </c>
    </row>
    <row r="92" spans="1:13">
      <c r="A92" s="1">
        <v>87</v>
      </c>
      <c r="B92" s="1" t="s">
        <v>351</v>
      </c>
      <c r="C92" s="1" t="s">
        <v>102</v>
      </c>
      <c r="D92" s="32">
        <v>13760000</v>
      </c>
      <c r="E92" s="32">
        <v>14720000</v>
      </c>
      <c r="F92" s="32">
        <v>15680000</v>
      </c>
      <c r="J92" s="1" t="s">
        <v>768</v>
      </c>
      <c r="K92" s="32">
        <v>32350000</v>
      </c>
      <c r="M92">
        <f>IFERROR(VLOOKUP(Salaries[[#This Row],[Player]],Player_Per_Game[[Player]:[PS/G]],29,FALSE),"")</f>
        <v>8.3000000000000007</v>
      </c>
    </row>
    <row r="93" spans="1:13">
      <c r="A93" s="1">
        <v>88</v>
      </c>
      <c r="B93" s="1" t="s">
        <v>786</v>
      </c>
      <c r="C93" s="1" t="s">
        <v>313</v>
      </c>
      <c r="D93" s="32">
        <v>13618750</v>
      </c>
      <c r="E93" s="32">
        <v>14631250</v>
      </c>
      <c r="F93" s="32">
        <v>15643750</v>
      </c>
      <c r="J93" s="1"/>
      <c r="K93" s="32">
        <v>43893750</v>
      </c>
      <c r="M93" t="str">
        <f>IFERROR(VLOOKUP(Salaries[[#This Row],[Player]],Player_Per_Game[[Player]:[PS/G]],29,FALSE),"")</f>
        <v/>
      </c>
    </row>
    <row r="94" spans="1:13">
      <c r="A94" s="1">
        <v>89</v>
      </c>
      <c r="B94" s="1" t="s">
        <v>408</v>
      </c>
      <c r="C94" s="1" t="s">
        <v>311</v>
      </c>
      <c r="D94" s="32">
        <v>13168750</v>
      </c>
      <c r="E94" s="32">
        <v>14087500</v>
      </c>
      <c r="F94" s="32">
        <v>15006250</v>
      </c>
      <c r="J94" s="1" t="s">
        <v>746</v>
      </c>
      <c r="K94" s="32">
        <v>27256250</v>
      </c>
      <c r="M94">
        <f>IFERROR(VLOOKUP(Salaries[[#This Row],[Player]],Player_Per_Game[[Player]:[PS/G]],29,FALSE),"")</f>
        <v>9.1999999999999993</v>
      </c>
    </row>
    <row r="95" spans="1:13">
      <c r="A95" s="1">
        <v>90</v>
      </c>
      <c r="B95" s="1" t="s">
        <v>597</v>
      </c>
      <c r="C95" s="1" t="s">
        <v>313</v>
      </c>
      <c r="D95" s="32">
        <v>13000000</v>
      </c>
      <c r="E95" s="32">
        <v>13585000</v>
      </c>
      <c r="J95" s="1" t="s">
        <v>746</v>
      </c>
      <c r="K95" s="32">
        <v>26585000</v>
      </c>
      <c r="M95">
        <f>IFERROR(VLOOKUP(Salaries[[#This Row],[Player]],Player_Per_Game[[Player]:[PS/G]],29,FALSE),"")</f>
        <v>6.5</v>
      </c>
    </row>
    <row r="96" spans="1:13">
      <c r="A96" s="1">
        <v>91</v>
      </c>
      <c r="B96" s="1" t="s">
        <v>576</v>
      </c>
      <c r="C96" s="1" t="s">
        <v>311</v>
      </c>
      <c r="D96" s="32">
        <v>13000000</v>
      </c>
      <c r="E96" s="32">
        <v>13000000</v>
      </c>
      <c r="F96" s="32">
        <v>13000000</v>
      </c>
      <c r="J96" s="1" t="s">
        <v>758</v>
      </c>
      <c r="K96" s="32">
        <v>26000000</v>
      </c>
      <c r="M96">
        <f>IFERROR(VLOOKUP(Salaries[[#This Row],[Player]],Player_Per_Game[[Player]:[PS/G]],29,FALSE),"")</f>
        <v>9.4</v>
      </c>
    </row>
    <row r="97" spans="1:13">
      <c r="A97" s="1">
        <v>92</v>
      </c>
      <c r="B97" s="1" t="s">
        <v>289</v>
      </c>
      <c r="C97" s="1" t="s">
        <v>92</v>
      </c>
      <c r="D97" s="32">
        <v>12943020</v>
      </c>
      <c r="E97" s="32">
        <v>13500375</v>
      </c>
      <c r="F97" s="32">
        <v>14057730</v>
      </c>
      <c r="J97" s="1" t="s">
        <v>746</v>
      </c>
      <c r="K97" s="32">
        <v>40501125</v>
      </c>
      <c r="M97">
        <f>IFERROR(VLOOKUP(Salaries[[#This Row],[Player]],Player_Per_Game[[Player]:[PS/G]],29,FALSE),"")</f>
        <v>18</v>
      </c>
    </row>
    <row r="98" spans="1:13">
      <c r="A98" s="1">
        <v>93</v>
      </c>
      <c r="B98" s="1" t="s">
        <v>585</v>
      </c>
      <c r="C98" s="1" t="s">
        <v>61</v>
      </c>
      <c r="D98" s="32">
        <v>12921348</v>
      </c>
      <c r="E98" s="32">
        <v>13764045</v>
      </c>
      <c r="J98" s="1" t="s">
        <v>758</v>
      </c>
      <c r="K98" s="32">
        <v>26685393</v>
      </c>
      <c r="M98">
        <f>IFERROR(VLOOKUP(Salaries[[#This Row],[Player]],Player_Per_Game[[Player]:[PS/G]],29,FALSE),"")</f>
        <v>5.9</v>
      </c>
    </row>
    <row r="99" spans="1:13">
      <c r="A99" s="1">
        <v>94</v>
      </c>
      <c r="B99" s="1" t="s">
        <v>604</v>
      </c>
      <c r="C99" s="1" t="s">
        <v>27</v>
      </c>
      <c r="D99" s="32">
        <v>12782609</v>
      </c>
      <c r="E99" s="32">
        <v>13565218</v>
      </c>
      <c r="J99" s="1" t="s">
        <v>768</v>
      </c>
      <c r="K99" s="32">
        <v>26347827</v>
      </c>
      <c r="M99">
        <f>IFERROR(VLOOKUP(Salaries[[#This Row],[Player]],Player_Per_Game[[Player]:[PS/G]],29,FALSE),"")</f>
        <v>8.5</v>
      </c>
    </row>
    <row r="100" spans="1:13">
      <c r="A100" s="1">
        <v>95</v>
      </c>
      <c r="B100" s="1" t="s">
        <v>570</v>
      </c>
      <c r="C100" s="1" t="s">
        <v>311</v>
      </c>
      <c r="D100" s="32">
        <v>12584270</v>
      </c>
      <c r="E100" s="32">
        <v>13528090</v>
      </c>
      <c r="F100" s="32">
        <v>14471910</v>
      </c>
      <c r="G100" s="32">
        <v>15415730</v>
      </c>
      <c r="J100" s="1" t="s">
        <v>758</v>
      </c>
      <c r="K100" s="32">
        <v>56000000</v>
      </c>
      <c r="M100">
        <f>IFERROR(VLOOKUP(Salaries[[#This Row],[Player]],Player_Per_Game[[Player]:[PS/G]],29,FALSE),"")</f>
        <v>7.1</v>
      </c>
    </row>
    <row r="101" spans="1:13">
      <c r="A101" s="1">
        <v>96</v>
      </c>
      <c r="B101" s="1" t="s">
        <v>619</v>
      </c>
      <c r="C101" s="1" t="s">
        <v>149</v>
      </c>
      <c r="D101" s="32">
        <v>12500000</v>
      </c>
      <c r="E101" s="32">
        <v>12500000</v>
      </c>
      <c r="F101" s="32">
        <v>12500000</v>
      </c>
      <c r="J101" s="1" t="s">
        <v>768</v>
      </c>
      <c r="K101" s="32">
        <v>37500000</v>
      </c>
      <c r="M101">
        <f>IFERROR(VLOOKUP(Salaries[[#This Row],[Player]],Player_Per_Game[[Player]:[PS/G]],29,FALSE),"")</f>
        <v>4.4000000000000004</v>
      </c>
    </row>
    <row r="102" spans="1:13">
      <c r="A102" s="1">
        <v>97</v>
      </c>
      <c r="B102" s="1" t="s">
        <v>330</v>
      </c>
      <c r="C102" s="1" t="s">
        <v>112</v>
      </c>
      <c r="D102" s="32">
        <v>12500000</v>
      </c>
      <c r="E102" s="32">
        <v>12500000</v>
      </c>
      <c r="J102" s="1" t="s">
        <v>738</v>
      </c>
      <c r="K102" s="32">
        <v>25000000</v>
      </c>
      <c r="M102">
        <f>IFERROR(VLOOKUP(Salaries[[#This Row],[Player]],Player_Per_Game[[Player]:[PS/G]],29,FALSE),"")</f>
        <v>15.4</v>
      </c>
    </row>
    <row r="103" spans="1:13">
      <c r="A103" s="1">
        <v>98</v>
      </c>
      <c r="B103" s="1" t="s">
        <v>469</v>
      </c>
      <c r="C103" s="1" t="s">
        <v>100</v>
      </c>
      <c r="D103" s="32">
        <v>12307692</v>
      </c>
      <c r="E103" s="32">
        <v>11692308</v>
      </c>
      <c r="J103" s="1" t="s">
        <v>738</v>
      </c>
      <c r="K103" s="32">
        <v>24000000</v>
      </c>
      <c r="M103">
        <f>IFERROR(VLOOKUP(Salaries[[#This Row],[Player]],Player_Per_Game[[Player]:[PS/G]],29,FALSE),"")</f>
        <v>14.5</v>
      </c>
    </row>
    <row r="104" spans="1:13">
      <c r="A104" s="1">
        <v>99</v>
      </c>
      <c r="B104" s="1" t="s">
        <v>381</v>
      </c>
      <c r="C104" s="1" t="s">
        <v>75</v>
      </c>
      <c r="D104" s="32">
        <v>12250000</v>
      </c>
      <c r="E104" s="32">
        <v>12750000</v>
      </c>
      <c r="J104" s="1" t="s">
        <v>768</v>
      </c>
      <c r="K104" s="32">
        <v>25000000</v>
      </c>
      <c r="M104">
        <f>IFERROR(VLOOKUP(Salaries[[#This Row],[Player]],Player_Per_Game[[Player]:[PS/G]],29,FALSE),"")</f>
        <v>17.2</v>
      </c>
    </row>
    <row r="105" spans="1:13">
      <c r="A105" s="1">
        <v>100</v>
      </c>
      <c r="B105" s="1" t="s">
        <v>785</v>
      </c>
      <c r="C105" s="1" t="s">
        <v>112</v>
      </c>
      <c r="D105" s="32">
        <v>12236535</v>
      </c>
      <c r="E105" s="32">
        <v>12752928</v>
      </c>
      <c r="F105" s="32">
        <v>13258781</v>
      </c>
      <c r="J105" s="1" t="s">
        <v>746</v>
      </c>
      <c r="K105" s="32">
        <v>38248244</v>
      </c>
      <c r="M105">
        <f>IFERROR(VLOOKUP(Salaries[[#This Row],[Player]],Player_Per_Game[[Player]:[PS/G]],29,FALSE),"")</f>
        <v>0</v>
      </c>
    </row>
    <row r="106" spans="1:13">
      <c r="A106" s="1">
        <v>101</v>
      </c>
      <c r="B106" s="1" t="s">
        <v>412</v>
      </c>
      <c r="C106" s="1" t="s">
        <v>61</v>
      </c>
      <c r="D106" s="32">
        <v>12016854</v>
      </c>
      <c r="E106" s="32">
        <v>12800562</v>
      </c>
      <c r="J106" s="1"/>
      <c r="K106" s="32">
        <v>12016854</v>
      </c>
      <c r="M106">
        <f>IFERROR(VLOOKUP(Salaries[[#This Row],[Player]],Player_Per_Game[[Player]:[PS/G]],29,FALSE),"")</f>
        <v>10.199999999999999</v>
      </c>
    </row>
    <row r="107" spans="1:13">
      <c r="A107" s="1">
        <v>102</v>
      </c>
      <c r="B107" s="1" t="s">
        <v>475</v>
      </c>
      <c r="C107" s="1" t="s">
        <v>315</v>
      </c>
      <c r="D107" s="32">
        <v>12000000</v>
      </c>
      <c r="E107" s="32">
        <v>12516746</v>
      </c>
      <c r="J107" s="1" t="s">
        <v>746</v>
      </c>
      <c r="K107" s="32">
        <v>24516746</v>
      </c>
      <c r="M107">
        <f>IFERROR(VLOOKUP(Salaries[[#This Row],[Player]],Player_Per_Game[[Player]:[PS/G]],29,FALSE),"")</f>
        <v>18</v>
      </c>
    </row>
    <row r="108" spans="1:13">
      <c r="A108" s="1">
        <v>103</v>
      </c>
      <c r="B108" s="1" t="s">
        <v>310</v>
      </c>
      <c r="C108" s="1" t="s">
        <v>311</v>
      </c>
      <c r="D108" s="32">
        <v>12000000</v>
      </c>
      <c r="E108" s="32">
        <v>12000000</v>
      </c>
      <c r="J108" s="1" t="s">
        <v>758</v>
      </c>
      <c r="K108" s="32">
        <v>24000000</v>
      </c>
      <c r="M108">
        <f>IFERROR(VLOOKUP(Salaries[[#This Row],[Player]],Player_Per_Game[[Player]:[PS/G]],29,FALSE),"")</f>
        <v>22.6</v>
      </c>
    </row>
    <row r="109" spans="1:13">
      <c r="A109" s="1">
        <v>104</v>
      </c>
      <c r="B109" s="1" t="s">
        <v>217</v>
      </c>
      <c r="C109" s="1" t="s">
        <v>305</v>
      </c>
      <c r="D109" s="32">
        <v>12000000</v>
      </c>
      <c r="J109" s="1" t="s">
        <v>758</v>
      </c>
      <c r="K109" s="32">
        <v>12000000</v>
      </c>
      <c r="M109">
        <f>IFERROR(VLOOKUP(Salaries[[#This Row],[Player]],Player_Per_Game[[Player]:[PS/G]],29,FALSE),"")</f>
        <v>12</v>
      </c>
    </row>
    <row r="110" spans="1:13">
      <c r="A110" s="1">
        <v>105</v>
      </c>
      <c r="B110" s="1" t="s">
        <v>324</v>
      </c>
      <c r="C110" s="1" t="s">
        <v>64</v>
      </c>
      <c r="D110" s="32">
        <v>11825000</v>
      </c>
      <c r="E110" s="32">
        <v>12650000</v>
      </c>
      <c r="J110" s="1" t="s">
        <v>746</v>
      </c>
      <c r="K110" s="32">
        <v>11825000</v>
      </c>
      <c r="M110">
        <f>IFERROR(VLOOKUP(Salaries[[#This Row],[Player]],Player_Per_Game[[Player]:[PS/G]],29,FALSE),"")</f>
        <v>15.6</v>
      </c>
    </row>
    <row r="111" spans="1:13">
      <c r="A111" s="1">
        <v>106</v>
      </c>
      <c r="B111" s="1" t="s">
        <v>388</v>
      </c>
      <c r="C111" s="1" t="s">
        <v>21</v>
      </c>
      <c r="D111" s="32">
        <v>11747890</v>
      </c>
      <c r="E111" s="32">
        <v>12253780</v>
      </c>
      <c r="F111" s="32">
        <v>12759670</v>
      </c>
      <c r="J111" s="1" t="s">
        <v>746</v>
      </c>
      <c r="K111" s="32">
        <v>36761340</v>
      </c>
      <c r="M111">
        <f>IFERROR(VLOOKUP(Salaries[[#This Row],[Player]],Player_Per_Game[[Player]:[PS/G]],29,FALSE),"")</f>
        <v>12.3</v>
      </c>
    </row>
    <row r="112" spans="1:13">
      <c r="A112" s="1">
        <v>107</v>
      </c>
      <c r="B112" s="1" t="s">
        <v>781</v>
      </c>
      <c r="C112" s="1" t="s">
        <v>56</v>
      </c>
      <c r="D112" s="32">
        <v>11600000</v>
      </c>
      <c r="J112" s="1"/>
      <c r="K112" s="32">
        <v>11600000</v>
      </c>
      <c r="M112" t="str">
        <f>IFERROR(VLOOKUP(Salaries[[#This Row],[Player]],Player_Per_Game[[Player]:[PS/G]],29,FALSE),"")</f>
        <v/>
      </c>
    </row>
    <row r="113" spans="1:13">
      <c r="A113" s="1">
        <v>108</v>
      </c>
      <c r="B113" s="1" t="s">
        <v>397</v>
      </c>
      <c r="C113" s="1" t="s">
        <v>102</v>
      </c>
      <c r="D113" s="32">
        <v>11562500</v>
      </c>
      <c r="E113" s="32">
        <v>12500000</v>
      </c>
      <c r="F113" s="32">
        <v>13437500</v>
      </c>
      <c r="J113" s="1" t="s">
        <v>746</v>
      </c>
      <c r="K113" s="32">
        <v>37500000</v>
      </c>
      <c r="M113">
        <f>IFERROR(VLOOKUP(Salaries[[#This Row],[Player]],Player_Per_Game[[Player]:[PS/G]],29,FALSE),"")</f>
        <v>14.4</v>
      </c>
    </row>
    <row r="114" spans="1:13">
      <c r="A114" s="1">
        <v>109</v>
      </c>
      <c r="B114" s="1" t="s">
        <v>582</v>
      </c>
      <c r="C114" s="1" t="s">
        <v>41</v>
      </c>
      <c r="D114" s="32">
        <v>11422536</v>
      </c>
      <c r="E114" s="32">
        <v>10577466</v>
      </c>
      <c r="F114" s="32">
        <v>9732396</v>
      </c>
      <c r="J114" s="1" t="s">
        <v>758</v>
      </c>
      <c r="K114" s="32">
        <v>31732398</v>
      </c>
      <c r="M114">
        <f>IFERROR(VLOOKUP(Salaries[[#This Row],[Player]],Player_Per_Game[[Player]:[PS/G]],29,FALSE),"")</f>
        <v>8.8000000000000007</v>
      </c>
    </row>
    <row r="115" spans="1:13">
      <c r="A115" s="1">
        <v>110</v>
      </c>
      <c r="B115" s="1" t="s">
        <v>336</v>
      </c>
      <c r="C115" s="1" t="s">
        <v>50</v>
      </c>
      <c r="D115" s="32">
        <v>11000000</v>
      </c>
      <c r="E115" s="32">
        <v>11550000</v>
      </c>
      <c r="F115" s="32">
        <v>12100000</v>
      </c>
      <c r="G115" s="32">
        <v>12650000</v>
      </c>
      <c r="J115" s="1" t="s">
        <v>738</v>
      </c>
      <c r="K115" s="32">
        <v>47300000</v>
      </c>
      <c r="M115">
        <f>IFERROR(VLOOKUP(Salaries[[#This Row],[Player]],Player_Per_Game[[Player]:[PS/G]],29,FALSE),"")</f>
        <v>14.3</v>
      </c>
    </row>
    <row r="116" spans="1:13">
      <c r="A116" s="1">
        <v>111</v>
      </c>
      <c r="B116" s="1" t="s">
        <v>119</v>
      </c>
      <c r="C116" s="1" t="s">
        <v>118</v>
      </c>
      <c r="D116" s="32">
        <v>11000000</v>
      </c>
      <c r="J116" s="1" t="s">
        <v>738</v>
      </c>
      <c r="K116" s="32">
        <v>11000000</v>
      </c>
      <c r="M116">
        <f>IFERROR(VLOOKUP(Salaries[[#This Row],[Player]],Player_Per_Game[[Player]:[PS/G]],29,FALSE),"")</f>
        <v>4.5</v>
      </c>
    </row>
    <row r="117" spans="1:13">
      <c r="A117" s="1">
        <v>112</v>
      </c>
      <c r="B117" s="1" t="s">
        <v>7</v>
      </c>
      <c r="C117" s="1" t="s">
        <v>149</v>
      </c>
      <c r="D117" s="32">
        <v>10942762</v>
      </c>
      <c r="E117" s="32">
        <v>2304226</v>
      </c>
      <c r="J117" s="1"/>
      <c r="K117" s="32">
        <v>13246988</v>
      </c>
      <c r="M117">
        <f>IFERROR(VLOOKUP(Salaries[[#This Row],[Player]],Player_Per_Game[[Player]:[PS/G]],29,FALSE),"")</f>
        <v>10.199999999999999</v>
      </c>
    </row>
    <row r="118" spans="1:13">
      <c r="A118" s="1">
        <v>113</v>
      </c>
      <c r="B118" s="1" t="s">
        <v>445</v>
      </c>
      <c r="C118" s="1" t="s">
        <v>305</v>
      </c>
      <c r="D118" s="32">
        <v>10845506</v>
      </c>
      <c r="E118" s="32">
        <v>11536515</v>
      </c>
      <c r="J118" s="1" t="s">
        <v>758</v>
      </c>
      <c r="K118" s="32">
        <v>22382021</v>
      </c>
      <c r="M118">
        <f>IFERROR(VLOOKUP(Salaries[[#This Row],[Player]],Player_Per_Game[[Player]:[PS/G]],29,FALSE),"")</f>
        <v>8</v>
      </c>
    </row>
    <row r="119" spans="1:13">
      <c r="A119" s="1">
        <v>114</v>
      </c>
      <c r="B119" s="1" t="s">
        <v>362</v>
      </c>
      <c r="C119" s="1" t="s">
        <v>140</v>
      </c>
      <c r="D119" s="32">
        <v>10714286</v>
      </c>
      <c r="E119" s="32">
        <v>11571429</v>
      </c>
      <c r="F119" s="32">
        <v>12428571</v>
      </c>
      <c r="G119" s="32">
        <v>13285714</v>
      </c>
      <c r="J119" s="1" t="s">
        <v>768</v>
      </c>
      <c r="K119" s="32">
        <v>48000000</v>
      </c>
      <c r="M119">
        <f>IFERROR(VLOOKUP(Salaries[[#This Row],[Player]],Player_Per_Game[[Player]:[PS/G]],29,FALSE),"")</f>
        <v>9.6</v>
      </c>
    </row>
    <row r="120" spans="1:13">
      <c r="A120" s="1">
        <v>115</v>
      </c>
      <c r="B120" s="1" t="s">
        <v>433</v>
      </c>
      <c r="C120" s="1" t="s">
        <v>50</v>
      </c>
      <c r="D120" s="32">
        <v>10607169</v>
      </c>
      <c r="E120" s="32">
        <v>11137527</v>
      </c>
      <c r="F120" s="32">
        <v>11667885</v>
      </c>
      <c r="G120" s="32">
        <v>12198243</v>
      </c>
      <c r="J120" s="1" t="s">
        <v>738</v>
      </c>
      <c r="K120" s="32">
        <v>33412581</v>
      </c>
      <c r="M120">
        <f>IFERROR(VLOOKUP(Salaries[[#This Row],[Player]],Player_Per_Game[[Player]:[PS/G]],29,FALSE),"")</f>
        <v>11.2</v>
      </c>
    </row>
    <row r="121" spans="1:13">
      <c r="A121" s="1">
        <v>116</v>
      </c>
      <c r="B121" s="1" t="s">
        <v>611</v>
      </c>
      <c r="C121" s="1" t="s">
        <v>43</v>
      </c>
      <c r="D121" s="32">
        <v>10595505</v>
      </c>
      <c r="E121" s="32">
        <v>11286516</v>
      </c>
      <c r="F121" s="32">
        <v>11977527</v>
      </c>
      <c r="J121" s="1" t="s">
        <v>768</v>
      </c>
      <c r="K121" s="32">
        <v>24882021</v>
      </c>
      <c r="M121">
        <f>IFERROR(VLOOKUP(Salaries[[#This Row],[Player]],Player_Per_Game[[Player]:[PS/G]],29,FALSE),"")</f>
        <v>1.3</v>
      </c>
    </row>
    <row r="122" spans="1:13">
      <c r="A122" s="1">
        <v>117</v>
      </c>
      <c r="B122" s="1" t="s">
        <v>392</v>
      </c>
      <c r="C122" s="1" t="s">
        <v>75</v>
      </c>
      <c r="D122" s="32">
        <v>10500000</v>
      </c>
      <c r="E122" s="32">
        <v>10500000</v>
      </c>
      <c r="J122" s="1" t="s">
        <v>782</v>
      </c>
      <c r="K122" s="32">
        <v>21000000</v>
      </c>
      <c r="M122">
        <f>IFERROR(VLOOKUP(Salaries[[#This Row],[Player]],Player_Per_Game[[Player]:[PS/G]],29,FALSE),"")</f>
        <v>9</v>
      </c>
    </row>
    <row r="123" spans="1:13">
      <c r="A123" s="1">
        <v>118</v>
      </c>
      <c r="B123" s="1" t="s">
        <v>370</v>
      </c>
      <c r="C123" s="1" t="s">
        <v>41</v>
      </c>
      <c r="D123" s="32">
        <v>10500000</v>
      </c>
      <c r="E123" s="32">
        <v>10500000</v>
      </c>
      <c r="J123" s="1"/>
      <c r="K123" s="32">
        <v>21000000</v>
      </c>
      <c r="M123">
        <f>IFERROR(VLOOKUP(Salaries[[#This Row],[Player]],Player_Per_Game[[Player]:[PS/G]],29,FALSE),"")</f>
        <v>7.1</v>
      </c>
    </row>
    <row r="124" spans="1:13">
      <c r="A124" s="1">
        <v>119</v>
      </c>
      <c r="B124" s="1" t="s">
        <v>353</v>
      </c>
      <c r="C124" s="1" t="s">
        <v>30</v>
      </c>
      <c r="D124" s="32">
        <v>10500000</v>
      </c>
      <c r="E124" s="32">
        <v>10500000</v>
      </c>
      <c r="J124" s="1" t="s">
        <v>738</v>
      </c>
      <c r="K124" s="32">
        <v>12000000</v>
      </c>
      <c r="M124">
        <f>IFERROR(VLOOKUP(Salaries[[#This Row],[Player]],Player_Per_Game[[Player]:[PS/G]],29,FALSE),"")</f>
        <v>13.9</v>
      </c>
    </row>
    <row r="125" spans="1:13">
      <c r="A125" s="1">
        <v>120</v>
      </c>
      <c r="B125" s="1" t="s">
        <v>556</v>
      </c>
      <c r="C125" s="1" t="s">
        <v>157</v>
      </c>
      <c r="D125" s="32">
        <v>10497319</v>
      </c>
      <c r="E125" s="32">
        <v>10002681</v>
      </c>
      <c r="F125" s="32">
        <v>9508043</v>
      </c>
      <c r="J125" s="1" t="s">
        <v>746</v>
      </c>
      <c r="K125" s="32">
        <v>30008043</v>
      </c>
      <c r="M125">
        <f>IFERROR(VLOOKUP(Salaries[[#This Row],[Player]],Player_Per_Game[[Player]:[PS/G]],29,FALSE),"")</f>
        <v>5.4</v>
      </c>
    </row>
    <row r="126" spans="1:13">
      <c r="A126" s="1">
        <v>121</v>
      </c>
      <c r="B126" s="1" t="s">
        <v>486</v>
      </c>
      <c r="C126" s="1" t="s">
        <v>100</v>
      </c>
      <c r="D126" s="32">
        <v>10337079</v>
      </c>
      <c r="E126" s="32">
        <v>11011234</v>
      </c>
      <c r="J126" s="1" t="s">
        <v>768</v>
      </c>
      <c r="K126" s="32">
        <v>10337079</v>
      </c>
      <c r="M126">
        <f>IFERROR(VLOOKUP(Salaries[[#This Row],[Player]],Player_Per_Game[[Player]:[PS/G]],29,FALSE),"")</f>
        <v>4.4000000000000004</v>
      </c>
    </row>
    <row r="127" spans="1:13">
      <c r="A127" s="1">
        <v>122</v>
      </c>
      <c r="B127" s="1" t="s">
        <v>494</v>
      </c>
      <c r="C127" s="1" t="s">
        <v>96</v>
      </c>
      <c r="D127" s="32">
        <v>10162922</v>
      </c>
      <c r="E127" s="32">
        <v>10837079</v>
      </c>
      <c r="F127" s="32">
        <v>11511234</v>
      </c>
      <c r="J127" s="1" t="s">
        <v>746</v>
      </c>
      <c r="K127" s="32">
        <v>32511235</v>
      </c>
      <c r="M127">
        <f>IFERROR(VLOOKUP(Salaries[[#This Row],[Player]],Player_Per_Game[[Player]:[PS/G]],29,FALSE),"")</f>
        <v>6.1</v>
      </c>
    </row>
    <row r="128" spans="1:13">
      <c r="A128" s="1">
        <v>123</v>
      </c>
      <c r="B128" s="1" t="s">
        <v>506</v>
      </c>
      <c r="C128" s="1" t="s">
        <v>313</v>
      </c>
      <c r="D128" s="32">
        <v>10000000</v>
      </c>
      <c r="E128" s="32">
        <v>9530000</v>
      </c>
      <c r="J128" s="1" t="s">
        <v>746</v>
      </c>
      <c r="K128" s="32">
        <v>19530000</v>
      </c>
      <c r="M128">
        <f>IFERROR(VLOOKUP(Salaries[[#This Row],[Player]],Player_Per_Game[[Player]:[PS/G]],29,FALSE),"")</f>
        <v>3.2</v>
      </c>
    </row>
    <row r="129" spans="1:13">
      <c r="A129" s="1">
        <v>124</v>
      </c>
      <c r="B129" s="1" t="s">
        <v>430</v>
      </c>
      <c r="C129" s="1" t="s">
        <v>30</v>
      </c>
      <c r="D129" s="32">
        <v>10000000</v>
      </c>
      <c r="E129" s="32">
        <v>10000000</v>
      </c>
      <c r="J129" s="1" t="s">
        <v>738</v>
      </c>
      <c r="K129" s="32">
        <v>12000000</v>
      </c>
      <c r="M129">
        <f>IFERROR(VLOOKUP(Salaries[[#This Row],[Player]],Player_Per_Game[[Player]:[PS/G]],29,FALSE),"")</f>
        <v>12.7</v>
      </c>
    </row>
    <row r="130" spans="1:13">
      <c r="A130" s="1">
        <v>125</v>
      </c>
      <c r="B130" s="1" t="s">
        <v>371</v>
      </c>
      <c r="C130" s="1" t="s">
        <v>140</v>
      </c>
      <c r="D130" s="32">
        <v>10000000</v>
      </c>
      <c r="E130" s="32">
        <v>10000000</v>
      </c>
      <c r="J130" s="1" t="s">
        <v>768</v>
      </c>
      <c r="K130" s="32">
        <v>10000000</v>
      </c>
      <c r="M130">
        <f>IFERROR(VLOOKUP(Salaries[[#This Row],[Player]],Player_Per_Game[[Player]:[PS/G]],29,FALSE),"")</f>
        <v>8.8000000000000007</v>
      </c>
    </row>
    <row r="131" spans="1:13">
      <c r="A131" s="1">
        <v>126</v>
      </c>
      <c r="B131" s="1" t="s">
        <v>535</v>
      </c>
      <c r="C131" s="1" t="s">
        <v>96</v>
      </c>
      <c r="D131" s="32">
        <v>9904495</v>
      </c>
      <c r="E131" s="32">
        <v>10595506</v>
      </c>
      <c r="F131" s="32">
        <v>11286515</v>
      </c>
      <c r="J131" s="1" t="s">
        <v>746</v>
      </c>
      <c r="K131" s="32">
        <v>31786516</v>
      </c>
      <c r="M131">
        <f>IFERROR(VLOOKUP(Salaries[[#This Row],[Player]],Player_Per_Game[[Player]:[PS/G]],29,FALSE),"")</f>
        <v>3.3</v>
      </c>
    </row>
    <row r="132" spans="1:13">
      <c r="A132" s="1">
        <v>127</v>
      </c>
      <c r="B132" s="1" t="s">
        <v>401</v>
      </c>
      <c r="C132" s="1" t="s">
        <v>41</v>
      </c>
      <c r="D132" s="32">
        <v>9821429</v>
      </c>
      <c r="E132" s="32">
        <v>10607143</v>
      </c>
      <c r="F132" s="32">
        <v>11392857</v>
      </c>
      <c r="G132" s="32">
        <v>12178571</v>
      </c>
      <c r="J132" s="1" t="s">
        <v>738</v>
      </c>
      <c r="K132" s="32">
        <v>31821429</v>
      </c>
      <c r="M132">
        <f>IFERROR(VLOOKUP(Salaries[[#This Row],[Player]],Player_Per_Game[[Player]:[PS/G]],29,FALSE),"")</f>
        <v>7.1</v>
      </c>
    </row>
    <row r="133" spans="1:13">
      <c r="A133" s="1">
        <v>128</v>
      </c>
      <c r="B133" s="1" t="s">
        <v>566</v>
      </c>
      <c r="C133" s="1" t="s">
        <v>30</v>
      </c>
      <c r="D133" s="32">
        <v>9769821</v>
      </c>
      <c r="E133" s="32">
        <v>10000000</v>
      </c>
      <c r="J133" s="1" t="s">
        <v>746</v>
      </c>
      <c r="K133" s="32">
        <v>13769821</v>
      </c>
      <c r="M133">
        <f>IFERROR(VLOOKUP(Salaries[[#This Row],[Player]],Player_Per_Game[[Player]:[PS/G]],29,FALSE),"")</f>
        <v>7</v>
      </c>
    </row>
    <row r="134" spans="1:13">
      <c r="A134" s="1">
        <v>129</v>
      </c>
      <c r="B134" s="1" t="s">
        <v>467</v>
      </c>
      <c r="C134" s="1" t="s">
        <v>41</v>
      </c>
      <c r="D134" s="32">
        <v>9607500</v>
      </c>
      <c r="E134" s="32">
        <v>9607500</v>
      </c>
      <c r="F134" s="32">
        <v>9607500</v>
      </c>
      <c r="J134" s="1" t="s">
        <v>746</v>
      </c>
      <c r="K134" s="32">
        <v>28822500</v>
      </c>
      <c r="M134">
        <f>IFERROR(VLOOKUP(Salaries[[#This Row],[Player]],Player_Per_Game[[Player]:[PS/G]],29,FALSE),"")</f>
        <v>4.4000000000000004</v>
      </c>
    </row>
    <row r="135" spans="1:13">
      <c r="A135" s="1">
        <v>130</v>
      </c>
      <c r="B135" s="1" t="s">
        <v>169</v>
      </c>
      <c r="C135" s="1" t="s">
        <v>100</v>
      </c>
      <c r="D135" s="32">
        <v>9505000</v>
      </c>
      <c r="J135" s="1"/>
      <c r="K135" s="32">
        <v>9505000</v>
      </c>
      <c r="M135">
        <f>IFERROR(VLOOKUP(Salaries[[#This Row],[Player]],Player_Per_Game[[Player]:[PS/G]],29,FALSE),"")</f>
        <v>6.8</v>
      </c>
    </row>
    <row r="136" spans="1:13">
      <c r="A136" s="1">
        <v>131</v>
      </c>
      <c r="B136" s="1" t="s">
        <v>406</v>
      </c>
      <c r="C136" s="1" t="s">
        <v>100</v>
      </c>
      <c r="D136" s="32">
        <v>9470614</v>
      </c>
      <c r="E136" s="32">
        <v>9000000</v>
      </c>
      <c r="F136" s="32">
        <v>8529386</v>
      </c>
      <c r="J136" s="1" t="s">
        <v>738</v>
      </c>
      <c r="K136" s="32">
        <v>27000000</v>
      </c>
      <c r="M136">
        <f>IFERROR(VLOOKUP(Salaries[[#This Row],[Player]],Player_Per_Game[[Player]:[PS/G]],29,FALSE),"")</f>
        <v>11.8</v>
      </c>
    </row>
    <row r="137" spans="1:13">
      <c r="A137" s="1">
        <v>132</v>
      </c>
      <c r="B137" s="1" t="s">
        <v>531</v>
      </c>
      <c r="C137" s="1" t="s">
        <v>58</v>
      </c>
      <c r="D137" s="32">
        <v>9259259</v>
      </c>
      <c r="E137" s="32">
        <v>10000000</v>
      </c>
      <c r="F137" s="32">
        <v>10740741</v>
      </c>
      <c r="J137" s="1" t="s">
        <v>768</v>
      </c>
      <c r="K137" s="32">
        <v>30000000</v>
      </c>
      <c r="M137">
        <f>IFERROR(VLOOKUP(Salaries[[#This Row],[Player]],Player_Per_Game[[Player]:[PS/G]],29,FALSE),"")</f>
        <v>5</v>
      </c>
    </row>
    <row r="138" spans="1:13">
      <c r="A138" s="1">
        <v>133</v>
      </c>
      <c r="B138" s="1" t="s">
        <v>178</v>
      </c>
      <c r="C138" s="1" t="s">
        <v>118</v>
      </c>
      <c r="D138" s="32">
        <v>9125000</v>
      </c>
      <c r="J138" s="1"/>
      <c r="K138" s="32">
        <v>9125000</v>
      </c>
      <c r="M138">
        <f>IFERROR(VLOOKUP(Salaries[[#This Row],[Player]],Player_Per_Game[[Player]:[PS/G]],29,FALSE),"")</f>
        <v>6.3</v>
      </c>
    </row>
    <row r="139" spans="1:13">
      <c r="A139" s="1">
        <v>134</v>
      </c>
      <c r="B139" s="1" t="s">
        <v>526</v>
      </c>
      <c r="C139" s="1" t="s">
        <v>33</v>
      </c>
      <c r="D139" s="32">
        <v>9003125</v>
      </c>
      <c r="E139" s="32">
        <v>9631250</v>
      </c>
      <c r="F139" s="32">
        <v>10259375</v>
      </c>
      <c r="J139" s="1" t="s">
        <v>746</v>
      </c>
      <c r="K139" s="32">
        <v>18634375</v>
      </c>
      <c r="M139">
        <f>IFERROR(VLOOKUP(Salaries[[#This Row],[Player]],Player_Per_Game[[Player]:[PS/G]],29,FALSE),"")</f>
        <v>8.5</v>
      </c>
    </row>
    <row r="140" spans="1:13">
      <c r="A140" s="1">
        <v>135</v>
      </c>
      <c r="B140" s="1" t="s">
        <v>383</v>
      </c>
      <c r="C140" s="1" t="s">
        <v>118</v>
      </c>
      <c r="D140" s="32">
        <v>9000000</v>
      </c>
      <c r="E140" s="32">
        <v>8575916</v>
      </c>
      <c r="J140" s="1" t="s">
        <v>746</v>
      </c>
      <c r="K140" s="32">
        <v>17575916</v>
      </c>
      <c r="M140">
        <f>IFERROR(VLOOKUP(Salaries[[#This Row],[Player]],Player_Per_Game[[Player]:[PS/G]],29,FALSE),"")</f>
        <v>7.9</v>
      </c>
    </row>
    <row r="141" spans="1:13">
      <c r="A141" s="1">
        <v>136</v>
      </c>
      <c r="B141" s="1" t="s">
        <v>232</v>
      </c>
      <c r="C141" s="1" t="s">
        <v>64</v>
      </c>
      <c r="D141" s="32">
        <v>8808989</v>
      </c>
      <c r="J141" s="1" t="s">
        <v>768</v>
      </c>
      <c r="K141" s="32">
        <v>8808989</v>
      </c>
      <c r="M141">
        <f>IFERROR(VLOOKUP(Salaries[[#This Row],[Player]],Player_Per_Game[[Player]:[PS/G]],29,FALSE),"")</f>
        <v>14.3</v>
      </c>
    </row>
    <row r="142" spans="1:13">
      <c r="A142" s="1">
        <v>137</v>
      </c>
      <c r="B142" s="1" t="s">
        <v>471</v>
      </c>
      <c r="C142" s="1" t="s">
        <v>128</v>
      </c>
      <c r="D142" s="32">
        <v>8533333</v>
      </c>
      <c r="E142" s="32">
        <v>7866667</v>
      </c>
      <c r="J142" s="1" t="s">
        <v>768</v>
      </c>
      <c r="K142" s="32">
        <v>16400000</v>
      </c>
      <c r="M142">
        <f>IFERROR(VLOOKUP(Salaries[[#This Row],[Player]],Player_Per_Game[[Player]:[PS/G]],29,FALSE),"")</f>
        <v>10.5</v>
      </c>
    </row>
    <row r="143" spans="1:13">
      <c r="A143" s="1">
        <v>138</v>
      </c>
      <c r="B143" s="1" t="s">
        <v>393</v>
      </c>
      <c r="C143" s="1" t="s">
        <v>112</v>
      </c>
      <c r="D143" s="32">
        <v>8445024</v>
      </c>
      <c r="E143" s="32">
        <v>8808685</v>
      </c>
      <c r="F143" s="32">
        <v>8664928</v>
      </c>
      <c r="J143" s="1" t="s">
        <v>746</v>
      </c>
      <c r="K143" s="32">
        <v>25918637</v>
      </c>
      <c r="M143">
        <f>IFERROR(VLOOKUP(Salaries[[#This Row],[Player]],Player_Per_Game[[Player]:[PS/G]],29,FALSE),"")</f>
        <v>12.2</v>
      </c>
    </row>
    <row r="144" spans="1:13">
      <c r="A144" s="1">
        <v>139</v>
      </c>
      <c r="B144" s="1" t="s">
        <v>482</v>
      </c>
      <c r="C144" s="1" t="s">
        <v>140</v>
      </c>
      <c r="D144" s="32">
        <v>8406000</v>
      </c>
      <c r="E144" s="32">
        <v>8826300</v>
      </c>
      <c r="J144" s="1" t="s">
        <v>737</v>
      </c>
      <c r="K144" s="32">
        <v>8406000</v>
      </c>
      <c r="M144">
        <f>IFERROR(VLOOKUP(Salaries[[#This Row],[Player]],Player_Per_Game[[Player]:[PS/G]],29,FALSE),"")</f>
        <v>11.2</v>
      </c>
    </row>
    <row r="145" spans="1:13">
      <c r="A145" s="1">
        <v>140</v>
      </c>
      <c r="B145" s="1" t="s">
        <v>618</v>
      </c>
      <c r="C145" s="1" t="s">
        <v>100</v>
      </c>
      <c r="D145" s="32">
        <v>8393000</v>
      </c>
      <c r="E145" s="32">
        <v>8739500</v>
      </c>
      <c r="J145" s="1" t="s">
        <v>746</v>
      </c>
      <c r="K145" s="32">
        <v>8393000</v>
      </c>
      <c r="M145">
        <f>IFERROR(VLOOKUP(Salaries[[#This Row],[Player]],Player_Per_Game[[Player]:[PS/G]],29,FALSE),"")</f>
        <v>6.5</v>
      </c>
    </row>
    <row r="146" spans="1:13">
      <c r="A146" s="1">
        <v>141</v>
      </c>
      <c r="B146" s="1" t="s">
        <v>446</v>
      </c>
      <c r="C146" s="1" t="s">
        <v>27</v>
      </c>
      <c r="D146" s="32">
        <v>8000000</v>
      </c>
      <c r="E146" s="32">
        <v>8600000</v>
      </c>
      <c r="J146" s="1" t="s">
        <v>768</v>
      </c>
      <c r="K146" s="32">
        <v>16600000</v>
      </c>
      <c r="M146">
        <f>IFERROR(VLOOKUP(Salaries[[#This Row],[Player]],Player_Per_Game[[Player]:[PS/G]],29,FALSE),"")</f>
        <v>11.6</v>
      </c>
    </row>
    <row r="147" spans="1:13">
      <c r="A147" s="1">
        <v>142</v>
      </c>
      <c r="B147" s="1" t="s">
        <v>101</v>
      </c>
      <c r="C147" s="1" t="s">
        <v>100</v>
      </c>
      <c r="D147" s="32">
        <v>8000000</v>
      </c>
      <c r="J147" s="1" t="s">
        <v>738</v>
      </c>
      <c r="K147" s="32">
        <v>8000000</v>
      </c>
      <c r="M147">
        <f>IFERROR(VLOOKUP(Salaries[[#This Row],[Player]],Player_Per_Game[[Player]:[PS/G]],29,FALSE),"")</f>
        <v>5.5</v>
      </c>
    </row>
    <row r="148" spans="1:13">
      <c r="A148" s="1">
        <v>143</v>
      </c>
      <c r="B148" s="1" t="s">
        <v>403</v>
      </c>
      <c r="C148" s="1" t="s">
        <v>100</v>
      </c>
      <c r="D148" s="32">
        <v>8000000</v>
      </c>
      <c r="E148" s="32">
        <v>8000000</v>
      </c>
      <c r="J148" s="1" t="s">
        <v>746</v>
      </c>
      <c r="K148" s="32">
        <v>8000000</v>
      </c>
      <c r="M148">
        <f>IFERROR(VLOOKUP(Salaries[[#This Row],[Player]],Player_Per_Game[[Player]:[PS/G]],29,FALSE),"")</f>
        <v>8.4</v>
      </c>
    </row>
    <row r="149" spans="1:13">
      <c r="A149" s="1">
        <v>144</v>
      </c>
      <c r="B149" s="1" t="s">
        <v>325</v>
      </c>
      <c r="C149" s="1" t="s">
        <v>47</v>
      </c>
      <c r="D149" s="32">
        <v>7936509</v>
      </c>
      <c r="E149" s="32">
        <v>8333333</v>
      </c>
      <c r="F149" s="32">
        <v>8730158</v>
      </c>
      <c r="J149" s="1" t="s">
        <v>737</v>
      </c>
      <c r="K149" s="32">
        <v>16269842</v>
      </c>
      <c r="M149">
        <f>IFERROR(VLOOKUP(Salaries[[#This Row],[Player]],Player_Per_Game[[Player]:[PS/G]],29,FALSE),"")</f>
        <v>10.4</v>
      </c>
    </row>
    <row r="150" spans="1:13">
      <c r="A150" s="1">
        <v>145</v>
      </c>
      <c r="B150" s="1" t="s">
        <v>605</v>
      </c>
      <c r="C150" s="1" t="s">
        <v>43</v>
      </c>
      <c r="D150" s="32">
        <v>7843500</v>
      </c>
      <c r="E150" s="32">
        <v>8470980</v>
      </c>
      <c r="F150" s="32">
        <v>8156500</v>
      </c>
      <c r="G150" s="32">
        <v>7529020</v>
      </c>
      <c r="J150" s="1" t="s">
        <v>738</v>
      </c>
      <c r="K150" s="32">
        <v>32000000</v>
      </c>
      <c r="M150">
        <f>IFERROR(VLOOKUP(Salaries[[#This Row],[Player]],Player_Per_Game[[Player]:[PS/G]],29,FALSE),"")</f>
        <v>4.8</v>
      </c>
    </row>
    <row r="151" spans="1:13">
      <c r="A151" s="1">
        <v>146</v>
      </c>
      <c r="B151" s="1" t="s">
        <v>567</v>
      </c>
      <c r="C151" s="1" t="s">
        <v>73</v>
      </c>
      <c r="D151" s="32">
        <v>7692308</v>
      </c>
      <c r="E151" s="32">
        <v>8307692</v>
      </c>
      <c r="F151" s="32">
        <v>7692308</v>
      </c>
      <c r="J151" s="1" t="s">
        <v>768</v>
      </c>
      <c r="K151" s="32">
        <v>18000000</v>
      </c>
      <c r="M151">
        <f>IFERROR(VLOOKUP(Salaries[[#This Row],[Player]],Player_Per_Game[[Player]:[PS/G]],29,FALSE),"")</f>
        <v>5.5</v>
      </c>
    </row>
    <row r="152" spans="1:13">
      <c r="A152" s="1">
        <v>147</v>
      </c>
      <c r="B152" s="1" t="s">
        <v>461</v>
      </c>
      <c r="C152" s="1" t="s">
        <v>30</v>
      </c>
      <c r="D152" s="32">
        <v>7630000</v>
      </c>
      <c r="E152" s="32">
        <v>7945000</v>
      </c>
      <c r="J152" s="1" t="s">
        <v>746</v>
      </c>
      <c r="K152" s="32">
        <v>7630000</v>
      </c>
      <c r="M152">
        <f>IFERROR(VLOOKUP(Salaries[[#This Row],[Player]],Player_Per_Game[[Player]:[PS/G]],29,FALSE),"")</f>
        <v>8.1</v>
      </c>
    </row>
    <row r="153" spans="1:13">
      <c r="A153" s="1">
        <v>148</v>
      </c>
      <c r="B153" s="1" t="s">
        <v>420</v>
      </c>
      <c r="C153" s="1" t="s">
        <v>92</v>
      </c>
      <c r="D153" s="32">
        <v>7590035</v>
      </c>
      <c r="E153" s="32">
        <v>7969537</v>
      </c>
      <c r="F153" s="32">
        <v>8349039</v>
      </c>
      <c r="G153" s="32">
        <v>7969537</v>
      </c>
      <c r="J153" s="1" t="s">
        <v>737</v>
      </c>
      <c r="K153" s="32">
        <v>26477799</v>
      </c>
      <c r="M153">
        <f>IFERROR(VLOOKUP(Salaries[[#This Row],[Player]],Player_Per_Game[[Player]:[PS/G]],29,FALSE),"")</f>
        <v>5.9</v>
      </c>
    </row>
    <row r="154" spans="1:13">
      <c r="A154" s="1">
        <v>149</v>
      </c>
      <c r="B154" s="1" t="s">
        <v>79</v>
      </c>
      <c r="C154" s="1" t="s">
        <v>78</v>
      </c>
      <c r="D154" s="32">
        <v>7579366</v>
      </c>
      <c r="J154" s="1"/>
      <c r="K154" s="32">
        <v>7579366</v>
      </c>
      <c r="M154">
        <f>IFERROR(VLOOKUP(Salaries[[#This Row],[Player]],Player_Per_Game[[Player]:[PS/G]],29,FALSE),"")</f>
        <v>4.7</v>
      </c>
    </row>
    <row r="155" spans="1:13">
      <c r="A155" s="1">
        <v>150</v>
      </c>
      <c r="B155" s="1" t="s">
        <v>9</v>
      </c>
      <c r="C155" s="1" t="s">
        <v>56</v>
      </c>
      <c r="D155" s="32">
        <v>7574322</v>
      </c>
      <c r="E155" s="32">
        <v>25250000</v>
      </c>
      <c r="F155" s="32">
        <v>27270000</v>
      </c>
      <c r="G155" s="32">
        <v>29290000</v>
      </c>
      <c r="H155" s="32">
        <v>31310000</v>
      </c>
      <c r="J155" s="1" t="s">
        <v>758</v>
      </c>
      <c r="K155" s="32">
        <v>154024322</v>
      </c>
      <c r="M155">
        <f>IFERROR(VLOOKUP(Salaries[[#This Row],[Player]],Player_Per_Game[[Player]:[PS/G]],29,FALSE),"")</f>
        <v>18</v>
      </c>
    </row>
    <row r="156" spans="1:13">
      <c r="A156" s="1">
        <v>151</v>
      </c>
      <c r="B156" s="1" t="s">
        <v>620</v>
      </c>
      <c r="C156" s="1" t="s">
        <v>61</v>
      </c>
      <c r="D156" s="32">
        <v>7464912</v>
      </c>
      <c r="E156" s="32">
        <v>7464912</v>
      </c>
      <c r="J156" s="1" t="s">
        <v>746</v>
      </c>
      <c r="K156" s="32">
        <v>7464912</v>
      </c>
      <c r="M156">
        <f>IFERROR(VLOOKUP(Salaries[[#This Row],[Player]],Player_Per_Game[[Player]:[PS/G]],29,FALSE),"")</f>
        <v>2.8</v>
      </c>
    </row>
    <row r="157" spans="1:13">
      <c r="A157" s="1">
        <v>152</v>
      </c>
      <c r="B157" s="1" t="s">
        <v>103</v>
      </c>
      <c r="C157" s="1" t="s">
        <v>78</v>
      </c>
      <c r="D157" s="32">
        <v>7420912</v>
      </c>
      <c r="J157" s="1" t="s">
        <v>746</v>
      </c>
      <c r="K157" s="32">
        <v>7420912</v>
      </c>
      <c r="M157">
        <f>IFERROR(VLOOKUP(Salaries[[#This Row],[Player]],Player_Per_Game[[Player]:[PS/G]],29,FALSE),"")</f>
        <v>4.8</v>
      </c>
    </row>
    <row r="158" spans="1:13">
      <c r="A158" s="1">
        <v>153</v>
      </c>
      <c r="B158" s="1" t="s">
        <v>213</v>
      </c>
      <c r="C158" s="1" t="s">
        <v>92</v>
      </c>
      <c r="D158" s="32">
        <v>7420912</v>
      </c>
      <c r="J158" s="1" t="s">
        <v>768</v>
      </c>
      <c r="K158" s="32">
        <v>7420912</v>
      </c>
      <c r="M158">
        <f>IFERROR(VLOOKUP(Salaries[[#This Row],[Player]],Player_Per_Game[[Player]:[PS/G]],29,FALSE),"")</f>
        <v>12</v>
      </c>
    </row>
    <row r="159" spans="1:13">
      <c r="A159" s="1">
        <v>154</v>
      </c>
      <c r="B159" s="1" t="s">
        <v>358</v>
      </c>
      <c r="C159" s="1" t="s">
        <v>96</v>
      </c>
      <c r="D159" s="32">
        <v>7319035</v>
      </c>
      <c r="E159" s="32">
        <v>6957105</v>
      </c>
      <c r="J159" s="1" t="s">
        <v>746</v>
      </c>
      <c r="K159" s="32">
        <v>14276140</v>
      </c>
      <c r="M159">
        <f>IFERROR(VLOOKUP(Salaries[[#This Row],[Player]],Player_Per_Game[[Player]:[PS/G]],29,FALSE),"")</f>
        <v>9.3000000000000007</v>
      </c>
    </row>
    <row r="160" spans="1:13">
      <c r="A160" s="1">
        <v>155</v>
      </c>
      <c r="B160" s="1" t="s">
        <v>8</v>
      </c>
      <c r="C160" s="1" t="s">
        <v>56</v>
      </c>
      <c r="D160" s="32">
        <v>7300000</v>
      </c>
      <c r="E160" s="32">
        <v>6956021</v>
      </c>
      <c r="J160" s="1" t="s">
        <v>746</v>
      </c>
      <c r="K160" s="32">
        <v>9356021</v>
      </c>
      <c r="M160">
        <f>IFERROR(VLOOKUP(Salaries[[#This Row],[Player]],Player_Per_Game[[Player]:[PS/G]],29,FALSE),"")</f>
        <v>0.5</v>
      </c>
    </row>
    <row r="161" spans="1:13">
      <c r="A161" s="1">
        <v>156</v>
      </c>
      <c r="B161" s="1" t="s">
        <v>421</v>
      </c>
      <c r="C161" s="1" t="s">
        <v>75</v>
      </c>
      <c r="D161" s="32">
        <v>7250000</v>
      </c>
      <c r="E161" s="32">
        <v>7250000</v>
      </c>
      <c r="F161" s="32">
        <v>7250000</v>
      </c>
      <c r="J161" s="1" t="s">
        <v>746</v>
      </c>
      <c r="K161" s="32">
        <v>21750000</v>
      </c>
      <c r="M161">
        <f>IFERROR(VLOOKUP(Salaries[[#This Row],[Player]],Player_Per_Game[[Player]:[PS/G]],29,FALSE),"")</f>
        <v>10</v>
      </c>
    </row>
    <row r="162" spans="1:13">
      <c r="A162" s="1">
        <v>157</v>
      </c>
      <c r="B162" s="1" t="s">
        <v>617</v>
      </c>
      <c r="C162" s="1" t="s">
        <v>118</v>
      </c>
      <c r="D162" s="32">
        <v>7026240</v>
      </c>
      <c r="E162" s="32">
        <v>8339880</v>
      </c>
      <c r="F162" s="32">
        <v>9745200</v>
      </c>
      <c r="G162" s="32">
        <v>12288697</v>
      </c>
      <c r="J162" s="1" t="s">
        <v>758</v>
      </c>
      <c r="K162" s="32">
        <v>15366120</v>
      </c>
      <c r="M162">
        <f>IFERROR(VLOOKUP(Salaries[[#This Row],[Player]],Player_Per_Game[[Player]:[PS/G]],29,FALSE),"")</f>
        <v>6</v>
      </c>
    </row>
    <row r="163" spans="1:13">
      <c r="A163" s="1">
        <v>158</v>
      </c>
      <c r="B163" s="1" t="s">
        <v>308</v>
      </c>
      <c r="C163" s="1" t="s">
        <v>64</v>
      </c>
      <c r="D163" s="32">
        <v>7000000</v>
      </c>
      <c r="E163" s="32">
        <v>8000000</v>
      </c>
      <c r="F163" s="32">
        <v>8000000</v>
      </c>
      <c r="G163" s="32">
        <v>1500000</v>
      </c>
      <c r="J163" s="1" t="s">
        <v>746</v>
      </c>
      <c r="K163" s="32">
        <v>23000000</v>
      </c>
      <c r="M163">
        <f>IFERROR(VLOOKUP(Salaries[[#This Row],[Player]],Player_Per_Game[[Player]:[PS/G]],29,FALSE),"")</f>
        <v>23</v>
      </c>
    </row>
    <row r="164" spans="1:13">
      <c r="A164" s="1">
        <v>159</v>
      </c>
      <c r="B164" s="1" t="s">
        <v>340</v>
      </c>
      <c r="C164" s="1" t="s">
        <v>102</v>
      </c>
      <c r="D164" s="32">
        <v>7000000</v>
      </c>
      <c r="E164" s="32">
        <v>7560000</v>
      </c>
      <c r="F164" s="32">
        <v>7500000</v>
      </c>
      <c r="J164" s="1" t="s">
        <v>768</v>
      </c>
      <c r="K164" s="32">
        <v>18000000</v>
      </c>
      <c r="M164">
        <f>IFERROR(VLOOKUP(Salaries[[#This Row],[Player]],Player_Per_Game[[Player]:[PS/G]],29,FALSE),"")</f>
        <v>9.4</v>
      </c>
    </row>
    <row r="165" spans="1:13">
      <c r="A165" s="1">
        <v>160</v>
      </c>
      <c r="B165" s="1" t="s">
        <v>411</v>
      </c>
      <c r="C165" s="1" t="s">
        <v>311</v>
      </c>
      <c r="D165" s="32">
        <v>7000000</v>
      </c>
      <c r="E165" s="32">
        <v>7488372</v>
      </c>
      <c r="J165" s="1" t="s">
        <v>782</v>
      </c>
      <c r="K165" s="32">
        <v>14488372</v>
      </c>
      <c r="M165">
        <f>IFERROR(VLOOKUP(Salaries[[#This Row],[Player]],Player_Per_Game[[Player]:[PS/G]],29,FALSE),"")</f>
        <v>13.1</v>
      </c>
    </row>
    <row r="166" spans="1:13">
      <c r="A166" s="1">
        <v>161</v>
      </c>
      <c r="B166" s="1" t="s">
        <v>423</v>
      </c>
      <c r="C166" s="1" t="s">
        <v>64</v>
      </c>
      <c r="D166" s="32">
        <v>7000000</v>
      </c>
      <c r="E166" s="32">
        <v>7000000</v>
      </c>
      <c r="J166" s="1" t="s">
        <v>746</v>
      </c>
      <c r="K166" s="32">
        <v>14000000</v>
      </c>
      <c r="M166">
        <f>IFERROR(VLOOKUP(Salaries[[#This Row],[Player]],Player_Per_Game[[Player]:[PS/G]],29,FALSE),"")</f>
        <v>5.6</v>
      </c>
    </row>
    <row r="167" spans="1:13">
      <c r="A167" s="1">
        <v>162</v>
      </c>
      <c r="B167" s="1" t="s">
        <v>398</v>
      </c>
      <c r="C167" s="1" t="s">
        <v>305</v>
      </c>
      <c r="D167" s="32">
        <v>6796117</v>
      </c>
      <c r="E167" s="32">
        <v>7305825</v>
      </c>
      <c r="F167" s="32">
        <v>7815533</v>
      </c>
      <c r="J167" s="1" t="s">
        <v>768</v>
      </c>
      <c r="K167" s="32">
        <v>21917475</v>
      </c>
      <c r="M167">
        <f>IFERROR(VLOOKUP(Salaries[[#This Row],[Player]],Player_Per_Game[[Player]:[PS/G]],29,FALSE),"")</f>
        <v>9.5</v>
      </c>
    </row>
    <row r="168" spans="1:13">
      <c r="A168" s="1">
        <v>163</v>
      </c>
      <c r="B168" s="1" t="s">
        <v>42</v>
      </c>
      <c r="C168" s="1" t="s">
        <v>41</v>
      </c>
      <c r="D168" s="32">
        <v>6782392</v>
      </c>
      <c r="J168" s="1" t="s">
        <v>758</v>
      </c>
      <c r="K168" s="32">
        <v>6782392</v>
      </c>
      <c r="M168">
        <f>IFERROR(VLOOKUP(Salaries[[#This Row],[Player]],Player_Per_Game[[Player]:[PS/G]],29,FALSE),"")</f>
        <v>11.4</v>
      </c>
    </row>
    <row r="169" spans="1:13">
      <c r="A169" s="1">
        <v>164</v>
      </c>
      <c r="B169" s="1" t="s">
        <v>391</v>
      </c>
      <c r="C169" s="1" t="s">
        <v>157</v>
      </c>
      <c r="D169" s="32">
        <v>6666667</v>
      </c>
      <c r="E169" s="32">
        <v>7000000</v>
      </c>
      <c r="F169" s="32">
        <v>7333333</v>
      </c>
      <c r="J169" s="1" t="s">
        <v>737</v>
      </c>
      <c r="K169" s="32">
        <v>21000000</v>
      </c>
      <c r="M169">
        <f>IFERROR(VLOOKUP(Salaries[[#This Row],[Player]],Player_Per_Game[[Player]:[PS/G]],29,FALSE),"")</f>
        <v>6.1</v>
      </c>
    </row>
    <row r="170" spans="1:13">
      <c r="A170" s="1">
        <v>165</v>
      </c>
      <c r="B170" s="1" t="s">
        <v>507</v>
      </c>
      <c r="C170" s="1" t="s">
        <v>21</v>
      </c>
      <c r="D170" s="32">
        <v>6655325</v>
      </c>
      <c r="E170" s="32">
        <v>7119650</v>
      </c>
      <c r="F170" s="32">
        <v>7583975</v>
      </c>
      <c r="J170" s="1" t="s">
        <v>746</v>
      </c>
      <c r="K170" s="32">
        <v>13774975</v>
      </c>
      <c r="M170">
        <f>IFERROR(VLOOKUP(Salaries[[#This Row],[Player]],Player_Per_Game[[Player]:[PS/G]],29,FALSE),"")</f>
        <v>4</v>
      </c>
    </row>
    <row r="171" spans="1:13">
      <c r="A171" s="1">
        <v>166</v>
      </c>
      <c r="B171" s="1" t="s">
        <v>136</v>
      </c>
      <c r="C171" s="1" t="s">
        <v>96</v>
      </c>
      <c r="D171" s="32">
        <v>6352531</v>
      </c>
      <c r="J171" s="1" t="s">
        <v>746</v>
      </c>
      <c r="K171" s="32">
        <v>6352531</v>
      </c>
      <c r="M171">
        <f>IFERROR(VLOOKUP(Salaries[[#This Row],[Player]],Player_Per_Game[[Player]:[PS/G]],29,FALSE),"")</f>
        <v>5.6</v>
      </c>
    </row>
    <row r="172" spans="1:13">
      <c r="A172" s="1">
        <v>167</v>
      </c>
      <c r="B172" s="1" t="s">
        <v>14</v>
      </c>
      <c r="C172" s="1" t="s">
        <v>149</v>
      </c>
      <c r="D172" s="32">
        <v>6306060</v>
      </c>
      <c r="J172" s="1"/>
      <c r="K172" s="32">
        <v>6306060</v>
      </c>
      <c r="M172">
        <f>IFERROR(VLOOKUP(Salaries[[#This Row],[Player]],Player_Per_Game[[Player]:[PS/G]],29,FALSE),"")</f>
        <v>11.3</v>
      </c>
    </row>
    <row r="173" spans="1:13">
      <c r="A173" s="1">
        <v>168</v>
      </c>
      <c r="B173" s="1" t="s">
        <v>435</v>
      </c>
      <c r="C173" s="1" t="s">
        <v>75</v>
      </c>
      <c r="D173" s="32">
        <v>6300000</v>
      </c>
      <c r="E173" s="32">
        <v>6000000</v>
      </c>
      <c r="F173" s="32">
        <v>5700000</v>
      </c>
      <c r="J173" s="1" t="s">
        <v>738</v>
      </c>
      <c r="K173" s="32">
        <v>13300000</v>
      </c>
      <c r="M173">
        <f>IFERROR(VLOOKUP(Salaries[[#This Row],[Player]],Player_Per_Game[[Player]:[PS/G]],29,FALSE),"")</f>
        <v>13.9</v>
      </c>
    </row>
    <row r="174" spans="1:13">
      <c r="A174" s="1">
        <v>169</v>
      </c>
      <c r="B174" s="1" t="s">
        <v>346</v>
      </c>
      <c r="C174" s="1" t="s">
        <v>78</v>
      </c>
      <c r="D174" s="32">
        <v>6286560</v>
      </c>
      <c r="E174" s="32">
        <v>7461960</v>
      </c>
      <c r="F174" s="32">
        <v>8719320</v>
      </c>
      <c r="G174" s="32">
        <v>11003782</v>
      </c>
      <c r="J174" s="1" t="s">
        <v>758</v>
      </c>
      <c r="K174" s="32">
        <v>13748520</v>
      </c>
      <c r="M174">
        <f>IFERROR(VLOOKUP(Salaries[[#This Row],[Player]],Player_Per_Game[[Player]:[PS/G]],29,FALSE),"")</f>
        <v>10.1</v>
      </c>
    </row>
    <row r="175" spans="1:13">
      <c r="A175" s="1">
        <v>170</v>
      </c>
      <c r="B175" s="1" t="s">
        <v>207</v>
      </c>
      <c r="C175" s="1" t="s">
        <v>50</v>
      </c>
      <c r="D175" s="32">
        <v>6270000</v>
      </c>
      <c r="J175" s="1" t="s">
        <v>746</v>
      </c>
      <c r="K175" s="32">
        <v>6270000</v>
      </c>
      <c r="M175">
        <f>IFERROR(VLOOKUP(Salaries[[#This Row],[Player]],Player_Per_Game[[Player]:[PS/G]],29,FALSE),"")</f>
        <v>11.3</v>
      </c>
    </row>
    <row r="176" spans="1:13">
      <c r="A176" s="1">
        <v>171</v>
      </c>
      <c r="B176" s="1" t="s">
        <v>196</v>
      </c>
      <c r="C176" s="1" t="s">
        <v>78</v>
      </c>
      <c r="D176" s="32">
        <v>6261395</v>
      </c>
      <c r="J176" s="1"/>
      <c r="K176" s="32">
        <v>6261395</v>
      </c>
      <c r="M176">
        <f>IFERROR(VLOOKUP(Salaries[[#This Row],[Player]],Player_Per_Game[[Player]:[PS/G]],29,FALSE),"")</f>
        <v>15.2</v>
      </c>
    </row>
    <row r="177" spans="1:13">
      <c r="A177" s="1">
        <v>172</v>
      </c>
      <c r="B177" s="1" t="s">
        <v>6</v>
      </c>
      <c r="C177" s="1" t="s">
        <v>56</v>
      </c>
      <c r="D177" s="32">
        <v>6216840</v>
      </c>
      <c r="E177" s="32">
        <v>7839435</v>
      </c>
      <c r="J177" s="1" t="s">
        <v>754</v>
      </c>
      <c r="K177" s="32">
        <v>6216840</v>
      </c>
      <c r="M177">
        <f>IFERROR(VLOOKUP(Salaries[[#This Row],[Player]],Player_Per_Game[[Player]:[PS/G]],29,FALSE),"")</f>
        <v>20.7</v>
      </c>
    </row>
    <row r="178" spans="1:13">
      <c r="A178" s="1">
        <v>173</v>
      </c>
      <c r="B178" s="1" t="s">
        <v>559</v>
      </c>
      <c r="C178" s="1" t="s">
        <v>118</v>
      </c>
      <c r="D178" s="32">
        <v>6168840</v>
      </c>
      <c r="E178" s="32">
        <v>6434520</v>
      </c>
      <c r="F178" s="32">
        <v>8113930</v>
      </c>
      <c r="J178" s="1" t="s">
        <v>749</v>
      </c>
      <c r="K178" s="32">
        <v>12603360</v>
      </c>
      <c r="M178">
        <f>IFERROR(VLOOKUP(Salaries[[#This Row],[Player]],Player_Per_Game[[Player]:[PS/G]],29,FALSE),"")</f>
        <v>16.2</v>
      </c>
    </row>
    <row r="179" spans="1:13">
      <c r="A179" s="1">
        <v>174</v>
      </c>
      <c r="B179" s="1" t="s">
        <v>424</v>
      </c>
      <c r="C179" s="1" t="s">
        <v>118</v>
      </c>
      <c r="D179" s="32">
        <v>6100266</v>
      </c>
      <c r="E179" s="32">
        <v>25250000</v>
      </c>
      <c r="F179" s="32">
        <v>27270000</v>
      </c>
      <c r="G179" s="32">
        <v>29290000</v>
      </c>
      <c r="H179" s="32">
        <v>31310000</v>
      </c>
      <c r="J179" s="1" t="s">
        <v>758</v>
      </c>
      <c r="K179" s="32">
        <v>6100266</v>
      </c>
      <c r="M179">
        <f>IFERROR(VLOOKUP(Salaries[[#This Row],[Player]],Player_Per_Game[[Player]:[PS/G]],29,FALSE),"")</f>
        <v>23.6</v>
      </c>
    </row>
    <row r="180" spans="1:13">
      <c r="A180" s="1">
        <v>175</v>
      </c>
      <c r="B180" s="1" t="s">
        <v>773</v>
      </c>
      <c r="C180" s="1" t="s">
        <v>41</v>
      </c>
      <c r="D180" s="32">
        <v>6021175</v>
      </c>
      <c r="J180" s="1"/>
      <c r="K180" s="32">
        <v>6021175</v>
      </c>
      <c r="M180" t="str">
        <f>IFERROR(VLOOKUP(Salaries[[#This Row],[Player]],Player_Per_Game[[Player]:[PS/G]],29,FALSE),"")</f>
        <v/>
      </c>
    </row>
    <row r="181" spans="1:13">
      <c r="A181" s="1">
        <v>176</v>
      </c>
      <c r="B181" s="1" t="s">
        <v>39</v>
      </c>
      <c r="C181" s="1" t="s">
        <v>33</v>
      </c>
      <c r="D181" s="32">
        <v>6021175</v>
      </c>
      <c r="J181" s="1"/>
      <c r="K181" s="32">
        <v>6021175</v>
      </c>
      <c r="M181">
        <f>IFERROR(VLOOKUP(Salaries[[#This Row],[Player]],Player_Per_Game[[Player]:[PS/G]],29,FALSE),"")</f>
        <v>0</v>
      </c>
    </row>
    <row r="182" spans="1:13">
      <c r="A182" s="1">
        <v>177</v>
      </c>
      <c r="B182" s="1" t="s">
        <v>551</v>
      </c>
      <c r="C182" s="1" t="s">
        <v>157</v>
      </c>
      <c r="D182" s="32">
        <v>6000000</v>
      </c>
      <c r="E182" s="32">
        <v>6000000</v>
      </c>
      <c r="J182" s="1" t="s">
        <v>746</v>
      </c>
      <c r="K182" s="32">
        <v>12000000</v>
      </c>
      <c r="M182">
        <f>IFERROR(VLOOKUP(Salaries[[#This Row],[Player]],Player_Per_Game[[Player]:[PS/G]],29,FALSE),"")</f>
        <v>10.7</v>
      </c>
    </row>
    <row r="183" spans="1:13">
      <c r="A183" s="1">
        <v>178</v>
      </c>
      <c r="B183" s="1" t="s">
        <v>772</v>
      </c>
      <c r="C183" s="1" t="s">
        <v>313</v>
      </c>
      <c r="D183" s="32">
        <v>6000000</v>
      </c>
      <c r="E183" s="32">
        <v>5520000</v>
      </c>
      <c r="F183" s="32">
        <v>5520000</v>
      </c>
      <c r="J183" s="1" t="s">
        <v>738</v>
      </c>
      <c r="K183" s="32">
        <v>6000000</v>
      </c>
      <c r="M183" t="str">
        <f>IFERROR(VLOOKUP(Salaries[[#This Row],[Player]],Player_Per_Game[[Player]:[PS/G]],29,FALSE),"")</f>
        <v/>
      </c>
    </row>
    <row r="184" spans="1:13">
      <c r="A184" s="1">
        <v>179</v>
      </c>
      <c r="B184" s="1" t="s">
        <v>527</v>
      </c>
      <c r="C184" s="1" t="s">
        <v>75</v>
      </c>
      <c r="D184" s="32">
        <v>6000000</v>
      </c>
      <c r="E184" s="32">
        <v>6000000</v>
      </c>
      <c r="J184" s="1" t="s">
        <v>738</v>
      </c>
      <c r="K184" s="32">
        <v>6000000</v>
      </c>
      <c r="M184">
        <f>IFERROR(VLOOKUP(Salaries[[#This Row],[Player]],Player_Per_Game[[Player]:[PS/G]],29,FALSE),"")</f>
        <v>6.4</v>
      </c>
    </row>
    <row r="185" spans="1:13">
      <c r="A185" s="1">
        <v>180</v>
      </c>
      <c r="B185" s="1" t="s">
        <v>342</v>
      </c>
      <c r="C185" s="1" t="s">
        <v>64</v>
      </c>
      <c r="D185" s="32">
        <v>6000000</v>
      </c>
      <c r="E185" s="32">
        <v>6300000</v>
      </c>
      <c r="J185" s="1" t="s">
        <v>737</v>
      </c>
      <c r="K185" s="32">
        <v>6000000</v>
      </c>
      <c r="M185">
        <f>IFERROR(VLOOKUP(Salaries[[#This Row],[Player]],Player_Per_Game[[Player]:[PS/G]],29,FALSE),"")</f>
        <v>9.1999999999999993</v>
      </c>
    </row>
    <row r="186" spans="1:13">
      <c r="A186" s="1">
        <v>181</v>
      </c>
      <c r="B186" s="1" t="s">
        <v>208</v>
      </c>
      <c r="C186" s="1" t="s">
        <v>149</v>
      </c>
      <c r="D186" s="32">
        <v>6000000</v>
      </c>
      <c r="J186" s="1"/>
      <c r="K186" s="32">
        <v>6000000</v>
      </c>
      <c r="M186">
        <f>IFERROR(VLOOKUP(Salaries[[#This Row],[Player]],Player_Per_Game[[Player]:[PS/G]],29,FALSE),"")</f>
        <v>10.4</v>
      </c>
    </row>
    <row r="187" spans="1:13">
      <c r="A187" s="1">
        <v>182</v>
      </c>
      <c r="B187" s="1" t="s">
        <v>511</v>
      </c>
      <c r="C187" s="1" t="s">
        <v>149</v>
      </c>
      <c r="D187" s="32">
        <v>6000000</v>
      </c>
      <c r="E187" s="32">
        <v>6300000</v>
      </c>
      <c r="J187" s="1" t="s">
        <v>738</v>
      </c>
      <c r="K187" s="32">
        <v>6000000</v>
      </c>
      <c r="M187">
        <f>IFERROR(VLOOKUP(Salaries[[#This Row],[Player]],Player_Per_Game[[Player]:[PS/G]],29,FALSE),"")</f>
        <v>9.6</v>
      </c>
    </row>
    <row r="188" spans="1:13">
      <c r="A188" s="1">
        <v>183</v>
      </c>
      <c r="B188" s="1" t="s">
        <v>363</v>
      </c>
      <c r="C188" s="1" t="s">
        <v>50</v>
      </c>
      <c r="D188" s="32">
        <v>5881260</v>
      </c>
      <c r="E188" s="32">
        <v>19245370</v>
      </c>
      <c r="F188" s="32">
        <v>19245370</v>
      </c>
      <c r="J188" s="1" t="s">
        <v>746</v>
      </c>
      <c r="K188" s="32">
        <v>25126630</v>
      </c>
      <c r="M188">
        <f>IFERROR(VLOOKUP(Salaries[[#This Row],[Player]],Player_Per_Game[[Player]:[PS/G]],29,FALSE),"")</f>
        <v>11.9</v>
      </c>
    </row>
    <row r="189" spans="1:13">
      <c r="A189" s="1">
        <v>184</v>
      </c>
      <c r="B189" s="1" t="s">
        <v>439</v>
      </c>
      <c r="C189" s="1" t="s">
        <v>64</v>
      </c>
      <c r="D189" s="32">
        <v>5881260</v>
      </c>
      <c r="E189" s="32">
        <v>6134000</v>
      </c>
      <c r="J189" s="1" t="s">
        <v>746</v>
      </c>
      <c r="K189" s="32">
        <v>5881260</v>
      </c>
      <c r="M189">
        <f>IFERROR(VLOOKUP(Salaries[[#This Row],[Player]],Player_Per_Game[[Player]:[PS/G]],29,FALSE),"")</f>
        <v>5.6</v>
      </c>
    </row>
    <row r="190" spans="1:13">
      <c r="A190" s="1">
        <v>185</v>
      </c>
      <c r="B190" s="1" t="s">
        <v>442</v>
      </c>
      <c r="C190" s="1" t="s">
        <v>58</v>
      </c>
      <c r="D190" s="32">
        <v>5725000</v>
      </c>
      <c r="E190" s="32">
        <v>5455236</v>
      </c>
      <c r="J190" s="1" t="s">
        <v>746</v>
      </c>
      <c r="K190" s="32">
        <v>11180236</v>
      </c>
      <c r="M190">
        <f>IFERROR(VLOOKUP(Salaries[[#This Row],[Player]],Player_Per_Game[[Player]:[PS/G]],29,FALSE),"")</f>
        <v>4.8</v>
      </c>
    </row>
    <row r="191" spans="1:13">
      <c r="A191" s="1">
        <v>186</v>
      </c>
      <c r="B191" s="1" t="s">
        <v>431</v>
      </c>
      <c r="C191" s="1" t="s">
        <v>87</v>
      </c>
      <c r="D191" s="32">
        <v>5645400</v>
      </c>
      <c r="E191" s="32">
        <v>6700800</v>
      </c>
      <c r="F191" s="32">
        <v>7830000</v>
      </c>
      <c r="G191" s="32">
        <v>9897120</v>
      </c>
      <c r="J191" s="1" t="s">
        <v>758</v>
      </c>
      <c r="K191" s="32">
        <v>12346200</v>
      </c>
      <c r="M191">
        <f>IFERROR(VLOOKUP(Salaries[[#This Row],[Player]],Player_Per_Game[[Player]:[PS/G]],29,FALSE),"")</f>
        <v>13.5</v>
      </c>
    </row>
    <row r="192" spans="1:13">
      <c r="A192" s="1">
        <v>187</v>
      </c>
      <c r="B192" s="1" t="s">
        <v>349</v>
      </c>
      <c r="C192" s="1" t="s">
        <v>315</v>
      </c>
      <c r="D192" s="32">
        <v>5562360</v>
      </c>
      <c r="E192" s="32">
        <v>7019698</v>
      </c>
      <c r="J192" s="1" t="s">
        <v>754</v>
      </c>
      <c r="K192" s="32">
        <v>12582058</v>
      </c>
      <c r="M192">
        <f>IFERROR(VLOOKUP(Salaries[[#This Row],[Player]],Player_Per_Game[[Player]:[PS/G]],29,FALSE),"")</f>
        <v>16</v>
      </c>
    </row>
    <row r="193" spans="1:13">
      <c r="A193" s="1">
        <v>188</v>
      </c>
      <c r="B193" s="1" t="s">
        <v>496</v>
      </c>
      <c r="C193" s="1" t="s">
        <v>78</v>
      </c>
      <c r="D193" s="32">
        <v>5519400</v>
      </c>
      <c r="E193" s="32">
        <v>5757120</v>
      </c>
      <c r="F193" s="32">
        <v>7265485</v>
      </c>
      <c r="J193" s="1" t="s">
        <v>749</v>
      </c>
      <c r="K193" s="32">
        <v>11276520</v>
      </c>
      <c r="M193">
        <f>IFERROR(VLOOKUP(Salaries[[#This Row],[Player]],Player_Per_Game[[Player]:[PS/G]],29,FALSE),"")</f>
        <v>16.2</v>
      </c>
    </row>
    <row r="194" spans="1:13">
      <c r="A194" s="1">
        <v>189</v>
      </c>
      <c r="B194" s="1" t="s">
        <v>341</v>
      </c>
      <c r="C194" s="1" t="s">
        <v>64</v>
      </c>
      <c r="D194" s="32">
        <v>5513514</v>
      </c>
      <c r="E194" s="32">
        <v>5027028</v>
      </c>
      <c r="J194" s="1" t="s">
        <v>768</v>
      </c>
      <c r="K194" s="32">
        <v>5513514</v>
      </c>
      <c r="M194">
        <f>IFERROR(VLOOKUP(Salaries[[#This Row],[Player]],Player_Per_Game[[Player]:[PS/G]],29,FALSE),"")</f>
        <v>12.2</v>
      </c>
    </row>
    <row r="195" spans="1:13">
      <c r="A195" s="1">
        <v>190</v>
      </c>
      <c r="B195" s="1" t="s">
        <v>242</v>
      </c>
      <c r="C195" s="1" t="s">
        <v>75</v>
      </c>
      <c r="D195" s="32">
        <v>5504420</v>
      </c>
      <c r="J195" s="1" t="s">
        <v>758</v>
      </c>
      <c r="K195" s="32">
        <v>5504420</v>
      </c>
      <c r="M195">
        <f>IFERROR(VLOOKUP(Salaries[[#This Row],[Player]],Player_Per_Game[[Player]:[PS/G]],29,FALSE),"")</f>
        <v>18.3</v>
      </c>
    </row>
    <row r="196" spans="1:13">
      <c r="A196" s="1">
        <v>191</v>
      </c>
      <c r="B196" s="1" t="s">
        <v>783</v>
      </c>
      <c r="C196" s="1" t="s">
        <v>315</v>
      </c>
      <c r="D196" s="32">
        <v>5500000</v>
      </c>
      <c r="E196" s="32">
        <v>5500000</v>
      </c>
      <c r="F196" s="32">
        <v>5500000</v>
      </c>
      <c r="J196" s="1"/>
      <c r="K196" s="32">
        <v>16500000</v>
      </c>
      <c r="M196" t="str">
        <f>IFERROR(VLOOKUP(Salaries[[#This Row],[Player]],Player_Per_Game[[Player]:[PS/G]],29,FALSE),"")</f>
        <v/>
      </c>
    </row>
    <row r="197" spans="1:13">
      <c r="A197" s="1">
        <v>192</v>
      </c>
      <c r="B197" s="1" t="s">
        <v>636</v>
      </c>
      <c r="C197" s="1" t="s">
        <v>157</v>
      </c>
      <c r="D197" s="32">
        <v>5400000</v>
      </c>
      <c r="E197" s="32">
        <v>5400000</v>
      </c>
      <c r="F197" s="32">
        <v>5400000</v>
      </c>
      <c r="J197" s="1"/>
      <c r="K197" s="32">
        <v>16200000</v>
      </c>
      <c r="M197">
        <f>IFERROR(VLOOKUP(Salaries[[#This Row],[Player]],Player_Per_Game[[Player]:[PS/G]],29,FALSE),"")</f>
        <v>0.7</v>
      </c>
    </row>
    <row r="198" spans="1:13">
      <c r="A198" s="1">
        <v>193</v>
      </c>
      <c r="B198" s="1" t="s">
        <v>468</v>
      </c>
      <c r="C198" s="1" t="s">
        <v>305</v>
      </c>
      <c r="D198" s="32">
        <v>5250000</v>
      </c>
      <c r="E198" s="32">
        <v>5250000</v>
      </c>
      <c r="J198" s="1" t="s">
        <v>738</v>
      </c>
      <c r="K198" s="32">
        <v>5250000</v>
      </c>
      <c r="M198">
        <f>IFERROR(VLOOKUP(Salaries[[#This Row],[Player]],Player_Per_Game[[Player]:[PS/G]],29,FALSE),"")</f>
        <v>8.1999999999999993</v>
      </c>
    </row>
    <row r="199" spans="1:13">
      <c r="A199" s="1">
        <v>194</v>
      </c>
      <c r="B199" s="1" t="s">
        <v>291</v>
      </c>
      <c r="C199" s="1" t="s">
        <v>27</v>
      </c>
      <c r="D199" s="32">
        <v>5225000</v>
      </c>
      <c r="E199" s="32">
        <v>5450000</v>
      </c>
      <c r="J199" s="1" t="s">
        <v>746</v>
      </c>
      <c r="K199" s="32">
        <v>5225000</v>
      </c>
      <c r="M199">
        <f>IFERROR(VLOOKUP(Salaries[[#This Row],[Player]],Player_Per_Game[[Player]:[PS/G]],29,FALSE),"")</f>
        <v>3.4</v>
      </c>
    </row>
    <row r="200" spans="1:13">
      <c r="A200" s="1">
        <v>195</v>
      </c>
      <c r="B200" s="1" t="s">
        <v>443</v>
      </c>
      <c r="C200" s="1" t="s">
        <v>128</v>
      </c>
      <c r="D200" s="32">
        <v>5200000</v>
      </c>
      <c r="E200" s="32">
        <v>5460000</v>
      </c>
      <c r="J200" s="1" t="s">
        <v>737</v>
      </c>
      <c r="K200" s="32">
        <v>10660000</v>
      </c>
      <c r="M200">
        <f>IFERROR(VLOOKUP(Salaries[[#This Row],[Player]],Player_Per_Game[[Player]:[PS/G]],29,FALSE),"")</f>
        <v>7</v>
      </c>
    </row>
    <row r="201" spans="1:13">
      <c r="A201" s="1">
        <v>196</v>
      </c>
      <c r="B201" s="1" t="s">
        <v>484</v>
      </c>
      <c r="C201" s="1" t="s">
        <v>58</v>
      </c>
      <c r="D201" s="32">
        <v>5192000</v>
      </c>
      <c r="E201" s="32">
        <v>5451600</v>
      </c>
      <c r="F201" s="32">
        <v>5711200</v>
      </c>
      <c r="J201" s="1" t="s">
        <v>737</v>
      </c>
      <c r="K201" s="32">
        <v>10643600</v>
      </c>
      <c r="M201">
        <f>IFERROR(VLOOKUP(Salaries[[#This Row],[Player]],Player_Per_Game[[Player]:[PS/G]],29,FALSE),"")</f>
        <v>3.8</v>
      </c>
    </row>
    <row r="202" spans="1:13">
      <c r="A202" s="1">
        <v>197</v>
      </c>
      <c r="B202" s="1" t="s">
        <v>156</v>
      </c>
      <c r="C202" s="1" t="s">
        <v>73</v>
      </c>
      <c r="D202" s="32">
        <v>5192000</v>
      </c>
      <c r="J202" s="1" t="s">
        <v>737</v>
      </c>
      <c r="K202" s="32">
        <v>5192000</v>
      </c>
      <c r="M202">
        <f>IFERROR(VLOOKUP(Salaries[[#This Row],[Player]],Player_Per_Game[[Player]:[PS/G]],29,FALSE),"")</f>
        <v>7.1</v>
      </c>
    </row>
    <row r="203" spans="1:13">
      <c r="A203" s="1">
        <v>198</v>
      </c>
      <c r="B203" s="1" t="s">
        <v>129</v>
      </c>
      <c r="C203" s="1" t="s">
        <v>128</v>
      </c>
      <c r="D203" s="32">
        <v>5179760</v>
      </c>
      <c r="J203" s="1"/>
      <c r="K203" s="32">
        <v>5179760</v>
      </c>
      <c r="M203">
        <f>IFERROR(VLOOKUP(Salaries[[#This Row],[Player]],Player_Per_Game[[Player]:[PS/G]],29,FALSE),"")</f>
        <v>5</v>
      </c>
    </row>
    <row r="204" spans="1:13">
      <c r="A204" s="1">
        <v>199</v>
      </c>
      <c r="B204" s="1" t="s">
        <v>459</v>
      </c>
      <c r="C204" s="1" t="s">
        <v>313</v>
      </c>
      <c r="D204" s="32">
        <v>5090040</v>
      </c>
      <c r="E204" s="32">
        <v>6041520</v>
      </c>
      <c r="F204" s="32">
        <v>7059480</v>
      </c>
      <c r="G204" s="32">
        <v>8930242</v>
      </c>
      <c r="J204" s="1" t="s">
        <v>758</v>
      </c>
      <c r="K204" s="32">
        <v>11131560</v>
      </c>
      <c r="M204">
        <f>IFERROR(VLOOKUP(Salaries[[#This Row],[Player]],Player_Per_Game[[Player]:[PS/G]],29,FALSE),"")</f>
        <v>12.1</v>
      </c>
    </row>
    <row r="205" spans="1:13">
      <c r="A205" s="1">
        <v>200</v>
      </c>
      <c r="B205" s="1" t="s">
        <v>400</v>
      </c>
      <c r="C205" s="1" t="s">
        <v>87</v>
      </c>
      <c r="D205" s="32">
        <v>5000000</v>
      </c>
      <c r="E205" s="32">
        <v>5375000</v>
      </c>
      <c r="J205" s="1" t="s">
        <v>768</v>
      </c>
      <c r="K205" s="32">
        <v>10375000</v>
      </c>
      <c r="M205">
        <f>IFERROR(VLOOKUP(Salaries[[#This Row],[Player]],Player_Per_Game[[Player]:[PS/G]],29,FALSE),"")</f>
        <v>12.7</v>
      </c>
    </row>
    <row r="206" spans="1:13">
      <c r="A206" s="1">
        <v>201</v>
      </c>
      <c r="B206" s="1" t="s">
        <v>385</v>
      </c>
      <c r="C206" s="1" t="s">
        <v>33</v>
      </c>
      <c r="D206" s="32">
        <v>5000000</v>
      </c>
      <c r="E206" s="32">
        <v>5000000</v>
      </c>
      <c r="J206" s="1" t="s">
        <v>738</v>
      </c>
      <c r="K206" s="32">
        <v>5000000</v>
      </c>
      <c r="M206">
        <f>IFERROR(VLOOKUP(Salaries[[#This Row],[Player]],Player_Per_Game[[Player]:[PS/G]],29,FALSE),"")</f>
        <v>12.3</v>
      </c>
    </row>
    <row r="207" spans="1:13">
      <c r="A207" s="1">
        <v>202</v>
      </c>
      <c r="B207" s="1" t="s">
        <v>199</v>
      </c>
      <c r="C207" s="1" t="s">
        <v>87</v>
      </c>
      <c r="D207" s="32">
        <v>5000000</v>
      </c>
      <c r="J207" s="1" t="s">
        <v>907</v>
      </c>
      <c r="K207" s="32">
        <v>5000000</v>
      </c>
      <c r="M207">
        <f>IFERROR(VLOOKUP(Salaries[[#This Row],[Player]],Player_Per_Game[[Player]:[PS/G]],29,FALSE),"")</f>
        <v>10</v>
      </c>
    </row>
    <row r="208" spans="1:13">
      <c r="A208" s="1">
        <v>203</v>
      </c>
      <c r="B208" s="1" t="s">
        <v>492</v>
      </c>
      <c r="C208" s="1" t="s">
        <v>149</v>
      </c>
      <c r="D208" s="32">
        <v>5000000</v>
      </c>
      <c r="E208" s="32">
        <v>5000000</v>
      </c>
      <c r="J208" s="1" t="s">
        <v>738</v>
      </c>
      <c r="K208" s="32">
        <v>5000000</v>
      </c>
      <c r="M208">
        <f>IFERROR(VLOOKUP(Salaries[[#This Row],[Player]],Player_Per_Game[[Player]:[PS/G]],29,FALSE),"")</f>
        <v>7</v>
      </c>
    </row>
    <row r="209" spans="1:13">
      <c r="A209" s="1">
        <v>204</v>
      </c>
      <c r="B209" s="1" t="s">
        <v>147</v>
      </c>
      <c r="C209" s="1" t="s">
        <v>315</v>
      </c>
      <c r="D209" s="32">
        <v>4995120</v>
      </c>
      <c r="J209" s="1" t="s">
        <v>754</v>
      </c>
      <c r="K209" s="32">
        <v>4995120</v>
      </c>
      <c r="M209">
        <f>IFERROR(VLOOKUP(Salaries[[#This Row],[Player]],Player_Per_Game[[Player]:[PS/G]],29,FALSE),"")</f>
        <v>6</v>
      </c>
    </row>
    <row r="210" spans="1:13">
      <c r="A210" s="1">
        <v>205</v>
      </c>
      <c r="B210" s="1" t="s">
        <v>37</v>
      </c>
      <c r="C210" s="1" t="s">
        <v>305</v>
      </c>
      <c r="D210" s="32">
        <v>4992385</v>
      </c>
      <c r="J210" s="1" t="s">
        <v>758</v>
      </c>
      <c r="K210" s="32">
        <v>4992385</v>
      </c>
      <c r="M210">
        <f>IFERROR(VLOOKUP(Salaries[[#This Row],[Player]],Player_Per_Game[[Player]:[PS/G]],29,FALSE),"")</f>
        <v>6</v>
      </c>
    </row>
    <row r="211" spans="1:13">
      <c r="A211" s="1">
        <v>206</v>
      </c>
      <c r="B211" s="1" t="s">
        <v>779</v>
      </c>
      <c r="C211" s="1" t="s">
        <v>112</v>
      </c>
      <c r="D211" s="32">
        <v>4961798</v>
      </c>
      <c r="E211" s="32">
        <v>5285394</v>
      </c>
      <c r="J211" s="1" t="s">
        <v>778</v>
      </c>
      <c r="K211" s="32">
        <v>10247192</v>
      </c>
      <c r="M211" t="str">
        <f>IFERROR(VLOOKUP(Salaries[[#This Row],[Player]],Player_Per_Game[[Player]:[PS/G]],29,FALSE),"")</f>
        <v/>
      </c>
    </row>
    <row r="212" spans="1:13">
      <c r="A212" s="1">
        <v>207</v>
      </c>
      <c r="B212" s="1" t="s">
        <v>369</v>
      </c>
      <c r="C212" s="1" t="s">
        <v>87</v>
      </c>
      <c r="D212" s="32">
        <v>4956480</v>
      </c>
      <c r="E212" s="32">
        <v>5169960</v>
      </c>
      <c r="F212" s="32">
        <v>6534829</v>
      </c>
      <c r="J212" s="1" t="s">
        <v>774</v>
      </c>
      <c r="K212" s="32">
        <v>10126440</v>
      </c>
      <c r="M212">
        <f>IFERROR(VLOOKUP(Salaries[[#This Row],[Player]],Player_Per_Game[[Player]:[PS/G]],29,FALSE),"")</f>
        <v>14.1</v>
      </c>
    </row>
    <row r="213" spans="1:13">
      <c r="A213" s="1">
        <v>208</v>
      </c>
      <c r="B213" s="1" t="s">
        <v>127</v>
      </c>
      <c r="C213" s="1" t="s">
        <v>61</v>
      </c>
      <c r="D213" s="32">
        <v>4736050</v>
      </c>
      <c r="J213" s="1"/>
      <c r="K213" s="32">
        <v>4736050</v>
      </c>
      <c r="M213">
        <f>IFERROR(VLOOKUP(Salaries[[#This Row],[Player]],Player_Per_Game[[Player]:[PS/G]],29,FALSE),"")</f>
        <v>4.9000000000000004</v>
      </c>
    </row>
    <row r="214" spans="1:13">
      <c r="A214" s="1">
        <v>209</v>
      </c>
      <c r="B214" s="1" t="s">
        <v>607</v>
      </c>
      <c r="C214" s="1" t="s">
        <v>58</v>
      </c>
      <c r="D214" s="32">
        <v>4666500</v>
      </c>
      <c r="E214" s="32">
        <v>4996000</v>
      </c>
      <c r="F214" s="32">
        <v>5333500</v>
      </c>
      <c r="J214" s="1" t="s">
        <v>768</v>
      </c>
      <c r="K214" s="32">
        <v>9662500</v>
      </c>
      <c r="M214">
        <f>IFERROR(VLOOKUP(Salaries[[#This Row],[Player]],Player_Per_Game[[Player]:[PS/G]],29,FALSE),"")</f>
        <v>1.9</v>
      </c>
    </row>
    <row r="215" spans="1:13">
      <c r="A215" s="58">
        <v>210</v>
      </c>
      <c r="B215" s="1" t="s">
        <v>321</v>
      </c>
      <c r="C215" s="1" t="s">
        <v>43</v>
      </c>
      <c r="D215" s="32">
        <v>4615385</v>
      </c>
      <c r="E215" s="32">
        <v>4384616</v>
      </c>
      <c r="J215" s="1" t="s">
        <v>737</v>
      </c>
      <c r="K215" s="32">
        <v>9000001</v>
      </c>
      <c r="M215">
        <f>IFERROR(VLOOKUP(Salaries[[#This Row],[Player]],Player_Per_Game[[Player]:[PS/G]],29,FALSE),"")</f>
        <v>12.6</v>
      </c>
    </row>
    <row r="216" spans="1:13">
      <c r="A216" s="1">
        <v>211</v>
      </c>
      <c r="B216" s="1" t="s">
        <v>503</v>
      </c>
      <c r="C216" s="1" t="s">
        <v>100</v>
      </c>
      <c r="D216" s="32">
        <v>4609200</v>
      </c>
      <c r="E216" s="32">
        <v>5407920</v>
      </c>
      <c r="F216" s="32">
        <v>6392760</v>
      </c>
      <c r="G216" s="32">
        <v>8099627</v>
      </c>
      <c r="J216" s="1" t="s">
        <v>758</v>
      </c>
      <c r="K216" s="32">
        <v>10017120</v>
      </c>
      <c r="M216">
        <f>IFERROR(VLOOKUP(Salaries[[#This Row],[Player]],Player_Per_Game[[Player]:[PS/G]],29,FALSE),"")</f>
        <v>11.6</v>
      </c>
    </row>
    <row r="217" spans="1:13">
      <c r="A217" s="1">
        <v>212</v>
      </c>
      <c r="B217" s="1" t="s">
        <v>198</v>
      </c>
      <c r="C217" s="1" t="s">
        <v>87</v>
      </c>
      <c r="D217" s="32">
        <v>4538020</v>
      </c>
      <c r="J217" s="1" t="s">
        <v>758</v>
      </c>
      <c r="K217" s="32">
        <v>4538020</v>
      </c>
      <c r="M217">
        <f>IFERROR(VLOOKUP(Salaries[[#This Row],[Player]],Player_Per_Game[[Player]:[PS/G]],29,FALSE),"")</f>
        <v>10.199999999999999</v>
      </c>
    </row>
    <row r="218" spans="1:13">
      <c r="A218" s="1">
        <v>213</v>
      </c>
      <c r="B218" s="1" t="s">
        <v>360</v>
      </c>
      <c r="C218" s="1" t="s">
        <v>21</v>
      </c>
      <c r="D218" s="32">
        <v>4503600</v>
      </c>
      <c r="E218" s="32">
        <v>5697054</v>
      </c>
      <c r="J218" s="1" t="s">
        <v>754</v>
      </c>
      <c r="K218" s="32">
        <v>10200654</v>
      </c>
      <c r="M218">
        <f>IFERROR(VLOOKUP(Salaries[[#This Row],[Player]],Player_Per_Game[[Player]:[PS/G]],29,FALSE),"")</f>
        <v>22.7</v>
      </c>
    </row>
    <row r="219" spans="1:13">
      <c r="A219" s="1">
        <v>214</v>
      </c>
      <c r="B219" s="1" t="s">
        <v>402</v>
      </c>
      <c r="C219" s="1" t="s">
        <v>313</v>
      </c>
      <c r="D219" s="32">
        <v>4468800</v>
      </c>
      <c r="E219" s="32">
        <v>4661280</v>
      </c>
      <c r="F219" s="32">
        <v>5896519</v>
      </c>
      <c r="J219" s="1" t="s">
        <v>749</v>
      </c>
      <c r="K219" s="32">
        <v>9130080</v>
      </c>
      <c r="M219">
        <f>IFERROR(VLOOKUP(Salaries[[#This Row],[Player]],Player_Per_Game[[Player]:[PS/G]],29,FALSE),"")</f>
        <v>6.2</v>
      </c>
    </row>
    <row r="220" spans="1:13">
      <c r="A220" s="1">
        <v>215</v>
      </c>
      <c r="B220" s="1" t="s">
        <v>187</v>
      </c>
      <c r="C220" s="1" t="s">
        <v>61</v>
      </c>
      <c r="D220" s="32">
        <v>4402546</v>
      </c>
      <c r="J220" s="1" t="s">
        <v>746</v>
      </c>
      <c r="K220" s="32">
        <v>4402546</v>
      </c>
      <c r="M220">
        <f>IFERROR(VLOOKUP(Salaries[[#This Row],[Player]],Player_Per_Game[[Player]:[PS/G]],29,FALSE),"")</f>
        <v>8.3000000000000007</v>
      </c>
    </row>
    <row r="221" spans="1:13">
      <c r="A221" s="1">
        <v>216</v>
      </c>
      <c r="B221" s="1" t="s">
        <v>523</v>
      </c>
      <c r="C221" s="1" t="s">
        <v>21</v>
      </c>
      <c r="D221" s="32">
        <v>4328000</v>
      </c>
      <c r="E221" s="32">
        <v>4544400</v>
      </c>
      <c r="J221" s="1" t="s">
        <v>761</v>
      </c>
      <c r="K221" s="32">
        <v>4328000</v>
      </c>
      <c r="M221">
        <f>IFERROR(VLOOKUP(Salaries[[#This Row],[Player]],Player_Per_Game[[Player]:[PS/G]],29,FALSE),"")</f>
        <v>2.4</v>
      </c>
    </row>
    <row r="222" spans="1:13">
      <c r="A222" s="1">
        <v>217</v>
      </c>
      <c r="B222" s="1" t="s">
        <v>7</v>
      </c>
      <c r="C222" s="1" t="s">
        <v>56</v>
      </c>
      <c r="D222" s="32">
        <v>4328000</v>
      </c>
      <c r="E222" s="32">
        <v>4544400</v>
      </c>
      <c r="J222" s="1" t="s">
        <v>761</v>
      </c>
      <c r="K222" s="32">
        <v>4328000</v>
      </c>
      <c r="M222">
        <f>IFERROR(VLOOKUP(Salaries[[#This Row],[Player]],Player_Per_Game[[Player]:[PS/G]],29,FALSE),"")</f>
        <v>10.199999999999999</v>
      </c>
    </row>
    <row r="223" spans="1:13">
      <c r="A223" s="1">
        <v>218</v>
      </c>
      <c r="B223" s="1" t="s">
        <v>145</v>
      </c>
      <c r="C223" s="1" t="s">
        <v>87</v>
      </c>
      <c r="D223" s="32">
        <v>4328000</v>
      </c>
      <c r="J223" s="1" t="s">
        <v>761</v>
      </c>
      <c r="K223" s="32">
        <v>4328000</v>
      </c>
      <c r="M223">
        <f>IFERROR(VLOOKUP(Salaries[[#This Row],[Player]],Player_Per_Game[[Player]:[PS/G]],29,FALSE),"")</f>
        <v>5.6</v>
      </c>
    </row>
    <row r="224" spans="1:13">
      <c r="A224" s="1">
        <v>219</v>
      </c>
      <c r="B224" s="1" t="s">
        <v>191</v>
      </c>
      <c r="C224" s="1" t="s">
        <v>313</v>
      </c>
      <c r="D224" s="32">
        <v>4187599</v>
      </c>
      <c r="J224" s="1" t="s">
        <v>758</v>
      </c>
      <c r="K224" s="32">
        <v>4187599</v>
      </c>
      <c r="M224">
        <f>IFERROR(VLOOKUP(Salaries[[#This Row],[Player]],Player_Per_Game[[Player]:[PS/G]],29,FALSE),"")</f>
        <v>7.8</v>
      </c>
    </row>
    <row r="225" spans="1:13">
      <c r="A225" s="1">
        <v>220</v>
      </c>
      <c r="B225" s="1" t="s">
        <v>107</v>
      </c>
      <c r="C225" s="1" t="s">
        <v>33</v>
      </c>
      <c r="D225" s="32">
        <v>4187599</v>
      </c>
      <c r="J225" s="1" t="s">
        <v>758</v>
      </c>
      <c r="K225" s="32">
        <v>4187599</v>
      </c>
      <c r="M225">
        <f>IFERROR(VLOOKUP(Salaries[[#This Row],[Player]],Player_Per_Game[[Player]:[PS/G]],29,FALSE),"")</f>
        <v>4.2</v>
      </c>
    </row>
    <row r="226" spans="1:13">
      <c r="A226" s="1">
        <v>221</v>
      </c>
      <c r="B226" s="1" t="s">
        <v>522</v>
      </c>
      <c r="C226" s="1" t="s">
        <v>75</v>
      </c>
      <c r="D226" s="32">
        <v>4186320</v>
      </c>
      <c r="E226" s="32">
        <v>4969080</v>
      </c>
      <c r="F226" s="32">
        <v>5806440</v>
      </c>
      <c r="G226" s="32">
        <v>7362566</v>
      </c>
      <c r="J226" s="1" t="s">
        <v>758</v>
      </c>
      <c r="K226" s="32">
        <v>9155400</v>
      </c>
      <c r="M226">
        <f>IFERROR(VLOOKUP(Salaries[[#This Row],[Player]],Player_Per_Game[[Player]:[PS/G]],29,FALSE),"")</f>
        <v>4.8</v>
      </c>
    </row>
    <row r="227" spans="1:13">
      <c r="A227" s="1">
        <v>222</v>
      </c>
      <c r="B227" s="1" t="s">
        <v>458</v>
      </c>
      <c r="C227" s="1" t="s">
        <v>30</v>
      </c>
      <c r="D227" s="32">
        <v>4180000</v>
      </c>
      <c r="E227" s="32">
        <v>4360000</v>
      </c>
      <c r="J227" s="1" t="s">
        <v>738</v>
      </c>
      <c r="K227" s="32">
        <v>4180000</v>
      </c>
      <c r="M227">
        <f>IFERROR(VLOOKUP(Salaries[[#This Row],[Player]],Player_Per_Game[[Player]:[PS/G]],29,FALSE),"")</f>
        <v>9.5</v>
      </c>
    </row>
    <row r="228" spans="1:13">
      <c r="A228" s="1">
        <v>223</v>
      </c>
      <c r="B228" s="1" t="s">
        <v>221</v>
      </c>
      <c r="C228" s="1" t="s">
        <v>78</v>
      </c>
      <c r="D228" s="32">
        <v>4149242</v>
      </c>
      <c r="J228" s="1" t="s">
        <v>758</v>
      </c>
      <c r="K228" s="32">
        <v>4149242</v>
      </c>
      <c r="M228">
        <f>IFERROR(VLOOKUP(Salaries[[#This Row],[Player]],Player_Per_Game[[Player]:[PS/G]],29,FALSE),"")</f>
        <v>15.9</v>
      </c>
    </row>
    <row r="229" spans="1:13">
      <c r="A229" s="1">
        <v>224</v>
      </c>
      <c r="B229" s="1" t="s">
        <v>568</v>
      </c>
      <c r="C229" s="1" t="s">
        <v>21</v>
      </c>
      <c r="D229" s="32">
        <v>4087500</v>
      </c>
      <c r="E229" s="32">
        <v>4256250</v>
      </c>
      <c r="J229" s="1" t="s">
        <v>768</v>
      </c>
      <c r="K229" s="32">
        <v>4087500</v>
      </c>
      <c r="M229">
        <f>IFERROR(VLOOKUP(Salaries[[#This Row],[Player]],Player_Per_Game[[Player]:[PS/G]],29,FALSE),"")</f>
        <v>6.9</v>
      </c>
    </row>
    <row r="230" spans="1:13">
      <c r="A230" s="1">
        <v>225</v>
      </c>
      <c r="B230" s="1" t="s">
        <v>160</v>
      </c>
      <c r="C230" s="1" t="s">
        <v>75</v>
      </c>
      <c r="D230" s="32">
        <v>4078320</v>
      </c>
      <c r="J230" s="1" t="s">
        <v>754</v>
      </c>
      <c r="K230" s="32">
        <v>4078320</v>
      </c>
      <c r="M230">
        <f>IFERROR(VLOOKUP(Salaries[[#This Row],[Player]],Player_Per_Game[[Player]:[PS/G]],29,FALSE),"")</f>
        <v>9</v>
      </c>
    </row>
    <row r="231" spans="1:13">
      <c r="A231" s="1">
        <v>226</v>
      </c>
      <c r="B231" s="1" t="s">
        <v>451</v>
      </c>
      <c r="C231" s="1" t="s">
        <v>43</v>
      </c>
      <c r="D231" s="32">
        <v>4046760</v>
      </c>
      <c r="E231" s="32">
        <v>4221000</v>
      </c>
      <c r="F231" s="32">
        <v>5348007</v>
      </c>
      <c r="J231" s="1" t="s">
        <v>749</v>
      </c>
      <c r="K231" s="32">
        <v>8267760</v>
      </c>
      <c r="M231">
        <f>IFERROR(VLOOKUP(Salaries[[#This Row],[Player]],Player_Per_Game[[Player]:[PS/G]],29,FALSE),"")</f>
        <v>13.4</v>
      </c>
    </row>
    <row r="232" spans="1:13">
      <c r="A232" s="1">
        <v>227</v>
      </c>
      <c r="B232" s="1" t="s">
        <v>466</v>
      </c>
      <c r="C232" s="1" t="s">
        <v>305</v>
      </c>
      <c r="D232" s="32">
        <v>4000000</v>
      </c>
      <c r="E232" s="32">
        <v>4200000</v>
      </c>
      <c r="J232" s="1" t="s">
        <v>738</v>
      </c>
      <c r="K232" s="32">
        <v>4000000</v>
      </c>
      <c r="M232">
        <f>IFERROR(VLOOKUP(Salaries[[#This Row],[Player]],Player_Per_Game[[Player]:[PS/G]],29,FALSE),"")</f>
        <v>5.8</v>
      </c>
    </row>
    <row r="233" spans="1:13">
      <c r="A233" s="1">
        <v>228</v>
      </c>
      <c r="B233" s="1" t="s">
        <v>5</v>
      </c>
      <c r="C233" s="1" t="s">
        <v>56</v>
      </c>
      <c r="D233" s="32">
        <v>3949999</v>
      </c>
      <c r="J233" s="1" t="s">
        <v>737</v>
      </c>
      <c r="K233" s="32">
        <v>3949999</v>
      </c>
      <c r="M233">
        <f>IFERROR(VLOOKUP(Salaries[[#This Row],[Player]],Player_Per_Game[[Player]:[PS/G]],29,FALSE),"")</f>
        <v>6.9</v>
      </c>
    </row>
    <row r="234" spans="1:13">
      <c r="A234" s="1">
        <v>229</v>
      </c>
      <c r="B234" s="1" t="s">
        <v>368</v>
      </c>
      <c r="C234" s="1" t="s">
        <v>33</v>
      </c>
      <c r="D234" s="32">
        <v>3903900</v>
      </c>
      <c r="E234" s="32">
        <v>3710850</v>
      </c>
      <c r="J234" s="1" t="s">
        <v>746</v>
      </c>
      <c r="K234" s="32">
        <v>7614750</v>
      </c>
      <c r="M234">
        <f>IFERROR(VLOOKUP(Salaries[[#This Row],[Player]],Player_Per_Game[[Player]:[PS/G]],29,FALSE),"")</f>
        <v>11.5</v>
      </c>
    </row>
    <row r="235" spans="1:13">
      <c r="A235" s="1">
        <v>230</v>
      </c>
      <c r="B235" s="1" t="s">
        <v>66</v>
      </c>
      <c r="C235" s="1" t="s">
        <v>43</v>
      </c>
      <c r="D235" s="32">
        <v>3853931</v>
      </c>
      <c r="J235" s="1"/>
      <c r="K235" s="32">
        <v>3853931</v>
      </c>
      <c r="M235">
        <f>IFERROR(VLOOKUP(Salaries[[#This Row],[Player]],Player_Per_Game[[Player]:[PS/G]],29,FALSE),"")</f>
        <v>2</v>
      </c>
    </row>
    <row r="236" spans="1:13">
      <c r="A236" s="1">
        <v>231</v>
      </c>
      <c r="B236" s="1" t="s">
        <v>316</v>
      </c>
      <c r="C236" s="1" t="s">
        <v>43</v>
      </c>
      <c r="D236" s="32">
        <v>3821640</v>
      </c>
      <c r="E236" s="32">
        <v>4536120</v>
      </c>
      <c r="F236" s="32">
        <v>5300400</v>
      </c>
      <c r="G236" s="32">
        <v>6731508</v>
      </c>
      <c r="J236" s="1" t="s">
        <v>758</v>
      </c>
      <c r="K236" s="32">
        <v>8357760</v>
      </c>
      <c r="M236">
        <f>IFERROR(VLOOKUP(Salaries[[#This Row],[Player]],Player_Per_Game[[Player]:[PS/G]],29,FALSE),"")</f>
        <v>14.9</v>
      </c>
    </row>
    <row r="237" spans="1:13">
      <c r="A237" s="1">
        <v>232</v>
      </c>
      <c r="B237" s="1" t="s">
        <v>111</v>
      </c>
      <c r="C237" s="1" t="s">
        <v>315</v>
      </c>
      <c r="D237" s="32">
        <v>3807146</v>
      </c>
      <c r="J237" s="1" t="s">
        <v>758</v>
      </c>
      <c r="K237" s="32">
        <v>3807146</v>
      </c>
      <c r="M237">
        <f>IFERROR(VLOOKUP(Salaries[[#This Row],[Player]],Player_Per_Game[[Player]:[PS/G]],29,FALSE),"")</f>
        <v>4.0999999999999996</v>
      </c>
    </row>
    <row r="238" spans="1:13">
      <c r="A238" s="1">
        <v>233</v>
      </c>
      <c r="B238" s="1" t="s">
        <v>563</v>
      </c>
      <c r="C238" s="1" t="s">
        <v>100</v>
      </c>
      <c r="D238" s="32">
        <v>3704160</v>
      </c>
      <c r="E238" s="32">
        <v>4696875</v>
      </c>
      <c r="J238" s="1" t="s">
        <v>754</v>
      </c>
      <c r="K238" s="32">
        <v>8401035</v>
      </c>
      <c r="M238">
        <f>IFERROR(VLOOKUP(Salaries[[#This Row],[Player]],Player_Per_Game[[Player]:[PS/G]],29,FALSE),"")</f>
        <v>12.3</v>
      </c>
    </row>
    <row r="239" spans="1:13">
      <c r="A239" s="1">
        <v>234</v>
      </c>
      <c r="B239" s="1" t="s">
        <v>359</v>
      </c>
      <c r="C239" s="1" t="s">
        <v>100</v>
      </c>
      <c r="D239" s="32">
        <v>3675480</v>
      </c>
      <c r="E239" s="32">
        <v>3833760</v>
      </c>
      <c r="F239" s="32">
        <v>4861208</v>
      </c>
      <c r="J239" s="1" t="s">
        <v>749</v>
      </c>
      <c r="K239" s="32">
        <v>7509240</v>
      </c>
      <c r="M239">
        <f>IFERROR(VLOOKUP(Salaries[[#This Row],[Player]],Player_Per_Game[[Player]:[PS/G]],29,FALSE),"")</f>
        <v>13.1</v>
      </c>
    </row>
    <row r="240" spans="1:13">
      <c r="A240" s="1">
        <v>235</v>
      </c>
      <c r="B240" s="1" t="s">
        <v>230</v>
      </c>
      <c r="C240" s="1" t="s">
        <v>61</v>
      </c>
      <c r="D240" s="32">
        <v>3533333</v>
      </c>
      <c r="J240" s="1" t="s">
        <v>768</v>
      </c>
      <c r="K240" s="32">
        <v>3533333</v>
      </c>
      <c r="M240">
        <f>IFERROR(VLOOKUP(Salaries[[#This Row],[Player]],Player_Per_Game[[Player]:[PS/G]],29,FALSE),"")</f>
        <v>15</v>
      </c>
    </row>
    <row r="241" spans="1:13">
      <c r="A241" s="1">
        <v>236</v>
      </c>
      <c r="B241" s="1" t="s">
        <v>97</v>
      </c>
      <c r="C241" s="1" t="s">
        <v>43</v>
      </c>
      <c r="D241" s="32">
        <v>3505233</v>
      </c>
      <c r="J241" s="1" t="s">
        <v>758</v>
      </c>
      <c r="K241" s="32">
        <v>3505233</v>
      </c>
      <c r="M241">
        <f>IFERROR(VLOOKUP(Salaries[[#This Row],[Player]],Player_Per_Game[[Player]:[PS/G]],29,FALSE),"")</f>
        <v>4.3</v>
      </c>
    </row>
    <row r="242" spans="1:13">
      <c r="A242" s="1">
        <v>237</v>
      </c>
      <c r="B242" s="1" t="s">
        <v>487</v>
      </c>
      <c r="C242" s="1" t="s">
        <v>21</v>
      </c>
      <c r="D242" s="32">
        <v>3501120</v>
      </c>
      <c r="E242" s="32">
        <v>4155720</v>
      </c>
      <c r="F242" s="32">
        <v>4855800</v>
      </c>
      <c r="G242" s="32">
        <v>6176578</v>
      </c>
      <c r="J242" s="1" t="s">
        <v>758</v>
      </c>
      <c r="K242" s="32">
        <v>7656840</v>
      </c>
      <c r="M242">
        <f>IFERROR(VLOOKUP(Salaries[[#This Row],[Player]],Player_Per_Game[[Player]:[PS/G]],29,FALSE),"")</f>
        <v>5.6</v>
      </c>
    </row>
    <row r="243" spans="1:13">
      <c r="A243" s="1">
        <v>238</v>
      </c>
      <c r="B243" s="1" t="s">
        <v>575</v>
      </c>
      <c r="C243" s="1" t="s">
        <v>92</v>
      </c>
      <c r="D243" s="32">
        <v>3477600</v>
      </c>
      <c r="E243" s="32">
        <v>3651480</v>
      </c>
      <c r="F243" s="32">
        <v>3825360</v>
      </c>
      <c r="J243" s="1" t="s">
        <v>757</v>
      </c>
      <c r="K243" s="32">
        <v>10954440</v>
      </c>
      <c r="M243">
        <f>IFERROR(VLOOKUP(Salaries[[#This Row],[Player]],Player_Per_Game[[Player]:[PS/G]],29,FALSE),"")</f>
        <v>6.7</v>
      </c>
    </row>
    <row r="244" spans="1:13">
      <c r="A244" s="1">
        <v>239</v>
      </c>
      <c r="B244" s="1" t="s">
        <v>138</v>
      </c>
      <c r="C244" s="1" t="s">
        <v>73</v>
      </c>
      <c r="D244" s="32">
        <v>3477600</v>
      </c>
      <c r="J244" s="1"/>
      <c r="K244" s="32">
        <v>3477600</v>
      </c>
      <c r="M244">
        <f>IFERROR(VLOOKUP(Salaries[[#This Row],[Player]],Player_Per_Game[[Player]:[PS/G]],29,FALSE),"")</f>
        <v>5.8</v>
      </c>
    </row>
    <row r="245" spans="1:13">
      <c r="A245" s="1">
        <v>240</v>
      </c>
      <c r="B245" s="1" t="s">
        <v>348</v>
      </c>
      <c r="C245" s="1" t="s">
        <v>313</v>
      </c>
      <c r="D245" s="32">
        <v>3408520</v>
      </c>
      <c r="E245" s="32">
        <v>3258540</v>
      </c>
      <c r="J245" s="1" t="s">
        <v>746</v>
      </c>
      <c r="K245" s="32">
        <v>6667060</v>
      </c>
      <c r="M245">
        <f>IFERROR(VLOOKUP(Salaries[[#This Row],[Player]],Player_Per_Game[[Player]:[PS/G]],29,FALSE),"")</f>
        <v>8.5</v>
      </c>
    </row>
    <row r="246" spans="1:13">
      <c r="A246" s="1">
        <v>241</v>
      </c>
      <c r="B246" s="1" t="s">
        <v>437</v>
      </c>
      <c r="C246" s="1" t="s">
        <v>21</v>
      </c>
      <c r="D246" s="32">
        <v>3381480</v>
      </c>
      <c r="E246" s="32">
        <v>4294480</v>
      </c>
      <c r="J246" s="1" t="s">
        <v>754</v>
      </c>
      <c r="K246" s="32">
        <v>7675960</v>
      </c>
      <c r="M246">
        <f>IFERROR(VLOOKUP(Salaries[[#This Row],[Player]],Player_Per_Game[[Player]:[PS/G]],29,FALSE),"")</f>
        <v>8.9</v>
      </c>
    </row>
    <row r="247" spans="1:13">
      <c r="A247" s="1">
        <v>242</v>
      </c>
      <c r="B247" s="1" t="s">
        <v>347</v>
      </c>
      <c r="C247" s="1" t="s">
        <v>61</v>
      </c>
      <c r="D247" s="32">
        <v>3355320</v>
      </c>
      <c r="E247" s="32">
        <v>3499800</v>
      </c>
      <c r="F247" s="32">
        <v>4444746</v>
      </c>
      <c r="J247" s="1" t="s">
        <v>749</v>
      </c>
      <c r="K247" s="32">
        <v>6855120</v>
      </c>
      <c r="M247">
        <f>IFERROR(VLOOKUP(Salaries[[#This Row],[Player]],Player_Per_Game[[Player]:[PS/G]],29,FALSE),"")</f>
        <v>16.5</v>
      </c>
    </row>
    <row r="248" spans="1:13">
      <c r="A248" s="1">
        <v>243</v>
      </c>
      <c r="B248" s="1" t="s">
        <v>219</v>
      </c>
      <c r="C248" s="1" t="s">
        <v>313</v>
      </c>
      <c r="D248" s="32">
        <v>3332340</v>
      </c>
      <c r="J248" s="1" t="s">
        <v>758</v>
      </c>
      <c r="K248" s="32">
        <v>3332340</v>
      </c>
      <c r="M248">
        <f>IFERROR(VLOOKUP(Salaries[[#This Row],[Player]],Player_Per_Game[[Player]:[PS/G]],29,FALSE),"")</f>
        <v>13.1</v>
      </c>
    </row>
    <row r="249" spans="1:13">
      <c r="A249" s="1">
        <v>244</v>
      </c>
      <c r="B249" s="1" t="s">
        <v>171</v>
      </c>
      <c r="C249" s="1" t="s">
        <v>112</v>
      </c>
      <c r="D249" s="32">
        <v>3300000</v>
      </c>
      <c r="J249" s="1" t="s">
        <v>737</v>
      </c>
      <c r="K249" s="32">
        <v>3300000</v>
      </c>
      <c r="M249">
        <f>IFERROR(VLOOKUP(Salaries[[#This Row],[Player]],Player_Per_Game[[Player]:[PS/G]],29,FALSE),"")</f>
        <v>7.8</v>
      </c>
    </row>
    <row r="250" spans="1:13">
      <c r="A250" s="1">
        <v>245</v>
      </c>
      <c r="B250" s="1" t="s">
        <v>182</v>
      </c>
      <c r="C250" s="1" t="s">
        <v>33</v>
      </c>
      <c r="D250" s="32">
        <v>3294994</v>
      </c>
      <c r="J250" s="1" t="s">
        <v>758</v>
      </c>
      <c r="K250" s="32">
        <v>3294994</v>
      </c>
      <c r="M250">
        <f>IFERROR(VLOOKUP(Salaries[[#This Row],[Player]],Player_Per_Game[[Player]:[PS/G]],29,FALSE),"")</f>
        <v>7.6</v>
      </c>
    </row>
    <row r="251" spans="1:13">
      <c r="A251" s="1">
        <v>246</v>
      </c>
      <c r="B251" s="1" t="s">
        <v>436</v>
      </c>
      <c r="C251" s="1" t="s">
        <v>27</v>
      </c>
      <c r="D251" s="32">
        <v>3290000</v>
      </c>
      <c r="E251" s="32">
        <v>3454500</v>
      </c>
      <c r="J251" s="1" t="s">
        <v>763</v>
      </c>
      <c r="K251" s="32">
        <v>3290000</v>
      </c>
      <c r="M251">
        <f>IFERROR(VLOOKUP(Salaries[[#This Row],[Player]],Player_Per_Game[[Player]:[PS/G]],29,FALSE),"")</f>
        <v>6.4</v>
      </c>
    </row>
    <row r="252" spans="1:13">
      <c r="A252" s="1">
        <v>247</v>
      </c>
      <c r="B252" s="1" t="s">
        <v>243</v>
      </c>
      <c r="C252" s="1" t="s">
        <v>128</v>
      </c>
      <c r="D252" s="32">
        <v>3290000</v>
      </c>
      <c r="J252" s="1" t="s">
        <v>763</v>
      </c>
      <c r="K252" s="32">
        <v>3290000</v>
      </c>
      <c r="M252">
        <f>IFERROR(VLOOKUP(Salaries[[#This Row],[Player]],Player_Per_Game[[Player]:[PS/G]],29,FALSE),"")</f>
        <v>19.5</v>
      </c>
    </row>
    <row r="253" spans="1:13">
      <c r="A253" s="1">
        <v>248</v>
      </c>
      <c r="B253" s="1" t="s">
        <v>93</v>
      </c>
      <c r="C253" s="1" t="s">
        <v>92</v>
      </c>
      <c r="D253" s="32">
        <v>3290000</v>
      </c>
      <c r="J253" s="1" t="s">
        <v>763</v>
      </c>
      <c r="K253" s="32">
        <v>3290000</v>
      </c>
      <c r="M253">
        <f>IFERROR(VLOOKUP(Salaries[[#This Row],[Player]],Player_Per_Game[[Player]:[PS/G]],29,FALSE),"")</f>
        <v>3.6</v>
      </c>
    </row>
    <row r="254" spans="1:13">
      <c r="A254" s="1">
        <v>249</v>
      </c>
      <c r="B254" s="1" t="s">
        <v>158</v>
      </c>
      <c r="C254" s="1" t="s">
        <v>157</v>
      </c>
      <c r="D254" s="32">
        <v>3290000</v>
      </c>
      <c r="J254" s="1" t="s">
        <v>763</v>
      </c>
      <c r="K254" s="32">
        <v>3290000</v>
      </c>
      <c r="M254">
        <f>IFERROR(VLOOKUP(Salaries[[#This Row],[Player]],Player_Per_Game[[Player]:[PS/G]],29,FALSE),"")</f>
        <v>7.8</v>
      </c>
    </row>
    <row r="255" spans="1:13">
      <c r="A255" s="1">
        <v>250</v>
      </c>
      <c r="B255" s="1" t="s">
        <v>367</v>
      </c>
      <c r="C255" s="1" t="s">
        <v>33</v>
      </c>
      <c r="D255" s="32">
        <v>3218280</v>
      </c>
      <c r="E255" s="32">
        <v>3819960</v>
      </c>
      <c r="F255" s="32">
        <v>4463640</v>
      </c>
      <c r="G255" s="32">
        <v>5686677</v>
      </c>
      <c r="J255" s="1" t="s">
        <v>758</v>
      </c>
      <c r="K255" s="32">
        <v>7038240</v>
      </c>
      <c r="M255">
        <f>IFERROR(VLOOKUP(Salaries[[#This Row],[Player]],Player_Per_Game[[Player]:[PS/G]],29,FALSE),"")</f>
        <v>15</v>
      </c>
    </row>
    <row r="256" spans="1:13">
      <c r="A256" s="1">
        <v>251</v>
      </c>
      <c r="B256" s="1" t="s">
        <v>225</v>
      </c>
      <c r="C256" s="1" t="s">
        <v>43</v>
      </c>
      <c r="D256" s="32">
        <v>3202217</v>
      </c>
      <c r="J256" s="1" t="s">
        <v>758</v>
      </c>
      <c r="K256" s="32">
        <v>3202217</v>
      </c>
      <c r="M256">
        <f>IFERROR(VLOOKUP(Salaries[[#This Row],[Player]],Player_Per_Game[[Player]:[PS/G]],29,FALSE),"")</f>
        <v>16.7</v>
      </c>
    </row>
    <row r="257" spans="1:13">
      <c r="A257" s="1">
        <v>252</v>
      </c>
      <c r="B257" s="1" t="s">
        <v>584</v>
      </c>
      <c r="C257" s="1" t="s">
        <v>305</v>
      </c>
      <c r="D257" s="32">
        <v>3200000</v>
      </c>
      <c r="E257" s="32">
        <v>3360000</v>
      </c>
      <c r="J257" s="1" t="s">
        <v>761</v>
      </c>
      <c r="K257" s="32">
        <v>3200000</v>
      </c>
      <c r="M257">
        <f>IFERROR(VLOOKUP(Salaries[[#This Row],[Player]],Player_Per_Game[[Player]:[PS/G]],29,FALSE),"")</f>
        <v>2.8</v>
      </c>
    </row>
    <row r="258" spans="1:13">
      <c r="A258" s="1">
        <v>253</v>
      </c>
      <c r="B258" s="1" t="s">
        <v>508</v>
      </c>
      <c r="C258" s="1" t="s">
        <v>313</v>
      </c>
      <c r="D258" s="32">
        <v>3152931</v>
      </c>
      <c r="E258" s="32">
        <v>11750000</v>
      </c>
      <c r="F258" s="32">
        <v>10810000</v>
      </c>
      <c r="G258" s="32">
        <v>11750000</v>
      </c>
      <c r="H258" s="32">
        <v>12690000</v>
      </c>
      <c r="J258" s="1" t="s">
        <v>758</v>
      </c>
      <c r="K258" s="32">
        <v>50152931</v>
      </c>
      <c r="M258">
        <f>IFERROR(VLOOKUP(Salaries[[#This Row],[Player]],Player_Per_Game[[Player]:[PS/G]],29,FALSE),"")</f>
        <v>19.600000000000001</v>
      </c>
    </row>
    <row r="259" spans="1:13">
      <c r="A259" s="1">
        <v>254</v>
      </c>
      <c r="B259" s="1" t="s">
        <v>413</v>
      </c>
      <c r="C259" s="1" t="s">
        <v>157</v>
      </c>
      <c r="D259" s="32">
        <v>3097800</v>
      </c>
      <c r="E259" s="32">
        <v>3940402</v>
      </c>
      <c r="J259" s="1" t="s">
        <v>754</v>
      </c>
      <c r="K259" s="32">
        <v>7038202</v>
      </c>
      <c r="M259">
        <f>IFERROR(VLOOKUP(Salaries[[#This Row],[Player]],Player_Per_Game[[Player]:[PS/G]],29,FALSE),"")</f>
        <v>8.6999999999999993</v>
      </c>
    </row>
    <row r="260" spans="1:13">
      <c r="A260" s="1">
        <v>255</v>
      </c>
      <c r="B260" s="1" t="s">
        <v>441</v>
      </c>
      <c r="C260" s="1" t="s">
        <v>313</v>
      </c>
      <c r="D260" s="32">
        <v>3073800</v>
      </c>
      <c r="E260" s="32">
        <v>3206160</v>
      </c>
      <c r="F260" s="32">
        <v>4078236</v>
      </c>
      <c r="J260" s="1" t="s">
        <v>774</v>
      </c>
      <c r="K260" s="32">
        <v>6279960</v>
      </c>
      <c r="M260">
        <f>IFERROR(VLOOKUP(Salaries[[#This Row],[Player]],Player_Per_Game[[Player]:[PS/G]],29,FALSE),"")</f>
        <v>6.8</v>
      </c>
    </row>
    <row r="261" spans="1:13">
      <c r="A261" s="1">
        <v>256</v>
      </c>
      <c r="B261" s="1" t="s">
        <v>517</v>
      </c>
      <c r="C261" s="1" t="s">
        <v>96</v>
      </c>
      <c r="D261" s="32">
        <v>3057240</v>
      </c>
      <c r="E261" s="32">
        <v>3628920</v>
      </c>
      <c r="F261" s="32">
        <v>4240200</v>
      </c>
      <c r="G261" s="32">
        <v>5406255</v>
      </c>
      <c r="J261" s="1" t="s">
        <v>758</v>
      </c>
      <c r="K261" s="32">
        <v>6686160</v>
      </c>
      <c r="M261">
        <f>IFERROR(VLOOKUP(Salaries[[#This Row],[Player]],Player_Per_Game[[Player]:[PS/G]],29,FALSE),"")</f>
        <v>4.4000000000000004</v>
      </c>
    </row>
    <row r="262" spans="1:13">
      <c r="A262" s="1">
        <v>257</v>
      </c>
      <c r="B262" s="1" t="s">
        <v>163</v>
      </c>
      <c r="C262" s="1" t="s">
        <v>157</v>
      </c>
      <c r="D262" s="32">
        <v>3028410</v>
      </c>
      <c r="J262" s="1" t="s">
        <v>756</v>
      </c>
      <c r="K262" s="32">
        <v>3028410</v>
      </c>
      <c r="M262">
        <f>IFERROR(VLOOKUP(Salaries[[#This Row],[Player]],Player_Per_Game[[Player]:[PS/G]],29,FALSE),"")</f>
        <v>7.2</v>
      </c>
    </row>
    <row r="263" spans="1:13">
      <c r="A263" s="1">
        <v>258</v>
      </c>
      <c r="B263" s="1" t="s">
        <v>34</v>
      </c>
      <c r="C263" s="1" t="s">
        <v>33</v>
      </c>
      <c r="D263" s="32">
        <v>3028410</v>
      </c>
      <c r="J263" s="1" t="s">
        <v>756</v>
      </c>
      <c r="K263" s="32">
        <v>3028410</v>
      </c>
      <c r="M263" t="str">
        <f>IFERROR(VLOOKUP(Salaries[[#This Row],[Player]],Player_Per_Game[[Player]:[PS/G]],29,FALSE),"")</f>
        <v/>
      </c>
    </row>
    <row r="264" spans="1:13">
      <c r="A264" s="1">
        <v>259</v>
      </c>
      <c r="B264" s="1" t="s">
        <v>648</v>
      </c>
      <c r="C264" s="1" t="s">
        <v>21</v>
      </c>
      <c r="D264" s="32">
        <v>3025035</v>
      </c>
      <c r="J264" s="1"/>
      <c r="K264" s="32">
        <v>3025035</v>
      </c>
      <c r="M264">
        <f>IFERROR(VLOOKUP(Salaries[[#This Row],[Player]],Player_Per_Game[[Player]:[PS/G]],29,FALSE),"")</f>
        <v>0</v>
      </c>
    </row>
    <row r="265" spans="1:13">
      <c r="A265" s="1">
        <v>260</v>
      </c>
      <c r="B265" s="1" t="s">
        <v>530</v>
      </c>
      <c r="C265" s="1" t="s">
        <v>27</v>
      </c>
      <c r="D265" s="32">
        <v>3000000</v>
      </c>
      <c r="E265" s="32">
        <v>3129187</v>
      </c>
      <c r="J265" s="1" t="s">
        <v>746</v>
      </c>
      <c r="K265" s="32">
        <v>6129187</v>
      </c>
      <c r="M265">
        <f>IFERROR(VLOOKUP(Salaries[[#This Row],[Player]],Player_Per_Game[[Player]:[PS/G]],29,FALSE),"")</f>
        <v>7.1</v>
      </c>
    </row>
    <row r="266" spans="1:13">
      <c r="A266" s="1">
        <v>261</v>
      </c>
      <c r="B266" s="1" t="s">
        <v>171</v>
      </c>
      <c r="C266" s="1" t="s">
        <v>43</v>
      </c>
      <c r="D266" s="32">
        <v>3000000</v>
      </c>
      <c r="J266" s="1"/>
      <c r="K266" s="32">
        <v>3000000</v>
      </c>
      <c r="M266">
        <f>IFERROR(VLOOKUP(Salaries[[#This Row],[Player]],Player_Per_Game[[Player]:[PS/G]],29,FALSE),"")</f>
        <v>7.8</v>
      </c>
    </row>
    <row r="267" spans="1:13">
      <c r="A267" s="1">
        <v>262</v>
      </c>
      <c r="B267" s="1" t="s">
        <v>90</v>
      </c>
      <c r="C267" s="1" t="s">
        <v>47</v>
      </c>
      <c r="D267" s="32">
        <v>2947305</v>
      </c>
      <c r="J267" s="1" t="s">
        <v>758</v>
      </c>
      <c r="K267" s="32">
        <v>2947305</v>
      </c>
      <c r="M267">
        <f>IFERROR(VLOOKUP(Salaries[[#This Row],[Player]],Player_Per_Game[[Player]:[PS/G]],29,FALSE),"")</f>
        <v>2.5</v>
      </c>
    </row>
    <row r="268" spans="1:13">
      <c r="A268" s="1">
        <v>263</v>
      </c>
      <c r="B268" s="1" t="s">
        <v>231</v>
      </c>
      <c r="C268" s="1" t="s">
        <v>96</v>
      </c>
      <c r="D268" s="32">
        <v>2947305</v>
      </c>
      <c r="J268" s="1" t="s">
        <v>758</v>
      </c>
      <c r="K268" s="32">
        <v>2947305</v>
      </c>
      <c r="M268">
        <f>IFERROR(VLOOKUP(Salaries[[#This Row],[Player]],Player_Per_Game[[Player]:[PS/G]],29,FALSE),"")</f>
        <v>14.1</v>
      </c>
    </row>
    <row r="269" spans="1:13">
      <c r="A269" s="1">
        <v>264</v>
      </c>
      <c r="B269" s="1" t="s">
        <v>415</v>
      </c>
      <c r="C269" s="1" t="s">
        <v>311</v>
      </c>
      <c r="D269" s="32">
        <v>2904480</v>
      </c>
      <c r="E269" s="32">
        <v>3447480</v>
      </c>
      <c r="F269" s="32">
        <v>4028400</v>
      </c>
      <c r="G269" s="32">
        <v>5345687</v>
      </c>
      <c r="J269" s="1" t="s">
        <v>758</v>
      </c>
      <c r="K269" s="32">
        <v>6351960</v>
      </c>
      <c r="M269">
        <f>IFERROR(VLOOKUP(Salaries[[#This Row],[Player]],Player_Per_Game[[Player]:[PS/G]],29,FALSE),"")</f>
        <v>5.0999999999999996</v>
      </c>
    </row>
    <row r="270" spans="1:13">
      <c r="A270" s="1">
        <v>265</v>
      </c>
      <c r="B270" s="1" t="s">
        <v>414</v>
      </c>
      <c r="C270" s="1" t="s">
        <v>311</v>
      </c>
      <c r="D270" s="32">
        <v>2847600</v>
      </c>
      <c r="E270" s="32">
        <v>3627842</v>
      </c>
      <c r="J270" s="1" t="s">
        <v>754</v>
      </c>
      <c r="K270" s="32">
        <v>6475442</v>
      </c>
      <c r="M270">
        <f>IFERROR(VLOOKUP(Salaries[[#This Row],[Player]],Player_Per_Game[[Player]:[PS/G]],29,FALSE),"")</f>
        <v>10.9</v>
      </c>
    </row>
    <row r="271" spans="1:13">
      <c r="A271" s="1">
        <v>266</v>
      </c>
      <c r="B271" s="1" t="s">
        <v>784</v>
      </c>
      <c r="C271" s="1" t="s">
        <v>96</v>
      </c>
      <c r="D271" s="32">
        <v>2844429</v>
      </c>
      <c r="E271" s="32">
        <v>2844429</v>
      </c>
      <c r="F271" s="32">
        <v>2844429</v>
      </c>
      <c r="G271" s="32">
        <v>2844429</v>
      </c>
      <c r="H271" s="32">
        <v>2844429</v>
      </c>
      <c r="J271" s="1"/>
      <c r="K271" s="32">
        <v>19911003</v>
      </c>
      <c r="M271" t="str">
        <f>IFERROR(VLOOKUP(Salaries[[#This Row],[Player]],Player_Per_Game[[Player]:[PS/G]],29,FALSE),"")</f>
        <v/>
      </c>
    </row>
    <row r="272" spans="1:13">
      <c r="A272" s="1">
        <v>267</v>
      </c>
      <c r="B272" s="1" t="s">
        <v>583</v>
      </c>
      <c r="C272" s="1" t="s">
        <v>47</v>
      </c>
      <c r="D272" s="32">
        <v>2825640</v>
      </c>
      <c r="E272" s="32">
        <v>2947320</v>
      </c>
      <c r="F272" s="32">
        <v>3754886</v>
      </c>
      <c r="J272" s="1" t="s">
        <v>749</v>
      </c>
      <c r="K272" s="32">
        <v>5772960</v>
      </c>
      <c r="M272">
        <f>IFERROR(VLOOKUP(Salaries[[#This Row],[Player]],Player_Per_Game[[Player]:[PS/G]],29,FALSE),"")</f>
        <v>6.7</v>
      </c>
    </row>
    <row r="273" spans="1:13">
      <c r="A273" s="1">
        <v>268</v>
      </c>
      <c r="B273" s="1" t="s">
        <v>460</v>
      </c>
      <c r="C273" s="1" t="s">
        <v>157</v>
      </c>
      <c r="D273" s="32">
        <v>2759280</v>
      </c>
      <c r="E273" s="32">
        <v>3275280</v>
      </c>
      <c r="F273" s="32">
        <v>3827160</v>
      </c>
      <c r="G273" s="32">
        <v>5273826</v>
      </c>
      <c r="J273" s="1" t="s">
        <v>758</v>
      </c>
      <c r="K273" s="32">
        <v>6034560</v>
      </c>
      <c r="M273">
        <f>IFERROR(VLOOKUP(Salaries[[#This Row],[Player]],Player_Per_Game[[Player]:[PS/G]],29,FALSE),"")</f>
        <v>6.7</v>
      </c>
    </row>
    <row r="274" spans="1:13">
      <c r="A274" s="1">
        <v>269</v>
      </c>
      <c r="B274" s="1" t="s">
        <v>514</v>
      </c>
      <c r="C274" s="1" t="s">
        <v>50</v>
      </c>
      <c r="D274" s="32">
        <v>2705040</v>
      </c>
      <c r="E274" s="32">
        <v>3448926</v>
      </c>
      <c r="J274" s="1" t="s">
        <v>754</v>
      </c>
      <c r="K274" s="32">
        <v>6153966</v>
      </c>
      <c r="M274">
        <f>IFERROR(VLOOKUP(Salaries[[#This Row],[Player]],Player_Per_Game[[Player]:[PS/G]],29,FALSE),"")</f>
        <v>7.2</v>
      </c>
    </row>
    <row r="275" spans="1:13">
      <c r="A275" s="1">
        <v>270</v>
      </c>
      <c r="B275" s="1" t="s">
        <v>105</v>
      </c>
      <c r="C275" s="1" t="s">
        <v>311</v>
      </c>
      <c r="D275" s="32">
        <v>2700000</v>
      </c>
      <c r="J275" s="1" t="s">
        <v>763</v>
      </c>
      <c r="K275" s="32">
        <v>2700000</v>
      </c>
      <c r="M275">
        <f>IFERROR(VLOOKUP(Salaries[[#This Row],[Player]],Player_Per_Game[[Player]:[PS/G]],29,FALSE),"")</f>
        <v>4.5999999999999996</v>
      </c>
    </row>
    <row r="276" spans="1:13">
      <c r="A276" s="1">
        <v>271</v>
      </c>
      <c r="B276" s="1" t="s">
        <v>519</v>
      </c>
      <c r="C276" s="1" t="s">
        <v>41</v>
      </c>
      <c r="D276" s="32">
        <v>2684160</v>
      </c>
      <c r="E276" s="32">
        <v>2799720</v>
      </c>
      <c r="F276" s="32">
        <v>3569643</v>
      </c>
      <c r="J276" s="1" t="s">
        <v>749</v>
      </c>
      <c r="K276" s="32">
        <v>5483880</v>
      </c>
      <c r="M276">
        <f>IFERROR(VLOOKUP(Salaries[[#This Row],[Player]],Player_Per_Game[[Player]:[PS/G]],29,FALSE),"")</f>
        <v>4.9000000000000004</v>
      </c>
    </row>
    <row r="277" spans="1:13">
      <c r="A277" s="1">
        <v>272</v>
      </c>
      <c r="B277" s="1" t="s">
        <v>478</v>
      </c>
      <c r="C277" s="1" t="s">
        <v>102</v>
      </c>
      <c r="D277" s="32">
        <v>2642857</v>
      </c>
      <c r="E277" s="32">
        <v>2775000</v>
      </c>
      <c r="F277" s="32">
        <v>2907143</v>
      </c>
      <c r="J277" s="1" t="s">
        <v>737</v>
      </c>
      <c r="K277" s="32">
        <v>8325000</v>
      </c>
      <c r="M277">
        <f>IFERROR(VLOOKUP(Salaries[[#This Row],[Player]],Player_Per_Game[[Player]:[PS/G]],29,FALSE),"")</f>
        <v>3.6</v>
      </c>
    </row>
    <row r="278" spans="1:13">
      <c r="A278" s="1">
        <v>273</v>
      </c>
      <c r="B278" s="1" t="s">
        <v>319</v>
      </c>
      <c r="C278" s="1" t="s">
        <v>305</v>
      </c>
      <c r="D278" s="32">
        <v>2621280</v>
      </c>
      <c r="E278" s="32">
        <v>3111480</v>
      </c>
      <c r="F278" s="32">
        <v>3635760</v>
      </c>
      <c r="G278" s="32">
        <v>5195501</v>
      </c>
      <c r="J278" s="1" t="s">
        <v>758</v>
      </c>
      <c r="K278" s="32">
        <v>5732760</v>
      </c>
      <c r="M278">
        <f>IFERROR(VLOOKUP(Salaries[[#This Row],[Player]],Player_Per_Game[[Player]:[PS/G]],29,FALSE),"")</f>
        <v>19.899999999999999</v>
      </c>
    </row>
    <row r="279" spans="1:13">
      <c r="A279" s="1">
        <v>274</v>
      </c>
      <c r="B279" s="1" t="s">
        <v>448</v>
      </c>
      <c r="C279" s="1" t="s">
        <v>30</v>
      </c>
      <c r="D279" s="32">
        <v>2569920</v>
      </c>
      <c r="E279" s="32">
        <v>3410284</v>
      </c>
      <c r="J279" s="1" t="s">
        <v>754</v>
      </c>
      <c r="K279" s="32">
        <v>5980204</v>
      </c>
      <c r="M279">
        <f>IFERROR(VLOOKUP(Salaries[[#This Row],[Player]],Player_Per_Game[[Player]:[PS/G]],29,FALSE),"")</f>
        <v>13.7</v>
      </c>
    </row>
    <row r="280" spans="1:13">
      <c r="A280" s="1">
        <v>275</v>
      </c>
      <c r="B280" s="1" t="s">
        <v>332</v>
      </c>
      <c r="C280" s="1" t="s">
        <v>61</v>
      </c>
      <c r="D280" s="32">
        <v>2550055</v>
      </c>
      <c r="E280" s="32">
        <v>16517857</v>
      </c>
      <c r="F280" s="32">
        <v>17839286</v>
      </c>
      <c r="G280" s="32">
        <v>19160714</v>
      </c>
      <c r="H280" s="32">
        <v>20482143</v>
      </c>
      <c r="J280" s="1" t="s">
        <v>758</v>
      </c>
      <c r="K280" s="32">
        <v>76550055</v>
      </c>
      <c r="M280">
        <f>IFERROR(VLOOKUP(Salaries[[#This Row],[Player]],Player_Per_Game[[Player]:[PS/G]],29,FALSE),"")</f>
        <v>17.7</v>
      </c>
    </row>
    <row r="281" spans="1:13">
      <c r="A281" s="1">
        <v>276</v>
      </c>
      <c r="B281" s="1" t="s">
        <v>555</v>
      </c>
      <c r="C281" s="1" t="s">
        <v>30</v>
      </c>
      <c r="D281" s="32">
        <v>2550000</v>
      </c>
      <c r="E281" s="32">
        <v>2659800</v>
      </c>
      <c r="F281" s="32">
        <v>3529555</v>
      </c>
      <c r="J281" s="1" t="s">
        <v>749</v>
      </c>
      <c r="K281" s="32">
        <v>5209800</v>
      </c>
      <c r="M281">
        <f>IFERROR(VLOOKUP(Salaries[[#This Row],[Player]],Player_Per_Game[[Player]:[PS/G]],29,FALSE),"")</f>
        <v>11.7</v>
      </c>
    </row>
    <row r="282" spans="1:13">
      <c r="A282" s="1">
        <v>277</v>
      </c>
      <c r="B282" s="1" t="s">
        <v>418</v>
      </c>
      <c r="C282" s="1" t="s">
        <v>140</v>
      </c>
      <c r="D282" s="32">
        <v>2500000</v>
      </c>
      <c r="E282" s="32">
        <v>2500000</v>
      </c>
      <c r="J282" s="1"/>
      <c r="K282" s="32">
        <v>5000000</v>
      </c>
      <c r="M282">
        <f>IFERROR(VLOOKUP(Salaries[[#This Row],[Player]],Player_Per_Game[[Player]:[PS/G]],29,FALSE),"")</f>
        <v>8.8000000000000007</v>
      </c>
    </row>
    <row r="283" spans="1:13">
      <c r="A283" s="1">
        <v>278</v>
      </c>
      <c r="B283" s="1" t="s">
        <v>428</v>
      </c>
      <c r="C283" s="1" t="s">
        <v>157</v>
      </c>
      <c r="D283" s="32">
        <v>2500000</v>
      </c>
      <c r="E283" s="32">
        <v>2500000</v>
      </c>
      <c r="J283" s="1" t="s">
        <v>738</v>
      </c>
      <c r="K283" s="32">
        <v>2500000</v>
      </c>
      <c r="M283">
        <f>IFERROR(VLOOKUP(Salaries[[#This Row],[Player]],Player_Per_Game[[Player]:[PS/G]],29,FALSE),"")</f>
        <v>11</v>
      </c>
    </row>
    <row r="284" spans="1:13">
      <c r="A284" s="1">
        <v>279</v>
      </c>
      <c r="B284" s="1" t="s">
        <v>62</v>
      </c>
      <c r="C284" s="1" t="s">
        <v>149</v>
      </c>
      <c r="D284" s="32">
        <v>2500000</v>
      </c>
      <c r="J284" s="1"/>
      <c r="K284" s="32">
        <v>2500000</v>
      </c>
      <c r="M284">
        <f>IFERROR(VLOOKUP(Salaries[[#This Row],[Player]],Player_Per_Game[[Player]:[PS/G]],29,FALSE),"")</f>
        <v>1.6</v>
      </c>
    </row>
    <row r="285" spans="1:13">
      <c r="A285" s="1">
        <v>280</v>
      </c>
      <c r="B285" s="1" t="s">
        <v>462</v>
      </c>
      <c r="C285" s="1" t="s">
        <v>149</v>
      </c>
      <c r="D285" s="32">
        <v>2500000</v>
      </c>
      <c r="J285" s="1" t="s">
        <v>761</v>
      </c>
      <c r="K285" s="32">
        <v>2500000</v>
      </c>
      <c r="M285">
        <f>IFERROR(VLOOKUP(Salaries[[#This Row],[Player]],Player_Per_Game[[Player]:[PS/G]],29,FALSE),"")</f>
        <v>6.3</v>
      </c>
    </row>
    <row r="286" spans="1:13">
      <c r="A286" s="1">
        <v>281</v>
      </c>
      <c r="B286" s="1" t="s">
        <v>569</v>
      </c>
      <c r="C286" s="1" t="s">
        <v>50</v>
      </c>
      <c r="D286" s="32">
        <v>2490360</v>
      </c>
      <c r="E286" s="32">
        <v>2955840</v>
      </c>
      <c r="F286" s="32">
        <v>3454080</v>
      </c>
      <c r="G286" s="32">
        <v>5115492</v>
      </c>
      <c r="J286" s="1" t="s">
        <v>758</v>
      </c>
      <c r="K286" s="32">
        <v>5446200</v>
      </c>
      <c r="M286">
        <f>IFERROR(VLOOKUP(Salaries[[#This Row],[Player]],Player_Per_Game[[Player]:[PS/G]],29,FALSE),"")</f>
        <v>7</v>
      </c>
    </row>
    <row r="287" spans="1:13">
      <c r="A287" s="58">
        <v>282</v>
      </c>
      <c r="B287" s="1" t="s">
        <v>48</v>
      </c>
      <c r="C287" s="1" t="s">
        <v>100</v>
      </c>
      <c r="D287" s="32">
        <v>2451225</v>
      </c>
      <c r="J287" s="1" t="s">
        <v>758</v>
      </c>
      <c r="K287" s="32">
        <v>2451225</v>
      </c>
      <c r="M287">
        <f>IFERROR(VLOOKUP(Salaries[[#This Row],[Player]],Player_Per_Game[[Player]:[PS/G]],29,FALSE),"")</f>
        <v>1.6</v>
      </c>
    </row>
    <row r="288" spans="1:13">
      <c r="A288" s="1">
        <v>283</v>
      </c>
      <c r="B288" s="1" t="s">
        <v>760</v>
      </c>
      <c r="C288" s="1" t="s">
        <v>58</v>
      </c>
      <c r="D288" s="32">
        <v>2442455</v>
      </c>
      <c r="J288" s="1"/>
      <c r="K288" s="32">
        <v>2442455</v>
      </c>
      <c r="M288" t="str">
        <f>IFERROR(VLOOKUP(Salaries[[#This Row],[Player]],Player_Per_Game[[Player]:[PS/G]],29,FALSE),"")</f>
        <v/>
      </c>
    </row>
    <row r="289" spans="1:13">
      <c r="A289" s="1">
        <v>284</v>
      </c>
      <c r="B289" s="1" t="s">
        <v>426</v>
      </c>
      <c r="C289" s="1" t="s">
        <v>61</v>
      </c>
      <c r="D289" s="32">
        <v>2441400</v>
      </c>
      <c r="E289" s="32">
        <v>3364249</v>
      </c>
      <c r="J289" s="1" t="s">
        <v>754</v>
      </c>
      <c r="K289" s="32">
        <v>5805649</v>
      </c>
      <c r="M289">
        <f>IFERROR(VLOOKUP(Salaries[[#This Row],[Player]],Player_Per_Game[[Player]:[PS/G]],29,FALSE),"")</f>
        <v>10.5</v>
      </c>
    </row>
    <row r="290" spans="1:13">
      <c r="A290" s="1">
        <v>285</v>
      </c>
      <c r="B290" s="1" t="s">
        <v>352</v>
      </c>
      <c r="C290" s="1" t="s">
        <v>118</v>
      </c>
      <c r="D290" s="32">
        <v>2422560</v>
      </c>
      <c r="E290" s="32">
        <v>2526840</v>
      </c>
      <c r="F290" s="32">
        <v>3481986</v>
      </c>
      <c r="J290" s="1" t="s">
        <v>749</v>
      </c>
      <c r="K290" s="32">
        <v>4949400</v>
      </c>
      <c r="M290">
        <f>IFERROR(VLOOKUP(Salaries[[#This Row],[Player]],Player_Per_Game[[Player]:[PS/G]],29,FALSE),"")</f>
        <v>14.9</v>
      </c>
    </row>
    <row r="291" spans="1:13">
      <c r="A291" s="1">
        <v>286</v>
      </c>
      <c r="B291" s="1" t="s">
        <v>365</v>
      </c>
      <c r="C291" s="1" t="s">
        <v>149</v>
      </c>
      <c r="D291" s="32">
        <v>2422560</v>
      </c>
      <c r="E291" s="32">
        <v>2526840</v>
      </c>
      <c r="F291" s="32">
        <v>3481986</v>
      </c>
      <c r="J291" s="1" t="s">
        <v>749</v>
      </c>
      <c r="K291" s="32">
        <v>4949400</v>
      </c>
      <c r="M291">
        <f>IFERROR(VLOOKUP(Salaries[[#This Row],[Player]],Player_Per_Game[[Player]:[PS/G]],29,FALSE),"")</f>
        <v>13.5</v>
      </c>
    </row>
    <row r="292" spans="1:13">
      <c r="A292" s="1">
        <v>287</v>
      </c>
      <c r="B292" s="1" t="s">
        <v>236</v>
      </c>
      <c r="C292" s="1" t="s">
        <v>102</v>
      </c>
      <c r="D292" s="32">
        <v>2386864</v>
      </c>
      <c r="J292" s="1" t="s">
        <v>758</v>
      </c>
      <c r="K292" s="32">
        <v>2386864</v>
      </c>
      <c r="M292">
        <f>IFERROR(VLOOKUP(Salaries[[#This Row],[Player]],Player_Per_Game[[Player]:[PS/G]],29,FALSE),"")</f>
        <v>15.1</v>
      </c>
    </row>
    <row r="293" spans="1:13">
      <c r="A293" s="1">
        <v>288</v>
      </c>
      <c r="B293" s="1" t="s">
        <v>452</v>
      </c>
      <c r="C293" s="1" t="s">
        <v>100</v>
      </c>
      <c r="D293" s="32">
        <v>2365560</v>
      </c>
      <c r="E293" s="32">
        <v>2807880</v>
      </c>
      <c r="F293" s="32">
        <v>3280920</v>
      </c>
      <c r="G293" s="32">
        <v>5029650</v>
      </c>
      <c r="J293" s="1" t="s">
        <v>758</v>
      </c>
      <c r="K293" s="32">
        <v>5173440</v>
      </c>
      <c r="M293">
        <f>IFERROR(VLOOKUP(Salaries[[#This Row],[Player]],Player_Per_Game[[Player]:[PS/G]],29,FALSE),"")</f>
        <v>6.5</v>
      </c>
    </row>
    <row r="294" spans="1:13">
      <c r="A294" s="1">
        <v>289</v>
      </c>
      <c r="B294" s="1" t="s">
        <v>201</v>
      </c>
      <c r="C294" s="1" t="s">
        <v>96</v>
      </c>
      <c r="D294" s="32">
        <v>2361360</v>
      </c>
      <c r="J294" s="1" t="s">
        <v>758</v>
      </c>
      <c r="K294" s="32">
        <v>2361360</v>
      </c>
      <c r="M294">
        <f>IFERROR(VLOOKUP(Salaries[[#This Row],[Player]],Player_Per_Game[[Player]:[PS/G]],29,FALSE),"")</f>
        <v>9</v>
      </c>
    </row>
    <row r="295" spans="1:13">
      <c r="A295" s="1">
        <v>290</v>
      </c>
      <c r="B295" s="1" t="s">
        <v>228</v>
      </c>
      <c r="C295" s="1" t="s">
        <v>92</v>
      </c>
      <c r="D295" s="32">
        <v>2334520</v>
      </c>
      <c r="J295" s="1" t="s">
        <v>758</v>
      </c>
      <c r="K295" s="32">
        <v>2334520</v>
      </c>
      <c r="M295">
        <f>IFERROR(VLOOKUP(Salaries[[#This Row],[Player]],Player_Per_Game[[Player]:[PS/G]],29,FALSE),"")</f>
        <v>14.2</v>
      </c>
    </row>
    <row r="296" spans="1:13">
      <c r="A296" s="1">
        <v>291</v>
      </c>
      <c r="B296" s="1" t="s">
        <v>76</v>
      </c>
      <c r="C296" s="1" t="s">
        <v>75</v>
      </c>
      <c r="D296" s="32">
        <v>2328652</v>
      </c>
      <c r="J296" s="1" t="s">
        <v>736</v>
      </c>
      <c r="K296" s="32">
        <v>2328652</v>
      </c>
      <c r="M296">
        <f>IFERROR(VLOOKUP(Salaries[[#This Row],[Player]],Player_Per_Game[[Player]:[PS/G]],29,FALSE),"")</f>
        <v>3.3</v>
      </c>
    </row>
    <row r="297" spans="1:13">
      <c r="A297" s="1">
        <v>292</v>
      </c>
      <c r="B297" s="1" t="s">
        <v>166</v>
      </c>
      <c r="C297" s="1" t="s">
        <v>58</v>
      </c>
      <c r="D297" s="32">
        <v>2328652</v>
      </c>
      <c r="J297" s="1" t="s">
        <v>736</v>
      </c>
      <c r="K297" s="32">
        <v>2328652</v>
      </c>
      <c r="M297">
        <f>IFERROR(VLOOKUP(Salaries[[#This Row],[Player]],Player_Per_Game[[Player]:[PS/G]],29,FALSE),"")</f>
        <v>7</v>
      </c>
    </row>
    <row r="298" spans="1:13">
      <c r="A298" s="1">
        <v>293</v>
      </c>
      <c r="B298" s="1" t="s">
        <v>59</v>
      </c>
      <c r="C298" s="1" t="s">
        <v>58</v>
      </c>
      <c r="D298" s="32">
        <v>2328652</v>
      </c>
      <c r="J298" s="1" t="s">
        <v>736</v>
      </c>
      <c r="K298" s="32">
        <v>2328652</v>
      </c>
      <c r="M298">
        <f>IFERROR(VLOOKUP(Salaries[[#This Row],[Player]],Player_Per_Game[[Player]:[PS/G]],29,FALSE),"")</f>
        <v>2.2999999999999998</v>
      </c>
    </row>
    <row r="299" spans="1:13">
      <c r="A299" s="1">
        <v>294</v>
      </c>
      <c r="B299" s="1" t="s">
        <v>544</v>
      </c>
      <c r="C299" s="1" t="s">
        <v>21</v>
      </c>
      <c r="D299" s="32">
        <v>2328652</v>
      </c>
      <c r="J299" s="1"/>
      <c r="K299" s="32">
        <v>2328652</v>
      </c>
      <c r="M299">
        <f>IFERROR(VLOOKUP(Salaries[[#This Row],[Player]],Player_Per_Game[[Player]:[PS/G]],29,FALSE),"")</f>
        <v>4.7</v>
      </c>
    </row>
    <row r="300" spans="1:13">
      <c r="A300" s="1">
        <v>295</v>
      </c>
      <c r="B300" s="1" t="s">
        <v>183</v>
      </c>
      <c r="C300" s="1" t="s">
        <v>21</v>
      </c>
      <c r="D300" s="32">
        <v>2328652</v>
      </c>
      <c r="J300" s="1" t="s">
        <v>736</v>
      </c>
      <c r="K300" s="32">
        <v>2328652</v>
      </c>
      <c r="M300">
        <f>IFERROR(VLOOKUP(Salaries[[#This Row],[Player]],Player_Per_Game[[Player]:[PS/G]],29,FALSE),"")</f>
        <v>7.6</v>
      </c>
    </row>
    <row r="301" spans="1:13">
      <c r="A301" s="1">
        <v>296</v>
      </c>
      <c r="B301" s="1" t="s">
        <v>57</v>
      </c>
      <c r="C301" s="1" t="s">
        <v>41</v>
      </c>
      <c r="D301" s="32">
        <v>2328652</v>
      </c>
      <c r="J301" s="1" t="s">
        <v>736</v>
      </c>
      <c r="K301" s="32">
        <v>2328652</v>
      </c>
      <c r="M301">
        <f>IFERROR(VLOOKUP(Salaries[[#This Row],[Player]],Player_Per_Game[[Player]:[PS/G]],29,FALSE),"")</f>
        <v>2.9</v>
      </c>
    </row>
    <row r="302" spans="1:13">
      <c r="A302" s="1">
        <v>297</v>
      </c>
      <c r="B302" s="1" t="s">
        <v>51</v>
      </c>
      <c r="C302" s="1" t="s">
        <v>50</v>
      </c>
      <c r="D302" s="32">
        <v>2328652</v>
      </c>
      <c r="J302" s="1" t="s">
        <v>736</v>
      </c>
      <c r="K302" s="32">
        <v>2328652</v>
      </c>
      <c r="M302">
        <f>IFERROR(VLOOKUP(Salaries[[#This Row],[Player]],Player_Per_Game[[Player]:[PS/G]],29,FALSE),"")</f>
        <v>0.6</v>
      </c>
    </row>
    <row r="303" spans="1:13">
      <c r="A303" s="1">
        <v>298</v>
      </c>
      <c r="B303" s="1" t="s">
        <v>210</v>
      </c>
      <c r="C303" s="1" t="s">
        <v>50</v>
      </c>
      <c r="D303" s="32">
        <v>2328652</v>
      </c>
      <c r="J303" s="1" t="s">
        <v>736</v>
      </c>
      <c r="K303" s="32">
        <v>2328652</v>
      </c>
      <c r="M303">
        <f>IFERROR(VLOOKUP(Salaries[[#This Row],[Player]],Player_Per_Game[[Player]:[PS/G]],29,FALSE),"")</f>
        <v>11.7</v>
      </c>
    </row>
    <row r="304" spans="1:13">
      <c r="A304" s="1">
        <v>299</v>
      </c>
      <c r="B304" s="1" t="s">
        <v>167</v>
      </c>
      <c r="C304" s="1" t="s">
        <v>73</v>
      </c>
      <c r="D304" s="32">
        <v>2328652</v>
      </c>
      <c r="J304" s="1" t="s">
        <v>736</v>
      </c>
      <c r="K304" s="32">
        <v>2328652</v>
      </c>
      <c r="M304">
        <f>IFERROR(VLOOKUP(Salaries[[#This Row],[Player]],Player_Per_Game[[Player]:[PS/G]],29,FALSE),"")</f>
        <v>7</v>
      </c>
    </row>
    <row r="305" spans="1:13">
      <c r="A305" s="1">
        <v>300</v>
      </c>
      <c r="B305" s="1" t="s">
        <v>62</v>
      </c>
      <c r="C305" s="1" t="s">
        <v>61</v>
      </c>
      <c r="D305" s="32">
        <v>2328652</v>
      </c>
      <c r="J305" s="1" t="s">
        <v>736</v>
      </c>
      <c r="K305" s="32">
        <v>2328652</v>
      </c>
      <c r="M305">
        <f>IFERROR(VLOOKUP(Salaries[[#This Row],[Player]],Player_Per_Game[[Player]:[PS/G]],29,FALSE),"")</f>
        <v>1.6</v>
      </c>
    </row>
    <row r="306" spans="1:13">
      <c r="A306" s="1">
        <v>301</v>
      </c>
      <c r="B306" s="1" t="s">
        <v>108</v>
      </c>
      <c r="C306" s="1" t="s">
        <v>102</v>
      </c>
      <c r="D306" s="32">
        <v>2328652</v>
      </c>
      <c r="J306" s="1" t="s">
        <v>736</v>
      </c>
      <c r="K306" s="32">
        <v>2328652</v>
      </c>
      <c r="M306">
        <f>IFERROR(VLOOKUP(Salaries[[#This Row],[Player]],Player_Per_Game[[Player]:[PS/G]],29,FALSE),"")</f>
        <v>3.9</v>
      </c>
    </row>
    <row r="307" spans="1:13">
      <c r="A307" s="1">
        <v>302</v>
      </c>
      <c r="B307" s="1" t="s">
        <v>287</v>
      </c>
      <c r="C307" s="1" t="s">
        <v>78</v>
      </c>
      <c r="D307" s="32">
        <v>2328652</v>
      </c>
      <c r="J307" s="1"/>
      <c r="M307">
        <f>IFERROR(VLOOKUP(Salaries[[#This Row],[Player]],Player_Per_Game[[Player]:[PS/G]],29,FALSE),"")</f>
        <v>1.6</v>
      </c>
    </row>
    <row r="308" spans="1:13">
      <c r="A308" s="1">
        <v>303</v>
      </c>
      <c r="B308" s="1" t="s">
        <v>312</v>
      </c>
      <c r="C308" s="1" t="s">
        <v>313</v>
      </c>
      <c r="D308" s="32">
        <v>2319360</v>
      </c>
      <c r="E308" s="32">
        <v>3314365</v>
      </c>
      <c r="J308" s="1" t="s">
        <v>754</v>
      </c>
      <c r="K308" s="32">
        <v>5633725</v>
      </c>
      <c r="M308">
        <f>IFERROR(VLOOKUP(Salaries[[#This Row],[Player]],Player_Per_Game[[Player]:[PS/G]],29,FALSE),"")</f>
        <v>24.9</v>
      </c>
    </row>
    <row r="309" spans="1:13">
      <c r="A309" s="1">
        <v>304</v>
      </c>
      <c r="B309" s="1" t="s">
        <v>627</v>
      </c>
      <c r="C309" s="1" t="s">
        <v>100</v>
      </c>
      <c r="D309" s="32">
        <v>2301360</v>
      </c>
      <c r="E309" s="32">
        <v>2400480</v>
      </c>
      <c r="F309" s="32">
        <v>3430288</v>
      </c>
      <c r="J309" s="1"/>
      <c r="K309" s="32">
        <v>4701840</v>
      </c>
      <c r="M309">
        <f>IFERROR(VLOOKUP(Salaries[[#This Row],[Player]],Player_Per_Game[[Player]:[PS/G]],29,FALSE),"")</f>
        <v>2.1</v>
      </c>
    </row>
    <row r="310" spans="1:13">
      <c r="A310" s="1">
        <v>305</v>
      </c>
      <c r="B310" s="1" t="s">
        <v>131</v>
      </c>
      <c r="C310" s="1" t="s">
        <v>315</v>
      </c>
      <c r="D310" s="32">
        <v>2300000</v>
      </c>
      <c r="J310" s="1" t="s">
        <v>737</v>
      </c>
      <c r="K310" s="32">
        <v>2300000</v>
      </c>
      <c r="M310">
        <f>IFERROR(VLOOKUP(Salaries[[#This Row],[Player]],Player_Per_Game[[Player]:[PS/G]],29,FALSE),"")</f>
        <v>5.5</v>
      </c>
    </row>
    <row r="311" spans="1:13">
      <c r="A311" s="1">
        <v>306</v>
      </c>
      <c r="B311" s="1" t="s">
        <v>127</v>
      </c>
      <c r="C311" s="1" t="s">
        <v>157</v>
      </c>
      <c r="D311" s="32">
        <v>2262871</v>
      </c>
      <c r="J311" s="1"/>
      <c r="K311" s="32">
        <v>2262871</v>
      </c>
      <c r="M311">
        <f>IFERROR(VLOOKUP(Salaries[[#This Row],[Player]],Player_Per_Game[[Player]:[PS/G]],29,FALSE),"")</f>
        <v>4.9000000000000004</v>
      </c>
    </row>
    <row r="312" spans="1:13">
      <c r="A312" s="1">
        <v>307</v>
      </c>
      <c r="B312" s="1" t="s">
        <v>4</v>
      </c>
      <c r="C312" s="1" t="s">
        <v>56</v>
      </c>
      <c r="D312" s="32">
        <v>2247480</v>
      </c>
      <c r="E312" s="32">
        <v>2667600</v>
      </c>
      <c r="F312" s="32">
        <v>3117240</v>
      </c>
      <c r="G312" s="32">
        <v>4781846</v>
      </c>
      <c r="J312" s="1" t="s">
        <v>758</v>
      </c>
      <c r="K312" s="32">
        <v>4915080</v>
      </c>
      <c r="M312" t="str">
        <f>IFERROR(VLOOKUP(Salaries[[#This Row],[Player]],Player_Per_Game[[Player]:[PS/G]],29,FALSE),"")</f>
        <v/>
      </c>
    </row>
    <row r="313" spans="1:13">
      <c r="A313" s="1">
        <v>308</v>
      </c>
      <c r="B313" s="1" t="s">
        <v>298</v>
      </c>
      <c r="C313" s="1" t="s">
        <v>87</v>
      </c>
      <c r="D313" s="32">
        <v>2247480</v>
      </c>
      <c r="E313" s="32">
        <v>2667600</v>
      </c>
      <c r="F313" s="32">
        <v>3117240</v>
      </c>
      <c r="G313" s="32">
        <v>4781846</v>
      </c>
      <c r="J313" s="1" t="s">
        <v>758</v>
      </c>
      <c r="K313" s="32">
        <v>4915080</v>
      </c>
      <c r="M313">
        <f>IFERROR(VLOOKUP(Salaries[[#This Row],[Player]],Player_Per_Game[[Player]:[PS/G]],29,FALSE),"")</f>
        <v>1.8</v>
      </c>
    </row>
    <row r="314" spans="1:13">
      <c r="A314" s="1">
        <v>309</v>
      </c>
      <c r="B314" s="1" t="s">
        <v>780</v>
      </c>
      <c r="C314" s="1" t="s">
        <v>30</v>
      </c>
      <c r="D314" s="32">
        <v>2245400</v>
      </c>
      <c r="E314" s="32">
        <v>2245400</v>
      </c>
      <c r="F314" s="32">
        <v>2245400</v>
      </c>
      <c r="G314" s="32">
        <v>2245400</v>
      </c>
      <c r="H314" s="32">
        <v>2245400</v>
      </c>
      <c r="J314" s="1"/>
      <c r="K314" s="32">
        <v>11227000</v>
      </c>
      <c r="M314" t="str">
        <f>IFERROR(VLOOKUP(Salaries[[#This Row],[Player]],Player_Per_Game[[Player]:[PS/G]],29,FALSE),"")</f>
        <v/>
      </c>
    </row>
    <row r="315" spans="1:13">
      <c r="A315" s="1">
        <v>310</v>
      </c>
      <c r="B315" s="1" t="s">
        <v>771</v>
      </c>
      <c r="C315" s="1" t="s">
        <v>43</v>
      </c>
      <c r="D315" s="32">
        <v>2203440</v>
      </c>
      <c r="E315" s="32">
        <v>3263295</v>
      </c>
      <c r="J315" s="1" t="s">
        <v>754</v>
      </c>
      <c r="K315" s="32">
        <v>5466735</v>
      </c>
      <c r="M315">
        <f>IFERROR(VLOOKUP(Salaries[[#This Row],[Player]],Player_Per_Game[[Player]:[PS/G]],29,FALSE),"")</f>
        <v>8.1999999999999993</v>
      </c>
    </row>
    <row r="316" spans="1:13">
      <c r="A316" s="1">
        <v>311</v>
      </c>
      <c r="B316" s="1" t="s">
        <v>361</v>
      </c>
      <c r="C316" s="1" t="s">
        <v>43</v>
      </c>
      <c r="D316" s="32">
        <v>2186400</v>
      </c>
      <c r="E316" s="32">
        <v>2280600</v>
      </c>
      <c r="F316" s="32">
        <v>3377569</v>
      </c>
      <c r="J316" s="1" t="s">
        <v>749</v>
      </c>
      <c r="K316" s="32">
        <v>4467000</v>
      </c>
      <c r="M316">
        <f>IFERROR(VLOOKUP(Salaries[[#This Row],[Player]],Player_Per_Game[[Player]:[PS/G]],29,FALSE),"")</f>
        <v>10.1</v>
      </c>
    </row>
    <row r="317" spans="1:13">
      <c r="A317" s="1">
        <v>312</v>
      </c>
      <c r="B317" s="1" t="s">
        <v>636</v>
      </c>
      <c r="C317" s="1" t="s">
        <v>112</v>
      </c>
      <c r="D317" s="32">
        <v>2183934</v>
      </c>
      <c r="J317" s="1"/>
      <c r="M317">
        <f>IFERROR(VLOOKUP(Salaries[[#This Row],[Player]],Player_Per_Game[[Player]:[PS/G]],29,FALSE),"")</f>
        <v>0.7</v>
      </c>
    </row>
    <row r="318" spans="1:13">
      <c r="A318" s="1">
        <v>313</v>
      </c>
      <c r="B318" s="1" t="s">
        <v>185</v>
      </c>
      <c r="C318" s="1" t="s">
        <v>140</v>
      </c>
      <c r="D318" s="32">
        <v>2151704</v>
      </c>
      <c r="J318" s="1" t="s">
        <v>758</v>
      </c>
      <c r="K318" s="32">
        <v>2151704</v>
      </c>
      <c r="M318">
        <f>IFERROR(VLOOKUP(Salaries[[#This Row],[Player]],Player_Per_Game[[Player]:[PS/G]],29,FALSE),"")</f>
        <v>7.9</v>
      </c>
    </row>
    <row r="319" spans="1:13">
      <c r="A319" s="1">
        <v>314</v>
      </c>
      <c r="B319" s="1" t="s">
        <v>628</v>
      </c>
      <c r="C319" s="1" t="s">
        <v>41</v>
      </c>
      <c r="D319" s="32">
        <v>2135040</v>
      </c>
      <c r="E319" s="32">
        <v>2534280</v>
      </c>
      <c r="F319" s="32">
        <v>2961120</v>
      </c>
      <c r="G319" s="32">
        <v>4548280</v>
      </c>
      <c r="J319" s="1" t="s">
        <v>758</v>
      </c>
      <c r="K319" s="32">
        <v>4669320</v>
      </c>
      <c r="M319">
        <f>IFERROR(VLOOKUP(Salaries[[#This Row],[Player]],Player_Per_Game[[Player]:[PS/G]],29,FALSE),"")</f>
        <v>0.9</v>
      </c>
    </row>
    <row r="320" spans="1:13">
      <c r="A320" s="1">
        <v>315</v>
      </c>
      <c r="B320" s="1" t="s">
        <v>775</v>
      </c>
      <c r="C320" s="1" t="s">
        <v>100</v>
      </c>
      <c r="D320" s="32">
        <v>2133542</v>
      </c>
      <c r="E320" s="32">
        <v>2133542</v>
      </c>
      <c r="F320" s="32">
        <v>2133541</v>
      </c>
      <c r="J320" s="1"/>
      <c r="K320" s="32">
        <v>6400625</v>
      </c>
      <c r="M320" t="str">
        <f>IFERROR(VLOOKUP(Salaries[[#This Row],[Player]],Player_Per_Game[[Player]:[PS/G]],29,FALSE),"")</f>
        <v/>
      </c>
    </row>
    <row r="321" spans="1:13">
      <c r="A321" s="1">
        <v>316</v>
      </c>
      <c r="B321" s="1" t="s">
        <v>226</v>
      </c>
      <c r="C321" s="1" t="s">
        <v>305</v>
      </c>
      <c r="D321" s="32">
        <v>2116955</v>
      </c>
      <c r="J321" s="1"/>
      <c r="K321" s="32">
        <v>2116955</v>
      </c>
      <c r="M321">
        <f>IFERROR(VLOOKUP(Salaries[[#This Row],[Player]],Player_Per_Game[[Player]:[PS/G]],29,FALSE),"")</f>
        <v>9.1</v>
      </c>
    </row>
    <row r="322" spans="1:13">
      <c r="A322" s="1">
        <v>317</v>
      </c>
      <c r="B322" s="1" t="s">
        <v>168</v>
      </c>
      <c r="C322" s="1" t="s">
        <v>75</v>
      </c>
      <c r="D322" s="32">
        <v>2116955</v>
      </c>
      <c r="J322" s="1" t="s">
        <v>736</v>
      </c>
      <c r="K322" s="32">
        <v>2116955</v>
      </c>
      <c r="M322">
        <f>IFERROR(VLOOKUP(Salaries[[#This Row],[Player]],Player_Per_Game[[Player]:[PS/G]],29,FALSE),"")</f>
        <v>7.7</v>
      </c>
    </row>
    <row r="323" spans="1:13">
      <c r="A323" s="1">
        <v>318</v>
      </c>
      <c r="B323" s="1" t="s">
        <v>211</v>
      </c>
      <c r="C323" s="1" t="s">
        <v>21</v>
      </c>
      <c r="D323" s="32">
        <v>2116955</v>
      </c>
      <c r="J323" s="1" t="s">
        <v>736</v>
      </c>
      <c r="K323" s="32">
        <v>2116955</v>
      </c>
      <c r="M323">
        <f>IFERROR(VLOOKUP(Salaries[[#This Row],[Player]],Player_Per_Game[[Player]:[PS/G]],29,FALSE),"")</f>
        <v>12.6</v>
      </c>
    </row>
    <row r="324" spans="1:13">
      <c r="A324" s="1">
        <v>319</v>
      </c>
      <c r="B324" s="1" t="s">
        <v>3</v>
      </c>
      <c r="C324" s="1" t="s">
        <v>56</v>
      </c>
      <c r="D324" s="32">
        <v>2116955</v>
      </c>
      <c r="J324" s="1"/>
      <c r="K324" s="32">
        <v>2116955</v>
      </c>
      <c r="M324">
        <f>IFERROR(VLOOKUP(Salaries[[#This Row],[Player]],Player_Per_Game[[Player]:[PS/G]],29,FALSE),"")</f>
        <v>1.9</v>
      </c>
    </row>
    <row r="325" spans="1:13">
      <c r="A325" s="1">
        <v>320</v>
      </c>
      <c r="B325" s="1" t="s">
        <v>438</v>
      </c>
      <c r="C325" s="1" t="s">
        <v>92</v>
      </c>
      <c r="D325" s="32">
        <v>2116955</v>
      </c>
      <c r="J325" s="1" t="s">
        <v>736</v>
      </c>
      <c r="K325" s="32">
        <v>2116955</v>
      </c>
      <c r="M325">
        <f>IFERROR(VLOOKUP(Salaries[[#This Row],[Player]],Player_Per_Game[[Player]:[PS/G]],29,FALSE),"")</f>
        <v>7.6</v>
      </c>
    </row>
    <row r="326" spans="1:13">
      <c r="A326" s="1">
        <v>321</v>
      </c>
      <c r="B326" s="1" t="s">
        <v>94</v>
      </c>
      <c r="C326" s="1" t="s">
        <v>73</v>
      </c>
      <c r="D326" s="32">
        <v>2116955</v>
      </c>
      <c r="J326" s="1"/>
      <c r="K326" s="32">
        <v>2116955</v>
      </c>
      <c r="M326">
        <f>IFERROR(VLOOKUP(Salaries[[#This Row],[Player]],Player_Per_Game[[Player]:[PS/G]],29,FALSE),"")</f>
        <v>4.3</v>
      </c>
    </row>
    <row r="327" spans="1:13">
      <c r="A327" s="1">
        <v>322</v>
      </c>
      <c r="B327" s="1" t="s">
        <v>209</v>
      </c>
      <c r="C327" s="1" t="s">
        <v>102</v>
      </c>
      <c r="D327" s="32">
        <v>2116955</v>
      </c>
      <c r="J327" s="1" t="s">
        <v>736</v>
      </c>
      <c r="K327" s="32">
        <v>2116955</v>
      </c>
      <c r="M327">
        <f>IFERROR(VLOOKUP(Salaries[[#This Row],[Player]],Player_Per_Game[[Player]:[PS/G]],29,FALSE),"")</f>
        <v>10.7</v>
      </c>
    </row>
    <row r="328" spans="1:13">
      <c r="A328" s="1">
        <v>323</v>
      </c>
      <c r="B328" s="1" t="s">
        <v>113</v>
      </c>
      <c r="C328" s="1" t="s">
        <v>43</v>
      </c>
      <c r="D328" s="32">
        <v>2116955</v>
      </c>
      <c r="J328" s="1"/>
      <c r="K328" s="32">
        <v>2116955</v>
      </c>
      <c r="M328">
        <f>IFERROR(VLOOKUP(Salaries[[#This Row],[Player]],Player_Per_Game[[Player]:[PS/G]],29,FALSE),"")</f>
        <v>4.7</v>
      </c>
    </row>
    <row r="329" spans="1:13">
      <c r="A329" s="1">
        <v>324</v>
      </c>
      <c r="B329" s="1" t="s">
        <v>479</v>
      </c>
      <c r="C329" s="1" t="s">
        <v>30</v>
      </c>
      <c r="D329" s="32">
        <v>2116955</v>
      </c>
      <c r="J329" s="1"/>
      <c r="K329" s="32">
        <v>25000</v>
      </c>
      <c r="M329">
        <f>IFERROR(VLOOKUP(Salaries[[#This Row],[Player]],Player_Per_Game[[Player]:[PS/G]],29,FALSE),"")</f>
        <v>1.7</v>
      </c>
    </row>
    <row r="330" spans="1:13">
      <c r="A330" s="1">
        <v>325</v>
      </c>
      <c r="B330" s="1" t="s">
        <v>165</v>
      </c>
      <c r="C330" s="1" t="s">
        <v>73</v>
      </c>
      <c r="D330" s="32">
        <v>2106470</v>
      </c>
      <c r="J330" s="1" t="s">
        <v>736</v>
      </c>
      <c r="K330" s="32">
        <v>2106470</v>
      </c>
      <c r="M330">
        <f>IFERROR(VLOOKUP(Salaries[[#This Row],[Player]],Player_Per_Game[[Player]:[PS/G]],29,FALSE),"")</f>
        <v>5.7</v>
      </c>
    </row>
    <row r="331" spans="1:13">
      <c r="A331" s="1">
        <v>326</v>
      </c>
      <c r="B331" s="1" t="s">
        <v>175</v>
      </c>
      <c r="C331" s="1" t="s">
        <v>128</v>
      </c>
      <c r="D331" s="32">
        <v>2106407</v>
      </c>
      <c r="J331" s="1" t="s">
        <v>736</v>
      </c>
      <c r="K331" s="32">
        <v>2106407</v>
      </c>
      <c r="M331">
        <f>IFERROR(VLOOKUP(Salaries[[#This Row],[Player]],Player_Per_Game[[Player]:[PS/G]],29,FALSE),"")</f>
        <v>7.7</v>
      </c>
    </row>
    <row r="332" spans="1:13">
      <c r="A332" s="1">
        <v>327</v>
      </c>
      <c r="B332" s="1" t="s">
        <v>372</v>
      </c>
      <c r="C332" s="1" t="s">
        <v>112</v>
      </c>
      <c r="D332" s="32">
        <v>2100000</v>
      </c>
      <c r="E332" s="32">
        <v>2205000</v>
      </c>
      <c r="J332" s="1" t="s">
        <v>737</v>
      </c>
      <c r="K332" s="32">
        <v>2100000</v>
      </c>
      <c r="M332">
        <f>IFERROR(VLOOKUP(Salaries[[#This Row],[Player]],Player_Per_Game[[Player]:[PS/G]],29,FALSE),"")</f>
        <v>7.9</v>
      </c>
    </row>
    <row r="333" spans="1:13">
      <c r="A333" s="1">
        <v>328</v>
      </c>
      <c r="B333" s="1" t="s">
        <v>389</v>
      </c>
      <c r="C333" s="1" t="s">
        <v>27</v>
      </c>
      <c r="D333" s="32">
        <v>2093040</v>
      </c>
      <c r="E333" s="32">
        <v>3208630</v>
      </c>
      <c r="J333" s="1" t="s">
        <v>754</v>
      </c>
      <c r="K333" s="32">
        <v>5301670</v>
      </c>
      <c r="M333">
        <f>IFERROR(VLOOKUP(Salaries[[#This Row],[Player]],Player_Per_Game[[Player]:[PS/G]],29,FALSE),"")</f>
        <v>11.8</v>
      </c>
    </row>
    <row r="334" spans="1:13">
      <c r="A334" s="1">
        <v>329</v>
      </c>
      <c r="B334" s="1" t="s">
        <v>474</v>
      </c>
      <c r="C334" s="1" t="s">
        <v>61</v>
      </c>
      <c r="D334" s="32">
        <v>2076840</v>
      </c>
      <c r="E334" s="32">
        <v>2166360</v>
      </c>
      <c r="F334" s="32">
        <v>3321030</v>
      </c>
      <c r="J334" s="1" t="s">
        <v>749</v>
      </c>
      <c r="K334" s="32">
        <v>4243200</v>
      </c>
      <c r="M334">
        <f>IFERROR(VLOOKUP(Salaries[[#This Row],[Player]],Player_Per_Game[[Player]:[PS/G]],29,FALSE),"")</f>
        <v>3.3</v>
      </c>
    </row>
    <row r="335" spans="1:13">
      <c r="A335" s="1">
        <v>330</v>
      </c>
      <c r="B335" s="1" t="s">
        <v>608</v>
      </c>
      <c r="C335" s="1" t="s">
        <v>30</v>
      </c>
      <c r="D335" s="32">
        <v>2028360</v>
      </c>
      <c r="E335" s="32">
        <v>2407560</v>
      </c>
      <c r="F335" s="32">
        <v>2813280</v>
      </c>
      <c r="G335" s="32">
        <v>4326825</v>
      </c>
      <c r="J335" s="1" t="s">
        <v>758</v>
      </c>
      <c r="K335" s="32">
        <v>4435920</v>
      </c>
      <c r="M335">
        <f>IFERROR(VLOOKUP(Salaries[[#This Row],[Player]],Player_Per_Game[[Player]:[PS/G]],29,FALSE),"")</f>
        <v>2.9</v>
      </c>
    </row>
    <row r="336" spans="1:13">
      <c r="A336" s="1">
        <v>331</v>
      </c>
      <c r="B336" s="1" t="s">
        <v>81</v>
      </c>
      <c r="C336" s="1" t="s">
        <v>27</v>
      </c>
      <c r="D336" s="32">
        <v>2000000</v>
      </c>
      <c r="J336" s="1" t="s">
        <v>756</v>
      </c>
      <c r="K336" s="32">
        <v>2000000</v>
      </c>
      <c r="M336">
        <f>IFERROR(VLOOKUP(Salaries[[#This Row],[Player]],Player_Per_Game[[Player]:[PS/G]],29,FALSE),"")</f>
        <v>3.2</v>
      </c>
    </row>
    <row r="337" spans="1:13">
      <c r="A337" s="1">
        <v>332</v>
      </c>
      <c r="B337" s="1" t="s">
        <v>158</v>
      </c>
      <c r="C337" s="1" t="s">
        <v>100</v>
      </c>
      <c r="D337" s="32">
        <v>2000000</v>
      </c>
      <c r="J337" s="1"/>
      <c r="K337" s="32">
        <v>2000000</v>
      </c>
      <c r="M337">
        <f>IFERROR(VLOOKUP(Salaries[[#This Row],[Player]],Player_Per_Game[[Player]:[PS/G]],29,FALSE),"")</f>
        <v>7.8</v>
      </c>
    </row>
    <row r="338" spans="1:13">
      <c r="A338" s="1">
        <v>333</v>
      </c>
      <c r="B338" s="1" t="s">
        <v>374</v>
      </c>
      <c r="C338" s="1" t="s">
        <v>87</v>
      </c>
      <c r="D338" s="32">
        <v>1988520</v>
      </c>
      <c r="E338" s="32">
        <v>3050390</v>
      </c>
      <c r="J338" s="1" t="s">
        <v>754</v>
      </c>
      <c r="K338" s="32">
        <v>5038910</v>
      </c>
      <c r="M338">
        <f>IFERROR(VLOOKUP(Salaries[[#This Row],[Player]],Player_Per_Game[[Player]:[PS/G]],29,FALSE),"")</f>
        <v>10.9</v>
      </c>
    </row>
    <row r="339" spans="1:13">
      <c r="A339" s="1">
        <v>334</v>
      </c>
      <c r="B339" s="1" t="s">
        <v>152</v>
      </c>
      <c r="C339" s="1" t="s">
        <v>50</v>
      </c>
      <c r="D339" s="32">
        <v>1974159</v>
      </c>
      <c r="J339" s="1" t="s">
        <v>736</v>
      </c>
      <c r="K339" s="32">
        <v>987080</v>
      </c>
      <c r="M339">
        <f>IFERROR(VLOOKUP(Salaries[[#This Row],[Player]],Player_Per_Game[[Player]:[PS/G]],29,FALSE),"")</f>
        <v>5.6</v>
      </c>
    </row>
    <row r="340" spans="1:13">
      <c r="A340" s="1">
        <v>335</v>
      </c>
      <c r="B340" s="1" t="s">
        <v>571</v>
      </c>
      <c r="C340" s="1" t="s">
        <v>149</v>
      </c>
      <c r="D340" s="32">
        <v>1936920</v>
      </c>
      <c r="E340" s="32">
        <v>2299080</v>
      </c>
      <c r="F340" s="32">
        <v>2686560</v>
      </c>
      <c r="G340" s="32">
        <v>4137302</v>
      </c>
      <c r="J340" s="1" t="s">
        <v>758</v>
      </c>
      <c r="K340" s="32">
        <v>4236000</v>
      </c>
      <c r="M340">
        <f>IFERROR(VLOOKUP(Salaries[[#This Row],[Player]],Player_Per_Game[[Player]:[PS/G]],29,FALSE),"")</f>
        <v>10.5</v>
      </c>
    </row>
    <row r="341" spans="1:13">
      <c r="A341" s="1">
        <v>336</v>
      </c>
      <c r="B341" s="1" t="s">
        <v>776</v>
      </c>
      <c r="C341" s="1" t="s">
        <v>96</v>
      </c>
      <c r="D341" s="32">
        <v>1913345</v>
      </c>
      <c r="E341" s="32">
        <v>1913345</v>
      </c>
      <c r="F341" s="32">
        <v>1913345</v>
      </c>
      <c r="G341" s="32">
        <v>1913345</v>
      </c>
      <c r="J341" s="1"/>
      <c r="K341" s="32">
        <v>7653380</v>
      </c>
      <c r="M341" t="str">
        <f>IFERROR(VLOOKUP(Salaries[[#This Row],[Player]],Player_Per_Game[[Player]:[PS/G]],29,FALSE),"")</f>
        <v/>
      </c>
    </row>
    <row r="342" spans="1:13">
      <c r="A342" s="1">
        <v>337</v>
      </c>
      <c r="B342" s="1" t="s">
        <v>85</v>
      </c>
      <c r="C342" s="1" t="s">
        <v>112</v>
      </c>
      <c r="D342" s="32">
        <v>1889040</v>
      </c>
      <c r="J342" s="1"/>
      <c r="K342" s="32">
        <v>1889040</v>
      </c>
      <c r="M342">
        <f>IFERROR(VLOOKUP(Salaries[[#This Row],[Player]],Player_Per_Game[[Player]:[PS/G]],29,FALSE),"")</f>
        <v>2.2999999999999998</v>
      </c>
    </row>
    <row r="343" spans="1:13">
      <c r="A343" s="1">
        <v>338</v>
      </c>
      <c r="B343" s="1" t="s">
        <v>769</v>
      </c>
      <c r="C343" s="1" t="s">
        <v>140</v>
      </c>
      <c r="D343" s="32">
        <v>1881250</v>
      </c>
      <c r="E343" s="32">
        <v>1881250</v>
      </c>
      <c r="J343" s="1"/>
      <c r="K343" s="32">
        <v>3762500</v>
      </c>
      <c r="M343" t="str">
        <f>IFERROR(VLOOKUP(Salaries[[#This Row],[Player]],Player_Per_Game[[Player]:[PS/G]],29,FALSE),"")</f>
        <v/>
      </c>
    </row>
    <row r="344" spans="1:13">
      <c r="A344" s="1">
        <v>339</v>
      </c>
      <c r="B344" s="1" t="s">
        <v>753</v>
      </c>
      <c r="C344" s="1" t="s">
        <v>128</v>
      </c>
      <c r="D344" s="32">
        <v>1874400</v>
      </c>
      <c r="J344" s="1"/>
      <c r="K344" s="32">
        <v>1874400</v>
      </c>
      <c r="M344">
        <f>IFERROR(VLOOKUP(Salaries[[#This Row],[Player]],Player_Per_Game[[Player]:[PS/G]],29,FALSE),"")</f>
        <v>1</v>
      </c>
    </row>
    <row r="345" spans="1:13">
      <c r="A345" s="1">
        <v>340</v>
      </c>
      <c r="B345" s="1" t="s">
        <v>777</v>
      </c>
      <c r="C345" s="1" t="s">
        <v>41</v>
      </c>
      <c r="D345" s="32">
        <v>1865547</v>
      </c>
      <c r="E345" s="32">
        <v>1865547</v>
      </c>
      <c r="F345" s="32">
        <v>1865547</v>
      </c>
      <c r="G345" s="32">
        <v>1865547</v>
      </c>
      <c r="H345" s="32">
        <v>1865547</v>
      </c>
      <c r="J345" s="1"/>
      <c r="K345" s="32">
        <v>9327735</v>
      </c>
      <c r="M345" t="str">
        <f>IFERROR(VLOOKUP(Salaries[[#This Row],[Player]],Player_Per_Game[[Player]:[PS/G]],29,FALSE),"")</f>
        <v/>
      </c>
    </row>
    <row r="346" spans="1:13">
      <c r="A346" s="1">
        <v>341</v>
      </c>
      <c r="B346" s="1" t="s">
        <v>770</v>
      </c>
      <c r="C346" s="1" t="s">
        <v>100</v>
      </c>
      <c r="D346" s="32">
        <v>1859400</v>
      </c>
      <c r="E346" s="32">
        <v>2207040</v>
      </c>
      <c r="F346" s="32">
        <v>2578800</v>
      </c>
      <c r="G346" s="32">
        <v>3976510</v>
      </c>
      <c r="J346" s="1" t="s">
        <v>758</v>
      </c>
      <c r="K346" s="32">
        <v>4066440</v>
      </c>
      <c r="M346" t="str">
        <f>IFERROR(VLOOKUP(Salaries[[#This Row],[Player]],Player_Per_Game[[Player]:[PS/G]],29,FALSE),"")</f>
        <v/>
      </c>
    </row>
    <row r="347" spans="1:13">
      <c r="A347" s="1">
        <v>342</v>
      </c>
      <c r="B347" s="1" t="s">
        <v>516</v>
      </c>
      <c r="C347" s="1" t="s">
        <v>64</v>
      </c>
      <c r="D347" s="32">
        <v>1794600</v>
      </c>
      <c r="E347" s="32">
        <v>2760095</v>
      </c>
      <c r="J347" s="1" t="s">
        <v>749</v>
      </c>
      <c r="K347" s="32">
        <v>4554695</v>
      </c>
      <c r="M347">
        <f>IFERROR(VLOOKUP(Salaries[[#This Row],[Player]],Player_Per_Game[[Player]:[PS/G]],29,FALSE),"")</f>
        <v>4.0999999999999996</v>
      </c>
    </row>
    <row r="348" spans="1:13">
      <c r="A348" s="1">
        <v>343</v>
      </c>
      <c r="B348" s="1" t="s">
        <v>499</v>
      </c>
      <c r="C348" s="1" t="s">
        <v>58</v>
      </c>
      <c r="D348" s="32">
        <v>1785000</v>
      </c>
      <c r="E348" s="32">
        <v>2118840</v>
      </c>
      <c r="F348" s="32">
        <v>2475840</v>
      </c>
      <c r="G348" s="32">
        <v>3944013</v>
      </c>
      <c r="J348" s="1" t="s">
        <v>758</v>
      </c>
      <c r="K348" s="32">
        <v>3903840</v>
      </c>
      <c r="M348">
        <f>IFERROR(VLOOKUP(Salaries[[#This Row],[Player]],Player_Per_Game[[Player]:[PS/G]],29,FALSE),"")</f>
        <v>3</v>
      </c>
    </row>
    <row r="349" spans="1:13">
      <c r="A349" s="1">
        <v>344</v>
      </c>
      <c r="B349" s="1" t="s">
        <v>614</v>
      </c>
      <c r="C349" s="1" t="s">
        <v>157</v>
      </c>
      <c r="D349" s="32">
        <v>1780800</v>
      </c>
      <c r="E349" s="32">
        <v>1857480</v>
      </c>
      <c r="F349" s="32">
        <v>2856804</v>
      </c>
      <c r="J349" s="1" t="s">
        <v>749</v>
      </c>
      <c r="K349" s="32">
        <v>3638280</v>
      </c>
      <c r="M349">
        <f>IFERROR(VLOOKUP(Salaries[[#This Row],[Player]],Player_Per_Game[[Player]:[PS/G]],29,FALSE),"")</f>
        <v>2.4</v>
      </c>
    </row>
    <row r="350" spans="1:13">
      <c r="A350" s="1">
        <v>345</v>
      </c>
      <c r="B350" s="1" t="s">
        <v>610</v>
      </c>
      <c r="C350" s="1" t="s">
        <v>157</v>
      </c>
      <c r="D350" s="32">
        <v>1739333</v>
      </c>
      <c r="E350" s="32">
        <v>1826300</v>
      </c>
      <c r="F350" s="32">
        <v>1913267</v>
      </c>
      <c r="J350" s="1" t="s">
        <v>737</v>
      </c>
      <c r="K350" s="32">
        <v>1739333</v>
      </c>
      <c r="M350">
        <f>IFERROR(VLOOKUP(Salaries[[#This Row],[Player]],Player_Per_Game[[Player]:[PS/G]],29,FALSE),"")</f>
        <v>1.8</v>
      </c>
    </row>
    <row r="351" spans="1:13">
      <c r="A351" s="1">
        <v>346</v>
      </c>
      <c r="B351" s="1" t="s">
        <v>450</v>
      </c>
      <c r="C351" s="1" t="s">
        <v>43</v>
      </c>
      <c r="D351" s="32">
        <v>1713840</v>
      </c>
      <c r="E351" s="32">
        <v>2639314</v>
      </c>
      <c r="J351" s="1" t="s">
        <v>749</v>
      </c>
      <c r="K351" s="32">
        <v>4353154</v>
      </c>
      <c r="M351">
        <f>IFERROR(VLOOKUP(Salaries[[#This Row],[Player]],Player_Per_Game[[Player]:[PS/G]],29,FALSE),"")</f>
        <v>8.1999999999999993</v>
      </c>
    </row>
    <row r="352" spans="1:13">
      <c r="A352" s="1">
        <v>347</v>
      </c>
      <c r="B352" s="1" t="s">
        <v>561</v>
      </c>
      <c r="C352" s="1" t="s">
        <v>315</v>
      </c>
      <c r="D352" s="32">
        <v>1713720</v>
      </c>
      <c r="E352" s="32">
        <v>2034120</v>
      </c>
      <c r="F352" s="32">
        <v>2376840</v>
      </c>
      <c r="G352" s="32">
        <v>3909902</v>
      </c>
      <c r="J352" s="1" t="s">
        <v>758</v>
      </c>
      <c r="K352" s="32">
        <v>3747840</v>
      </c>
      <c r="M352">
        <f>IFERROR(VLOOKUP(Salaries[[#This Row],[Player]],Player_Per_Game[[Player]:[PS/G]],29,FALSE),"")</f>
        <v>8</v>
      </c>
    </row>
    <row r="353" spans="1:13">
      <c r="A353" s="1">
        <v>348</v>
      </c>
      <c r="B353" s="1" t="s">
        <v>463</v>
      </c>
      <c r="C353" s="1" t="s">
        <v>27</v>
      </c>
      <c r="D353" s="32">
        <v>1709538</v>
      </c>
      <c r="J353" s="1" t="s">
        <v>736</v>
      </c>
      <c r="K353" s="32">
        <v>1709538</v>
      </c>
      <c r="M353">
        <f>IFERROR(VLOOKUP(Salaries[[#This Row],[Player]],Player_Per_Game[[Player]:[PS/G]],29,FALSE),"")</f>
        <v>8.6</v>
      </c>
    </row>
    <row r="354" spans="1:13">
      <c r="A354" s="1">
        <v>349</v>
      </c>
      <c r="B354" s="1" t="s">
        <v>552</v>
      </c>
      <c r="C354" s="1" t="s">
        <v>41</v>
      </c>
      <c r="D354" s="32">
        <v>1709538</v>
      </c>
      <c r="E354" s="32">
        <v>1933941</v>
      </c>
      <c r="J354" s="1"/>
      <c r="K354" s="32">
        <v>1709538</v>
      </c>
      <c r="M354">
        <f>IFERROR(VLOOKUP(Salaries[[#This Row],[Player]],Player_Per_Game[[Player]:[PS/G]],29,FALSE),"")</f>
        <v>6.7</v>
      </c>
    </row>
    <row r="355" spans="1:13">
      <c r="A355" s="1">
        <v>350</v>
      </c>
      <c r="B355" s="1" t="s">
        <v>143</v>
      </c>
      <c r="C355" s="1" t="s">
        <v>315</v>
      </c>
      <c r="D355" s="32">
        <v>1709538</v>
      </c>
      <c r="J355" s="1"/>
      <c r="M355">
        <f>IFERROR(VLOOKUP(Salaries[[#This Row],[Player]],Player_Per_Game[[Player]:[PS/G]],29,FALSE),"")</f>
        <v>5.5</v>
      </c>
    </row>
    <row r="356" spans="1:13">
      <c r="A356" s="1">
        <v>351</v>
      </c>
      <c r="B356" s="1" t="s">
        <v>520</v>
      </c>
      <c r="C356" s="1" t="s">
        <v>61</v>
      </c>
      <c r="D356" s="32">
        <v>1700640</v>
      </c>
      <c r="E356" s="32">
        <v>1773840</v>
      </c>
      <c r="F356" s="32">
        <v>2731714</v>
      </c>
      <c r="J356" s="1" t="s">
        <v>749</v>
      </c>
      <c r="K356" s="32">
        <v>3474480</v>
      </c>
      <c r="M356">
        <f>IFERROR(VLOOKUP(Salaries[[#This Row],[Player]],Player_Per_Game[[Player]:[PS/G]],29,FALSE),"")</f>
        <v>3.2</v>
      </c>
    </row>
    <row r="357" spans="1:13">
      <c r="A357" s="1">
        <v>352</v>
      </c>
      <c r="B357" s="1" t="s">
        <v>752</v>
      </c>
      <c r="C357" s="1" t="s">
        <v>149</v>
      </c>
      <c r="D357" s="32">
        <v>1662500</v>
      </c>
      <c r="J357" s="1"/>
      <c r="K357" s="32">
        <v>1662500</v>
      </c>
      <c r="M357" t="str">
        <f>IFERROR(VLOOKUP(Salaries[[#This Row],[Player]],Player_Per_Game[[Player]:[PS/G]],29,FALSE),"")</f>
        <v/>
      </c>
    </row>
    <row r="358" spans="1:13">
      <c r="A358" s="1">
        <v>353</v>
      </c>
      <c r="B358" s="1" t="s">
        <v>472</v>
      </c>
      <c r="C358" s="1" t="s">
        <v>47</v>
      </c>
      <c r="D358" s="32">
        <v>1645200</v>
      </c>
      <c r="E358" s="32">
        <v>2536898</v>
      </c>
      <c r="J358" s="1" t="s">
        <v>749</v>
      </c>
      <c r="K358" s="32">
        <v>4182098</v>
      </c>
      <c r="M358">
        <f>IFERROR(VLOOKUP(Salaries[[#This Row],[Player]],Player_Per_Game[[Player]:[PS/G]],29,FALSE),"")</f>
        <v>8.3000000000000007</v>
      </c>
    </row>
    <row r="359" spans="1:13">
      <c r="A359" s="1">
        <v>354</v>
      </c>
      <c r="B359" s="1" t="s">
        <v>427</v>
      </c>
      <c r="C359" s="1" t="s">
        <v>47</v>
      </c>
      <c r="D359" s="32">
        <v>1645200</v>
      </c>
      <c r="E359" s="32">
        <v>1952760</v>
      </c>
      <c r="F359" s="32">
        <v>2281800</v>
      </c>
      <c r="G359" s="32">
        <v>3872215</v>
      </c>
      <c r="J359" s="1" t="s">
        <v>758</v>
      </c>
      <c r="K359" s="32">
        <v>3597960</v>
      </c>
      <c r="M359">
        <f>IFERROR(VLOOKUP(Salaries[[#This Row],[Player]],Player_Per_Game[[Player]:[PS/G]],29,FALSE),"")</f>
        <v>5.9</v>
      </c>
    </row>
    <row r="360" spans="1:13">
      <c r="A360" s="1">
        <v>355</v>
      </c>
      <c r="B360" s="1" t="s">
        <v>513</v>
      </c>
      <c r="C360" s="1" t="s">
        <v>102</v>
      </c>
      <c r="D360" s="32">
        <v>1645200</v>
      </c>
      <c r="E360" s="32">
        <v>1952760</v>
      </c>
      <c r="F360" s="32">
        <v>2281800</v>
      </c>
      <c r="G360" s="32">
        <v>3872215</v>
      </c>
      <c r="J360" s="1" t="s">
        <v>758</v>
      </c>
      <c r="K360" s="32">
        <v>3597960</v>
      </c>
      <c r="M360">
        <f>IFERROR(VLOOKUP(Salaries[[#This Row],[Player]],Player_Per_Game[[Player]:[PS/G]],29,FALSE),"")</f>
        <v>3.5</v>
      </c>
    </row>
    <row r="361" spans="1:13">
      <c r="A361" s="1">
        <v>356</v>
      </c>
      <c r="B361" s="1" t="s">
        <v>416</v>
      </c>
      <c r="C361" s="1" t="s">
        <v>315</v>
      </c>
      <c r="D361" s="32">
        <v>1632480</v>
      </c>
      <c r="E361" s="32">
        <v>1702800</v>
      </c>
      <c r="F361" s="32">
        <v>2625718</v>
      </c>
      <c r="J361" s="1" t="s">
        <v>749</v>
      </c>
      <c r="K361" s="32">
        <v>3335280</v>
      </c>
      <c r="M361">
        <f>IFERROR(VLOOKUP(Salaries[[#This Row],[Player]],Player_Per_Game[[Player]:[PS/G]],29,FALSE),"")</f>
        <v>12.1</v>
      </c>
    </row>
    <row r="362" spans="1:13">
      <c r="A362" s="1">
        <v>357</v>
      </c>
      <c r="B362" s="1" t="s">
        <v>440</v>
      </c>
      <c r="C362" s="1" t="s">
        <v>118</v>
      </c>
      <c r="D362" s="32">
        <v>1579440</v>
      </c>
      <c r="E362" s="32">
        <v>2516048</v>
      </c>
      <c r="J362" s="1" t="s">
        <v>749</v>
      </c>
      <c r="K362" s="32">
        <v>4095488</v>
      </c>
      <c r="M362">
        <f>IFERROR(VLOOKUP(Salaries[[#This Row],[Player]],Player_Per_Game[[Player]:[PS/G]],29,FALSE),"")</f>
        <v>5.9</v>
      </c>
    </row>
    <row r="363" spans="1:13">
      <c r="A363" s="1">
        <v>358</v>
      </c>
      <c r="B363" s="1" t="s">
        <v>649</v>
      </c>
      <c r="C363" s="1" t="s">
        <v>61</v>
      </c>
      <c r="D363" s="32">
        <v>1579440</v>
      </c>
      <c r="E363" s="32">
        <v>1874640</v>
      </c>
      <c r="F363" s="32">
        <v>2190720</v>
      </c>
      <c r="J363" s="1" t="s">
        <v>758</v>
      </c>
      <c r="K363" s="32">
        <v>3454080</v>
      </c>
      <c r="M363">
        <f>IFERROR(VLOOKUP(Salaries[[#This Row],[Player]],Player_Per_Game[[Player]:[PS/G]],29,FALSE),"")</f>
        <v>0</v>
      </c>
    </row>
    <row r="364" spans="1:13">
      <c r="A364" s="1">
        <v>359</v>
      </c>
      <c r="B364" s="1" t="s">
        <v>599</v>
      </c>
      <c r="C364" s="1" t="s">
        <v>33</v>
      </c>
      <c r="D364" s="32">
        <v>1577320</v>
      </c>
      <c r="E364" s="32">
        <v>1795015</v>
      </c>
      <c r="J364" s="1"/>
      <c r="K364" s="32">
        <v>350000</v>
      </c>
      <c r="M364">
        <f>IFERROR(VLOOKUP(Salaries[[#This Row],[Player]],Player_Per_Game[[Player]:[PS/G]],29,FALSE),"")</f>
        <v>1.7</v>
      </c>
    </row>
    <row r="365" spans="1:13">
      <c r="A365" s="1">
        <v>360</v>
      </c>
      <c r="B365" s="1" t="s">
        <v>125</v>
      </c>
      <c r="C365" s="1" t="s">
        <v>112</v>
      </c>
      <c r="D365" s="32">
        <v>1577230</v>
      </c>
      <c r="J365" s="1" t="s">
        <v>736</v>
      </c>
      <c r="K365" s="32">
        <v>1577230</v>
      </c>
      <c r="M365">
        <f>IFERROR(VLOOKUP(Salaries[[#This Row],[Player]],Player_Per_Game[[Player]:[PS/G]],29,FALSE),"")</f>
        <v>6.9</v>
      </c>
    </row>
    <row r="366" spans="1:13">
      <c r="A366" s="1">
        <v>361</v>
      </c>
      <c r="B366" s="1" t="s">
        <v>2</v>
      </c>
      <c r="C366" s="1" t="s">
        <v>56</v>
      </c>
      <c r="D366" s="32">
        <v>1577230</v>
      </c>
      <c r="E366" s="32">
        <v>1795015</v>
      </c>
      <c r="J366" s="1"/>
      <c r="K366" s="32">
        <v>1577230</v>
      </c>
      <c r="M366">
        <f>IFERROR(VLOOKUP(Salaries[[#This Row],[Player]],Player_Per_Game[[Player]:[PS/G]],29,FALSE),"")</f>
        <v>3.8</v>
      </c>
    </row>
    <row r="367" spans="1:13">
      <c r="A367" s="1">
        <v>362</v>
      </c>
      <c r="B367" s="1" t="s">
        <v>134</v>
      </c>
      <c r="C367" s="1" t="s">
        <v>43</v>
      </c>
      <c r="D367" s="32">
        <v>1577230</v>
      </c>
      <c r="J367" s="1"/>
      <c r="K367" s="32">
        <v>1577230</v>
      </c>
      <c r="M367">
        <f>IFERROR(VLOOKUP(Salaries[[#This Row],[Player]],Player_Per_Game[[Player]:[PS/G]],29,FALSE),"")</f>
        <v>4.5999999999999996</v>
      </c>
    </row>
    <row r="368" spans="1:13">
      <c r="A368" s="1">
        <v>363</v>
      </c>
      <c r="B368" s="1" t="s">
        <v>525</v>
      </c>
      <c r="C368" s="1" t="s">
        <v>41</v>
      </c>
      <c r="D368" s="32">
        <v>1577230</v>
      </c>
      <c r="J368" s="1"/>
      <c r="M368">
        <f>IFERROR(VLOOKUP(Salaries[[#This Row],[Player]],Player_Per_Game[[Player]:[PS/G]],29,FALSE),"")</f>
        <v>2</v>
      </c>
    </row>
    <row r="369" spans="1:13">
      <c r="A369" s="1">
        <v>364</v>
      </c>
      <c r="B369" s="1" t="s">
        <v>528</v>
      </c>
      <c r="C369" s="1" t="s">
        <v>149</v>
      </c>
      <c r="D369" s="32">
        <v>1567200</v>
      </c>
      <c r="E369" s="32">
        <v>1634640</v>
      </c>
      <c r="F369" s="32">
        <v>2603982</v>
      </c>
      <c r="J369" s="1" t="s">
        <v>749</v>
      </c>
      <c r="K369" s="32">
        <v>3201840</v>
      </c>
      <c r="M369">
        <f>IFERROR(VLOOKUP(Salaries[[#This Row],[Player]],Player_Per_Game[[Player]:[PS/G]],29,FALSE),"")</f>
        <v>4.9000000000000004</v>
      </c>
    </row>
    <row r="370" spans="1:13">
      <c r="A370" s="1">
        <v>365</v>
      </c>
      <c r="B370" s="1" t="s">
        <v>562</v>
      </c>
      <c r="C370" s="1" t="s">
        <v>140</v>
      </c>
      <c r="D370" s="32">
        <v>1524305</v>
      </c>
      <c r="E370" s="32">
        <v>1656092</v>
      </c>
      <c r="J370" s="1"/>
      <c r="K370" s="32">
        <v>1524305</v>
      </c>
      <c r="M370">
        <f>IFERROR(VLOOKUP(Salaries[[#This Row],[Player]],Player_Per_Game[[Player]:[PS/G]],29,FALSE),"")</f>
        <v>4.4000000000000004</v>
      </c>
    </row>
    <row r="371" spans="1:13">
      <c r="A371" s="1">
        <v>366</v>
      </c>
      <c r="B371" s="1" t="s">
        <v>173</v>
      </c>
      <c r="C371" s="1" t="s">
        <v>58</v>
      </c>
      <c r="D371" s="32">
        <v>1524305</v>
      </c>
      <c r="J371" s="1" t="s">
        <v>750</v>
      </c>
      <c r="K371" s="32">
        <v>1524305</v>
      </c>
      <c r="M371">
        <f>IFERROR(VLOOKUP(Salaries[[#This Row],[Player]],Player_Per_Game[[Player]:[PS/G]],29,FALSE),"")</f>
        <v>8.1999999999999993</v>
      </c>
    </row>
    <row r="372" spans="1:13">
      <c r="A372" s="1">
        <v>367</v>
      </c>
      <c r="B372" s="1" t="s">
        <v>123</v>
      </c>
      <c r="C372" s="1" t="s">
        <v>21</v>
      </c>
      <c r="D372" s="32">
        <v>1524305</v>
      </c>
      <c r="J372" s="1"/>
      <c r="K372" s="32">
        <v>1524305</v>
      </c>
      <c r="M372">
        <f>IFERROR(VLOOKUP(Salaries[[#This Row],[Player]],Player_Per_Game[[Player]:[PS/G]],29,FALSE),"")</f>
        <v>4.8</v>
      </c>
    </row>
    <row r="373" spans="1:13">
      <c r="A373" s="1">
        <v>368</v>
      </c>
      <c r="B373" s="1" t="s">
        <v>538</v>
      </c>
      <c r="C373" s="1" t="s">
        <v>78</v>
      </c>
      <c r="D373" s="32">
        <v>1524305</v>
      </c>
      <c r="E373" s="32">
        <v>1656092</v>
      </c>
      <c r="J373" s="1" t="s">
        <v>736</v>
      </c>
      <c r="K373" s="32">
        <v>1524305</v>
      </c>
      <c r="M373">
        <f>IFERROR(VLOOKUP(Salaries[[#This Row],[Player]],Player_Per_Game[[Player]:[PS/G]],29,FALSE),"")</f>
        <v>3.1</v>
      </c>
    </row>
    <row r="374" spans="1:13">
      <c r="A374" s="1">
        <v>369</v>
      </c>
      <c r="B374" s="1" t="s">
        <v>54</v>
      </c>
      <c r="C374" s="1" t="s">
        <v>311</v>
      </c>
      <c r="D374" s="32">
        <v>1524305</v>
      </c>
      <c r="E374" s="32">
        <v>1656092</v>
      </c>
      <c r="J374" s="1" t="s">
        <v>736</v>
      </c>
      <c r="K374" s="32">
        <v>1524305</v>
      </c>
      <c r="M374">
        <f>IFERROR(VLOOKUP(Salaries[[#This Row],[Player]],Player_Per_Game[[Player]:[PS/G]],29,FALSE),"")</f>
        <v>0.4</v>
      </c>
    </row>
    <row r="375" spans="1:13">
      <c r="A375" s="1">
        <v>370</v>
      </c>
      <c r="B375" s="1" t="s">
        <v>114</v>
      </c>
      <c r="C375" s="1" t="s">
        <v>315</v>
      </c>
      <c r="D375" s="32">
        <v>1524305</v>
      </c>
      <c r="J375" s="1"/>
      <c r="K375" s="32">
        <v>1524305</v>
      </c>
      <c r="M375">
        <f>IFERROR(VLOOKUP(Salaries[[#This Row],[Player]],Player_Per_Game[[Player]:[PS/G]],29,FALSE),"")</f>
        <v>4.2</v>
      </c>
    </row>
    <row r="376" spans="1:13">
      <c r="A376" s="1">
        <v>371</v>
      </c>
      <c r="B376" s="1" t="s">
        <v>203</v>
      </c>
      <c r="C376" s="1" t="s">
        <v>315</v>
      </c>
      <c r="D376" s="32">
        <v>1524305</v>
      </c>
      <c r="J376" s="1" t="s">
        <v>736</v>
      </c>
      <c r="K376" s="32">
        <v>1524305</v>
      </c>
      <c r="M376">
        <f>IFERROR(VLOOKUP(Salaries[[#This Row],[Player]],Player_Per_Game[[Player]:[PS/G]],29,FALSE),"")</f>
        <v>10.3</v>
      </c>
    </row>
    <row r="377" spans="1:13">
      <c r="A377" s="1">
        <v>372</v>
      </c>
      <c r="B377" s="1" t="s">
        <v>339</v>
      </c>
      <c r="C377" s="1" t="s">
        <v>315</v>
      </c>
      <c r="D377" s="32">
        <v>1524305</v>
      </c>
      <c r="E377" s="32">
        <v>1656092</v>
      </c>
      <c r="J377" s="1" t="s">
        <v>736</v>
      </c>
      <c r="K377" s="32">
        <v>1524305</v>
      </c>
      <c r="M377">
        <f>IFERROR(VLOOKUP(Salaries[[#This Row],[Player]],Player_Per_Game[[Player]:[PS/G]],29,FALSE),"")</f>
        <v>12.9</v>
      </c>
    </row>
    <row r="378" spans="1:13">
      <c r="A378" s="1">
        <v>373</v>
      </c>
      <c r="B378" s="1" t="s">
        <v>88</v>
      </c>
      <c r="C378" s="1" t="s">
        <v>87</v>
      </c>
      <c r="D378" s="32">
        <v>1524305</v>
      </c>
      <c r="J378" s="1" t="s">
        <v>736</v>
      </c>
      <c r="K378" s="32">
        <v>1524305</v>
      </c>
      <c r="M378">
        <f>IFERROR(VLOOKUP(Salaries[[#This Row],[Player]],Player_Per_Game[[Player]:[PS/G]],29,FALSE),"")</f>
        <v>3.8</v>
      </c>
    </row>
    <row r="379" spans="1:13">
      <c r="A379" s="1">
        <v>374</v>
      </c>
      <c r="B379" s="1" t="s">
        <v>712</v>
      </c>
      <c r="C379" s="1" t="s">
        <v>30</v>
      </c>
      <c r="D379" s="32">
        <v>1524305</v>
      </c>
      <c r="J379" s="1"/>
      <c r="M379">
        <f>IFERROR(VLOOKUP(Salaries[[#This Row],[Player]],Player_Per_Game[[Player]:[PS/G]],29,FALSE),"")</f>
        <v>3</v>
      </c>
    </row>
    <row r="380" spans="1:13">
      <c r="A380" s="1">
        <v>375</v>
      </c>
      <c r="B380" s="1" t="s">
        <v>594</v>
      </c>
      <c r="C380" s="1" t="s">
        <v>92</v>
      </c>
      <c r="D380" s="32">
        <v>1524305</v>
      </c>
      <c r="J380" s="1"/>
      <c r="M380">
        <f>IFERROR(VLOOKUP(Salaries[[#This Row],[Player]],Player_Per_Game[[Player]:[PS/G]],29,FALSE),"")</f>
        <v>2.5</v>
      </c>
    </row>
    <row r="381" spans="1:13">
      <c r="A381" s="1">
        <v>376</v>
      </c>
      <c r="B381" s="1" t="s">
        <v>447</v>
      </c>
      <c r="C381" s="1" t="s">
        <v>43</v>
      </c>
      <c r="D381" s="32">
        <v>1516320</v>
      </c>
      <c r="E381" s="32">
        <v>2494346</v>
      </c>
      <c r="J381" s="1" t="s">
        <v>749</v>
      </c>
      <c r="K381" s="32">
        <v>4010666</v>
      </c>
      <c r="M381">
        <f>IFERROR(VLOOKUP(Salaries[[#This Row],[Player]],Player_Per_Game[[Player]:[PS/G]],29,FALSE),"")</f>
        <v>13.3</v>
      </c>
    </row>
    <row r="382" spans="1:13">
      <c r="A382" s="1">
        <v>377</v>
      </c>
      <c r="B382" s="1" t="s">
        <v>500</v>
      </c>
      <c r="C382" s="1" t="s">
        <v>47</v>
      </c>
      <c r="D382" s="32">
        <v>1504560</v>
      </c>
      <c r="E382" s="32">
        <v>1569360</v>
      </c>
      <c r="F382" s="32">
        <v>2581597</v>
      </c>
      <c r="J382" s="1" t="s">
        <v>749</v>
      </c>
      <c r="K382" s="32">
        <v>3073920</v>
      </c>
      <c r="M382">
        <f>IFERROR(VLOOKUP(Salaries[[#This Row],[Player]],Player_Per_Game[[Player]:[PS/G]],29,FALSE),"")</f>
        <v>3.4</v>
      </c>
    </row>
    <row r="383" spans="1:13">
      <c r="A383" s="1">
        <v>378</v>
      </c>
      <c r="B383" s="1" t="s">
        <v>76</v>
      </c>
      <c r="C383" s="1" t="s">
        <v>100</v>
      </c>
      <c r="D383" s="32">
        <v>1500000</v>
      </c>
      <c r="J383" s="1"/>
      <c r="K383" s="32">
        <v>1500000</v>
      </c>
      <c r="M383">
        <f>IFERROR(VLOOKUP(Salaries[[#This Row],[Player]],Player_Per_Game[[Player]:[PS/G]],29,FALSE),"")</f>
        <v>3.3</v>
      </c>
    </row>
    <row r="384" spans="1:13">
      <c r="A384" s="1">
        <v>379</v>
      </c>
      <c r="B384" s="1" t="s">
        <v>422</v>
      </c>
      <c r="C384" s="1" t="s">
        <v>47</v>
      </c>
      <c r="D384" s="32">
        <v>1471382</v>
      </c>
      <c r="E384" s="32">
        <v>9367200</v>
      </c>
      <c r="F384" s="32">
        <v>10116576</v>
      </c>
      <c r="G384" s="32">
        <v>10865952</v>
      </c>
      <c r="H384" s="32">
        <v>11615328</v>
      </c>
      <c r="J384" s="1" t="s">
        <v>746</v>
      </c>
      <c r="K384" s="32">
        <v>31821110</v>
      </c>
      <c r="M384">
        <f>IFERROR(VLOOKUP(Salaries[[#This Row],[Player]],Player_Per_Game[[Player]:[PS/G]],29,FALSE),"")</f>
        <v>5.8</v>
      </c>
    </row>
    <row r="385" spans="1:13">
      <c r="A385" s="1">
        <v>380</v>
      </c>
      <c r="B385" s="1" t="s">
        <v>364</v>
      </c>
      <c r="C385" s="1" t="s">
        <v>50</v>
      </c>
      <c r="D385" s="32">
        <v>1471382</v>
      </c>
      <c r="E385" s="32">
        <v>9300000</v>
      </c>
      <c r="F385" s="32">
        <v>10100000</v>
      </c>
      <c r="G385" s="32">
        <v>10800000</v>
      </c>
      <c r="H385" s="32">
        <v>11600000</v>
      </c>
      <c r="J385" s="1" t="s">
        <v>736</v>
      </c>
      <c r="K385" s="32">
        <v>31671382</v>
      </c>
      <c r="M385">
        <f>IFERROR(VLOOKUP(Salaries[[#This Row],[Player]],Player_Per_Game[[Player]:[PS/G]],29,FALSE),"")</f>
        <v>13.1</v>
      </c>
    </row>
    <row r="386" spans="1:13">
      <c r="A386" s="1">
        <v>381</v>
      </c>
      <c r="B386" s="1" t="s">
        <v>540</v>
      </c>
      <c r="C386" s="1" t="s">
        <v>315</v>
      </c>
      <c r="D386" s="32">
        <v>1471382</v>
      </c>
      <c r="E386" s="32">
        <v>2470357</v>
      </c>
      <c r="J386" s="1" t="s">
        <v>749</v>
      </c>
      <c r="K386" s="32">
        <v>3941739</v>
      </c>
      <c r="M386">
        <f>IFERROR(VLOOKUP(Salaries[[#This Row],[Player]],Player_Per_Game[[Player]:[PS/G]],29,FALSE),"")</f>
        <v>14.4</v>
      </c>
    </row>
    <row r="387" spans="1:13">
      <c r="A387" s="1">
        <v>382</v>
      </c>
      <c r="B387" s="1" t="s">
        <v>1</v>
      </c>
      <c r="C387" s="1" t="s">
        <v>56</v>
      </c>
      <c r="D387" s="32">
        <v>1471382</v>
      </c>
      <c r="E387" s="32">
        <v>2444053</v>
      </c>
      <c r="J387" s="1" t="s">
        <v>749</v>
      </c>
      <c r="K387" s="32">
        <v>3915435</v>
      </c>
      <c r="M387">
        <f>IFERROR(VLOOKUP(Salaries[[#This Row],[Player]],Player_Per_Game[[Player]:[PS/G]],29,FALSE),"")</f>
        <v>5</v>
      </c>
    </row>
    <row r="388" spans="1:13">
      <c r="A388" s="1">
        <v>383</v>
      </c>
      <c r="B388" s="1" t="s">
        <v>533</v>
      </c>
      <c r="C388" s="1" t="s">
        <v>128</v>
      </c>
      <c r="D388" s="32">
        <v>1471382</v>
      </c>
      <c r="E388" s="32">
        <v>2416222</v>
      </c>
      <c r="J388" s="1" t="s">
        <v>749</v>
      </c>
      <c r="K388" s="32">
        <v>3887604</v>
      </c>
      <c r="M388">
        <f>IFERROR(VLOOKUP(Salaries[[#This Row],[Player]],Player_Per_Game[[Player]:[PS/G]],29,FALSE),"")</f>
        <v>7.5</v>
      </c>
    </row>
    <row r="389" spans="1:13">
      <c r="A389" s="1">
        <v>384</v>
      </c>
      <c r="B389" s="1" t="s">
        <v>579</v>
      </c>
      <c r="C389" s="1" t="s">
        <v>102</v>
      </c>
      <c r="D389" s="32">
        <v>1471382</v>
      </c>
      <c r="E389" s="32">
        <v>2272391</v>
      </c>
      <c r="J389" s="1" t="s">
        <v>749</v>
      </c>
      <c r="K389" s="32">
        <v>3743773</v>
      </c>
      <c r="M389">
        <f>IFERROR(VLOOKUP(Salaries[[#This Row],[Player]],Player_Per_Game[[Player]:[PS/G]],29,FALSE),"")</f>
        <v>9.3000000000000007</v>
      </c>
    </row>
    <row r="390" spans="1:13">
      <c r="A390" s="1">
        <v>385</v>
      </c>
      <c r="B390" s="1" t="s">
        <v>616</v>
      </c>
      <c r="C390" s="1" t="s">
        <v>92</v>
      </c>
      <c r="D390" s="32">
        <v>1471382</v>
      </c>
      <c r="E390" s="32">
        <v>1544951</v>
      </c>
      <c r="F390" s="32">
        <v>1676735</v>
      </c>
      <c r="J390" s="1"/>
      <c r="K390" s="32">
        <v>2085087</v>
      </c>
      <c r="M390">
        <f>IFERROR(VLOOKUP(Salaries[[#This Row],[Player]],Player_Per_Game[[Player]:[PS/G]],29,FALSE),"")</f>
        <v>6.7</v>
      </c>
    </row>
    <row r="391" spans="1:13">
      <c r="A391" s="1">
        <v>386</v>
      </c>
      <c r="B391" s="1" t="s">
        <v>71</v>
      </c>
      <c r="C391" s="1" t="s">
        <v>27</v>
      </c>
      <c r="D391" s="32">
        <v>1471382</v>
      </c>
      <c r="J391" s="1" t="s">
        <v>749</v>
      </c>
      <c r="K391" s="32">
        <v>1471382</v>
      </c>
      <c r="M391">
        <f>IFERROR(VLOOKUP(Salaries[[#This Row],[Player]],Player_Per_Game[[Player]:[PS/G]],29,FALSE),"")</f>
        <v>2.4</v>
      </c>
    </row>
    <row r="392" spans="1:13">
      <c r="A392" s="1">
        <v>387</v>
      </c>
      <c r="B392" s="1" t="s">
        <v>121</v>
      </c>
      <c r="C392" s="1" t="s">
        <v>305</v>
      </c>
      <c r="D392" s="32">
        <v>1471382</v>
      </c>
      <c r="J392" s="1"/>
      <c r="K392" s="32">
        <v>1471382</v>
      </c>
      <c r="M392">
        <f>IFERROR(VLOOKUP(Salaries[[#This Row],[Player]],Player_Per_Game[[Player]:[PS/G]],29,FALSE),"")</f>
        <v>4.5999999999999996</v>
      </c>
    </row>
    <row r="393" spans="1:13">
      <c r="A393" s="1">
        <v>388</v>
      </c>
      <c r="B393" s="1" t="s">
        <v>154</v>
      </c>
      <c r="C393" s="1" t="s">
        <v>96</v>
      </c>
      <c r="D393" s="32">
        <v>1471382</v>
      </c>
      <c r="J393" s="1" t="s">
        <v>736</v>
      </c>
      <c r="K393" s="32">
        <v>1471382</v>
      </c>
      <c r="M393">
        <f>IFERROR(VLOOKUP(Salaries[[#This Row],[Player]],Player_Per_Game[[Player]:[PS/G]],29,FALSE),"")</f>
        <v>5.7</v>
      </c>
    </row>
    <row r="394" spans="1:13">
      <c r="A394" s="1">
        <v>389</v>
      </c>
      <c r="B394" s="1" t="s">
        <v>541</v>
      </c>
      <c r="C394" s="1" t="s">
        <v>118</v>
      </c>
      <c r="D394" s="32">
        <v>1471382</v>
      </c>
      <c r="E394" s="32">
        <v>1600520</v>
      </c>
      <c r="J394" s="1" t="s">
        <v>746</v>
      </c>
      <c r="K394" s="32">
        <v>1471382</v>
      </c>
      <c r="M394">
        <f>IFERROR(VLOOKUP(Salaries[[#This Row],[Player]],Player_Per_Game[[Player]:[PS/G]],29,FALSE),"")</f>
        <v>5.7</v>
      </c>
    </row>
    <row r="395" spans="1:13">
      <c r="A395" s="1">
        <v>390</v>
      </c>
      <c r="B395" s="1" t="s">
        <v>539</v>
      </c>
      <c r="C395" s="1" t="s">
        <v>118</v>
      </c>
      <c r="D395" s="32">
        <v>1471382</v>
      </c>
      <c r="E395" s="32">
        <v>1600520</v>
      </c>
      <c r="J395" s="1" t="s">
        <v>736</v>
      </c>
      <c r="K395" s="32">
        <v>1471382</v>
      </c>
      <c r="M395">
        <f>IFERROR(VLOOKUP(Salaries[[#This Row],[Player]],Player_Per_Game[[Player]:[PS/G]],29,FALSE),"")</f>
        <v>6.7</v>
      </c>
    </row>
    <row r="396" spans="1:13">
      <c r="A396" s="1">
        <v>391</v>
      </c>
      <c r="B396" s="1" t="s">
        <v>69</v>
      </c>
      <c r="C396" s="1" t="s">
        <v>58</v>
      </c>
      <c r="D396" s="32">
        <v>1471382</v>
      </c>
      <c r="J396" s="1"/>
      <c r="K396" s="32">
        <v>1471382</v>
      </c>
      <c r="M396">
        <f>IFERROR(VLOOKUP(Salaries[[#This Row],[Player]],Player_Per_Game[[Player]:[PS/G]],29,FALSE),"")</f>
        <v>2.4</v>
      </c>
    </row>
    <row r="397" spans="1:13">
      <c r="A397" s="1">
        <v>392</v>
      </c>
      <c r="B397" s="1" t="s">
        <v>116</v>
      </c>
      <c r="C397" s="1" t="s">
        <v>50</v>
      </c>
      <c r="D397" s="32">
        <v>1471382</v>
      </c>
      <c r="E397" s="32">
        <v>1600520</v>
      </c>
      <c r="J397" s="1" t="s">
        <v>736</v>
      </c>
      <c r="K397" s="32">
        <v>1471382</v>
      </c>
      <c r="M397">
        <f>IFERROR(VLOOKUP(Salaries[[#This Row],[Player]],Player_Per_Game[[Player]:[PS/G]],29,FALSE),"")</f>
        <v>4</v>
      </c>
    </row>
    <row r="398" spans="1:13">
      <c r="A398" s="1">
        <v>393</v>
      </c>
      <c r="B398" s="1" t="s">
        <v>180</v>
      </c>
      <c r="C398" s="1" t="s">
        <v>64</v>
      </c>
      <c r="D398" s="32">
        <v>1471382</v>
      </c>
      <c r="J398" s="1"/>
      <c r="K398" s="32">
        <v>1471382</v>
      </c>
      <c r="M398">
        <f>IFERROR(VLOOKUP(Salaries[[#This Row],[Player]],Player_Per_Game[[Player]:[PS/G]],29,FALSE),"")</f>
        <v>10.4</v>
      </c>
    </row>
    <row r="399" spans="1:13">
      <c r="A399" s="1">
        <v>394</v>
      </c>
      <c r="B399" s="1" t="s">
        <v>498</v>
      </c>
      <c r="C399" s="1" t="s">
        <v>30</v>
      </c>
      <c r="D399" s="32">
        <v>1471382</v>
      </c>
      <c r="E399" s="32">
        <v>1600520</v>
      </c>
      <c r="J399" s="1" t="s">
        <v>746</v>
      </c>
      <c r="K399" s="32">
        <v>1471382</v>
      </c>
      <c r="M399">
        <f>IFERROR(VLOOKUP(Salaries[[#This Row],[Player]],Player_Per_Game[[Player]:[PS/G]],29,FALSE),"")</f>
        <v>3.8</v>
      </c>
    </row>
    <row r="400" spans="1:13">
      <c r="A400" s="1">
        <v>395</v>
      </c>
      <c r="B400" s="1" t="s">
        <v>74</v>
      </c>
      <c r="C400" s="1" t="s">
        <v>73</v>
      </c>
      <c r="D400" s="32">
        <v>1471382</v>
      </c>
      <c r="J400" s="1" t="s">
        <v>749</v>
      </c>
      <c r="K400" s="32">
        <v>1471382</v>
      </c>
      <c r="M400">
        <f>IFERROR(VLOOKUP(Salaries[[#This Row],[Player]],Player_Per_Game[[Player]:[PS/G]],29,FALSE),"")</f>
        <v>3.5</v>
      </c>
    </row>
    <row r="401" spans="1:13">
      <c r="A401" s="1">
        <v>396</v>
      </c>
      <c r="B401" s="1" t="s">
        <v>409</v>
      </c>
      <c r="C401" s="1" t="s">
        <v>61</v>
      </c>
      <c r="D401" s="32">
        <v>1471382</v>
      </c>
      <c r="E401" s="32">
        <v>1600520</v>
      </c>
      <c r="J401" s="1"/>
      <c r="K401" s="32">
        <v>1471382</v>
      </c>
      <c r="M401">
        <f>IFERROR(VLOOKUP(Salaries[[#This Row],[Player]],Player_Per_Game[[Player]:[PS/G]],29,FALSE),"")</f>
        <v>17.5</v>
      </c>
    </row>
    <row r="402" spans="1:13">
      <c r="A402" s="1">
        <v>397</v>
      </c>
      <c r="B402" s="1" t="s">
        <v>84</v>
      </c>
      <c r="C402" s="1" t="s">
        <v>33</v>
      </c>
      <c r="D402" s="32">
        <v>1471382</v>
      </c>
      <c r="J402" s="1" t="s">
        <v>736</v>
      </c>
      <c r="K402" s="32">
        <v>1471382</v>
      </c>
      <c r="M402">
        <f>IFERROR(VLOOKUP(Salaries[[#This Row],[Player]],Player_Per_Game[[Player]:[PS/G]],29,FALSE),"")</f>
        <v>3.5</v>
      </c>
    </row>
    <row r="403" spans="1:13">
      <c r="A403" s="1">
        <v>398</v>
      </c>
      <c r="B403" s="1" t="s">
        <v>565</v>
      </c>
      <c r="C403" s="1" t="s">
        <v>96</v>
      </c>
      <c r="D403" s="32">
        <v>1465920</v>
      </c>
      <c r="E403" s="32">
        <v>1740000</v>
      </c>
      <c r="F403" s="32">
        <v>2033160</v>
      </c>
      <c r="G403" s="32">
        <v>3665787</v>
      </c>
      <c r="J403" s="1" t="s">
        <v>758</v>
      </c>
      <c r="K403" s="32">
        <v>3205920</v>
      </c>
      <c r="M403">
        <f>IFERROR(VLOOKUP(Salaries[[#This Row],[Player]],Player_Per_Game[[Player]:[PS/G]],29,FALSE),"")</f>
        <v>2</v>
      </c>
    </row>
    <row r="404" spans="1:13">
      <c r="A404" s="1">
        <v>399</v>
      </c>
      <c r="B404" s="1" t="s">
        <v>300</v>
      </c>
      <c r="C404" s="1" t="s">
        <v>118</v>
      </c>
      <c r="D404" s="32">
        <v>1465920</v>
      </c>
      <c r="E404" s="32">
        <v>1740000</v>
      </c>
      <c r="F404" s="32">
        <v>2033160</v>
      </c>
      <c r="G404" s="32">
        <v>3665787</v>
      </c>
      <c r="J404" s="1" t="s">
        <v>758</v>
      </c>
      <c r="K404" s="32">
        <v>3205920</v>
      </c>
      <c r="M404">
        <f>IFERROR(VLOOKUP(Salaries[[#This Row],[Player]],Player_Per_Game[[Player]:[PS/G]],29,FALSE),"")</f>
        <v>1.5</v>
      </c>
    </row>
    <row r="405" spans="1:13">
      <c r="A405" s="1">
        <v>400</v>
      </c>
      <c r="B405" s="1" t="s">
        <v>612</v>
      </c>
      <c r="C405" s="1" t="s">
        <v>311</v>
      </c>
      <c r="D405" s="32">
        <v>1435750</v>
      </c>
      <c r="E405" s="32">
        <v>1544951</v>
      </c>
      <c r="F405" s="32">
        <v>1701735</v>
      </c>
      <c r="J405" s="1" t="s">
        <v>746</v>
      </c>
      <c r="K405" s="32">
        <v>2980701</v>
      </c>
      <c r="M405">
        <f>IFERROR(VLOOKUP(Salaries[[#This Row],[Player]],Player_Per_Game[[Player]:[PS/G]],29,FALSE),"")</f>
        <v>4</v>
      </c>
    </row>
    <row r="406" spans="1:13">
      <c r="A406" s="1">
        <v>401</v>
      </c>
      <c r="B406" s="1" t="s">
        <v>345</v>
      </c>
      <c r="C406" s="1" t="s">
        <v>78</v>
      </c>
      <c r="D406" s="32">
        <v>1423560</v>
      </c>
      <c r="E406" s="32">
        <v>1689840</v>
      </c>
      <c r="F406" s="32">
        <v>1974600</v>
      </c>
      <c r="G406" s="32">
        <v>3562178</v>
      </c>
      <c r="J406" s="1" t="s">
        <v>758</v>
      </c>
      <c r="K406" s="32">
        <v>3113400</v>
      </c>
      <c r="M406">
        <f>IFERROR(VLOOKUP(Salaries[[#This Row],[Player]],Player_Per_Game[[Player]:[PS/G]],29,FALSE),"")</f>
        <v>15.6</v>
      </c>
    </row>
    <row r="407" spans="1:13">
      <c r="A407" s="1">
        <v>402</v>
      </c>
      <c r="B407" s="1" t="s">
        <v>304</v>
      </c>
      <c r="C407" s="1" t="s">
        <v>305</v>
      </c>
      <c r="D407" s="32">
        <v>1414920</v>
      </c>
      <c r="E407" s="32">
        <v>1679520</v>
      </c>
      <c r="F407" s="32">
        <v>1962360</v>
      </c>
      <c r="G407" s="32">
        <v>3542060</v>
      </c>
      <c r="J407" s="1" t="s">
        <v>758</v>
      </c>
      <c r="K407" s="32">
        <v>3094440</v>
      </c>
      <c r="M407">
        <f>IFERROR(VLOOKUP(Salaries[[#This Row],[Player]],Player_Per_Game[[Player]:[PS/G]],29,FALSE),"")</f>
        <v>0.9</v>
      </c>
    </row>
    <row r="408" spans="1:13">
      <c r="A408" s="1">
        <v>403</v>
      </c>
      <c r="B408" s="1" t="s">
        <v>572</v>
      </c>
      <c r="C408" s="1" t="s">
        <v>140</v>
      </c>
      <c r="D408" s="32">
        <v>1404600</v>
      </c>
      <c r="E408" s="32">
        <v>1667160</v>
      </c>
      <c r="F408" s="32">
        <v>1948080</v>
      </c>
      <c r="G408" s="32">
        <v>3516284</v>
      </c>
      <c r="J408" s="1" t="s">
        <v>758</v>
      </c>
      <c r="K408" s="32">
        <v>3071760</v>
      </c>
      <c r="M408">
        <f>IFERROR(VLOOKUP(Salaries[[#This Row],[Player]],Player_Per_Game[[Player]:[PS/G]],29,FALSE),"")</f>
        <v>3.2</v>
      </c>
    </row>
    <row r="409" spans="1:13">
      <c r="A409" s="1">
        <v>404</v>
      </c>
      <c r="B409" s="1" t="s">
        <v>464</v>
      </c>
      <c r="C409" s="1" t="s">
        <v>78</v>
      </c>
      <c r="D409" s="32">
        <v>1394520</v>
      </c>
      <c r="E409" s="32">
        <v>1655160</v>
      </c>
      <c r="F409" s="32">
        <v>1934160</v>
      </c>
      <c r="G409" s="32">
        <v>3491159</v>
      </c>
      <c r="J409" s="1" t="s">
        <v>758</v>
      </c>
      <c r="K409" s="32">
        <v>3049680</v>
      </c>
      <c r="M409">
        <f>IFERROR(VLOOKUP(Salaries[[#This Row],[Player]],Player_Per_Game[[Player]:[PS/G]],29,FALSE),"")</f>
        <v>6.6</v>
      </c>
    </row>
    <row r="410" spans="1:13">
      <c r="A410" s="1">
        <v>405</v>
      </c>
      <c r="B410" s="1" t="s">
        <v>425</v>
      </c>
      <c r="C410" s="1" t="s">
        <v>118</v>
      </c>
      <c r="D410" s="32">
        <v>1386600</v>
      </c>
      <c r="E410" s="32">
        <v>1544951</v>
      </c>
      <c r="F410" s="32">
        <v>2529684</v>
      </c>
      <c r="J410" s="1" t="s">
        <v>749</v>
      </c>
      <c r="K410" s="32">
        <v>2931551</v>
      </c>
      <c r="M410">
        <f>IFERROR(VLOOKUP(Salaries[[#This Row],[Player]],Player_Per_Game[[Player]:[PS/G]],29,FALSE),"")</f>
        <v>5.8</v>
      </c>
    </row>
    <row r="411" spans="1:13">
      <c r="A411" s="1">
        <v>406</v>
      </c>
      <c r="B411" s="1" t="s">
        <v>764</v>
      </c>
      <c r="C411" s="1" t="s">
        <v>56</v>
      </c>
      <c r="D411" s="32">
        <v>1360305</v>
      </c>
      <c r="E411" s="32">
        <v>1360305</v>
      </c>
      <c r="J411" s="1"/>
      <c r="K411" s="32">
        <v>2720610</v>
      </c>
      <c r="M411" t="str">
        <f>IFERROR(VLOOKUP(Salaries[[#This Row],[Player]],Player_Per_Game[[Player]:[PS/G]],29,FALSE),"")</f>
        <v/>
      </c>
    </row>
    <row r="412" spans="1:13">
      <c r="A412" s="1">
        <v>407</v>
      </c>
      <c r="B412" s="1" t="s">
        <v>65</v>
      </c>
      <c r="C412" s="1" t="s">
        <v>128</v>
      </c>
      <c r="D412" s="32">
        <v>1331160</v>
      </c>
      <c r="J412" s="1" t="s">
        <v>749</v>
      </c>
      <c r="K412" s="32">
        <v>1331160</v>
      </c>
      <c r="M412">
        <f>IFERROR(VLOOKUP(Salaries[[#This Row],[Player]],Player_Per_Game[[Player]:[PS/G]],29,FALSE),"")</f>
        <v>2</v>
      </c>
    </row>
    <row r="413" spans="1:13">
      <c r="A413" s="1">
        <v>408</v>
      </c>
      <c r="B413" s="1" t="s">
        <v>483</v>
      </c>
      <c r="C413" s="1" t="s">
        <v>47</v>
      </c>
      <c r="D413" s="32">
        <v>1312611</v>
      </c>
      <c r="E413" s="32">
        <v>1544951</v>
      </c>
      <c r="F413" s="32">
        <v>2351839</v>
      </c>
      <c r="J413" s="1" t="s">
        <v>749</v>
      </c>
      <c r="K413" s="32">
        <v>2857562</v>
      </c>
      <c r="M413">
        <f>IFERROR(VLOOKUP(Salaries[[#This Row],[Player]],Player_Per_Game[[Player]:[PS/G]],29,FALSE),"")</f>
        <v>7.2</v>
      </c>
    </row>
    <row r="414" spans="1:13">
      <c r="A414" s="1">
        <v>409</v>
      </c>
      <c r="B414" s="1" t="s">
        <v>558</v>
      </c>
      <c r="C414" s="1" t="s">
        <v>140</v>
      </c>
      <c r="D414" s="32">
        <v>1312611</v>
      </c>
      <c r="E414" s="32">
        <v>1544951</v>
      </c>
      <c r="F414" s="32">
        <v>2321735</v>
      </c>
      <c r="J414" s="1" t="s">
        <v>749</v>
      </c>
      <c r="K414" s="32">
        <v>2857562</v>
      </c>
      <c r="M414">
        <f>IFERROR(VLOOKUP(Salaries[[#This Row],[Player]],Player_Per_Game[[Player]:[PS/G]],29,FALSE),"")</f>
        <v>7.8</v>
      </c>
    </row>
    <row r="415" spans="1:13">
      <c r="A415" s="1">
        <v>410</v>
      </c>
      <c r="B415" s="1" t="s">
        <v>557</v>
      </c>
      <c r="C415" s="1" t="s">
        <v>100</v>
      </c>
      <c r="D415" s="32">
        <v>1312611</v>
      </c>
      <c r="E415" s="32">
        <v>1544951</v>
      </c>
      <c r="F415" s="32">
        <v>2338847</v>
      </c>
      <c r="J415" s="1" t="s">
        <v>749</v>
      </c>
      <c r="K415" s="32">
        <v>2857562</v>
      </c>
      <c r="M415">
        <f>IFERROR(VLOOKUP(Salaries[[#This Row],[Player]],Player_Per_Game[[Player]:[PS/G]],29,FALSE),"")</f>
        <v>8.6</v>
      </c>
    </row>
    <row r="416" spans="1:13">
      <c r="A416" s="1">
        <v>411</v>
      </c>
      <c r="B416" s="1" t="s">
        <v>766</v>
      </c>
      <c r="C416" s="1" t="s">
        <v>50</v>
      </c>
      <c r="D416" s="32">
        <v>1312611</v>
      </c>
      <c r="E416" s="32">
        <v>1544951</v>
      </c>
      <c r="J416" s="1"/>
      <c r="K416" s="32">
        <v>2857562</v>
      </c>
      <c r="M416" t="str">
        <f>IFERROR(VLOOKUP(Salaries[[#This Row],[Player]],Player_Per_Game[[Player]:[PS/G]],29,FALSE),"")</f>
        <v/>
      </c>
    </row>
    <row r="417" spans="1:13">
      <c r="A417" s="1">
        <v>412</v>
      </c>
      <c r="B417" s="1" t="s">
        <v>586</v>
      </c>
      <c r="C417" s="1" t="s">
        <v>128</v>
      </c>
      <c r="D417" s="32">
        <v>1312611</v>
      </c>
      <c r="E417" s="32">
        <v>1544951</v>
      </c>
      <c r="J417" s="1" t="s">
        <v>746</v>
      </c>
      <c r="K417" s="32">
        <v>2857562</v>
      </c>
      <c r="M417">
        <f>IFERROR(VLOOKUP(Salaries[[#This Row],[Player]],Player_Per_Game[[Player]:[PS/G]],29,FALSE),"")</f>
        <v>5.4</v>
      </c>
    </row>
    <row r="418" spans="1:13">
      <c r="A418" s="1">
        <v>413</v>
      </c>
      <c r="B418" s="1" t="s">
        <v>765</v>
      </c>
      <c r="C418" s="1" t="s">
        <v>92</v>
      </c>
      <c r="D418" s="32">
        <v>1312611</v>
      </c>
      <c r="E418" s="32">
        <v>1544951</v>
      </c>
      <c r="J418" s="1" t="s">
        <v>736</v>
      </c>
      <c r="K418" s="32">
        <v>2857562</v>
      </c>
      <c r="M418" t="str">
        <f>IFERROR(VLOOKUP(Salaries[[#This Row],[Player]],Player_Per_Game[[Player]:[PS/G]],29,FALSE),"")</f>
        <v/>
      </c>
    </row>
    <row r="419" spans="1:13">
      <c r="A419" s="1">
        <v>414</v>
      </c>
      <c r="B419" s="1" t="s">
        <v>637</v>
      </c>
      <c r="C419" s="1" t="s">
        <v>73</v>
      </c>
      <c r="D419" s="32">
        <v>1312611</v>
      </c>
      <c r="E419" s="32">
        <v>1544951</v>
      </c>
      <c r="F419" s="32">
        <v>2305057</v>
      </c>
      <c r="J419" s="1" t="s">
        <v>749</v>
      </c>
      <c r="K419" s="32">
        <v>2857562</v>
      </c>
      <c r="M419">
        <f>IFERROR(VLOOKUP(Salaries[[#This Row],[Player]],Player_Per_Game[[Player]:[PS/G]],29,FALSE),"")</f>
        <v>0</v>
      </c>
    </row>
    <row r="420" spans="1:13">
      <c r="A420" s="1">
        <v>415</v>
      </c>
      <c r="B420" s="1" t="s">
        <v>465</v>
      </c>
      <c r="C420" s="1" t="s">
        <v>128</v>
      </c>
      <c r="D420" s="32">
        <v>1312611</v>
      </c>
      <c r="E420" s="32">
        <v>1544951</v>
      </c>
      <c r="J420" s="1"/>
      <c r="K420" s="32">
        <v>2085087</v>
      </c>
      <c r="M420">
        <f>IFERROR(VLOOKUP(Salaries[[#This Row],[Player]],Player_Per_Game[[Player]:[PS/G]],29,FALSE),"")</f>
        <v>8</v>
      </c>
    </row>
    <row r="421" spans="1:13">
      <c r="A421" s="1">
        <v>416</v>
      </c>
      <c r="B421" s="1" t="s">
        <v>534</v>
      </c>
      <c r="C421" s="1" t="s">
        <v>112</v>
      </c>
      <c r="D421" s="32">
        <v>1312611</v>
      </c>
      <c r="E421" s="32">
        <v>1544951</v>
      </c>
      <c r="J421" s="1" t="s">
        <v>736</v>
      </c>
      <c r="K421" s="32">
        <v>1812611</v>
      </c>
      <c r="M421">
        <f>IFERROR(VLOOKUP(Salaries[[#This Row],[Player]],Player_Per_Game[[Player]:[PS/G]],29,FALSE),"")</f>
        <v>4.5999999999999996</v>
      </c>
    </row>
    <row r="422" spans="1:13">
      <c r="A422" s="1">
        <v>417</v>
      </c>
      <c r="B422" s="1" t="s">
        <v>595</v>
      </c>
      <c r="C422" s="1" t="s">
        <v>305</v>
      </c>
      <c r="D422" s="32">
        <v>1312611</v>
      </c>
      <c r="J422" s="1"/>
      <c r="K422" s="32">
        <v>1312611</v>
      </c>
      <c r="M422">
        <f>IFERROR(VLOOKUP(Salaries[[#This Row],[Player]],Player_Per_Game[[Player]:[PS/G]],29,FALSE),"")</f>
        <v>1.5</v>
      </c>
    </row>
    <row r="423" spans="1:13">
      <c r="A423" s="1">
        <v>418</v>
      </c>
      <c r="B423" s="1" t="s">
        <v>174</v>
      </c>
      <c r="C423" s="1" t="s">
        <v>140</v>
      </c>
      <c r="D423" s="32">
        <v>1312611</v>
      </c>
      <c r="J423" s="1" t="s">
        <v>736</v>
      </c>
      <c r="K423" s="32">
        <v>1312611</v>
      </c>
      <c r="M423">
        <f>IFERROR(VLOOKUP(Salaries[[#This Row],[Player]],Player_Per_Game[[Player]:[PS/G]],29,FALSE),"")</f>
        <v>7.2</v>
      </c>
    </row>
    <row r="424" spans="1:13">
      <c r="A424" s="1">
        <v>419</v>
      </c>
      <c r="B424" s="1" t="s">
        <v>141</v>
      </c>
      <c r="C424" s="1" t="s">
        <v>140</v>
      </c>
      <c r="D424" s="32">
        <v>1312611</v>
      </c>
      <c r="J424" s="1" t="s">
        <v>736</v>
      </c>
      <c r="K424" s="32">
        <v>1312611</v>
      </c>
      <c r="M424">
        <f>IFERROR(VLOOKUP(Salaries[[#This Row],[Player]],Player_Per_Game[[Player]:[PS/G]],29,FALSE),"")</f>
        <v>6.4</v>
      </c>
    </row>
    <row r="425" spans="1:13">
      <c r="A425" s="1">
        <v>420</v>
      </c>
      <c r="B425" s="1" t="s">
        <v>301</v>
      </c>
      <c r="C425" s="1" t="s">
        <v>96</v>
      </c>
      <c r="D425" s="32">
        <v>1312611</v>
      </c>
      <c r="E425" s="32">
        <v>1544951</v>
      </c>
      <c r="J425" s="1" t="s">
        <v>746</v>
      </c>
      <c r="K425" s="32">
        <v>1312611</v>
      </c>
      <c r="M425">
        <f>IFERROR(VLOOKUP(Salaries[[#This Row],[Player]],Player_Per_Game[[Player]:[PS/G]],29,FALSE),"")</f>
        <v>1</v>
      </c>
    </row>
    <row r="426" spans="1:13">
      <c r="A426" s="1">
        <v>421</v>
      </c>
      <c r="B426" s="1" t="s">
        <v>489</v>
      </c>
      <c r="C426" s="1" t="s">
        <v>313</v>
      </c>
      <c r="D426" s="32">
        <v>1312611</v>
      </c>
      <c r="E426" s="32">
        <v>1544951</v>
      </c>
      <c r="F426" s="32">
        <v>1676735</v>
      </c>
      <c r="J426" s="1" t="s">
        <v>746</v>
      </c>
      <c r="K426" s="32">
        <v>1312611</v>
      </c>
      <c r="M426">
        <f>IFERROR(VLOOKUP(Salaries[[#This Row],[Player]],Player_Per_Game[[Player]:[PS/G]],29,FALSE),"")</f>
        <v>6.7</v>
      </c>
    </row>
    <row r="427" spans="1:13">
      <c r="A427" s="1">
        <v>422</v>
      </c>
      <c r="B427" s="1" t="s">
        <v>0</v>
      </c>
      <c r="C427" s="1" t="s">
        <v>56</v>
      </c>
      <c r="D427" s="32">
        <v>1312611</v>
      </c>
      <c r="J427" s="1" t="s">
        <v>736</v>
      </c>
      <c r="K427" s="32">
        <v>1312611</v>
      </c>
      <c r="M427">
        <f>IFERROR(VLOOKUP(Salaries[[#This Row],[Player]],Player_Per_Game[[Player]:[PS/G]],29,FALSE),"")</f>
        <v>1.2</v>
      </c>
    </row>
    <row r="428" spans="1:13">
      <c r="A428" s="1">
        <v>423</v>
      </c>
      <c r="B428" s="1" t="s">
        <v>410</v>
      </c>
      <c r="C428" s="1" t="s">
        <v>41</v>
      </c>
      <c r="D428" s="32">
        <v>1312611</v>
      </c>
      <c r="E428" s="32">
        <v>1544951</v>
      </c>
      <c r="J428" s="1" t="s">
        <v>746</v>
      </c>
      <c r="K428" s="32">
        <v>1312611</v>
      </c>
      <c r="M428">
        <f>IFERROR(VLOOKUP(Salaries[[#This Row],[Player]],Player_Per_Game[[Player]:[PS/G]],29,FALSE),"")</f>
        <v>13.3</v>
      </c>
    </row>
    <row r="429" spans="1:13">
      <c r="A429" s="1">
        <v>424</v>
      </c>
      <c r="B429" s="1" t="s">
        <v>747</v>
      </c>
      <c r="C429" s="1" t="s">
        <v>50</v>
      </c>
      <c r="D429" s="32">
        <v>1312611</v>
      </c>
      <c r="E429" s="32">
        <v>1544951</v>
      </c>
      <c r="J429" s="1" t="s">
        <v>736</v>
      </c>
      <c r="K429" s="32">
        <v>1312611</v>
      </c>
      <c r="M429">
        <f>IFERROR(VLOOKUP(Salaries[[#This Row],[Player]],Player_Per_Game[[Player]:[PS/G]],29,FALSE),"")</f>
        <v>5.7</v>
      </c>
    </row>
    <row r="430" spans="1:13">
      <c r="A430" s="1">
        <v>425</v>
      </c>
      <c r="B430" s="1" t="s">
        <v>470</v>
      </c>
      <c r="C430" s="1" t="s">
        <v>128</v>
      </c>
      <c r="D430" s="32">
        <v>1312611</v>
      </c>
      <c r="E430" s="32">
        <v>1544951</v>
      </c>
      <c r="J430" s="1" t="s">
        <v>746</v>
      </c>
      <c r="K430" s="32">
        <v>1312611</v>
      </c>
      <c r="M430">
        <f>IFERROR(VLOOKUP(Salaries[[#This Row],[Player]],Player_Per_Game[[Player]:[PS/G]],29,FALSE),"")</f>
        <v>9.4</v>
      </c>
    </row>
    <row r="431" spans="1:13">
      <c r="A431" s="1">
        <v>426</v>
      </c>
      <c r="B431" s="1" t="s">
        <v>625</v>
      </c>
      <c r="C431" s="1" t="s">
        <v>78</v>
      </c>
      <c r="D431" s="32">
        <v>1312611</v>
      </c>
      <c r="E431" s="32">
        <v>1544951</v>
      </c>
      <c r="J431" s="1" t="s">
        <v>746</v>
      </c>
      <c r="K431" s="32">
        <v>1312611</v>
      </c>
      <c r="M431">
        <f>IFERROR(VLOOKUP(Salaries[[#This Row],[Player]],Player_Per_Game[[Player]:[PS/G]],29,FALSE),"")</f>
        <v>3.1</v>
      </c>
    </row>
    <row r="432" spans="1:13">
      <c r="A432" s="1">
        <v>427</v>
      </c>
      <c r="B432" s="1" t="s">
        <v>98</v>
      </c>
      <c r="C432" s="1" t="s">
        <v>73</v>
      </c>
      <c r="D432" s="32">
        <v>1312611</v>
      </c>
      <c r="J432" s="1" t="s">
        <v>736</v>
      </c>
      <c r="K432" s="32">
        <v>1312611</v>
      </c>
      <c r="M432">
        <f>IFERROR(VLOOKUP(Salaries[[#This Row],[Player]],Player_Per_Game[[Player]:[PS/G]],29,FALSE),"")</f>
        <v>3.7</v>
      </c>
    </row>
    <row r="433" spans="1:13">
      <c r="A433" s="1">
        <v>428</v>
      </c>
      <c r="B433" s="1" t="s">
        <v>491</v>
      </c>
      <c r="C433" s="1" t="s">
        <v>33</v>
      </c>
      <c r="D433" s="32">
        <v>1312611</v>
      </c>
      <c r="E433" s="32">
        <v>1544951</v>
      </c>
      <c r="J433" s="1" t="s">
        <v>736</v>
      </c>
      <c r="K433" s="32">
        <v>1312611</v>
      </c>
      <c r="M433">
        <f>IFERROR(VLOOKUP(Salaries[[#This Row],[Player]],Player_Per_Game[[Player]:[PS/G]],29,FALSE),"")</f>
        <v>3.7</v>
      </c>
    </row>
    <row r="434" spans="1:13">
      <c r="A434" s="1">
        <v>429</v>
      </c>
      <c r="B434" s="1" t="s">
        <v>205</v>
      </c>
      <c r="C434" s="1" t="s">
        <v>33</v>
      </c>
      <c r="D434" s="32">
        <v>1312611</v>
      </c>
      <c r="J434" s="1" t="s">
        <v>736</v>
      </c>
      <c r="K434" s="32">
        <v>1312611</v>
      </c>
      <c r="M434">
        <f>IFERROR(VLOOKUP(Salaries[[#This Row],[Player]],Player_Per_Game[[Player]:[PS/G]],29,FALSE),"")</f>
        <v>10.1</v>
      </c>
    </row>
    <row r="435" spans="1:13">
      <c r="A435" s="1">
        <v>430</v>
      </c>
      <c r="B435" s="1" t="s">
        <v>133</v>
      </c>
      <c r="C435" s="1" t="s">
        <v>311</v>
      </c>
      <c r="D435" s="32">
        <v>1312611</v>
      </c>
      <c r="J435" s="1" t="s">
        <v>736</v>
      </c>
      <c r="K435" s="32">
        <v>1312611</v>
      </c>
      <c r="M435">
        <f>IFERROR(VLOOKUP(Salaries[[#This Row],[Player]],Player_Per_Game[[Player]:[PS/G]],29,FALSE),"")</f>
        <v>4.5</v>
      </c>
    </row>
    <row r="436" spans="1:13">
      <c r="A436" s="1">
        <v>431</v>
      </c>
      <c r="B436" s="1" t="s">
        <v>177</v>
      </c>
      <c r="C436" s="1" t="s">
        <v>43</v>
      </c>
      <c r="D436" s="32">
        <v>1312611</v>
      </c>
      <c r="J436" s="1" t="s">
        <v>736</v>
      </c>
      <c r="K436" s="32">
        <v>1312611</v>
      </c>
      <c r="M436">
        <f>IFERROR(VLOOKUP(Salaries[[#This Row],[Player]],Player_Per_Game[[Player]:[PS/G]],29,FALSE),"")</f>
        <v>7.5</v>
      </c>
    </row>
    <row r="437" spans="1:13">
      <c r="A437" s="1">
        <v>432</v>
      </c>
      <c r="B437" s="1" t="s">
        <v>497</v>
      </c>
      <c r="C437" s="1" t="s">
        <v>43</v>
      </c>
      <c r="D437" s="32">
        <v>1312611</v>
      </c>
      <c r="E437" s="32">
        <v>1544951</v>
      </c>
      <c r="F437" s="32">
        <v>1676735</v>
      </c>
      <c r="J437" s="1" t="s">
        <v>746</v>
      </c>
      <c r="K437" s="32">
        <v>1312611</v>
      </c>
      <c r="M437">
        <f>IFERROR(VLOOKUP(Salaries[[#This Row],[Player]],Player_Per_Game[[Player]:[PS/G]],29,FALSE),"")</f>
        <v>4.0999999999999996</v>
      </c>
    </row>
    <row r="438" spans="1:13">
      <c r="A438" s="1">
        <v>433</v>
      </c>
      <c r="B438" s="1" t="s">
        <v>524</v>
      </c>
      <c r="C438" s="1" t="s">
        <v>315</v>
      </c>
      <c r="D438" s="32">
        <v>1312611</v>
      </c>
      <c r="E438" s="32">
        <v>1544951</v>
      </c>
      <c r="F438" s="32">
        <v>1676735</v>
      </c>
      <c r="J438" s="1" t="s">
        <v>746</v>
      </c>
      <c r="K438" s="32">
        <v>1312611</v>
      </c>
      <c r="M438">
        <f>IFERROR(VLOOKUP(Salaries[[#This Row],[Player]],Player_Per_Game[[Player]:[PS/G]],29,FALSE),"")</f>
        <v>6.3</v>
      </c>
    </row>
    <row r="439" spans="1:13">
      <c r="A439" s="1">
        <v>434</v>
      </c>
      <c r="B439" s="1" t="s">
        <v>748</v>
      </c>
      <c r="C439" s="1" t="s">
        <v>149</v>
      </c>
      <c r="D439" s="32">
        <v>1312611</v>
      </c>
      <c r="J439" s="1"/>
      <c r="K439" s="32">
        <v>1312611</v>
      </c>
      <c r="M439" t="str">
        <f>IFERROR(VLOOKUP(Salaries[[#This Row],[Player]],Player_Per_Game[[Player]:[PS/G]],29,FALSE),"")</f>
        <v/>
      </c>
    </row>
    <row r="440" spans="1:13">
      <c r="A440" s="1">
        <v>435</v>
      </c>
      <c r="B440" s="1" t="s">
        <v>77</v>
      </c>
      <c r="C440" s="1" t="s">
        <v>149</v>
      </c>
      <c r="D440" s="32">
        <v>1312611</v>
      </c>
      <c r="J440" s="1"/>
      <c r="K440" s="32">
        <v>1312611</v>
      </c>
      <c r="M440">
        <f>IFERROR(VLOOKUP(Salaries[[#This Row],[Player]],Player_Per_Game[[Player]:[PS/G]],29,FALSE),"")</f>
        <v>3.3</v>
      </c>
    </row>
    <row r="441" spans="1:13">
      <c r="A441" s="1">
        <v>436</v>
      </c>
      <c r="B441" s="1" t="s">
        <v>647</v>
      </c>
      <c r="C441" s="1" t="s">
        <v>149</v>
      </c>
      <c r="D441" s="32">
        <v>1312611</v>
      </c>
      <c r="J441" s="1"/>
      <c r="K441" s="32">
        <v>1312611</v>
      </c>
      <c r="M441">
        <f>IFERROR(VLOOKUP(Salaries[[#This Row],[Player]],Player_Per_Game[[Player]:[PS/G]],29,FALSE),"")</f>
        <v>0</v>
      </c>
    </row>
    <row r="442" spans="1:13">
      <c r="A442" s="1">
        <v>437</v>
      </c>
      <c r="B442" s="1" t="s">
        <v>718</v>
      </c>
      <c r="C442" s="1" t="s">
        <v>149</v>
      </c>
      <c r="D442" s="32">
        <v>1312611</v>
      </c>
      <c r="J442" s="1"/>
      <c r="K442" s="32">
        <v>1312611</v>
      </c>
      <c r="M442" t="str">
        <f>IFERROR(VLOOKUP(Salaries[[#This Row],[Player]],Player_Per_Game[[Player]:[PS/G]],29,FALSE),"")</f>
        <v/>
      </c>
    </row>
    <row r="443" spans="1:13">
      <c r="A443" s="1">
        <v>438</v>
      </c>
      <c r="B443" s="1" t="s">
        <v>543</v>
      </c>
      <c r="C443" s="1" t="s">
        <v>149</v>
      </c>
      <c r="D443" s="32">
        <v>1312611</v>
      </c>
      <c r="E443" s="32">
        <v>1544951</v>
      </c>
      <c r="J443" s="1" t="s">
        <v>736</v>
      </c>
      <c r="K443" s="32">
        <v>1312611</v>
      </c>
      <c r="M443">
        <f>IFERROR(VLOOKUP(Salaries[[#This Row],[Player]],Player_Per_Game[[Player]:[PS/G]],29,FALSE),"")</f>
        <v>5.5</v>
      </c>
    </row>
    <row r="444" spans="1:13">
      <c r="A444" s="1">
        <v>439</v>
      </c>
      <c r="B444" s="1" t="s">
        <v>320</v>
      </c>
      <c r="C444" s="1" t="s">
        <v>43</v>
      </c>
      <c r="D444" s="32">
        <v>1312611</v>
      </c>
      <c r="E444" s="32">
        <v>1544951</v>
      </c>
      <c r="J444" s="1"/>
      <c r="K444" s="32">
        <v>456529</v>
      </c>
      <c r="M444">
        <f>IFERROR(VLOOKUP(Salaries[[#This Row],[Player]],Player_Per_Game[[Player]:[PS/G]],29,FALSE),"")</f>
        <v>3.7</v>
      </c>
    </row>
    <row r="445" spans="1:13">
      <c r="A445" s="1">
        <v>440</v>
      </c>
      <c r="B445" s="1" t="s">
        <v>162</v>
      </c>
      <c r="C445" s="1" t="s">
        <v>47</v>
      </c>
      <c r="D445" s="32">
        <v>1312611</v>
      </c>
      <c r="J445" s="1"/>
      <c r="M445">
        <f>IFERROR(VLOOKUP(Salaries[[#This Row],[Player]],Player_Per_Game[[Player]:[PS/G]],29,FALSE),"")</f>
        <v>8.3000000000000007</v>
      </c>
    </row>
    <row r="446" spans="1:13">
      <c r="A446" s="1">
        <v>441</v>
      </c>
      <c r="B446" s="1" t="s">
        <v>380</v>
      </c>
      <c r="C446" s="1" t="s">
        <v>313</v>
      </c>
      <c r="D446" s="32">
        <v>1312611</v>
      </c>
      <c r="J446" s="1"/>
      <c r="M446">
        <f>IFERROR(VLOOKUP(Salaries[[#This Row],[Player]],Player_Per_Game[[Player]:[PS/G]],29,FALSE),"")</f>
        <v>3</v>
      </c>
    </row>
    <row r="447" spans="1:13">
      <c r="A447" s="1">
        <v>442</v>
      </c>
      <c r="B447" s="1" t="s">
        <v>711</v>
      </c>
      <c r="C447" s="1" t="s">
        <v>21</v>
      </c>
      <c r="D447" s="32">
        <v>1312611</v>
      </c>
      <c r="J447" s="1"/>
      <c r="M447" t="str">
        <f>IFERROR(VLOOKUP(Salaries[[#This Row],[Player]],Player_Per_Game[[Player]:[PS/G]],29,FALSE),"")</f>
        <v/>
      </c>
    </row>
    <row r="448" spans="1:13">
      <c r="A448" s="1">
        <v>443</v>
      </c>
      <c r="B448" s="1" t="s">
        <v>710</v>
      </c>
      <c r="C448" s="1" t="s">
        <v>78</v>
      </c>
      <c r="D448" s="32">
        <v>1312611</v>
      </c>
      <c r="J448" s="1"/>
      <c r="M448" t="str">
        <f>IFERROR(VLOOKUP(Salaries[[#This Row],[Player]],Player_Per_Game[[Player]:[PS/G]],29,FALSE),"")</f>
        <v/>
      </c>
    </row>
    <row r="449" spans="1:13">
      <c r="A449" s="1">
        <v>444</v>
      </c>
      <c r="B449" s="1" t="s">
        <v>488</v>
      </c>
      <c r="C449" s="1" t="s">
        <v>87</v>
      </c>
      <c r="D449" s="32">
        <v>1291892</v>
      </c>
      <c r="E449" s="32">
        <v>1378242</v>
      </c>
      <c r="F449" s="32">
        <v>1618520</v>
      </c>
      <c r="G449" s="32">
        <v>1752950</v>
      </c>
      <c r="J449" s="1"/>
      <c r="K449" s="32">
        <v>2193857</v>
      </c>
      <c r="M449">
        <f>IFERROR(VLOOKUP(Salaries[[#This Row],[Player]],Player_Per_Game[[Player]:[PS/G]],29,FALSE),"")</f>
        <v>2.2999999999999998</v>
      </c>
    </row>
    <row r="450" spans="1:13">
      <c r="A450" s="1">
        <v>445</v>
      </c>
      <c r="B450" s="1" t="s">
        <v>510</v>
      </c>
      <c r="C450" s="1" t="s">
        <v>100</v>
      </c>
      <c r="D450" s="32">
        <v>1184385</v>
      </c>
      <c r="E450" s="32">
        <v>1378242</v>
      </c>
      <c r="F450" s="32">
        <v>1618520</v>
      </c>
      <c r="J450" s="1"/>
      <c r="K450" s="32">
        <v>2562627</v>
      </c>
      <c r="M450">
        <f>IFERROR(VLOOKUP(Salaries[[#This Row],[Player]],Player_Per_Game[[Player]:[PS/G]],29,FALSE),"")</f>
        <v>7.8</v>
      </c>
    </row>
    <row r="451" spans="1:13">
      <c r="A451" s="1">
        <v>446</v>
      </c>
      <c r="B451" s="1" t="s">
        <v>615</v>
      </c>
      <c r="C451" s="1" t="s">
        <v>87</v>
      </c>
      <c r="D451" s="32">
        <v>1167333</v>
      </c>
      <c r="E451" s="32">
        <v>1378242</v>
      </c>
      <c r="F451" s="32">
        <v>1618520</v>
      </c>
      <c r="G451" s="32">
        <v>1752950</v>
      </c>
      <c r="J451" s="1"/>
      <c r="K451" s="32">
        <v>1617333</v>
      </c>
      <c r="M451">
        <f>IFERROR(VLOOKUP(Salaries[[#This Row],[Player]],Player_Per_Game[[Player]:[PS/G]],29,FALSE),"")</f>
        <v>3.2</v>
      </c>
    </row>
    <row r="452" spans="1:13">
      <c r="A452" s="1">
        <v>447</v>
      </c>
      <c r="B452" s="1" t="s">
        <v>548</v>
      </c>
      <c r="C452" s="1" t="s">
        <v>21</v>
      </c>
      <c r="D452" s="32">
        <v>1100000</v>
      </c>
      <c r="E452" s="32">
        <v>1378242</v>
      </c>
      <c r="F452" s="32">
        <v>1618520</v>
      </c>
      <c r="J452" s="1" t="s">
        <v>736</v>
      </c>
      <c r="K452" s="32">
        <v>2478242</v>
      </c>
      <c r="M452">
        <f>IFERROR(VLOOKUP(Salaries[[#This Row],[Player]],Player_Per_Game[[Player]:[PS/G]],29,FALSE),"")</f>
        <v>2.9</v>
      </c>
    </row>
    <row r="453" spans="1:13">
      <c r="A453" s="1">
        <v>448</v>
      </c>
      <c r="B453" s="1" t="s">
        <v>744</v>
      </c>
      <c r="C453" s="1" t="s">
        <v>64</v>
      </c>
      <c r="D453" s="32">
        <v>1096080</v>
      </c>
      <c r="J453" s="1"/>
      <c r="K453" s="32">
        <v>1096080</v>
      </c>
      <c r="M453" t="str">
        <f>IFERROR(VLOOKUP(Salaries[[#This Row],[Player]],Player_Per_Game[[Player]:[PS/G]],29,FALSE),"")</f>
        <v/>
      </c>
    </row>
    <row r="454" spans="1:13">
      <c r="A454" s="1">
        <v>449</v>
      </c>
      <c r="B454" s="1" t="s">
        <v>194</v>
      </c>
      <c r="C454" s="1" t="s">
        <v>313</v>
      </c>
      <c r="D454" s="32">
        <v>1069308</v>
      </c>
      <c r="J454" s="1"/>
      <c r="K454" s="32">
        <v>1069308</v>
      </c>
      <c r="M454">
        <f>IFERROR(VLOOKUP(Salaries[[#This Row],[Player]],Player_Per_Game[[Player]:[PS/G]],29,FALSE),"")</f>
        <v>8.6</v>
      </c>
    </row>
    <row r="455" spans="1:13">
      <c r="A455" s="1">
        <v>450</v>
      </c>
      <c r="B455" s="1" t="s">
        <v>550</v>
      </c>
      <c r="C455" s="1" t="s">
        <v>75</v>
      </c>
      <c r="D455" s="32">
        <v>1050000</v>
      </c>
      <c r="E455" s="32">
        <v>1378242</v>
      </c>
      <c r="F455" s="32">
        <v>1618520</v>
      </c>
      <c r="J455" s="1"/>
      <c r="K455" s="32">
        <v>2428242</v>
      </c>
      <c r="M455">
        <f>IFERROR(VLOOKUP(Salaries[[#This Row],[Player]],Player_Per_Game[[Player]:[PS/G]],29,FALSE),"")</f>
        <v>3.3</v>
      </c>
    </row>
    <row r="456" spans="1:13">
      <c r="A456" s="1">
        <v>451</v>
      </c>
      <c r="B456" s="1" t="s">
        <v>743</v>
      </c>
      <c r="C456" s="1" t="s">
        <v>140</v>
      </c>
      <c r="D456" s="32">
        <v>1035200</v>
      </c>
      <c r="J456" s="1"/>
      <c r="K456" s="32">
        <v>1035200</v>
      </c>
      <c r="M456" t="str">
        <f>IFERROR(VLOOKUP(Salaries[[#This Row],[Player]],Player_Per_Game[[Player]:[PS/G]],29,FALSE),"")</f>
        <v/>
      </c>
    </row>
    <row r="457" spans="1:13">
      <c r="A457" s="1">
        <v>452</v>
      </c>
      <c r="B457" s="1" t="s">
        <v>767</v>
      </c>
      <c r="C457" s="1" t="s">
        <v>47</v>
      </c>
      <c r="D457" s="32">
        <v>1000000</v>
      </c>
      <c r="E457" s="32">
        <v>1000000</v>
      </c>
      <c r="F457" s="32">
        <v>1000000</v>
      </c>
      <c r="J457" s="1"/>
      <c r="K457" s="32">
        <v>3000000</v>
      </c>
      <c r="M457" t="str">
        <f>IFERROR(VLOOKUP(Salaries[[#This Row],[Player]],Player_Per_Game[[Player]:[PS/G]],29,FALSE),"")</f>
        <v/>
      </c>
    </row>
    <row r="458" spans="1:13">
      <c r="A458" s="1">
        <v>453</v>
      </c>
      <c r="B458" s="1" t="s">
        <v>741</v>
      </c>
      <c r="C458" s="1" t="s">
        <v>118</v>
      </c>
      <c r="D458" s="32">
        <v>1000000</v>
      </c>
      <c r="J458" s="1"/>
      <c r="K458" s="32">
        <v>1000000</v>
      </c>
      <c r="M458" t="str">
        <f>IFERROR(VLOOKUP(Salaries[[#This Row],[Player]],Player_Per_Game[[Player]:[PS/G]],29,FALSE),"")</f>
        <v/>
      </c>
    </row>
    <row r="459" spans="1:13">
      <c r="A459" s="1">
        <v>454</v>
      </c>
      <c r="B459" s="1" t="s">
        <v>759</v>
      </c>
      <c r="C459" s="1" t="s">
        <v>128</v>
      </c>
      <c r="D459" s="32">
        <v>950000</v>
      </c>
      <c r="E459" s="32">
        <v>1378242</v>
      </c>
      <c r="J459" s="1"/>
      <c r="K459" s="32">
        <v>2328242</v>
      </c>
      <c r="M459" t="str">
        <f>IFERROR(VLOOKUP(Salaries[[#This Row],[Player]],Player_Per_Game[[Player]:[PS/G]],29,FALSE),"")</f>
        <v/>
      </c>
    </row>
    <row r="460" spans="1:13">
      <c r="A460" s="1">
        <v>455</v>
      </c>
      <c r="B460" s="1" t="s">
        <v>630</v>
      </c>
      <c r="C460" s="1" t="s">
        <v>128</v>
      </c>
      <c r="D460" s="32">
        <v>950000</v>
      </c>
      <c r="E460" s="32">
        <v>1378242</v>
      </c>
      <c r="F460" s="32">
        <v>1618520</v>
      </c>
      <c r="J460" s="1" t="s">
        <v>737</v>
      </c>
      <c r="K460" s="32">
        <v>2328242</v>
      </c>
      <c r="M460">
        <f>IFERROR(VLOOKUP(Salaries[[#This Row],[Player]],Player_Per_Game[[Player]:[PS/G]],29,FALSE),"")</f>
        <v>4.5999999999999996</v>
      </c>
    </row>
    <row r="461" spans="1:13">
      <c r="A461" s="1">
        <v>456</v>
      </c>
      <c r="B461" s="1" t="s">
        <v>379</v>
      </c>
      <c r="C461" s="1" t="s">
        <v>30</v>
      </c>
      <c r="D461" s="32">
        <v>950000</v>
      </c>
      <c r="E461" s="32">
        <v>1378242</v>
      </c>
      <c r="F461" s="32">
        <v>1618520</v>
      </c>
      <c r="J461" s="1" t="s">
        <v>738</v>
      </c>
      <c r="K461" s="32">
        <v>1640000</v>
      </c>
      <c r="M461">
        <f>IFERROR(VLOOKUP(Salaries[[#This Row],[Player]],Player_Per_Game[[Player]:[PS/G]],29,FALSE),"")</f>
        <v>1.3</v>
      </c>
    </row>
    <row r="462" spans="1:13">
      <c r="A462" s="1">
        <v>457</v>
      </c>
      <c r="B462" s="1" t="s">
        <v>234</v>
      </c>
      <c r="C462" s="1" t="s">
        <v>92</v>
      </c>
      <c r="D462" s="32">
        <v>947248</v>
      </c>
      <c r="J462" s="1" t="s">
        <v>736</v>
      </c>
      <c r="K462" s="32">
        <v>947248</v>
      </c>
      <c r="M462">
        <f>IFERROR(VLOOKUP(Salaries[[#This Row],[Player]],Player_Per_Game[[Player]:[PS/G]],29,FALSE),"")</f>
        <v>11.3</v>
      </c>
    </row>
    <row r="463" spans="1:13">
      <c r="A463" s="1">
        <v>458</v>
      </c>
      <c r="B463" s="1" t="s">
        <v>755</v>
      </c>
      <c r="C463" s="1" t="s">
        <v>73</v>
      </c>
      <c r="D463" s="32">
        <v>945126</v>
      </c>
      <c r="E463" s="32">
        <v>945126</v>
      </c>
      <c r="J463" s="1"/>
      <c r="K463" s="32">
        <v>1890252</v>
      </c>
      <c r="M463" t="str">
        <f>IFERROR(VLOOKUP(Salaries[[#This Row],[Player]],Player_Per_Game[[Player]:[PS/G]],29,FALSE),"")</f>
        <v/>
      </c>
    </row>
    <row r="464" spans="1:13">
      <c r="A464" s="1">
        <v>459</v>
      </c>
      <c r="B464" s="1" t="s">
        <v>751</v>
      </c>
      <c r="C464" s="1" t="s">
        <v>27</v>
      </c>
      <c r="D464" s="32">
        <v>830000</v>
      </c>
      <c r="E464" s="32">
        <v>830000</v>
      </c>
      <c r="J464" s="1"/>
      <c r="K464" s="32">
        <v>1660000</v>
      </c>
      <c r="M464" t="str">
        <f>IFERROR(VLOOKUP(Salaries[[#This Row],[Player]],Player_Per_Game[[Player]:[PS/G]],29,FALSE),"")</f>
        <v/>
      </c>
    </row>
    <row r="465" spans="1:13">
      <c r="A465" s="1">
        <v>460</v>
      </c>
      <c r="B465" s="1" t="s">
        <v>762</v>
      </c>
      <c r="C465" s="1" t="s">
        <v>112</v>
      </c>
      <c r="D465" s="32">
        <v>815615</v>
      </c>
      <c r="E465" s="32">
        <v>1378242</v>
      </c>
      <c r="F465" s="32">
        <v>1618520</v>
      </c>
      <c r="J465" s="1" t="s">
        <v>737</v>
      </c>
      <c r="K465" s="32">
        <v>2699857</v>
      </c>
      <c r="M465" t="str">
        <f>IFERROR(VLOOKUP(Salaries[[#This Row],[Player]],Player_Per_Game[[Player]:[PS/G]],29,FALSE),"")</f>
        <v/>
      </c>
    </row>
    <row r="466" spans="1:13">
      <c r="A466" s="1">
        <v>461</v>
      </c>
      <c r="B466" s="1" t="s">
        <v>577</v>
      </c>
      <c r="C466" s="1" t="s">
        <v>73</v>
      </c>
      <c r="D466" s="32">
        <v>815615</v>
      </c>
      <c r="E466" s="32">
        <v>1378252</v>
      </c>
      <c r="J466" s="1" t="s">
        <v>736</v>
      </c>
      <c r="K466" s="32">
        <v>2193867</v>
      </c>
      <c r="M466">
        <f>IFERROR(VLOOKUP(Salaries[[#This Row],[Player]],Player_Per_Game[[Player]:[PS/G]],29,FALSE),"")</f>
        <v>4.7</v>
      </c>
    </row>
    <row r="467" spans="1:13">
      <c r="A467" s="1">
        <v>462</v>
      </c>
      <c r="B467" s="1" t="s">
        <v>581</v>
      </c>
      <c r="C467" s="1" t="s">
        <v>58</v>
      </c>
      <c r="D467" s="32">
        <v>815615</v>
      </c>
      <c r="E467" s="32">
        <v>1378242</v>
      </c>
      <c r="J467" s="1"/>
      <c r="K467" s="32">
        <v>2193857</v>
      </c>
      <c r="M467">
        <f>IFERROR(VLOOKUP(Salaries[[#This Row],[Player]],Player_Per_Game[[Player]:[PS/G]],29,FALSE),"")</f>
        <v>1.9</v>
      </c>
    </row>
    <row r="468" spans="1:13">
      <c r="A468" s="1">
        <v>463</v>
      </c>
      <c r="B468" s="1" t="s">
        <v>476</v>
      </c>
      <c r="C468" s="1" t="s">
        <v>41</v>
      </c>
      <c r="D468" s="32">
        <v>815615</v>
      </c>
      <c r="E468" s="32">
        <v>1378242</v>
      </c>
      <c r="F468" s="32">
        <v>1618520</v>
      </c>
      <c r="J468" s="1" t="s">
        <v>737</v>
      </c>
      <c r="K468" s="32">
        <v>2193857</v>
      </c>
      <c r="M468">
        <f>IFERROR(VLOOKUP(Salaries[[#This Row],[Player]],Player_Per_Game[[Player]:[PS/G]],29,FALSE),"")</f>
        <v>4.4000000000000004</v>
      </c>
    </row>
    <row r="469" spans="1:13">
      <c r="A469" s="1">
        <v>464</v>
      </c>
      <c r="B469" s="1" t="s">
        <v>457</v>
      </c>
      <c r="C469" s="1" t="s">
        <v>128</v>
      </c>
      <c r="D469" s="32">
        <v>815615</v>
      </c>
      <c r="E469" s="32">
        <v>1378242</v>
      </c>
      <c r="F469" s="32">
        <v>1618520</v>
      </c>
      <c r="J469" s="1" t="s">
        <v>737</v>
      </c>
      <c r="K469" s="32">
        <v>2193857</v>
      </c>
      <c r="M469">
        <f>IFERROR(VLOOKUP(Salaries[[#This Row],[Player]],Player_Per_Game[[Player]:[PS/G]],29,FALSE),"")</f>
        <v>10.199999999999999</v>
      </c>
    </row>
    <row r="470" spans="1:13">
      <c r="A470" s="1">
        <v>465</v>
      </c>
      <c r="B470" s="1" t="s">
        <v>518</v>
      </c>
      <c r="C470" s="1" t="s">
        <v>64</v>
      </c>
      <c r="D470" s="32">
        <v>815615</v>
      </c>
      <c r="E470" s="32">
        <v>1378242</v>
      </c>
      <c r="F470" s="32">
        <v>1618520</v>
      </c>
      <c r="J470" s="1" t="s">
        <v>737</v>
      </c>
      <c r="K470" s="32">
        <v>2193857</v>
      </c>
      <c r="M470">
        <f>IFERROR(VLOOKUP(Salaries[[#This Row],[Player]],Player_Per_Game[[Player]:[PS/G]],29,FALSE),"")</f>
        <v>5.2</v>
      </c>
    </row>
    <row r="471" spans="1:13">
      <c r="A471" s="1">
        <v>466</v>
      </c>
      <c r="B471" s="1" t="s">
        <v>542</v>
      </c>
      <c r="C471" s="1" t="s">
        <v>64</v>
      </c>
      <c r="D471" s="32">
        <v>815615</v>
      </c>
      <c r="E471" s="32">
        <v>1378242</v>
      </c>
      <c r="F471" s="32">
        <v>1618520</v>
      </c>
      <c r="J471" s="1" t="s">
        <v>737</v>
      </c>
      <c r="K471" s="32">
        <v>2193857</v>
      </c>
      <c r="M471">
        <f>IFERROR(VLOOKUP(Salaries[[#This Row],[Player]],Player_Per_Game[[Player]:[PS/G]],29,FALSE),"")</f>
        <v>3.6</v>
      </c>
    </row>
    <row r="472" spans="1:13">
      <c r="A472" s="1">
        <v>467</v>
      </c>
      <c r="B472" s="1" t="s">
        <v>536</v>
      </c>
      <c r="C472" s="1" t="s">
        <v>311</v>
      </c>
      <c r="D472" s="32">
        <v>815615</v>
      </c>
      <c r="E472" s="32">
        <v>1378242</v>
      </c>
      <c r="F472" s="32">
        <v>1618520</v>
      </c>
      <c r="J472" s="1" t="s">
        <v>737</v>
      </c>
      <c r="K472" s="32">
        <v>2193857</v>
      </c>
      <c r="M472">
        <f>IFERROR(VLOOKUP(Salaries[[#This Row],[Player]],Player_Per_Game[[Player]:[PS/G]],29,FALSE),"")</f>
        <v>2.7</v>
      </c>
    </row>
    <row r="473" spans="1:13">
      <c r="A473" s="1">
        <v>468</v>
      </c>
      <c r="B473" s="1" t="s">
        <v>480</v>
      </c>
      <c r="C473" s="1" t="s">
        <v>149</v>
      </c>
      <c r="D473" s="32">
        <v>815615</v>
      </c>
      <c r="E473" s="32">
        <v>1378242</v>
      </c>
      <c r="J473" s="1" t="s">
        <v>736</v>
      </c>
      <c r="K473" s="32">
        <v>2193857</v>
      </c>
      <c r="M473">
        <f>IFERROR(VLOOKUP(Salaries[[#This Row],[Player]],Player_Per_Game[[Player]:[PS/G]],29,FALSE),"")</f>
        <v>5.5</v>
      </c>
    </row>
    <row r="474" spans="1:13">
      <c r="A474" s="1">
        <v>469</v>
      </c>
      <c r="B474" s="1" t="s">
        <v>673</v>
      </c>
      <c r="C474" s="1" t="s">
        <v>313</v>
      </c>
      <c r="D474" s="32">
        <v>815615</v>
      </c>
      <c r="E474" s="32">
        <v>1378242</v>
      </c>
      <c r="F474" s="32">
        <v>1618520</v>
      </c>
      <c r="J474" s="1" t="s">
        <v>736</v>
      </c>
      <c r="K474" s="32">
        <v>1504736</v>
      </c>
      <c r="M474">
        <f>IFERROR(VLOOKUP(Salaries[[#This Row],[Player]],Player_Per_Game[[Player]:[PS/G]],29,FALSE),"")</f>
        <v>2.8</v>
      </c>
    </row>
    <row r="475" spans="1:13">
      <c r="A475" s="1">
        <v>470</v>
      </c>
      <c r="B475" s="1" t="s">
        <v>512</v>
      </c>
      <c r="C475" s="1" t="s">
        <v>305</v>
      </c>
      <c r="D475" s="32">
        <v>815615</v>
      </c>
      <c r="E475" s="32">
        <v>1378242</v>
      </c>
      <c r="F475" s="32">
        <v>1618520</v>
      </c>
      <c r="J475" s="1" t="s">
        <v>738</v>
      </c>
      <c r="K475" s="32">
        <v>815615</v>
      </c>
      <c r="M475">
        <f>IFERROR(VLOOKUP(Salaries[[#This Row],[Player]],Player_Per_Game[[Player]:[PS/G]],29,FALSE),"")</f>
        <v>4.8</v>
      </c>
    </row>
    <row r="476" spans="1:13">
      <c r="A476" s="1">
        <v>471</v>
      </c>
      <c r="B476" s="1" t="s">
        <v>549</v>
      </c>
      <c r="C476" s="1" t="s">
        <v>47</v>
      </c>
      <c r="D476" s="32">
        <v>815615</v>
      </c>
      <c r="E476" s="32">
        <v>1378242</v>
      </c>
      <c r="J476" s="1" t="s">
        <v>736</v>
      </c>
      <c r="K476" s="32">
        <v>815615</v>
      </c>
      <c r="M476">
        <f>IFERROR(VLOOKUP(Salaries[[#This Row],[Player]],Player_Per_Game[[Player]:[PS/G]],29,FALSE),"")</f>
        <v>1.5</v>
      </c>
    </row>
    <row r="477" spans="1:13">
      <c r="A477" s="1">
        <v>472</v>
      </c>
      <c r="B477" s="1" t="s">
        <v>529</v>
      </c>
      <c r="C477" s="1" t="s">
        <v>140</v>
      </c>
      <c r="D477" s="32">
        <v>815615</v>
      </c>
      <c r="E477" s="32">
        <v>1378242</v>
      </c>
      <c r="J477" s="1" t="s">
        <v>736</v>
      </c>
      <c r="K477" s="32">
        <v>815615</v>
      </c>
      <c r="M477">
        <f>IFERROR(VLOOKUP(Salaries[[#This Row],[Player]],Player_Per_Game[[Player]:[PS/G]],29,FALSE),"")</f>
        <v>2.2999999999999998</v>
      </c>
    </row>
    <row r="478" spans="1:13">
      <c r="A478" s="1">
        <v>473</v>
      </c>
      <c r="B478" s="1" t="s">
        <v>639</v>
      </c>
      <c r="C478" s="1" t="s">
        <v>75</v>
      </c>
      <c r="D478" s="32">
        <v>815615</v>
      </c>
      <c r="E478" s="32">
        <v>1378242</v>
      </c>
      <c r="J478" s="1" t="s">
        <v>736</v>
      </c>
      <c r="K478" s="32">
        <v>815615</v>
      </c>
      <c r="M478">
        <f>IFERROR(VLOOKUP(Salaries[[#This Row],[Player]],Player_Per_Game[[Player]:[PS/G]],29,FALSE),"")</f>
        <v>3.2</v>
      </c>
    </row>
    <row r="479" spans="1:13">
      <c r="A479" s="1">
        <v>474</v>
      </c>
      <c r="B479" s="1" t="s">
        <v>603</v>
      </c>
      <c r="C479" s="1" t="s">
        <v>78</v>
      </c>
      <c r="D479" s="32">
        <v>815615</v>
      </c>
      <c r="E479" s="32">
        <v>1378242</v>
      </c>
      <c r="J479" s="1" t="s">
        <v>736</v>
      </c>
      <c r="K479" s="32">
        <v>815615</v>
      </c>
      <c r="M479">
        <f>IFERROR(VLOOKUP(Salaries[[#This Row],[Player]],Player_Per_Game[[Player]:[PS/G]],29,FALSE),"")</f>
        <v>1.1000000000000001</v>
      </c>
    </row>
    <row r="480" spans="1:13">
      <c r="A480" s="1">
        <v>475</v>
      </c>
      <c r="B480" s="1" t="s">
        <v>521</v>
      </c>
      <c r="C480" s="1" t="s">
        <v>92</v>
      </c>
      <c r="D480" s="32">
        <v>815615</v>
      </c>
      <c r="E480" s="32">
        <v>1378242</v>
      </c>
      <c r="F480" s="32">
        <v>1618520</v>
      </c>
      <c r="G480" s="32">
        <v>1752950</v>
      </c>
      <c r="J480" s="1" t="s">
        <v>737</v>
      </c>
      <c r="K480" s="32">
        <v>815615</v>
      </c>
      <c r="M480">
        <f>IFERROR(VLOOKUP(Salaries[[#This Row],[Player]],Player_Per_Game[[Player]:[PS/G]],29,FALSE),"")</f>
        <v>1.2</v>
      </c>
    </row>
    <row r="481" spans="1:13">
      <c r="A481" s="1">
        <v>476</v>
      </c>
      <c r="B481" s="1" t="s">
        <v>495</v>
      </c>
      <c r="C481" s="1" t="s">
        <v>33</v>
      </c>
      <c r="D481" s="32">
        <v>815615</v>
      </c>
      <c r="E481" s="32">
        <v>1378242</v>
      </c>
      <c r="J481" s="1" t="s">
        <v>736</v>
      </c>
      <c r="K481" s="32">
        <v>815615</v>
      </c>
      <c r="M481">
        <f>IFERROR(VLOOKUP(Salaries[[#This Row],[Player]],Player_Per_Game[[Player]:[PS/G]],29,FALSE),"")</f>
        <v>5</v>
      </c>
    </row>
    <row r="482" spans="1:13">
      <c r="A482" s="1">
        <v>477</v>
      </c>
      <c r="B482" s="1" t="s">
        <v>545</v>
      </c>
      <c r="C482" s="1" t="s">
        <v>87</v>
      </c>
      <c r="D482" s="32">
        <v>815615</v>
      </c>
      <c r="E482" s="32">
        <v>1378242</v>
      </c>
      <c r="J482" s="1" t="s">
        <v>736</v>
      </c>
      <c r="K482" s="32">
        <v>815615</v>
      </c>
      <c r="M482">
        <f>IFERROR(VLOOKUP(Salaries[[#This Row],[Player]],Player_Per_Game[[Player]:[PS/G]],29,FALSE),"")</f>
        <v>5.3</v>
      </c>
    </row>
    <row r="483" spans="1:13">
      <c r="A483" s="1">
        <v>478</v>
      </c>
      <c r="B483" s="1" t="s">
        <v>114</v>
      </c>
      <c r="C483" s="1" t="s">
        <v>41</v>
      </c>
      <c r="D483" s="32">
        <v>789725</v>
      </c>
      <c r="J483" s="1"/>
      <c r="K483" s="32">
        <v>789725</v>
      </c>
      <c r="M483">
        <f>IFERROR(VLOOKUP(Salaries[[#This Row],[Player]],Player_Per_Game[[Player]:[PS/G]],29,FALSE),"")</f>
        <v>4.2</v>
      </c>
    </row>
    <row r="484" spans="1:13">
      <c r="A484" s="1">
        <v>479</v>
      </c>
      <c r="B484" s="1" t="s">
        <v>22</v>
      </c>
      <c r="C484" s="1" t="s">
        <v>21</v>
      </c>
      <c r="D484" s="32">
        <v>784160</v>
      </c>
      <c r="E484" s="32">
        <v>1795015</v>
      </c>
      <c r="J484" s="1" t="s">
        <v>736</v>
      </c>
      <c r="K484" s="32">
        <v>784160</v>
      </c>
      <c r="M484">
        <f>IFERROR(VLOOKUP(Salaries[[#This Row],[Player]],Player_Per_Game[[Player]:[PS/G]],29,FALSE),"")</f>
        <v>10.5</v>
      </c>
    </row>
    <row r="485" spans="1:13">
      <c r="A485" s="1">
        <v>480</v>
      </c>
      <c r="B485" s="1" t="s">
        <v>634</v>
      </c>
      <c r="C485" s="1" t="s">
        <v>30</v>
      </c>
      <c r="D485" s="32">
        <v>778668</v>
      </c>
      <c r="E485" s="32">
        <v>1544951</v>
      </c>
      <c r="J485" s="1" t="s">
        <v>830</v>
      </c>
      <c r="K485" s="32">
        <v>778668</v>
      </c>
      <c r="M485">
        <f>IFERROR(VLOOKUP(Salaries[[#This Row],[Player]],Player_Per_Game[[Player]:[PS/G]],29,FALSE),"")</f>
        <v>1.1000000000000001</v>
      </c>
    </row>
    <row r="486" spans="1:13">
      <c r="A486" s="1">
        <v>481</v>
      </c>
      <c r="B486" s="1" t="s">
        <v>14</v>
      </c>
      <c r="C486" s="1" t="s">
        <v>118</v>
      </c>
      <c r="D486" s="32">
        <v>776217</v>
      </c>
      <c r="J486" s="1"/>
      <c r="M486">
        <f>IFERROR(VLOOKUP(Salaries[[#This Row],[Player]],Player_Per_Game[[Player]:[PS/G]],29,FALSE),"")</f>
        <v>11.3</v>
      </c>
    </row>
    <row r="487" spans="1:13">
      <c r="A487" s="1">
        <v>482</v>
      </c>
      <c r="B487" s="1" t="s">
        <v>169</v>
      </c>
      <c r="C487" s="1" t="s">
        <v>92</v>
      </c>
      <c r="D487" s="32">
        <v>749905</v>
      </c>
      <c r="J487" s="1"/>
      <c r="M487">
        <f>IFERROR(VLOOKUP(Salaries[[#This Row],[Player]],Player_Per_Game[[Player]:[PS/G]],29,FALSE),"")</f>
        <v>6.8</v>
      </c>
    </row>
    <row r="488" spans="1:13">
      <c r="A488" s="1">
        <v>483</v>
      </c>
      <c r="B488" s="1" t="s">
        <v>193</v>
      </c>
      <c r="C488" s="1" t="s">
        <v>157</v>
      </c>
      <c r="D488" s="32">
        <v>748160</v>
      </c>
      <c r="E488" s="32">
        <v>1600520</v>
      </c>
      <c r="J488" s="1" t="s">
        <v>830</v>
      </c>
      <c r="K488" s="32">
        <v>748160</v>
      </c>
      <c r="M488">
        <f>IFERROR(VLOOKUP(Salaries[[#This Row],[Player]],Player_Per_Game[[Player]:[PS/G]],29,FALSE),"")</f>
        <v>8</v>
      </c>
    </row>
    <row r="489" spans="1:13">
      <c r="A489" s="1">
        <v>484</v>
      </c>
      <c r="B489" s="1" t="s">
        <v>456</v>
      </c>
      <c r="C489" s="1" t="s">
        <v>149</v>
      </c>
      <c r="D489" s="32">
        <v>679919</v>
      </c>
      <c r="E489" s="32">
        <v>1378242</v>
      </c>
      <c r="J489" s="1" t="s">
        <v>830</v>
      </c>
      <c r="K489" s="32">
        <v>729919</v>
      </c>
      <c r="M489">
        <f>IFERROR(VLOOKUP(Salaries[[#This Row],[Player]],Player_Per_Game[[Player]:[PS/G]],29,FALSE),"")</f>
        <v>4.9000000000000004</v>
      </c>
    </row>
    <row r="490" spans="1:13">
      <c r="A490" s="1">
        <v>485</v>
      </c>
      <c r="B490" s="1" t="s">
        <v>745</v>
      </c>
      <c r="C490" s="1" t="s">
        <v>64</v>
      </c>
      <c r="D490" s="32">
        <v>650000</v>
      </c>
      <c r="E490" s="32">
        <v>650000</v>
      </c>
      <c r="J490" s="1"/>
      <c r="K490" s="32">
        <v>1300000</v>
      </c>
      <c r="M490" t="str">
        <f>IFERROR(VLOOKUP(Salaries[[#This Row],[Player]],Player_Per_Game[[Player]:[PS/G]],29,FALSE),"")</f>
        <v/>
      </c>
    </row>
    <row r="491" spans="1:13">
      <c r="A491" s="1">
        <v>486</v>
      </c>
      <c r="B491" s="1" t="s">
        <v>742</v>
      </c>
      <c r="C491" s="1" t="s">
        <v>100</v>
      </c>
      <c r="D491" s="32">
        <v>517220</v>
      </c>
      <c r="E491" s="32">
        <v>517220</v>
      </c>
      <c r="J491" s="1"/>
      <c r="K491" s="32">
        <v>1034440</v>
      </c>
      <c r="M491" t="str">
        <f>IFERROR(VLOOKUP(Salaries[[#This Row],[Player]],Player_Per_Game[[Player]:[PS/G]],29,FALSE),"")</f>
        <v/>
      </c>
    </row>
    <row r="492" spans="1:13">
      <c r="A492" s="1">
        <v>487</v>
      </c>
      <c r="B492" s="1" t="s">
        <v>734</v>
      </c>
      <c r="C492" s="1" t="s">
        <v>64</v>
      </c>
      <c r="D492" s="32">
        <v>510921</v>
      </c>
      <c r="J492" s="1"/>
      <c r="K492" s="32">
        <v>510921</v>
      </c>
      <c r="M492" t="str">
        <f>IFERROR(VLOOKUP(Salaries[[#This Row],[Player]],Player_Per_Game[[Player]:[PS/G]],29,FALSE),"")</f>
        <v/>
      </c>
    </row>
    <row r="493" spans="1:13">
      <c r="A493" s="1">
        <v>488</v>
      </c>
      <c r="B493" s="1" t="s">
        <v>208</v>
      </c>
      <c r="C493" s="1" t="s">
        <v>118</v>
      </c>
      <c r="D493" s="32">
        <v>502328</v>
      </c>
      <c r="J493" s="1"/>
      <c r="M493">
        <f>IFERROR(VLOOKUP(Salaries[[#This Row],[Player]],Player_Per_Game[[Player]:[PS/G]],29,FALSE),"")</f>
        <v>10.4</v>
      </c>
    </row>
    <row r="494" spans="1:13">
      <c r="A494" s="1">
        <v>489</v>
      </c>
      <c r="B494" s="1" t="s">
        <v>733</v>
      </c>
      <c r="C494" s="1" t="s">
        <v>313</v>
      </c>
      <c r="D494" s="32">
        <v>500000</v>
      </c>
      <c r="J494" s="1"/>
      <c r="K494" s="32">
        <v>500000</v>
      </c>
      <c r="M494" t="str">
        <f>IFERROR(VLOOKUP(Salaries[[#This Row],[Player]],Player_Per_Game[[Player]:[PS/G]],29,FALSE),"")</f>
        <v/>
      </c>
    </row>
    <row r="495" spans="1:13">
      <c r="A495" s="1">
        <v>490</v>
      </c>
      <c r="B495" s="1" t="s">
        <v>732</v>
      </c>
      <c r="C495" s="1" t="s">
        <v>118</v>
      </c>
      <c r="D495" s="32">
        <v>500000</v>
      </c>
      <c r="J495" s="1"/>
      <c r="K495" s="32">
        <v>500000</v>
      </c>
      <c r="M495" t="str">
        <f>IFERROR(VLOOKUP(Salaries[[#This Row],[Player]],Player_Per_Game[[Player]:[PS/G]],29,FALSE),"")</f>
        <v/>
      </c>
    </row>
    <row r="496" spans="1:13">
      <c r="A496" s="1">
        <v>491</v>
      </c>
      <c r="B496" s="1" t="s">
        <v>731</v>
      </c>
      <c r="C496" s="1" t="s">
        <v>157</v>
      </c>
      <c r="D496" s="32">
        <v>500000</v>
      </c>
      <c r="J496" s="1"/>
      <c r="K496" s="32">
        <v>500000</v>
      </c>
      <c r="M496" t="str">
        <f>IFERROR(VLOOKUP(Salaries[[#This Row],[Player]],Player_Per_Game[[Player]:[PS/G]],29,FALSE),"")</f>
        <v/>
      </c>
    </row>
    <row r="497" spans="1:13">
      <c r="A497" s="1">
        <v>492</v>
      </c>
      <c r="B497" s="1" t="s">
        <v>730</v>
      </c>
      <c r="C497" s="1" t="s">
        <v>157</v>
      </c>
      <c r="D497" s="32">
        <v>452059</v>
      </c>
      <c r="J497" s="1"/>
      <c r="K497" s="32">
        <v>452059</v>
      </c>
      <c r="M497" t="str">
        <f>IFERROR(VLOOKUP(Salaries[[#This Row],[Player]],Player_Per_Game[[Player]:[PS/G]],29,FALSE),"")</f>
        <v/>
      </c>
    </row>
    <row r="498" spans="1:13">
      <c r="A498" s="1">
        <v>493</v>
      </c>
      <c r="B498" s="1" t="s">
        <v>740</v>
      </c>
      <c r="C498" s="1" t="s">
        <v>96</v>
      </c>
      <c r="D498" s="32">
        <v>333334</v>
      </c>
      <c r="E498" s="32">
        <v>333333</v>
      </c>
      <c r="F498" s="32">
        <v>333333</v>
      </c>
      <c r="J498" s="1"/>
      <c r="K498" s="32">
        <v>1000000</v>
      </c>
      <c r="M498" t="str">
        <f>IFERROR(VLOOKUP(Salaries[[#This Row],[Player]],Player_Per_Game[[Player]:[PS/G]],29,FALSE),"")</f>
        <v/>
      </c>
    </row>
    <row r="499" spans="1:13">
      <c r="A499" s="1">
        <v>494</v>
      </c>
      <c r="B499" s="1" t="s">
        <v>739</v>
      </c>
      <c r="C499" s="1" t="s">
        <v>75</v>
      </c>
      <c r="D499" s="32">
        <v>333334</v>
      </c>
      <c r="E499" s="32">
        <v>333333</v>
      </c>
      <c r="F499" s="32">
        <v>333333</v>
      </c>
      <c r="J499" s="1"/>
      <c r="K499" s="32">
        <v>1000000</v>
      </c>
      <c r="M499" t="str">
        <f>IFERROR(VLOOKUP(Salaries[[#This Row],[Player]],Player_Per_Game[[Player]:[PS/G]],29,FALSE),"")</f>
        <v/>
      </c>
    </row>
    <row r="500" spans="1:13">
      <c r="A500" s="1">
        <v>495</v>
      </c>
      <c r="B500" s="1" t="s">
        <v>729</v>
      </c>
      <c r="C500" s="1" t="s">
        <v>33</v>
      </c>
      <c r="D500" s="32">
        <v>315760</v>
      </c>
      <c r="J500" s="1"/>
      <c r="K500" s="32">
        <v>315760</v>
      </c>
      <c r="M500" t="str">
        <f>IFERROR(VLOOKUP(Salaries[[#This Row],[Player]],Player_Per_Game[[Player]:[PS/G]],29,FALSE),"")</f>
        <v/>
      </c>
    </row>
    <row r="501" spans="1:13">
      <c r="A501" s="1">
        <v>496</v>
      </c>
      <c r="B501" s="1" t="s">
        <v>735</v>
      </c>
      <c r="C501" s="1" t="s">
        <v>64</v>
      </c>
      <c r="D501" s="32">
        <v>300000</v>
      </c>
      <c r="E501" s="32">
        <v>300000</v>
      </c>
      <c r="J501" s="1"/>
      <c r="K501" s="32">
        <v>600000</v>
      </c>
      <c r="M501" t="str">
        <f>IFERROR(VLOOKUP(Salaries[[#This Row],[Player]],Player_Per_Game[[Player]:[PS/G]],29,FALSE),"")</f>
        <v/>
      </c>
    </row>
    <row r="502" spans="1:13">
      <c r="A502" s="1">
        <v>497</v>
      </c>
      <c r="B502" s="1" t="s">
        <v>728</v>
      </c>
      <c r="C502" s="1" t="s">
        <v>92</v>
      </c>
      <c r="D502" s="32">
        <v>300000</v>
      </c>
      <c r="J502" s="1"/>
      <c r="K502" s="32">
        <v>300000</v>
      </c>
      <c r="M502" t="str">
        <f>IFERROR(VLOOKUP(Salaries[[#This Row],[Player]],Player_Per_Game[[Player]:[PS/G]],29,FALSE),"")</f>
        <v/>
      </c>
    </row>
    <row r="503" spans="1:13">
      <c r="A503" s="1">
        <v>498</v>
      </c>
      <c r="B503" s="1" t="s">
        <v>544</v>
      </c>
      <c r="C503" s="1" t="s">
        <v>27</v>
      </c>
      <c r="D503" s="32">
        <v>263124</v>
      </c>
      <c r="J503" s="1"/>
      <c r="M503">
        <f>IFERROR(VLOOKUP(Salaries[[#This Row],[Player]],Player_Per_Game[[Player]:[PS/G]],29,FALSE),"")</f>
        <v>4.7</v>
      </c>
    </row>
    <row r="504" spans="1:13">
      <c r="A504" s="1">
        <v>499</v>
      </c>
      <c r="B504" s="1" t="s">
        <v>454</v>
      </c>
      <c r="C504" s="1" t="s">
        <v>112</v>
      </c>
      <c r="D504" s="32">
        <v>250000</v>
      </c>
      <c r="J504" s="1"/>
      <c r="K504" s="32">
        <v>250000</v>
      </c>
      <c r="M504">
        <f>IFERROR(VLOOKUP(Salaries[[#This Row],[Player]],Player_Per_Game[[Player]:[PS/G]],29,FALSE),"")</f>
        <v>9</v>
      </c>
    </row>
    <row r="505" spans="1:13">
      <c r="A505" s="1">
        <v>500</v>
      </c>
      <c r="B505" s="1" t="s">
        <v>838</v>
      </c>
      <c r="C505" s="1" t="s">
        <v>112</v>
      </c>
      <c r="D505" s="32">
        <v>239204</v>
      </c>
      <c r="J505" s="1"/>
      <c r="K505" s="32">
        <v>239204</v>
      </c>
      <c r="M505">
        <f>IFERROR(VLOOKUP(Salaries[[#This Row],[Player]],Player_Per_Game[[Player]:[PS/G]],29,FALSE),"")</f>
        <v>5.9</v>
      </c>
    </row>
    <row r="506" spans="1:13">
      <c r="A506" s="1">
        <v>501</v>
      </c>
      <c r="B506" s="1" t="s">
        <v>753</v>
      </c>
      <c r="C506" s="1" t="s">
        <v>96</v>
      </c>
      <c r="D506" s="32">
        <v>222476</v>
      </c>
      <c r="J506" s="1"/>
      <c r="M506">
        <f>IFERROR(VLOOKUP(Salaries[[#This Row],[Player]],Player_Per_Game[[Player]:[PS/G]],29,FALSE),"")</f>
        <v>1</v>
      </c>
    </row>
    <row r="507" spans="1:13">
      <c r="A507" s="1">
        <v>502</v>
      </c>
      <c r="B507" s="1" t="s">
        <v>194</v>
      </c>
      <c r="C507" s="1" t="s">
        <v>43</v>
      </c>
      <c r="D507" s="32">
        <v>200000</v>
      </c>
      <c r="J507" s="1"/>
      <c r="K507" s="32">
        <v>200000</v>
      </c>
      <c r="M507">
        <f>IFERROR(VLOOKUP(Salaries[[#This Row],[Player]],Player_Per_Game[[Player]:[PS/G]],29,FALSE),"")</f>
        <v>8.6</v>
      </c>
    </row>
    <row r="508" spans="1:13">
      <c r="A508" s="1">
        <v>503</v>
      </c>
      <c r="B508" s="1" t="s">
        <v>727</v>
      </c>
      <c r="C508" s="1" t="s">
        <v>30</v>
      </c>
      <c r="D508" s="32">
        <v>172552</v>
      </c>
      <c r="J508" s="1"/>
      <c r="K508" s="32">
        <v>172552</v>
      </c>
      <c r="M508" t="str">
        <f>IFERROR(VLOOKUP(Salaries[[#This Row],[Player]],Player_Per_Game[[Player]:[PS/G]],29,FALSE),"")</f>
        <v/>
      </c>
    </row>
    <row r="509" spans="1:13">
      <c r="A509" s="1">
        <v>504</v>
      </c>
      <c r="B509" s="1" t="s">
        <v>525</v>
      </c>
      <c r="C509" s="1" t="s">
        <v>112</v>
      </c>
      <c r="D509" s="32">
        <v>172238</v>
      </c>
      <c r="J509" s="1"/>
      <c r="K509" s="32">
        <v>172238</v>
      </c>
      <c r="M509">
        <f>IFERROR(VLOOKUP(Salaries[[#This Row],[Player]],Player_Per_Game[[Player]:[PS/G]],29,FALSE),"")</f>
        <v>2</v>
      </c>
    </row>
    <row r="510" spans="1:13">
      <c r="A510" s="1">
        <v>505</v>
      </c>
      <c r="B510" s="1" t="s">
        <v>114</v>
      </c>
      <c r="C510" s="1" t="s">
        <v>64</v>
      </c>
      <c r="D510" s="32">
        <v>172238</v>
      </c>
      <c r="J510" s="1"/>
      <c r="M510">
        <f>IFERROR(VLOOKUP(Salaries[[#This Row],[Player]],Player_Per_Game[[Player]:[PS/G]],29,FALSE),"")</f>
        <v>4.2</v>
      </c>
    </row>
    <row r="511" spans="1:13">
      <c r="A511" s="1">
        <v>506</v>
      </c>
      <c r="B511" s="1" t="s">
        <v>85</v>
      </c>
      <c r="C511" s="1" t="s">
        <v>75</v>
      </c>
      <c r="D511" s="32">
        <v>166258</v>
      </c>
      <c r="J511" s="1"/>
      <c r="M511">
        <f>IFERROR(VLOOKUP(Salaries[[#This Row],[Player]],Player_Per_Game[[Player]:[PS/G]],29,FALSE),"")</f>
        <v>2.2999999999999998</v>
      </c>
    </row>
    <row r="512" spans="1:13">
      <c r="A512" s="1">
        <v>507</v>
      </c>
      <c r="B512" s="1" t="s">
        <v>616</v>
      </c>
      <c r="C512" s="1" t="s">
        <v>21</v>
      </c>
      <c r="D512" s="32">
        <v>148318</v>
      </c>
      <c r="J512" s="1"/>
      <c r="M512">
        <f>IFERROR(VLOOKUP(Salaries[[#This Row],[Player]],Player_Per_Game[[Player]:[PS/G]],29,FALSE),"")</f>
        <v>6.7</v>
      </c>
    </row>
    <row r="513" spans="1:13">
      <c r="A513" s="1">
        <v>508</v>
      </c>
      <c r="B513" s="1" t="s">
        <v>1087</v>
      </c>
      <c r="C513" s="1" t="s">
        <v>78</v>
      </c>
      <c r="D513" s="32">
        <v>148318</v>
      </c>
      <c r="J513" s="1"/>
      <c r="M513">
        <f>IFERROR(VLOOKUP(Salaries[[#This Row],[Player]],Player_Per_Game[[Player]:[PS/G]],29,FALSE),"")</f>
        <v>4.7</v>
      </c>
    </row>
    <row r="514" spans="1:13">
      <c r="A514" s="1">
        <v>509</v>
      </c>
      <c r="B514" s="1" t="s">
        <v>726</v>
      </c>
      <c r="C514" s="1" t="s">
        <v>27</v>
      </c>
      <c r="D514" s="32">
        <v>140902</v>
      </c>
      <c r="J514" s="1"/>
      <c r="K514" s="32">
        <v>140902</v>
      </c>
      <c r="M514" t="str">
        <f>IFERROR(VLOOKUP(Salaries[[#This Row],[Player]],Player_Per_Game[[Player]:[PS/G]],29,FALSE),"")</f>
        <v/>
      </c>
    </row>
    <row r="515" spans="1:13">
      <c r="A515" s="1">
        <v>510</v>
      </c>
      <c r="B515" s="1" t="s">
        <v>1047</v>
      </c>
      <c r="C515" s="1" t="s">
        <v>96</v>
      </c>
      <c r="D515" s="32">
        <v>119602</v>
      </c>
      <c r="J515" s="1"/>
      <c r="M515" t="str">
        <f>IFERROR(VLOOKUP(Salaries[[#This Row],[Player]],Player_Per_Game[[Player]:[PS/G]],29,FALSE),"")</f>
        <v/>
      </c>
    </row>
    <row r="516" spans="1:13">
      <c r="A516" s="1">
        <v>511</v>
      </c>
      <c r="B516" s="1" t="s">
        <v>1201</v>
      </c>
      <c r="C516" s="1" t="s">
        <v>41</v>
      </c>
      <c r="D516" s="32">
        <v>119010</v>
      </c>
      <c r="J516" s="1"/>
      <c r="M516">
        <f>IFERROR(VLOOKUP(Salaries[[#This Row],[Player]],Player_Per_Game[[Player]:[PS/G]],29,FALSE),"")</f>
        <v>6</v>
      </c>
    </row>
    <row r="517" spans="1:13">
      <c r="A517" s="1">
        <v>512</v>
      </c>
      <c r="B517" s="1" t="s">
        <v>1202</v>
      </c>
      <c r="C517" s="1" t="s">
        <v>78</v>
      </c>
      <c r="D517" s="32">
        <v>104059</v>
      </c>
      <c r="J517" s="1"/>
      <c r="M517">
        <f>IFERROR(VLOOKUP(Salaries[[#This Row],[Player]],Player_Per_Game[[Player]:[PS/G]],29,FALSE),"")</f>
        <v>1</v>
      </c>
    </row>
    <row r="518" spans="1:13">
      <c r="A518" s="1">
        <v>513</v>
      </c>
      <c r="B518" s="1" t="s">
        <v>725</v>
      </c>
      <c r="C518" s="1" t="s">
        <v>47</v>
      </c>
      <c r="D518" s="32">
        <v>100000</v>
      </c>
      <c r="J518" s="1"/>
      <c r="K518" s="32">
        <v>100000</v>
      </c>
      <c r="M518" t="str">
        <f>IFERROR(VLOOKUP(Salaries[[#This Row],[Player]],Player_Per_Game[[Player]:[PS/G]],29,FALSE),"")</f>
        <v/>
      </c>
    </row>
    <row r="519" spans="1:13">
      <c r="A519" s="1">
        <v>514</v>
      </c>
      <c r="B519" s="1" t="s">
        <v>724</v>
      </c>
      <c r="C519" s="1" t="s">
        <v>21</v>
      </c>
      <c r="D519" s="32">
        <v>100000</v>
      </c>
      <c r="J519" s="1"/>
      <c r="K519" s="32">
        <v>100000</v>
      </c>
      <c r="M519">
        <f>IFERROR(VLOOKUP(Salaries[[#This Row],[Player]],Player_Per_Game[[Player]:[PS/G]],29,FALSE),"")</f>
        <v>2</v>
      </c>
    </row>
    <row r="520" spans="1:13">
      <c r="A520" s="1">
        <v>515</v>
      </c>
      <c r="B520" s="1" t="s">
        <v>723</v>
      </c>
      <c r="C520" s="1" t="s">
        <v>30</v>
      </c>
      <c r="D520" s="32">
        <v>100000</v>
      </c>
      <c r="J520" s="1"/>
      <c r="K520" s="32">
        <v>100000</v>
      </c>
      <c r="M520">
        <f>IFERROR(VLOOKUP(Salaries[[#This Row],[Player]],Player_Per_Game[[Player]:[PS/G]],29,FALSE),"")</f>
        <v>0.8</v>
      </c>
    </row>
    <row r="521" spans="1:13">
      <c r="A521" s="1">
        <v>516</v>
      </c>
      <c r="B521" s="1" t="s">
        <v>515</v>
      </c>
      <c r="C521" s="1" t="s">
        <v>149</v>
      </c>
      <c r="D521" s="32">
        <v>100000</v>
      </c>
      <c r="J521" s="1"/>
      <c r="K521" s="32">
        <v>100000</v>
      </c>
      <c r="M521">
        <f>IFERROR(VLOOKUP(Salaries[[#This Row],[Player]],Player_Per_Game[[Player]:[PS/G]],29,FALSE),"")</f>
        <v>6.6</v>
      </c>
    </row>
    <row r="522" spans="1:13">
      <c r="A522" s="1">
        <v>517</v>
      </c>
      <c r="B522" s="1" t="s">
        <v>623</v>
      </c>
      <c r="C522" s="1" t="s">
        <v>87</v>
      </c>
      <c r="D522" s="32">
        <v>92858</v>
      </c>
      <c r="E522" s="32">
        <v>92857</v>
      </c>
      <c r="F522" s="32">
        <v>92857</v>
      </c>
      <c r="G522" s="32">
        <v>92857</v>
      </c>
      <c r="H522" s="32">
        <v>92857</v>
      </c>
      <c r="J522" s="1"/>
      <c r="K522" s="32">
        <v>650000</v>
      </c>
      <c r="M522">
        <f>IFERROR(VLOOKUP(Salaries[[#This Row],[Player]],Player_Per_Game[[Player]:[PS/G]],29,FALSE),"")</f>
        <v>0.7</v>
      </c>
    </row>
    <row r="523" spans="1:13">
      <c r="A523" s="1">
        <v>518</v>
      </c>
      <c r="B523" s="1" t="s">
        <v>596</v>
      </c>
      <c r="C523" s="1" t="s">
        <v>33</v>
      </c>
      <c r="D523" s="32">
        <v>92160</v>
      </c>
      <c r="J523" s="1"/>
      <c r="K523" s="32">
        <v>142160</v>
      </c>
      <c r="M523">
        <f>IFERROR(VLOOKUP(Salaries[[#This Row],[Player]],Player_Per_Game[[Player]:[PS/G]],29,FALSE),"")</f>
        <v>2.5</v>
      </c>
    </row>
    <row r="524" spans="1:13">
      <c r="A524" s="1">
        <v>519</v>
      </c>
      <c r="B524" s="1" t="s">
        <v>837</v>
      </c>
      <c r="C524" s="1" t="s">
        <v>313</v>
      </c>
      <c r="D524" s="32">
        <v>92160</v>
      </c>
      <c r="J524" s="1"/>
      <c r="K524" s="32">
        <v>92160</v>
      </c>
      <c r="M524">
        <f>IFERROR(VLOOKUP(Salaries[[#This Row],[Player]],Player_Per_Game[[Player]:[PS/G]],29,FALSE),"")</f>
        <v>6.4</v>
      </c>
    </row>
    <row r="525" spans="1:13">
      <c r="A525" s="1">
        <v>520</v>
      </c>
      <c r="B525" s="1" t="s">
        <v>646</v>
      </c>
      <c r="C525" s="1" t="s">
        <v>305</v>
      </c>
      <c r="D525" s="32">
        <v>92160</v>
      </c>
      <c r="J525" s="1"/>
      <c r="K525" s="32">
        <v>50000</v>
      </c>
      <c r="M525">
        <f>IFERROR(VLOOKUP(Salaries[[#This Row],[Player]],Player_Per_Game[[Player]:[PS/G]],29,FALSE),"")</f>
        <v>3</v>
      </c>
    </row>
    <row r="526" spans="1:13">
      <c r="A526" s="1">
        <v>521</v>
      </c>
      <c r="B526" s="1" t="s">
        <v>721</v>
      </c>
      <c r="C526" s="1" t="s">
        <v>47</v>
      </c>
      <c r="D526" s="32">
        <v>92160</v>
      </c>
      <c r="J526" s="1"/>
      <c r="M526">
        <f>IFERROR(VLOOKUP(Salaries[[#This Row],[Player]],Player_Per_Game[[Player]:[PS/G]],29,FALSE),"")</f>
        <v>2.2999999999999998</v>
      </c>
    </row>
    <row r="527" spans="1:13">
      <c r="A527" s="1">
        <v>522</v>
      </c>
      <c r="B527" s="1" t="s">
        <v>1041</v>
      </c>
      <c r="C527" s="1" t="s">
        <v>313</v>
      </c>
      <c r="D527" s="32">
        <v>92160</v>
      </c>
      <c r="J527" s="1"/>
      <c r="M527">
        <f>IFERROR(VLOOKUP(Salaries[[#This Row],[Player]],Player_Per_Game[[Player]:[PS/G]],29,FALSE),"")</f>
        <v>5.2</v>
      </c>
    </row>
    <row r="528" spans="1:13">
      <c r="A528" s="1">
        <v>523</v>
      </c>
      <c r="B528" s="1" t="s">
        <v>1163</v>
      </c>
      <c r="C528" s="1" t="s">
        <v>75</v>
      </c>
      <c r="D528" s="32">
        <v>92160</v>
      </c>
      <c r="J528" s="1"/>
      <c r="M528">
        <f>IFERROR(VLOOKUP(Salaries[[#This Row],[Player]],Player_Per_Game[[Player]:[PS/G]],29,FALSE),"")</f>
        <v>3.8</v>
      </c>
    </row>
    <row r="529" spans="1:13">
      <c r="A529" s="1">
        <v>524</v>
      </c>
      <c r="B529" s="1" t="s">
        <v>1042</v>
      </c>
      <c r="C529" s="1" t="s">
        <v>112</v>
      </c>
      <c r="D529" s="32">
        <v>92160</v>
      </c>
      <c r="J529" s="1"/>
      <c r="M529">
        <f>IFERROR(VLOOKUP(Salaries[[#This Row],[Player]],Player_Per_Game[[Player]:[PS/G]],29,FALSE),"")</f>
        <v>3.4</v>
      </c>
    </row>
    <row r="530" spans="1:13">
      <c r="A530" s="1">
        <v>525</v>
      </c>
      <c r="B530" s="1" t="s">
        <v>598</v>
      </c>
      <c r="C530" s="1" t="s">
        <v>149</v>
      </c>
      <c r="D530" s="32">
        <v>92160</v>
      </c>
      <c r="J530" s="1"/>
      <c r="M530">
        <f>IFERROR(VLOOKUP(Salaries[[#This Row],[Player]],Player_Per_Game[[Player]:[PS/G]],29,FALSE),"")</f>
        <v>0.8</v>
      </c>
    </row>
    <row r="531" spans="1:13">
      <c r="A531" s="1">
        <v>526</v>
      </c>
      <c r="B531" s="1" t="s">
        <v>1064</v>
      </c>
      <c r="C531" s="1" t="s">
        <v>149</v>
      </c>
      <c r="D531" s="32">
        <v>92160</v>
      </c>
      <c r="J531" s="1"/>
      <c r="M531">
        <f>IFERROR(VLOOKUP(Salaries[[#This Row],[Player]],Player_Per_Game[[Player]:[PS/G]],29,FALSE),"")</f>
        <v>4.7</v>
      </c>
    </row>
    <row r="532" spans="1:13">
      <c r="A532" s="1">
        <v>527</v>
      </c>
      <c r="B532" s="1" t="s">
        <v>434</v>
      </c>
      <c r="C532" s="1" t="s">
        <v>313</v>
      </c>
      <c r="D532" s="32">
        <v>87552</v>
      </c>
      <c r="J532" s="1"/>
      <c r="K532" s="32">
        <v>87552</v>
      </c>
      <c r="M532">
        <f>IFERROR(VLOOKUP(Salaries[[#This Row],[Player]],Player_Per_Game[[Player]:[PS/G]],29,FALSE),"")</f>
        <v>9.3000000000000007</v>
      </c>
    </row>
    <row r="533" spans="1:13">
      <c r="A533" s="1">
        <v>528</v>
      </c>
      <c r="B533" s="1" t="s">
        <v>713</v>
      </c>
      <c r="C533" s="1" t="s">
        <v>87</v>
      </c>
      <c r="D533" s="32">
        <v>83129</v>
      </c>
      <c r="J533" s="1"/>
      <c r="K533" s="32">
        <v>83129</v>
      </c>
      <c r="M533">
        <f>IFERROR(VLOOKUP(Salaries[[#This Row],[Player]],Player_Per_Game[[Player]:[PS/G]],29,FALSE),"")</f>
        <v>0</v>
      </c>
    </row>
    <row r="534" spans="1:13">
      <c r="A534" s="1">
        <v>529</v>
      </c>
      <c r="B534" s="1" t="s">
        <v>713</v>
      </c>
      <c r="C534" s="1" t="s">
        <v>43</v>
      </c>
      <c r="D534" s="32">
        <v>83129</v>
      </c>
      <c r="J534" s="1"/>
      <c r="K534" s="32">
        <v>17224</v>
      </c>
      <c r="M534">
        <f>IFERROR(VLOOKUP(Salaries[[#This Row],[Player]],Player_Per_Game[[Player]:[PS/G]],29,FALSE),"")</f>
        <v>0</v>
      </c>
    </row>
    <row r="535" spans="1:13">
      <c r="A535" s="1">
        <v>530</v>
      </c>
      <c r="B535" s="1" t="s">
        <v>290</v>
      </c>
      <c r="C535" s="1" t="s">
        <v>128</v>
      </c>
      <c r="D535" s="32">
        <v>83129</v>
      </c>
      <c r="J535" s="1"/>
      <c r="M535">
        <f>IFERROR(VLOOKUP(Salaries[[#This Row],[Player]],Player_Per_Game[[Player]:[PS/G]],29,FALSE),"")</f>
        <v>2.9</v>
      </c>
    </row>
    <row r="536" spans="1:13">
      <c r="A536" s="1">
        <v>531</v>
      </c>
      <c r="B536" s="1" t="s">
        <v>623</v>
      </c>
      <c r="C536" s="1" t="s">
        <v>92</v>
      </c>
      <c r="D536" s="32">
        <v>74159</v>
      </c>
      <c r="J536" s="1"/>
      <c r="K536" s="32">
        <v>124159</v>
      </c>
      <c r="M536">
        <f>IFERROR(VLOOKUP(Salaries[[#This Row],[Player]],Player_Per_Game[[Player]:[PS/G]],29,FALSE),"")</f>
        <v>0.7</v>
      </c>
    </row>
    <row r="537" spans="1:13">
      <c r="A537" s="1">
        <v>532</v>
      </c>
      <c r="B537" s="1" t="s">
        <v>1265</v>
      </c>
      <c r="C537" s="1" t="s">
        <v>305</v>
      </c>
      <c r="D537" s="32">
        <v>74159</v>
      </c>
      <c r="J537" s="1"/>
      <c r="M537" t="str">
        <f>IFERROR(VLOOKUP(Salaries[[#This Row],[Player]],Player_Per_Game[[Player]:[PS/G]],29,FALSE),"")</f>
        <v/>
      </c>
    </row>
    <row r="538" spans="1:13">
      <c r="A538" s="1">
        <v>533</v>
      </c>
      <c r="B538" s="1" t="s">
        <v>627</v>
      </c>
      <c r="C538" s="1" t="s">
        <v>96</v>
      </c>
      <c r="D538" s="32">
        <v>74159</v>
      </c>
      <c r="J538" s="1"/>
      <c r="M538">
        <f>IFERROR(VLOOKUP(Salaries[[#This Row],[Player]],Player_Per_Game[[Player]:[PS/G]],29,FALSE),"")</f>
        <v>2.1</v>
      </c>
    </row>
    <row r="539" spans="1:13">
      <c r="A539" s="1">
        <v>534</v>
      </c>
      <c r="B539" s="1" t="s">
        <v>806</v>
      </c>
      <c r="C539" s="1" t="s">
        <v>112</v>
      </c>
      <c r="D539" s="32">
        <v>74159</v>
      </c>
      <c r="J539" s="1"/>
      <c r="M539">
        <f>IFERROR(VLOOKUP(Salaries[[#This Row],[Player]],Player_Per_Game[[Player]:[PS/G]],29,FALSE),"")</f>
        <v>0.4</v>
      </c>
    </row>
    <row r="540" spans="1:13">
      <c r="A540" s="1">
        <v>535</v>
      </c>
      <c r="B540" s="1" t="s">
        <v>1057</v>
      </c>
      <c r="C540" s="1" t="s">
        <v>33</v>
      </c>
      <c r="D540" s="32">
        <v>74159</v>
      </c>
      <c r="J540" s="1"/>
      <c r="M540">
        <f>IFERROR(VLOOKUP(Salaries[[#This Row],[Player]],Player_Per_Game[[Player]:[PS/G]],29,FALSE),"")</f>
        <v>1</v>
      </c>
    </row>
    <row r="541" spans="1:13">
      <c r="A541" s="1">
        <v>536</v>
      </c>
      <c r="B541" s="1" t="s">
        <v>77</v>
      </c>
      <c r="C541" s="1" t="s">
        <v>102</v>
      </c>
      <c r="D541" s="32">
        <v>74159</v>
      </c>
      <c r="J541" s="1"/>
      <c r="M541">
        <f>IFERROR(VLOOKUP(Salaries[[#This Row],[Player]],Player_Per_Game[[Player]:[PS/G]],29,FALSE),"")</f>
        <v>3.3</v>
      </c>
    </row>
    <row r="542" spans="1:13">
      <c r="A542" s="1">
        <v>537</v>
      </c>
      <c r="B542" s="1" t="s">
        <v>194</v>
      </c>
      <c r="C542" s="1" t="s">
        <v>92</v>
      </c>
      <c r="D542" s="32">
        <v>53465</v>
      </c>
      <c r="J542" s="1"/>
      <c r="K542" s="32">
        <v>53465</v>
      </c>
      <c r="M542">
        <f>IFERROR(VLOOKUP(Salaries[[#This Row],[Player]],Player_Per_Game[[Player]:[PS/G]],29,FALSE),"")</f>
        <v>8.6</v>
      </c>
    </row>
    <row r="543" spans="1:13">
      <c r="A543" s="1">
        <v>538</v>
      </c>
      <c r="B543" s="1" t="s">
        <v>456</v>
      </c>
      <c r="C543" s="1" t="s">
        <v>149</v>
      </c>
      <c r="D543" s="32">
        <v>50000</v>
      </c>
      <c r="J543" s="1"/>
      <c r="K543" s="32">
        <v>729919</v>
      </c>
      <c r="M543">
        <f>IFERROR(VLOOKUP(Salaries[[#This Row],[Player]],Player_Per_Game[[Player]:[PS/G]],29,FALSE),"")</f>
        <v>4.9000000000000004</v>
      </c>
    </row>
    <row r="544" spans="1:13">
      <c r="A544" s="1">
        <v>539</v>
      </c>
      <c r="B544" s="1" t="s">
        <v>596</v>
      </c>
      <c r="C544" s="1" t="s">
        <v>33</v>
      </c>
      <c r="D544" s="32">
        <v>50000</v>
      </c>
      <c r="J544" s="1"/>
      <c r="K544" s="32">
        <v>142160</v>
      </c>
      <c r="M544">
        <f>IFERROR(VLOOKUP(Salaries[[#This Row],[Player]],Player_Per_Game[[Player]:[PS/G]],29,FALSE),"")</f>
        <v>2.5</v>
      </c>
    </row>
    <row r="545" spans="1:13">
      <c r="A545" s="1">
        <v>540</v>
      </c>
      <c r="B545" s="1" t="s">
        <v>623</v>
      </c>
      <c r="C545" s="1" t="s">
        <v>92</v>
      </c>
      <c r="D545" s="32">
        <v>50000</v>
      </c>
      <c r="J545" s="1"/>
      <c r="K545" s="32">
        <v>124159</v>
      </c>
      <c r="M545">
        <f>IFERROR(VLOOKUP(Salaries[[#This Row],[Player]],Player_Per_Game[[Player]:[PS/G]],29,FALSE),"")</f>
        <v>0.7</v>
      </c>
    </row>
    <row r="546" spans="1:13">
      <c r="A546" s="1">
        <v>541</v>
      </c>
      <c r="B546" s="1" t="s">
        <v>832</v>
      </c>
      <c r="C546" s="1" t="s">
        <v>27</v>
      </c>
      <c r="D546" s="32">
        <v>50000</v>
      </c>
      <c r="J546" s="1"/>
      <c r="K546" s="32">
        <v>50000</v>
      </c>
      <c r="M546" t="str">
        <f>IFERROR(VLOOKUP(Salaries[[#This Row],[Player]],Player_Per_Game[[Player]:[PS/G]],29,FALSE),"")</f>
        <v/>
      </c>
    </row>
    <row r="547" spans="1:13">
      <c r="A547" s="1">
        <v>542</v>
      </c>
      <c r="B547" s="1" t="s">
        <v>722</v>
      </c>
      <c r="C547" s="1" t="s">
        <v>27</v>
      </c>
      <c r="D547" s="32">
        <v>50000</v>
      </c>
      <c r="J547" s="1"/>
      <c r="K547" s="32">
        <v>50000</v>
      </c>
      <c r="M547" t="str">
        <f>IFERROR(VLOOKUP(Salaries[[#This Row],[Player]],Player_Per_Game[[Player]:[PS/G]],29,FALSE),"")</f>
        <v/>
      </c>
    </row>
    <row r="548" spans="1:13">
      <c r="A548" s="1">
        <v>543</v>
      </c>
      <c r="B548" s="1" t="s">
        <v>644</v>
      </c>
      <c r="C548" s="1" t="s">
        <v>305</v>
      </c>
      <c r="D548" s="32">
        <v>50000</v>
      </c>
      <c r="J548" s="1"/>
      <c r="K548" s="32">
        <v>50000</v>
      </c>
      <c r="M548">
        <f>IFERROR(VLOOKUP(Salaries[[#This Row],[Player]],Player_Per_Game[[Player]:[PS/G]],29,FALSE),"")</f>
        <v>0.4</v>
      </c>
    </row>
    <row r="549" spans="1:13">
      <c r="A549" s="1">
        <v>544</v>
      </c>
      <c r="B549" s="1" t="s">
        <v>646</v>
      </c>
      <c r="C549" s="1" t="s">
        <v>305</v>
      </c>
      <c r="D549" s="32">
        <v>50000</v>
      </c>
      <c r="J549" s="1"/>
      <c r="K549" s="32">
        <v>50000</v>
      </c>
      <c r="M549">
        <f>IFERROR(VLOOKUP(Salaries[[#This Row],[Player]],Player_Per_Game[[Player]:[PS/G]],29,FALSE),"")</f>
        <v>3</v>
      </c>
    </row>
    <row r="550" spans="1:13">
      <c r="A550" s="1">
        <v>545</v>
      </c>
      <c r="B550" s="1" t="s">
        <v>833</v>
      </c>
      <c r="C550" s="1" t="s">
        <v>305</v>
      </c>
      <c r="D550" s="32">
        <v>50000</v>
      </c>
      <c r="J550" s="1"/>
      <c r="K550" s="32">
        <v>50000</v>
      </c>
      <c r="M550" t="str">
        <f>IFERROR(VLOOKUP(Salaries[[#This Row],[Player]],Player_Per_Game[[Player]:[PS/G]],29,FALSE),"")</f>
        <v/>
      </c>
    </row>
    <row r="551" spans="1:13">
      <c r="A551" s="1">
        <v>546</v>
      </c>
      <c r="B551" s="1" t="s">
        <v>633</v>
      </c>
      <c r="C551" s="1" t="s">
        <v>118</v>
      </c>
      <c r="D551" s="32">
        <v>50000</v>
      </c>
      <c r="J551" s="1"/>
      <c r="K551" s="32">
        <v>50000</v>
      </c>
      <c r="M551">
        <f>IFERROR(VLOOKUP(Salaries[[#This Row],[Player]],Player_Per_Game[[Player]:[PS/G]],29,FALSE),"")</f>
        <v>0.7</v>
      </c>
    </row>
    <row r="552" spans="1:13">
      <c r="A552" s="1">
        <v>547</v>
      </c>
      <c r="B552" s="1" t="s">
        <v>299</v>
      </c>
      <c r="C552" s="1" t="s">
        <v>118</v>
      </c>
      <c r="D552" s="32">
        <v>50000</v>
      </c>
      <c r="J552" s="1"/>
      <c r="K552" s="32">
        <v>50000</v>
      </c>
      <c r="M552">
        <f>IFERROR(VLOOKUP(Salaries[[#This Row],[Player]],Player_Per_Game[[Player]:[PS/G]],29,FALSE),"")</f>
        <v>2.7</v>
      </c>
    </row>
    <row r="553" spans="1:13">
      <c r="A553" s="1">
        <v>548</v>
      </c>
      <c r="B553" s="1" t="s">
        <v>721</v>
      </c>
      <c r="C553" s="1" t="s">
        <v>21</v>
      </c>
      <c r="D553" s="32">
        <v>50000</v>
      </c>
      <c r="J553" s="1"/>
      <c r="K553" s="32">
        <v>50000</v>
      </c>
      <c r="M553">
        <f>IFERROR(VLOOKUP(Salaries[[#This Row],[Player]],Player_Per_Game[[Player]:[PS/G]],29,FALSE),"")</f>
        <v>2.2999999999999998</v>
      </c>
    </row>
    <row r="554" spans="1:13">
      <c r="A554" s="1">
        <v>549</v>
      </c>
      <c r="B554" s="1" t="s">
        <v>720</v>
      </c>
      <c r="C554" s="1" t="s">
        <v>41</v>
      </c>
      <c r="D554" s="32">
        <v>50000</v>
      </c>
      <c r="J554" s="1"/>
      <c r="K554" s="32">
        <v>50000</v>
      </c>
      <c r="M554" t="str">
        <f>IFERROR(VLOOKUP(Salaries[[#This Row],[Player]],Player_Per_Game[[Player]:[PS/G]],29,FALSE),"")</f>
        <v/>
      </c>
    </row>
    <row r="555" spans="1:13">
      <c r="A555" s="1">
        <v>550</v>
      </c>
      <c r="B555" s="1" t="s">
        <v>546</v>
      </c>
      <c r="C555" s="1" t="s">
        <v>41</v>
      </c>
      <c r="D555" s="32">
        <v>50000</v>
      </c>
      <c r="J555" s="1"/>
      <c r="K555" s="32">
        <v>50000</v>
      </c>
      <c r="M555">
        <f>IFERROR(VLOOKUP(Salaries[[#This Row],[Player]],Player_Per_Game[[Player]:[PS/G]],29,FALSE),"")</f>
        <v>2.2000000000000002</v>
      </c>
    </row>
    <row r="556" spans="1:13">
      <c r="A556" s="1">
        <v>551</v>
      </c>
      <c r="B556" s="1" t="s">
        <v>629</v>
      </c>
      <c r="C556" s="1" t="s">
        <v>50</v>
      </c>
      <c r="D556" s="32">
        <v>50000</v>
      </c>
      <c r="J556" s="1"/>
      <c r="K556" s="32">
        <v>50000</v>
      </c>
      <c r="M556">
        <f>IFERROR(VLOOKUP(Salaries[[#This Row],[Player]],Player_Per_Game[[Player]:[PS/G]],29,FALSE),"")</f>
        <v>1.7</v>
      </c>
    </row>
    <row r="557" spans="1:13">
      <c r="A557" s="1">
        <v>552</v>
      </c>
      <c r="B557" s="1" t="s">
        <v>631</v>
      </c>
      <c r="C557" s="1" t="s">
        <v>128</v>
      </c>
      <c r="D557" s="32">
        <v>50000</v>
      </c>
      <c r="J557" s="1"/>
      <c r="K557" s="32">
        <v>50000</v>
      </c>
      <c r="M557">
        <f>IFERROR(VLOOKUP(Salaries[[#This Row],[Player]],Player_Per_Game[[Player]:[PS/G]],29,FALSE),"")</f>
        <v>1.5</v>
      </c>
    </row>
    <row r="558" spans="1:13">
      <c r="A558" s="1">
        <v>553</v>
      </c>
      <c r="B558" s="1" t="s">
        <v>590</v>
      </c>
      <c r="C558" s="1" t="s">
        <v>78</v>
      </c>
      <c r="D558" s="32">
        <v>50000</v>
      </c>
      <c r="J558" s="1"/>
      <c r="K558" s="32">
        <v>50000</v>
      </c>
      <c r="M558">
        <f>IFERROR(VLOOKUP(Salaries[[#This Row],[Player]],Player_Per_Game[[Player]:[PS/G]],29,FALSE),"")</f>
        <v>0.6</v>
      </c>
    </row>
    <row r="559" spans="1:13">
      <c r="A559" s="1">
        <v>554</v>
      </c>
      <c r="B559" s="1" t="s">
        <v>719</v>
      </c>
      <c r="C559" s="1" t="s">
        <v>78</v>
      </c>
      <c r="D559" s="32">
        <v>50000</v>
      </c>
      <c r="J559" s="1"/>
      <c r="K559" s="32">
        <v>50000</v>
      </c>
      <c r="M559" t="str">
        <f>IFERROR(VLOOKUP(Salaries[[#This Row],[Player]],Player_Per_Game[[Player]:[PS/G]],29,FALSE),"")</f>
        <v/>
      </c>
    </row>
    <row r="560" spans="1:13">
      <c r="A560" s="1">
        <v>555</v>
      </c>
      <c r="B560" s="1" t="s">
        <v>290</v>
      </c>
      <c r="C560" s="1" t="s">
        <v>78</v>
      </c>
      <c r="D560" s="32">
        <v>50000</v>
      </c>
      <c r="J560" s="1"/>
      <c r="K560" s="32">
        <v>50000</v>
      </c>
      <c r="M560">
        <f>IFERROR(VLOOKUP(Salaries[[#This Row],[Player]],Player_Per_Game[[Player]:[PS/G]],29,FALSE),"")</f>
        <v>2.9</v>
      </c>
    </row>
    <row r="561" spans="1:13">
      <c r="A561" s="1">
        <v>556</v>
      </c>
      <c r="B561" s="1" t="s">
        <v>377</v>
      </c>
      <c r="C561" s="1" t="s">
        <v>64</v>
      </c>
      <c r="D561" s="32">
        <v>50000</v>
      </c>
      <c r="J561" s="1"/>
      <c r="K561" s="32">
        <v>50000</v>
      </c>
      <c r="M561">
        <f>IFERROR(VLOOKUP(Salaries[[#This Row],[Player]],Player_Per_Game[[Player]:[PS/G]],29,FALSE),"")</f>
        <v>7</v>
      </c>
    </row>
    <row r="562" spans="1:13">
      <c r="A562" s="1">
        <v>557</v>
      </c>
      <c r="B562" s="1" t="s">
        <v>290</v>
      </c>
      <c r="C562" s="1" t="s">
        <v>92</v>
      </c>
      <c r="D562" s="32">
        <v>50000</v>
      </c>
      <c r="J562" s="1"/>
      <c r="K562" s="32">
        <v>50000</v>
      </c>
      <c r="M562">
        <f>IFERROR(VLOOKUP(Salaries[[#This Row],[Player]],Player_Per_Game[[Player]:[PS/G]],29,FALSE),"")</f>
        <v>2.9</v>
      </c>
    </row>
    <row r="563" spans="1:13">
      <c r="A563" s="1">
        <v>558</v>
      </c>
      <c r="B563" s="1" t="s">
        <v>622</v>
      </c>
      <c r="C563" s="1" t="s">
        <v>157</v>
      </c>
      <c r="D563" s="32">
        <v>50000</v>
      </c>
      <c r="J563" s="1"/>
      <c r="K563" s="32">
        <v>50000</v>
      </c>
      <c r="M563">
        <f>IFERROR(VLOOKUP(Salaries[[#This Row],[Player]],Player_Per_Game[[Player]:[PS/G]],29,FALSE),"")</f>
        <v>0</v>
      </c>
    </row>
    <row r="564" spans="1:13">
      <c r="A564" s="1">
        <v>559</v>
      </c>
      <c r="B564" s="1" t="s">
        <v>295</v>
      </c>
      <c r="C564" s="1" t="s">
        <v>33</v>
      </c>
      <c r="D564" s="32">
        <v>50000</v>
      </c>
      <c r="J564" s="1"/>
      <c r="K564" s="32">
        <v>50000</v>
      </c>
      <c r="M564">
        <f>IFERROR(VLOOKUP(Salaries[[#This Row],[Player]],Player_Per_Game[[Player]:[PS/G]],29,FALSE),"")</f>
        <v>2.9</v>
      </c>
    </row>
    <row r="565" spans="1:13">
      <c r="A565" s="1">
        <v>560</v>
      </c>
      <c r="B565" s="1" t="s">
        <v>598</v>
      </c>
      <c r="C565" s="1" t="s">
        <v>33</v>
      </c>
      <c r="D565" s="32">
        <v>50000</v>
      </c>
      <c r="J565" s="1"/>
      <c r="K565" s="32">
        <v>50000</v>
      </c>
      <c r="M565">
        <f>IFERROR(VLOOKUP(Salaries[[#This Row],[Player]],Player_Per_Game[[Player]:[PS/G]],29,FALSE),"")</f>
        <v>0.8</v>
      </c>
    </row>
    <row r="566" spans="1:13">
      <c r="A566" s="1">
        <v>561</v>
      </c>
      <c r="B566" s="1" t="s">
        <v>718</v>
      </c>
      <c r="C566" s="1" t="s">
        <v>43</v>
      </c>
      <c r="D566" s="32">
        <v>50000</v>
      </c>
      <c r="J566" s="1"/>
      <c r="K566" s="32">
        <v>50000</v>
      </c>
    </row>
    <row r="567" spans="1:13">
      <c r="A567" s="1">
        <v>562</v>
      </c>
      <c r="B567" s="1" t="s">
        <v>834</v>
      </c>
      <c r="C567" s="1" t="s">
        <v>315</v>
      </c>
      <c r="D567" s="32">
        <v>50000</v>
      </c>
      <c r="J567" s="1"/>
      <c r="K567" s="32">
        <v>50000</v>
      </c>
    </row>
    <row r="568" spans="1:13">
      <c r="A568" s="1">
        <v>563</v>
      </c>
      <c r="B568" s="1" t="s">
        <v>717</v>
      </c>
      <c r="C568" s="1" t="s">
        <v>149</v>
      </c>
      <c r="D568" s="32">
        <v>50000</v>
      </c>
      <c r="J568" s="1"/>
      <c r="K568" s="32">
        <v>50000</v>
      </c>
    </row>
    <row r="569" spans="1:13">
      <c r="A569" s="1">
        <v>564</v>
      </c>
      <c r="B569" s="1" t="s">
        <v>721</v>
      </c>
      <c r="C569" s="1" t="s">
        <v>78</v>
      </c>
      <c r="D569" s="32">
        <v>46080</v>
      </c>
      <c r="J569" s="1"/>
      <c r="K569" s="32">
        <v>46080</v>
      </c>
    </row>
    <row r="570" spans="1:13">
      <c r="A570" s="1">
        <v>565</v>
      </c>
      <c r="B570" s="1" t="s">
        <v>1091</v>
      </c>
      <c r="C570" s="1" t="s">
        <v>128</v>
      </c>
      <c r="D570" s="32">
        <v>46080</v>
      </c>
      <c r="J570" s="1"/>
    </row>
    <row r="571" spans="1:13">
      <c r="A571" s="1">
        <v>566</v>
      </c>
      <c r="B571" s="1" t="s">
        <v>1043</v>
      </c>
      <c r="C571" s="1" t="s">
        <v>30</v>
      </c>
      <c r="D571" s="32">
        <v>46080</v>
      </c>
      <c r="J571" s="1"/>
    </row>
    <row r="572" spans="1:13">
      <c r="A572" s="1">
        <v>567</v>
      </c>
      <c r="B572" s="1" t="s">
        <v>1203</v>
      </c>
      <c r="C572" s="1" t="s">
        <v>33</v>
      </c>
      <c r="D572" s="32">
        <v>46080</v>
      </c>
      <c r="J572" s="1"/>
    </row>
    <row r="573" spans="1:13">
      <c r="A573" s="1">
        <v>568</v>
      </c>
      <c r="B573" s="1" t="s">
        <v>1050</v>
      </c>
      <c r="C573" s="1" t="s">
        <v>102</v>
      </c>
      <c r="D573" s="32">
        <v>46080</v>
      </c>
      <c r="J573" s="1"/>
    </row>
    <row r="574" spans="1:13">
      <c r="A574" s="1">
        <v>569</v>
      </c>
      <c r="B574" s="1" t="s">
        <v>525</v>
      </c>
      <c r="C574" s="1" t="s">
        <v>149</v>
      </c>
      <c r="D574" s="32">
        <v>26773</v>
      </c>
      <c r="J574" s="1"/>
      <c r="K574" s="32">
        <v>26773</v>
      </c>
    </row>
    <row r="575" spans="1:13">
      <c r="A575" s="1">
        <v>570</v>
      </c>
      <c r="B575" s="1" t="s">
        <v>515</v>
      </c>
      <c r="C575" s="1" t="s">
        <v>112</v>
      </c>
      <c r="D575" s="32">
        <v>25000</v>
      </c>
      <c r="J575" s="1"/>
      <c r="K575" s="32">
        <v>25000</v>
      </c>
    </row>
    <row r="576" spans="1:13">
      <c r="A576" s="1">
        <v>571</v>
      </c>
      <c r="B576" s="1" t="s">
        <v>716</v>
      </c>
      <c r="C576" s="1" t="s">
        <v>112</v>
      </c>
      <c r="D576" s="32">
        <v>25000</v>
      </c>
      <c r="J576" s="1"/>
      <c r="K576" s="32">
        <v>25000</v>
      </c>
    </row>
    <row r="577" spans="1:11">
      <c r="A577" s="1">
        <v>572</v>
      </c>
      <c r="B577" s="1" t="s">
        <v>715</v>
      </c>
      <c r="C577" s="1" t="s">
        <v>92</v>
      </c>
      <c r="D577" s="32">
        <v>25000</v>
      </c>
      <c r="J577" s="1"/>
      <c r="K577" s="32">
        <v>25000</v>
      </c>
    </row>
    <row r="578" spans="1:11">
      <c r="A578" s="1">
        <v>573</v>
      </c>
      <c r="B578" s="1" t="s">
        <v>714</v>
      </c>
      <c r="C578" s="1" t="s">
        <v>157</v>
      </c>
      <c r="D578" s="32">
        <v>25000</v>
      </c>
      <c r="J578" s="1"/>
      <c r="K578" s="32">
        <v>25000</v>
      </c>
    </row>
    <row r="579" spans="1:11">
      <c r="A579" s="1">
        <v>574</v>
      </c>
      <c r="B579" s="1" t="s">
        <v>595</v>
      </c>
      <c r="C579" s="1" t="s">
        <v>41</v>
      </c>
      <c r="D579" s="32">
        <v>22248</v>
      </c>
      <c r="J579" s="1"/>
      <c r="K579" s="32">
        <v>22248</v>
      </c>
    </row>
    <row r="580" spans="1:11">
      <c r="A580" s="1">
        <v>575</v>
      </c>
      <c r="B580" s="1" t="s">
        <v>713</v>
      </c>
      <c r="C580" s="1" t="s">
        <v>43</v>
      </c>
      <c r="D580" s="32">
        <v>17224</v>
      </c>
      <c r="J580" s="1"/>
      <c r="K580" s="32">
        <v>17224</v>
      </c>
    </row>
  </sheetData>
  <mergeCells count="1">
    <mergeCell ref="H2:K2"/>
  </mergeCells>
  <pageMargins left="0.7" right="0.7" top="0.75" bottom="0.75" header="0.3" footer="0.3"/>
  <pageSetup orientation="portrait" r:id="rId1"/>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3">
    <tabColor rgb="FFFFA797"/>
  </sheetPr>
  <dimension ref="A1:J79"/>
  <sheetViews>
    <sheetView workbookViewId="0">
      <selection activeCell="E5" sqref="E5"/>
    </sheetView>
  </sheetViews>
  <sheetFormatPr defaultColWidth="8.85546875" defaultRowHeight="15"/>
  <cols>
    <col min="1" max="1" width="24.85546875" bestFit="1" customWidth="1"/>
    <col min="2" max="2" width="23.85546875" style="22" bestFit="1" customWidth="1"/>
    <col min="3" max="3" width="10.7109375" style="22" bestFit="1" customWidth="1"/>
    <col min="4" max="4" width="11.7109375" style="22" bestFit="1" customWidth="1"/>
    <col min="5" max="5" width="40.28515625" bestFit="1" customWidth="1"/>
  </cols>
  <sheetData>
    <row r="1" spans="1:10" s="73" customFormat="1">
      <c r="C1" s="665"/>
      <c r="D1" s="665"/>
      <c r="E1" s="665"/>
      <c r="F1" s="665"/>
    </row>
    <row r="2" spans="1:10" s="73" customFormat="1" ht="15" customHeight="1">
      <c r="C2" s="136"/>
      <c r="D2" s="136"/>
      <c r="F2" s="235"/>
      <c r="G2" s="235"/>
      <c r="H2" s="235"/>
      <c r="I2" s="235"/>
      <c r="J2" s="235"/>
    </row>
    <row r="3" spans="1:10" s="73" customFormat="1" ht="15" customHeight="1">
      <c r="C3" s="136"/>
      <c r="D3" s="136"/>
      <c r="F3" s="235"/>
      <c r="G3" s="235"/>
      <c r="H3" s="235"/>
      <c r="I3" s="235"/>
      <c r="J3" s="235"/>
    </row>
    <row r="4" spans="1:10" s="8" customFormat="1">
      <c r="A4" s="8" t="s">
        <v>258</v>
      </c>
      <c r="B4" s="103" t="s">
        <v>256</v>
      </c>
      <c r="C4" s="103" t="s">
        <v>843</v>
      </c>
      <c r="D4" s="103" t="s">
        <v>253</v>
      </c>
      <c r="E4" s="8" t="s">
        <v>844</v>
      </c>
    </row>
    <row r="5" spans="1:10">
      <c r="A5" s="1" t="s">
        <v>382</v>
      </c>
      <c r="B5" s="104" t="s">
        <v>674</v>
      </c>
      <c r="C5" s="234">
        <v>43170</v>
      </c>
      <c r="D5" s="104" t="s">
        <v>842</v>
      </c>
      <c r="E5" s="1" t="s">
        <v>1209</v>
      </c>
    </row>
    <row r="6" spans="1:10">
      <c r="A6" s="1" t="s">
        <v>528</v>
      </c>
      <c r="B6" s="104" t="s">
        <v>674</v>
      </c>
      <c r="C6" s="234">
        <v>43156</v>
      </c>
      <c r="D6" s="104" t="s">
        <v>1002</v>
      </c>
      <c r="E6" s="1" t="s">
        <v>1191</v>
      </c>
    </row>
    <row r="7" spans="1:10">
      <c r="A7" s="1" t="s">
        <v>462</v>
      </c>
      <c r="B7" s="104" t="s">
        <v>674</v>
      </c>
      <c r="C7" s="234">
        <v>43163</v>
      </c>
      <c r="D7" s="104" t="s">
        <v>845</v>
      </c>
      <c r="E7" s="1" t="s">
        <v>1221</v>
      </c>
    </row>
    <row r="8" spans="1:10">
      <c r="A8" s="1" t="s">
        <v>369</v>
      </c>
      <c r="B8" s="104" t="s">
        <v>675</v>
      </c>
      <c r="C8" s="234">
        <v>43167</v>
      </c>
      <c r="D8" s="104" t="s">
        <v>1162</v>
      </c>
      <c r="E8" s="1" t="s">
        <v>1192</v>
      </c>
    </row>
    <row r="9" spans="1:10">
      <c r="A9" s="1" t="s">
        <v>635</v>
      </c>
      <c r="B9" s="104" t="s">
        <v>675</v>
      </c>
      <c r="C9" s="234">
        <v>43025</v>
      </c>
      <c r="D9" s="104" t="s">
        <v>845</v>
      </c>
      <c r="E9" s="1" t="s">
        <v>1210</v>
      </c>
    </row>
    <row r="10" spans="1:10">
      <c r="A10" s="1" t="s">
        <v>317</v>
      </c>
      <c r="B10" s="104" t="s">
        <v>675</v>
      </c>
      <c r="C10" s="234">
        <v>43170</v>
      </c>
      <c r="D10" s="104" t="s">
        <v>842</v>
      </c>
      <c r="E10" s="1" t="s">
        <v>1222</v>
      </c>
    </row>
    <row r="11" spans="1:10">
      <c r="A11" s="1" t="s">
        <v>198</v>
      </c>
      <c r="B11" s="104" t="s">
        <v>675</v>
      </c>
      <c r="C11" s="234">
        <v>43171</v>
      </c>
      <c r="D11" s="104" t="s">
        <v>1211</v>
      </c>
      <c r="E11" s="1" t="s">
        <v>1223</v>
      </c>
    </row>
    <row r="12" spans="1:10">
      <c r="A12" s="1" t="s">
        <v>131</v>
      </c>
      <c r="B12" s="104" t="s">
        <v>709</v>
      </c>
      <c r="C12" s="234">
        <v>43176</v>
      </c>
      <c r="D12" s="104" t="s">
        <v>1162</v>
      </c>
      <c r="E12" s="1" t="s">
        <v>1224</v>
      </c>
    </row>
    <row r="13" spans="1:10">
      <c r="A13" s="1" t="s">
        <v>475</v>
      </c>
      <c r="B13" s="104" t="s">
        <v>709</v>
      </c>
      <c r="C13" s="234">
        <v>43026</v>
      </c>
      <c r="D13" s="104" t="s">
        <v>842</v>
      </c>
      <c r="E13" s="1" t="s">
        <v>849</v>
      </c>
    </row>
    <row r="14" spans="1:10">
      <c r="A14" s="1" t="s">
        <v>395</v>
      </c>
      <c r="B14" s="104" t="s">
        <v>677</v>
      </c>
      <c r="C14" s="234">
        <v>43176</v>
      </c>
      <c r="D14" s="104" t="s">
        <v>858</v>
      </c>
      <c r="E14" s="1" t="s">
        <v>1225</v>
      </c>
    </row>
    <row r="15" spans="1:10">
      <c r="A15" s="1" t="s">
        <v>105</v>
      </c>
      <c r="B15" s="104" t="s">
        <v>677</v>
      </c>
      <c r="C15" s="234">
        <v>43164</v>
      </c>
      <c r="D15" s="104" t="s">
        <v>860</v>
      </c>
      <c r="E15" s="1" t="s">
        <v>1212</v>
      </c>
    </row>
    <row r="16" spans="1:10">
      <c r="A16" s="1" t="s">
        <v>570</v>
      </c>
      <c r="B16" s="104" t="s">
        <v>677</v>
      </c>
      <c r="C16" s="234">
        <v>43169</v>
      </c>
      <c r="D16" s="104" t="s">
        <v>842</v>
      </c>
      <c r="E16" s="1" t="s">
        <v>1226</v>
      </c>
    </row>
    <row r="17" spans="1:5">
      <c r="A17" s="1" t="s">
        <v>451</v>
      </c>
      <c r="B17" s="104" t="s">
        <v>676</v>
      </c>
      <c r="C17" s="234">
        <v>43174</v>
      </c>
      <c r="D17" s="104" t="s">
        <v>1227</v>
      </c>
      <c r="E17" s="1" t="s">
        <v>1228</v>
      </c>
    </row>
    <row r="18" spans="1:5">
      <c r="A18" s="1" t="s">
        <v>225</v>
      </c>
      <c r="B18" s="104" t="s">
        <v>676</v>
      </c>
      <c r="C18" s="234">
        <v>43175</v>
      </c>
      <c r="D18" s="104" t="s">
        <v>842</v>
      </c>
      <c r="E18" s="1" t="s">
        <v>1229</v>
      </c>
    </row>
    <row r="19" spans="1:5">
      <c r="A19" s="1" t="s">
        <v>236</v>
      </c>
      <c r="B19" s="104" t="s">
        <v>817</v>
      </c>
      <c r="C19" s="234">
        <v>43176</v>
      </c>
      <c r="D19" s="104" t="s">
        <v>856</v>
      </c>
      <c r="E19" s="1" t="s">
        <v>1230</v>
      </c>
    </row>
    <row r="20" spans="1:5">
      <c r="A20" s="1" t="s">
        <v>1231</v>
      </c>
      <c r="B20" s="104" t="s">
        <v>817</v>
      </c>
      <c r="C20" s="234">
        <v>43173</v>
      </c>
      <c r="D20" s="104" t="s">
        <v>855</v>
      </c>
      <c r="E20" s="1" t="s">
        <v>1232</v>
      </c>
    </row>
    <row r="21" spans="1:5">
      <c r="A21" s="1" t="s">
        <v>609</v>
      </c>
      <c r="B21" s="104" t="s">
        <v>817</v>
      </c>
      <c r="C21" s="234">
        <v>43163</v>
      </c>
      <c r="D21" s="104" t="s">
        <v>845</v>
      </c>
      <c r="E21" s="1" t="s">
        <v>1194</v>
      </c>
    </row>
    <row r="22" spans="1:5">
      <c r="A22" s="1" t="s">
        <v>1233</v>
      </c>
      <c r="B22" s="104" t="s">
        <v>678</v>
      </c>
      <c r="C22" s="234">
        <v>43176</v>
      </c>
      <c r="D22" s="104" t="s">
        <v>1045</v>
      </c>
      <c r="E22" s="1" t="s">
        <v>1234</v>
      </c>
    </row>
    <row r="23" spans="1:5">
      <c r="A23" s="1" t="s">
        <v>34</v>
      </c>
      <c r="B23" s="104" t="s">
        <v>678</v>
      </c>
      <c r="C23" s="234">
        <v>43015</v>
      </c>
      <c r="D23" s="104" t="s">
        <v>851</v>
      </c>
      <c r="E23" s="1" t="s">
        <v>872</v>
      </c>
    </row>
    <row r="24" spans="1:5">
      <c r="A24" s="1" t="s">
        <v>327</v>
      </c>
      <c r="B24" s="104" t="s">
        <v>678</v>
      </c>
      <c r="C24" s="234">
        <v>43170</v>
      </c>
      <c r="D24" s="104" t="s">
        <v>851</v>
      </c>
      <c r="E24" s="1" t="s">
        <v>1213</v>
      </c>
    </row>
    <row r="25" spans="1:5">
      <c r="A25" s="1" t="s">
        <v>84</v>
      </c>
      <c r="B25" s="104" t="s">
        <v>678</v>
      </c>
      <c r="C25" s="234">
        <v>43169</v>
      </c>
      <c r="D25" s="104" t="s">
        <v>855</v>
      </c>
      <c r="E25" s="1" t="s">
        <v>1235</v>
      </c>
    </row>
    <row r="26" spans="1:5">
      <c r="A26" s="1" t="s">
        <v>332</v>
      </c>
      <c r="B26" s="104" t="s">
        <v>679</v>
      </c>
      <c r="C26" s="234">
        <v>43175</v>
      </c>
      <c r="D26" s="104" t="s">
        <v>842</v>
      </c>
      <c r="E26" s="1" t="s">
        <v>1236</v>
      </c>
    </row>
    <row r="27" spans="1:5">
      <c r="A27" s="1" t="s">
        <v>394</v>
      </c>
      <c r="B27" s="104" t="s">
        <v>680</v>
      </c>
      <c r="C27" s="234">
        <v>43095</v>
      </c>
      <c r="D27" s="104" t="s">
        <v>845</v>
      </c>
      <c r="E27" s="1" t="s">
        <v>1237</v>
      </c>
    </row>
    <row r="28" spans="1:5">
      <c r="A28" s="1" t="s">
        <v>556</v>
      </c>
      <c r="B28" s="104" t="s">
        <v>680</v>
      </c>
      <c r="C28" s="234">
        <v>43040</v>
      </c>
      <c r="D28" s="104" t="s">
        <v>845</v>
      </c>
      <c r="E28" s="1" t="s">
        <v>853</v>
      </c>
    </row>
    <row r="29" spans="1:5">
      <c r="A29" s="1" t="s">
        <v>165</v>
      </c>
      <c r="B29" s="104" t="s">
        <v>681</v>
      </c>
      <c r="C29" s="234">
        <v>43176</v>
      </c>
      <c r="D29" s="104" t="s">
        <v>845</v>
      </c>
      <c r="E29" s="1" t="s">
        <v>1238</v>
      </c>
    </row>
    <row r="30" spans="1:5">
      <c r="A30" s="1" t="s">
        <v>288</v>
      </c>
      <c r="B30" s="104" t="s">
        <v>681</v>
      </c>
      <c r="C30" s="234">
        <v>43167</v>
      </c>
      <c r="D30" s="104" t="s">
        <v>845</v>
      </c>
      <c r="E30" s="1" t="s">
        <v>1214</v>
      </c>
    </row>
    <row r="31" spans="1:5">
      <c r="A31" s="1" t="s">
        <v>326</v>
      </c>
      <c r="B31" s="104" t="s">
        <v>681</v>
      </c>
      <c r="C31" s="234">
        <v>43174</v>
      </c>
      <c r="D31" s="104" t="s">
        <v>1045</v>
      </c>
      <c r="E31" s="1" t="s">
        <v>1239</v>
      </c>
    </row>
    <row r="32" spans="1:5">
      <c r="A32" s="1" t="s">
        <v>396</v>
      </c>
      <c r="B32" s="104" t="s">
        <v>681</v>
      </c>
      <c r="C32" s="234">
        <v>43178</v>
      </c>
      <c r="D32" s="104" t="s">
        <v>1216</v>
      </c>
      <c r="E32" s="1" t="s">
        <v>1240</v>
      </c>
    </row>
    <row r="33" spans="1:5">
      <c r="A33" s="1" t="s">
        <v>293</v>
      </c>
      <c r="B33" s="104" t="s">
        <v>681</v>
      </c>
      <c r="C33" s="234">
        <v>43171</v>
      </c>
      <c r="D33" s="104" t="s">
        <v>1211</v>
      </c>
      <c r="E33" s="1" t="s">
        <v>1241</v>
      </c>
    </row>
    <row r="34" spans="1:5">
      <c r="A34" s="1" t="s">
        <v>286</v>
      </c>
      <c r="B34" s="104" t="s">
        <v>682</v>
      </c>
      <c r="C34" s="234">
        <v>43178</v>
      </c>
      <c r="D34" s="104" t="s">
        <v>848</v>
      </c>
      <c r="E34" s="1" t="s">
        <v>1242</v>
      </c>
    </row>
    <row r="35" spans="1:5">
      <c r="A35" s="1" t="s">
        <v>129</v>
      </c>
      <c r="B35" s="104" t="s">
        <v>682</v>
      </c>
      <c r="C35" s="234">
        <v>43157</v>
      </c>
      <c r="D35" s="104" t="s">
        <v>842</v>
      </c>
      <c r="E35" s="1" t="s">
        <v>1117</v>
      </c>
    </row>
    <row r="36" spans="1:5">
      <c r="A36" s="1" t="s">
        <v>555</v>
      </c>
      <c r="B36" s="104" t="s">
        <v>683</v>
      </c>
      <c r="C36" s="234">
        <v>43172</v>
      </c>
      <c r="D36" s="104" t="s">
        <v>845</v>
      </c>
      <c r="E36" s="1" t="s">
        <v>1243</v>
      </c>
    </row>
    <row r="37" spans="1:5">
      <c r="A37" s="1" t="s">
        <v>341</v>
      </c>
      <c r="B37" s="104" t="s">
        <v>684</v>
      </c>
      <c r="C37" s="234">
        <v>43061</v>
      </c>
      <c r="D37" s="104" t="s">
        <v>842</v>
      </c>
      <c r="E37" s="1" t="s">
        <v>857</v>
      </c>
    </row>
    <row r="38" spans="1:5">
      <c r="A38" s="1" t="s">
        <v>232</v>
      </c>
      <c r="B38" s="104" t="s">
        <v>684</v>
      </c>
      <c r="C38" s="234">
        <v>43152</v>
      </c>
      <c r="D38" s="104" t="s">
        <v>1044</v>
      </c>
      <c r="E38" s="1" t="s">
        <v>1215</v>
      </c>
    </row>
    <row r="39" spans="1:5">
      <c r="A39" s="1" t="s">
        <v>337</v>
      </c>
      <c r="B39" s="104" t="s">
        <v>684</v>
      </c>
      <c r="C39" s="234">
        <v>43154</v>
      </c>
      <c r="D39" s="104" t="s">
        <v>848</v>
      </c>
      <c r="E39" s="1" t="s">
        <v>1195</v>
      </c>
    </row>
    <row r="40" spans="1:5">
      <c r="A40" s="1" t="s">
        <v>103</v>
      </c>
      <c r="B40" s="104" t="s">
        <v>685</v>
      </c>
      <c r="C40" s="234">
        <v>43146</v>
      </c>
      <c r="D40" s="104" t="s">
        <v>1001</v>
      </c>
      <c r="E40" s="1" t="s">
        <v>1196</v>
      </c>
    </row>
    <row r="41" spans="1:5">
      <c r="A41" s="1" t="s">
        <v>496</v>
      </c>
      <c r="B41" s="104" t="s">
        <v>685</v>
      </c>
      <c r="C41" s="234">
        <v>43160</v>
      </c>
      <c r="D41" s="104" t="s">
        <v>1049</v>
      </c>
      <c r="E41" s="1" t="s">
        <v>1197</v>
      </c>
    </row>
    <row r="42" spans="1:5">
      <c r="A42" s="1" t="s">
        <v>322</v>
      </c>
      <c r="B42" s="104" t="s">
        <v>686</v>
      </c>
      <c r="C42" s="234">
        <v>43053</v>
      </c>
      <c r="D42" s="104" t="s">
        <v>858</v>
      </c>
      <c r="E42" s="1" t="s">
        <v>859</v>
      </c>
    </row>
    <row r="43" spans="1:5">
      <c r="A43" s="1" t="s">
        <v>243</v>
      </c>
      <c r="B43" s="104" t="s">
        <v>686</v>
      </c>
      <c r="C43" s="234">
        <v>43178</v>
      </c>
      <c r="D43" s="104" t="s">
        <v>1244</v>
      </c>
      <c r="E43" s="1" t="s">
        <v>1245</v>
      </c>
    </row>
    <row r="44" spans="1:5">
      <c r="A44" s="1" t="s">
        <v>375</v>
      </c>
      <c r="B44" s="104" t="s">
        <v>686</v>
      </c>
      <c r="C44" s="234">
        <v>43178</v>
      </c>
      <c r="D44" s="104" t="s">
        <v>1193</v>
      </c>
      <c r="E44" s="1" t="s">
        <v>1246</v>
      </c>
    </row>
    <row r="45" spans="1:5">
      <c r="A45" s="1" t="s">
        <v>210</v>
      </c>
      <c r="B45" s="104" t="s">
        <v>687</v>
      </c>
      <c r="C45" s="234">
        <v>43169</v>
      </c>
      <c r="D45" s="104" t="s">
        <v>855</v>
      </c>
      <c r="E45" s="1" t="s">
        <v>1247</v>
      </c>
    </row>
    <row r="46" spans="1:5">
      <c r="A46" s="1" t="s">
        <v>336</v>
      </c>
      <c r="B46" s="104" t="s">
        <v>687</v>
      </c>
      <c r="C46" s="234">
        <v>43091</v>
      </c>
      <c r="D46" s="104" t="s">
        <v>845</v>
      </c>
      <c r="E46" s="1" t="s">
        <v>861</v>
      </c>
    </row>
    <row r="47" spans="1:5">
      <c r="A47" s="1" t="s">
        <v>574</v>
      </c>
      <c r="B47" s="104" t="s">
        <v>687</v>
      </c>
      <c r="C47" s="234">
        <v>43170</v>
      </c>
      <c r="D47" s="104" t="s">
        <v>847</v>
      </c>
      <c r="E47" s="1" t="s">
        <v>1248</v>
      </c>
    </row>
    <row r="48" spans="1:5">
      <c r="A48" s="1" t="s">
        <v>410</v>
      </c>
      <c r="B48" s="104" t="s">
        <v>688</v>
      </c>
      <c r="C48" s="234">
        <v>43132</v>
      </c>
      <c r="D48" s="104" t="s">
        <v>846</v>
      </c>
      <c r="E48" s="1" t="s">
        <v>862</v>
      </c>
    </row>
    <row r="49" spans="1:5">
      <c r="A49" s="1" t="s">
        <v>467</v>
      </c>
      <c r="B49" s="104" t="s">
        <v>688</v>
      </c>
      <c r="C49" s="234">
        <v>43135</v>
      </c>
      <c r="D49" s="104" t="s">
        <v>845</v>
      </c>
      <c r="E49" s="1" t="s">
        <v>1085</v>
      </c>
    </row>
    <row r="50" spans="1:5">
      <c r="A50" s="1" t="s">
        <v>552</v>
      </c>
      <c r="B50" s="104" t="s">
        <v>688</v>
      </c>
      <c r="C50" s="234">
        <v>43176</v>
      </c>
      <c r="D50" s="104" t="s">
        <v>856</v>
      </c>
      <c r="E50" s="1" t="s">
        <v>1249</v>
      </c>
    </row>
    <row r="51" spans="1:5">
      <c r="A51" s="1" t="s">
        <v>3</v>
      </c>
      <c r="B51" s="104" t="s">
        <v>689</v>
      </c>
      <c r="C51" s="234">
        <v>43160</v>
      </c>
      <c r="D51" s="104" t="s">
        <v>854</v>
      </c>
      <c r="E51" s="1" t="s">
        <v>1250</v>
      </c>
    </row>
    <row r="52" spans="1:5">
      <c r="A52" s="1" t="s">
        <v>13</v>
      </c>
      <c r="B52" s="104" t="s">
        <v>689</v>
      </c>
      <c r="C52" s="234">
        <v>43154</v>
      </c>
      <c r="D52" s="104" t="s">
        <v>842</v>
      </c>
      <c r="E52" s="1" t="s">
        <v>1086</v>
      </c>
    </row>
    <row r="53" spans="1:5">
      <c r="A53" s="1" t="s">
        <v>779</v>
      </c>
      <c r="B53" s="104" t="s">
        <v>690</v>
      </c>
      <c r="C53" s="234">
        <v>43025</v>
      </c>
      <c r="D53" s="104" t="s">
        <v>842</v>
      </c>
      <c r="E53" s="1" t="s">
        <v>863</v>
      </c>
    </row>
    <row r="54" spans="1:5">
      <c r="A54" s="1" t="s">
        <v>245</v>
      </c>
      <c r="B54" s="104" t="s">
        <v>690</v>
      </c>
      <c r="C54" s="234">
        <v>43127</v>
      </c>
      <c r="D54" s="104" t="s">
        <v>858</v>
      </c>
      <c r="E54" s="1" t="s">
        <v>864</v>
      </c>
    </row>
    <row r="55" spans="1:5">
      <c r="A55" s="1" t="s">
        <v>523</v>
      </c>
      <c r="B55" s="104" t="s">
        <v>691</v>
      </c>
      <c r="C55" s="234">
        <v>43130</v>
      </c>
      <c r="D55" s="104" t="s">
        <v>860</v>
      </c>
      <c r="E55" s="1" t="s">
        <v>873</v>
      </c>
    </row>
    <row r="56" spans="1:5">
      <c r="A56" s="1" t="s">
        <v>592</v>
      </c>
      <c r="B56" s="104" t="s">
        <v>691</v>
      </c>
      <c r="C56" s="234">
        <v>43125</v>
      </c>
      <c r="D56" s="104" t="s">
        <v>854</v>
      </c>
      <c r="E56" s="1" t="s">
        <v>1046</v>
      </c>
    </row>
    <row r="57" spans="1:5">
      <c r="A57" s="1" t="s">
        <v>360</v>
      </c>
      <c r="B57" s="104" t="s">
        <v>691</v>
      </c>
      <c r="C57" s="234">
        <v>43137</v>
      </c>
      <c r="D57" s="104" t="s">
        <v>842</v>
      </c>
      <c r="E57" s="1" t="s">
        <v>961</v>
      </c>
    </row>
    <row r="58" spans="1:5">
      <c r="A58" s="1" t="s">
        <v>507</v>
      </c>
      <c r="B58" s="104" t="s">
        <v>691</v>
      </c>
      <c r="C58" s="234">
        <v>43178</v>
      </c>
      <c r="D58" s="104" t="s">
        <v>854</v>
      </c>
      <c r="E58" s="1" t="s">
        <v>1251</v>
      </c>
    </row>
    <row r="59" spans="1:5">
      <c r="A59" s="1" t="s">
        <v>531</v>
      </c>
      <c r="B59" s="104" t="s">
        <v>692</v>
      </c>
      <c r="C59" s="234">
        <v>43127</v>
      </c>
      <c r="D59" s="104" t="s">
        <v>842</v>
      </c>
      <c r="E59" s="1" t="s">
        <v>865</v>
      </c>
    </row>
    <row r="60" spans="1:5">
      <c r="A60" s="1" t="s">
        <v>343</v>
      </c>
      <c r="B60" s="104" t="s">
        <v>693</v>
      </c>
      <c r="C60" s="234">
        <v>43167</v>
      </c>
      <c r="D60" s="104" t="s">
        <v>842</v>
      </c>
      <c r="E60" s="1" t="s">
        <v>1198</v>
      </c>
    </row>
    <row r="61" spans="1:5">
      <c r="A61" s="1" t="s">
        <v>242</v>
      </c>
      <c r="B61" s="104" t="s">
        <v>693</v>
      </c>
      <c r="C61" s="234">
        <v>43167</v>
      </c>
      <c r="D61" s="104" t="s">
        <v>1162</v>
      </c>
      <c r="E61" s="1" t="s">
        <v>1252</v>
      </c>
    </row>
    <row r="62" spans="1:5">
      <c r="A62" s="1" t="s">
        <v>392</v>
      </c>
      <c r="B62" s="104" t="s">
        <v>693</v>
      </c>
      <c r="C62" s="234">
        <v>43068</v>
      </c>
      <c r="D62" s="104" t="s">
        <v>842</v>
      </c>
      <c r="E62" s="1" t="s">
        <v>1199</v>
      </c>
    </row>
    <row r="63" spans="1:5">
      <c r="A63" s="1" t="s">
        <v>435</v>
      </c>
      <c r="B63" s="104" t="s">
        <v>693</v>
      </c>
      <c r="C63" s="234">
        <v>43178</v>
      </c>
      <c r="D63" s="104" t="s">
        <v>852</v>
      </c>
      <c r="E63" s="1" t="s">
        <v>1253</v>
      </c>
    </row>
    <row r="64" spans="1:5">
      <c r="A64" s="1" t="s">
        <v>425</v>
      </c>
      <c r="B64" s="104" t="s">
        <v>694</v>
      </c>
      <c r="C64" s="234">
        <v>43172</v>
      </c>
      <c r="D64" s="104" t="s">
        <v>842</v>
      </c>
      <c r="E64" s="1" t="s">
        <v>1254</v>
      </c>
    </row>
    <row r="65" spans="1:5">
      <c r="A65" s="1" t="s">
        <v>312</v>
      </c>
      <c r="B65" s="104" t="s">
        <v>695</v>
      </c>
      <c r="C65" s="234">
        <v>43175</v>
      </c>
      <c r="D65" s="104" t="s">
        <v>848</v>
      </c>
      <c r="E65" s="1" t="s">
        <v>1255</v>
      </c>
    </row>
    <row r="66" spans="1:5">
      <c r="A66" s="1" t="s">
        <v>597</v>
      </c>
      <c r="B66" s="104" t="s">
        <v>695</v>
      </c>
      <c r="C66" s="234">
        <v>43174</v>
      </c>
      <c r="D66" s="104" t="s">
        <v>860</v>
      </c>
      <c r="E66" s="1" t="s">
        <v>1256</v>
      </c>
    </row>
    <row r="67" spans="1:5">
      <c r="A67" s="1" t="s">
        <v>786</v>
      </c>
      <c r="B67" s="104" t="s">
        <v>695</v>
      </c>
      <c r="C67" s="234">
        <v>42941</v>
      </c>
      <c r="D67" s="104" t="s">
        <v>842</v>
      </c>
      <c r="E67" s="1" t="s">
        <v>866</v>
      </c>
    </row>
    <row r="68" spans="1:5">
      <c r="A68" s="1" t="s">
        <v>1257</v>
      </c>
      <c r="B68" s="104" t="s">
        <v>695</v>
      </c>
      <c r="C68" s="234">
        <v>43177</v>
      </c>
      <c r="D68" s="104" t="s">
        <v>842</v>
      </c>
      <c r="E68" s="1" t="s">
        <v>1258</v>
      </c>
    </row>
    <row r="69" spans="1:5">
      <c r="A69" s="1" t="s">
        <v>772</v>
      </c>
      <c r="B69" s="104" t="s">
        <v>695</v>
      </c>
      <c r="C69" s="234">
        <v>43001</v>
      </c>
      <c r="D69" s="104" t="s">
        <v>842</v>
      </c>
      <c r="E69" s="1" t="s">
        <v>1259</v>
      </c>
    </row>
    <row r="70" spans="1:5">
      <c r="A70" s="1" t="s">
        <v>201</v>
      </c>
      <c r="B70" s="104" t="s">
        <v>696</v>
      </c>
      <c r="C70" s="234">
        <v>43178</v>
      </c>
      <c r="D70" s="104" t="s">
        <v>1227</v>
      </c>
      <c r="E70" s="1" t="s">
        <v>1260</v>
      </c>
    </row>
    <row r="71" spans="1:5">
      <c r="A71" s="1" t="s">
        <v>867</v>
      </c>
      <c r="B71" s="104" t="s">
        <v>696</v>
      </c>
      <c r="C71" s="234">
        <v>43032</v>
      </c>
      <c r="D71" s="104" t="s">
        <v>842</v>
      </c>
      <c r="E71" s="1" t="s">
        <v>868</v>
      </c>
    </row>
    <row r="72" spans="1:5">
      <c r="A72" s="1" t="s">
        <v>101</v>
      </c>
      <c r="B72" s="104" t="s">
        <v>697</v>
      </c>
      <c r="C72" s="234">
        <v>43176</v>
      </c>
      <c r="D72" s="104" t="s">
        <v>854</v>
      </c>
      <c r="E72" s="1" t="s">
        <v>1261</v>
      </c>
    </row>
    <row r="73" spans="1:5">
      <c r="A73" s="1" t="s">
        <v>486</v>
      </c>
      <c r="B73" s="104" t="s">
        <v>697</v>
      </c>
      <c r="C73" s="234">
        <v>43139</v>
      </c>
      <c r="D73" s="104" t="s">
        <v>850</v>
      </c>
      <c r="E73" s="1" t="s">
        <v>885</v>
      </c>
    </row>
    <row r="74" spans="1:5">
      <c r="A74" s="1" t="s">
        <v>373</v>
      </c>
      <c r="B74" s="104" t="s">
        <v>698</v>
      </c>
      <c r="C74" s="234">
        <v>43115</v>
      </c>
      <c r="D74" s="104" t="s">
        <v>846</v>
      </c>
      <c r="E74" s="1" t="s">
        <v>1262</v>
      </c>
    </row>
    <row r="75" spans="1:5">
      <c r="A75" s="1" t="s">
        <v>162</v>
      </c>
      <c r="B75" s="104" t="s">
        <v>699</v>
      </c>
      <c r="C75" s="234">
        <v>43177</v>
      </c>
      <c r="D75" s="104" t="s">
        <v>852</v>
      </c>
      <c r="E75" s="1" t="s">
        <v>1263</v>
      </c>
    </row>
    <row r="76" spans="1:5">
      <c r="A76" s="1" t="s">
        <v>217</v>
      </c>
      <c r="B76" s="104" t="s">
        <v>700</v>
      </c>
      <c r="C76" s="234">
        <v>43178</v>
      </c>
      <c r="D76" s="104" t="s">
        <v>842</v>
      </c>
      <c r="E76" s="1" t="s">
        <v>1264</v>
      </c>
    </row>
    <row r="77" spans="1:5">
      <c r="A77" s="1" t="s">
        <v>121</v>
      </c>
      <c r="B77" s="104" t="s">
        <v>700</v>
      </c>
      <c r="C77" s="234">
        <v>43171</v>
      </c>
      <c r="D77" s="104" t="s">
        <v>852</v>
      </c>
      <c r="E77" s="1" t="s">
        <v>1217</v>
      </c>
    </row>
    <row r="78" spans="1:5">
      <c r="A78" s="1" t="s">
        <v>468</v>
      </c>
      <c r="B78" s="104" t="s">
        <v>700</v>
      </c>
      <c r="C78" s="234">
        <v>43112</v>
      </c>
      <c r="D78" s="104" t="s">
        <v>842</v>
      </c>
      <c r="E78" s="1" t="s">
        <v>869</v>
      </c>
    </row>
    <row r="79" spans="1:5">
      <c r="A79" s="1" t="s">
        <v>387</v>
      </c>
      <c r="B79" s="104" t="s">
        <v>701</v>
      </c>
      <c r="C79" s="234">
        <v>43127</v>
      </c>
      <c r="D79" s="104" t="s">
        <v>842</v>
      </c>
      <c r="E79" s="1" t="s">
        <v>870</v>
      </c>
    </row>
  </sheetData>
  <mergeCells count="1">
    <mergeCell ref="C1:F1"/>
  </mergeCells>
  <conditionalFormatting sqref="E5:E79">
    <cfRule type="containsText" dxfId="168" priority="2" operator="containsText" text="season">
      <formula>NOT(ISERROR(SEARCH("season",E5)))</formula>
    </cfRule>
  </conditionalFormatting>
  <pageMargins left="0.7" right="0.7" top="0.75" bottom="0.75" header="0.3" footer="0.3"/>
  <pageSetup orientation="portrait"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expression" priority="399" id="{DE33E60A-B442-4E1D-A266-85DCC6526DA5}">
            <xm:f>VLOOKUP('Roster Analysis'!$A$5:$A$24,$A$5:$A$79,1,TRUE)</xm:f>
            <x14:dxf/>
          </x14:cfRule>
          <xm:sqref>P7:P26</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4">
    <tabColor rgb="FFF78C00"/>
  </sheetPr>
  <dimension ref="A1:R72"/>
  <sheetViews>
    <sheetView zoomScale="85" zoomScaleNormal="85" workbookViewId="0">
      <selection activeCell="H18" sqref="H18:H26"/>
    </sheetView>
  </sheetViews>
  <sheetFormatPr defaultColWidth="8.85546875" defaultRowHeight="15" customHeight="1"/>
  <cols>
    <col min="1" max="1" width="10.7109375" customWidth="1"/>
    <col min="2" max="2" width="14.7109375" style="98" bestFit="1" customWidth="1"/>
    <col min="3" max="3" width="53.140625" customWidth="1"/>
    <col min="5" max="5" width="17.85546875" customWidth="1"/>
    <col min="6" max="6" width="55.28515625" customWidth="1"/>
    <col min="8" max="8" width="25.28515625" customWidth="1"/>
    <col min="9" max="9" width="39.85546875" customWidth="1"/>
  </cols>
  <sheetData>
    <row r="1" spans="1:18" ht="15" customHeight="1">
      <c r="A1" s="320"/>
      <c r="B1" s="323"/>
      <c r="C1" s="320"/>
      <c r="D1" s="320"/>
      <c r="E1" s="320"/>
      <c r="F1" s="320"/>
      <c r="G1" s="320"/>
      <c r="H1" s="320"/>
      <c r="I1" s="320"/>
      <c r="J1" s="320"/>
      <c r="K1" s="320"/>
      <c r="L1" s="320"/>
      <c r="M1" s="320"/>
      <c r="N1" s="320"/>
      <c r="O1" s="320"/>
      <c r="P1" s="320"/>
      <c r="Q1" s="320"/>
      <c r="R1" s="320"/>
    </row>
    <row r="2" spans="1:18" ht="15" customHeight="1">
      <c r="A2" s="320"/>
      <c r="B2" s="324" t="s">
        <v>954</v>
      </c>
      <c r="C2" s="244"/>
      <c r="D2" s="320"/>
      <c r="E2" s="684" t="s">
        <v>955</v>
      </c>
      <c r="F2" s="685"/>
      <c r="G2" s="320"/>
      <c r="H2" s="101" t="s">
        <v>956</v>
      </c>
      <c r="I2" s="209"/>
      <c r="J2" s="244"/>
      <c r="K2" s="320"/>
      <c r="L2" s="320"/>
      <c r="M2" s="320"/>
      <c r="N2" s="320"/>
      <c r="O2" s="320"/>
      <c r="P2" s="320"/>
      <c r="Q2" s="320"/>
      <c r="R2" s="320"/>
    </row>
    <row r="3" spans="1:18" ht="15" customHeight="1">
      <c r="A3" s="249"/>
      <c r="B3" s="316" t="s">
        <v>924</v>
      </c>
      <c r="C3" s="317" t="s">
        <v>925</v>
      </c>
      <c r="D3" s="320"/>
      <c r="E3" s="306" t="s">
        <v>924</v>
      </c>
      <c r="F3" s="307" t="s">
        <v>925</v>
      </c>
      <c r="G3" s="244"/>
      <c r="H3" s="319" t="s">
        <v>924</v>
      </c>
      <c r="I3" s="317" t="s">
        <v>925</v>
      </c>
      <c r="J3" s="320"/>
      <c r="K3" s="320"/>
      <c r="L3" s="320"/>
      <c r="M3" s="320"/>
      <c r="N3" s="320"/>
      <c r="O3" s="320"/>
      <c r="P3" s="320"/>
      <c r="Q3" s="320"/>
      <c r="R3" s="320"/>
    </row>
    <row r="4" spans="1:18" ht="15" customHeight="1" thickBot="1">
      <c r="A4" s="321"/>
      <c r="B4" s="308" t="s">
        <v>270</v>
      </c>
      <c r="C4" s="311" t="s">
        <v>937</v>
      </c>
      <c r="D4" s="320"/>
      <c r="E4" s="671" t="s">
        <v>654</v>
      </c>
      <c r="F4" s="679" t="s">
        <v>1150</v>
      </c>
      <c r="G4" s="320"/>
      <c r="H4" s="672" t="s">
        <v>1062</v>
      </c>
      <c r="I4" s="667" t="s">
        <v>929</v>
      </c>
      <c r="J4" s="320"/>
      <c r="K4" s="320"/>
      <c r="L4" s="320"/>
      <c r="M4" s="320"/>
      <c r="N4" s="320"/>
      <c r="O4" s="320"/>
      <c r="P4" s="320"/>
      <c r="Q4" s="320"/>
      <c r="R4" s="320"/>
    </row>
    <row r="5" spans="1:18" ht="15" customHeight="1" thickBot="1">
      <c r="A5" s="321"/>
      <c r="B5" s="310" t="s">
        <v>272</v>
      </c>
      <c r="C5" s="311" t="s">
        <v>940</v>
      </c>
      <c r="D5" s="320"/>
      <c r="E5" s="669"/>
      <c r="F5" s="679"/>
      <c r="G5" s="320"/>
      <c r="H5" s="673"/>
      <c r="I5" s="667"/>
      <c r="J5" s="320"/>
      <c r="K5" s="320"/>
      <c r="L5" s="320"/>
      <c r="M5" s="320"/>
      <c r="N5" s="320"/>
      <c r="O5" s="320"/>
      <c r="P5" s="320"/>
      <c r="Q5" s="320"/>
      <c r="R5" s="320"/>
    </row>
    <row r="6" spans="1:18" ht="15" customHeight="1">
      <c r="A6" s="321"/>
      <c r="B6" s="308" t="s">
        <v>271</v>
      </c>
      <c r="C6" s="311" t="s">
        <v>939</v>
      </c>
      <c r="D6" s="320"/>
      <c r="E6" s="677" t="s">
        <v>655</v>
      </c>
      <c r="F6" s="679" t="s">
        <v>1151</v>
      </c>
      <c r="G6" s="320"/>
      <c r="H6" s="669"/>
      <c r="I6" s="667"/>
      <c r="J6" s="320"/>
      <c r="K6" s="320"/>
      <c r="L6" s="320"/>
      <c r="M6" s="320"/>
      <c r="N6" s="320"/>
      <c r="O6" s="320"/>
      <c r="P6" s="320"/>
      <c r="Q6" s="320"/>
      <c r="R6" s="320"/>
    </row>
    <row r="7" spans="1:18" ht="15" customHeight="1">
      <c r="A7" s="321"/>
      <c r="B7" s="310" t="s">
        <v>267</v>
      </c>
      <c r="C7" s="311" t="s">
        <v>936</v>
      </c>
      <c r="D7" s="320"/>
      <c r="E7" s="678"/>
      <c r="F7" s="679"/>
      <c r="G7" s="320"/>
      <c r="H7" s="674" t="s">
        <v>1063</v>
      </c>
      <c r="I7" s="667" t="s">
        <v>930</v>
      </c>
      <c r="J7" s="320"/>
      <c r="K7" s="320"/>
      <c r="L7" s="320"/>
      <c r="M7" s="320"/>
      <c r="N7" s="320"/>
      <c r="O7" s="320"/>
      <c r="P7" s="320"/>
      <c r="Q7" s="320"/>
      <c r="R7" s="320"/>
    </row>
    <row r="8" spans="1:18" ht="15" customHeight="1">
      <c r="A8" s="321"/>
      <c r="B8" s="308" t="s">
        <v>269</v>
      </c>
      <c r="C8" s="311" t="s">
        <v>938</v>
      </c>
      <c r="D8" s="320"/>
      <c r="E8" s="668" t="s">
        <v>652</v>
      </c>
      <c r="F8" s="667" t="s">
        <v>1133</v>
      </c>
      <c r="G8" s="320"/>
      <c r="H8" s="671"/>
      <c r="I8" s="667"/>
      <c r="J8" s="320"/>
      <c r="K8" s="320"/>
      <c r="L8" s="320"/>
      <c r="M8" s="320"/>
      <c r="N8" s="320"/>
      <c r="O8" s="320"/>
      <c r="P8" s="320"/>
      <c r="Q8" s="320"/>
      <c r="R8" s="320"/>
    </row>
    <row r="9" spans="1:18" ht="15" customHeight="1">
      <c r="A9" s="321"/>
      <c r="B9" s="312" t="s">
        <v>268</v>
      </c>
      <c r="C9" s="311" t="s">
        <v>935</v>
      </c>
      <c r="D9" s="320"/>
      <c r="E9" s="671"/>
      <c r="F9" s="667"/>
      <c r="G9" s="320"/>
      <c r="H9" s="671"/>
      <c r="I9" s="667"/>
      <c r="J9" s="320"/>
      <c r="K9" s="320"/>
      <c r="L9" s="320"/>
      <c r="M9" s="320"/>
      <c r="N9" s="320"/>
      <c r="O9" s="320"/>
      <c r="P9" s="320"/>
      <c r="Q9" s="320"/>
      <c r="R9" s="320"/>
    </row>
    <row r="10" spans="1:18" ht="15" customHeight="1">
      <c r="A10" s="321"/>
      <c r="B10" s="312" t="s">
        <v>280</v>
      </c>
      <c r="C10" s="311" t="s">
        <v>947</v>
      </c>
      <c r="D10" s="320"/>
      <c r="E10" s="671"/>
      <c r="F10" s="667"/>
      <c r="G10" s="320"/>
      <c r="H10" s="668" t="s">
        <v>895</v>
      </c>
      <c r="I10" s="667" t="s">
        <v>931</v>
      </c>
      <c r="J10" s="320"/>
      <c r="K10" s="320"/>
      <c r="L10" s="320"/>
      <c r="M10" s="320"/>
      <c r="N10" s="320"/>
      <c r="O10" s="320"/>
      <c r="P10" s="320"/>
      <c r="Q10" s="320"/>
      <c r="R10" s="320"/>
    </row>
    <row r="11" spans="1:18" ht="15" customHeight="1">
      <c r="A11" s="321"/>
      <c r="B11" s="310" t="s">
        <v>282</v>
      </c>
      <c r="C11" s="311" t="s">
        <v>949</v>
      </c>
      <c r="D11" s="320"/>
      <c r="E11" s="669"/>
      <c r="F11" s="670"/>
      <c r="G11" s="320"/>
      <c r="H11" s="671"/>
      <c r="I11" s="667"/>
      <c r="J11" s="320"/>
      <c r="K11" s="320"/>
      <c r="L11" s="320"/>
      <c r="M11" s="320"/>
      <c r="N11" s="320"/>
      <c r="O11" s="320"/>
      <c r="P11" s="320"/>
      <c r="Q11" s="320"/>
      <c r="R11" s="320"/>
    </row>
    <row r="12" spans="1:18" ht="15" customHeight="1">
      <c r="A12" s="321"/>
      <c r="B12" s="308" t="s">
        <v>278</v>
      </c>
      <c r="C12" s="313" t="s">
        <v>945</v>
      </c>
      <c r="D12" s="320"/>
      <c r="E12" s="668" t="s">
        <v>659</v>
      </c>
      <c r="F12" s="666" t="s">
        <v>1134</v>
      </c>
      <c r="G12" s="320"/>
      <c r="H12" s="669"/>
      <c r="I12" s="667"/>
      <c r="J12" s="320"/>
      <c r="K12" s="320"/>
      <c r="L12" s="320"/>
      <c r="M12" s="320"/>
      <c r="N12" s="320"/>
      <c r="O12" s="320"/>
      <c r="P12" s="320"/>
      <c r="Q12" s="320"/>
      <c r="R12" s="320"/>
    </row>
    <row r="13" spans="1:18" ht="15" customHeight="1">
      <c r="A13" s="321"/>
      <c r="B13" s="682" t="s">
        <v>273</v>
      </c>
      <c r="C13" s="680" t="s">
        <v>1152</v>
      </c>
      <c r="D13" s="320"/>
      <c r="E13" s="671"/>
      <c r="F13" s="667"/>
      <c r="G13" s="320"/>
      <c r="H13" s="671" t="s">
        <v>896</v>
      </c>
      <c r="I13" s="667" t="s">
        <v>932</v>
      </c>
      <c r="J13" s="320"/>
      <c r="K13" s="320"/>
      <c r="L13" s="320"/>
      <c r="M13" s="320"/>
      <c r="N13" s="320"/>
      <c r="O13" s="320"/>
      <c r="P13" s="320"/>
      <c r="Q13" s="320"/>
      <c r="R13" s="320"/>
    </row>
    <row r="14" spans="1:18" ht="15" customHeight="1">
      <c r="A14" s="321"/>
      <c r="B14" s="683"/>
      <c r="C14" s="681"/>
      <c r="D14" s="320"/>
      <c r="E14" s="669"/>
      <c r="F14" s="667"/>
      <c r="G14" s="320"/>
      <c r="H14" s="671"/>
      <c r="I14" s="667"/>
      <c r="J14" s="320"/>
      <c r="K14" s="320"/>
      <c r="L14" s="320"/>
      <c r="M14" s="320"/>
      <c r="N14" s="320"/>
      <c r="O14" s="320"/>
      <c r="P14" s="320"/>
      <c r="Q14" s="320"/>
      <c r="R14" s="320"/>
    </row>
    <row r="15" spans="1:18" ht="15" customHeight="1">
      <c r="A15" s="321"/>
      <c r="B15" s="312" t="s">
        <v>264</v>
      </c>
      <c r="C15" s="309" t="s">
        <v>1153</v>
      </c>
      <c r="D15" s="320"/>
      <c r="E15" s="668" t="s">
        <v>661</v>
      </c>
      <c r="F15" s="667" t="s">
        <v>1135</v>
      </c>
      <c r="G15" s="320"/>
      <c r="H15" s="669"/>
      <c r="I15" s="667"/>
      <c r="J15" s="320"/>
      <c r="K15" s="320"/>
      <c r="L15" s="320"/>
      <c r="M15" s="320"/>
      <c r="N15" s="320"/>
      <c r="O15" s="320"/>
      <c r="P15" s="320"/>
      <c r="Q15" s="320"/>
      <c r="R15" s="320"/>
    </row>
    <row r="16" spans="1:18" ht="15" customHeight="1">
      <c r="A16" s="321"/>
      <c r="B16" s="312" t="s">
        <v>266</v>
      </c>
      <c r="C16" s="311" t="s">
        <v>934</v>
      </c>
      <c r="D16" s="320"/>
      <c r="E16" s="671"/>
      <c r="F16" s="667"/>
      <c r="G16" s="320"/>
      <c r="H16" s="671" t="s">
        <v>1034</v>
      </c>
      <c r="I16" s="687" t="s">
        <v>1032</v>
      </c>
      <c r="J16" s="320"/>
      <c r="K16" s="320"/>
      <c r="L16" s="320"/>
      <c r="M16" s="320"/>
      <c r="N16" s="320"/>
      <c r="O16" s="320"/>
      <c r="P16" s="320"/>
      <c r="Q16" s="320"/>
      <c r="R16" s="320"/>
    </row>
    <row r="17" spans="1:18" ht="15" customHeight="1">
      <c r="A17" s="321"/>
      <c r="B17" s="310" t="s">
        <v>265</v>
      </c>
      <c r="C17" s="311" t="s">
        <v>933</v>
      </c>
      <c r="D17" s="320"/>
      <c r="E17" s="669"/>
      <c r="F17" s="667"/>
      <c r="G17" s="320"/>
      <c r="H17" s="669"/>
      <c r="I17" s="687"/>
      <c r="J17" s="320"/>
      <c r="K17" s="320"/>
      <c r="L17" s="320"/>
      <c r="M17" s="320"/>
      <c r="N17" s="320"/>
      <c r="O17" s="320"/>
      <c r="P17" s="320"/>
      <c r="Q17" s="320"/>
      <c r="R17" s="320"/>
    </row>
    <row r="18" spans="1:18" ht="15" customHeight="1">
      <c r="A18" s="321"/>
      <c r="B18" s="310" t="s">
        <v>274</v>
      </c>
      <c r="C18" s="311" t="s">
        <v>941</v>
      </c>
      <c r="D18" s="320"/>
      <c r="E18" s="668" t="s">
        <v>660</v>
      </c>
      <c r="F18" s="667" t="s">
        <v>1136</v>
      </c>
      <c r="G18" s="320"/>
      <c r="H18" s="671" t="s">
        <v>1059</v>
      </c>
      <c r="I18" s="667" t="s">
        <v>1088</v>
      </c>
      <c r="J18" s="320"/>
      <c r="K18" s="320"/>
      <c r="L18" s="320"/>
      <c r="M18" s="320"/>
      <c r="N18" s="320"/>
      <c r="O18" s="320"/>
      <c r="P18" s="320"/>
      <c r="Q18" s="320"/>
      <c r="R18" s="320"/>
    </row>
    <row r="19" spans="1:18" ht="15" customHeight="1">
      <c r="A19" s="321"/>
      <c r="B19" s="308" t="s">
        <v>276</v>
      </c>
      <c r="C19" s="311" t="s">
        <v>943</v>
      </c>
      <c r="D19" s="320"/>
      <c r="E19" s="671"/>
      <c r="F19" s="667"/>
      <c r="G19" s="320"/>
      <c r="H19" s="671"/>
      <c r="I19" s="667"/>
      <c r="J19" s="320"/>
      <c r="K19" s="320"/>
      <c r="L19" s="320"/>
      <c r="M19" s="320"/>
      <c r="N19" s="320"/>
      <c r="O19" s="320"/>
      <c r="P19" s="320"/>
      <c r="Q19" s="320"/>
      <c r="R19" s="320"/>
    </row>
    <row r="20" spans="1:18" ht="15" customHeight="1">
      <c r="A20" s="321"/>
      <c r="B20" s="310" t="s">
        <v>275</v>
      </c>
      <c r="C20" s="311" t="s">
        <v>942</v>
      </c>
      <c r="D20" s="320"/>
      <c r="E20" s="669"/>
      <c r="F20" s="667"/>
      <c r="G20" s="320"/>
      <c r="H20" s="671"/>
      <c r="I20" s="667"/>
      <c r="J20" s="320"/>
      <c r="K20" s="320"/>
      <c r="L20" s="320"/>
      <c r="M20" s="320"/>
      <c r="N20" s="320"/>
      <c r="O20" s="320"/>
      <c r="P20" s="320"/>
      <c r="Q20" s="320"/>
      <c r="R20" s="320"/>
    </row>
    <row r="21" spans="1:18" ht="15" customHeight="1">
      <c r="A21" s="321"/>
      <c r="B21" s="308" t="s">
        <v>926</v>
      </c>
      <c r="C21" s="311" t="s">
        <v>927</v>
      </c>
      <c r="D21" s="320"/>
      <c r="E21" s="668" t="s">
        <v>662</v>
      </c>
      <c r="F21" s="667" t="s">
        <v>1137</v>
      </c>
      <c r="G21" s="320"/>
      <c r="H21" s="671"/>
      <c r="I21" s="318" t="str">
        <f>"-  Bi-Annual Exception is not available"</f>
        <v>-  Bi-Annual Exception is not available</v>
      </c>
      <c r="J21" s="320"/>
      <c r="K21" s="320"/>
      <c r="L21" s="320"/>
      <c r="M21" s="320"/>
      <c r="N21" s="320"/>
      <c r="O21" s="320"/>
      <c r="P21" s="320"/>
      <c r="Q21" s="320"/>
      <c r="R21" s="320"/>
    </row>
    <row r="22" spans="1:18" ht="15" customHeight="1">
      <c r="A22" s="321"/>
      <c r="B22" s="310" t="s">
        <v>15</v>
      </c>
      <c r="C22" s="311" t="s">
        <v>928</v>
      </c>
      <c r="D22" s="320"/>
      <c r="E22" s="669"/>
      <c r="F22" s="667"/>
      <c r="G22" s="320"/>
      <c r="H22" s="671"/>
      <c r="I22" s="690" t="str">
        <f>"-  Ineligible to receive a player using sign-and-trade"</f>
        <v>-  Ineligible to receive a player using sign-and-trade</v>
      </c>
      <c r="J22" s="320"/>
      <c r="K22" s="320"/>
      <c r="L22" s="320"/>
      <c r="M22" s="320"/>
      <c r="N22" s="320"/>
      <c r="O22" s="320"/>
      <c r="P22" s="320"/>
      <c r="Q22" s="320"/>
      <c r="R22" s="320"/>
    </row>
    <row r="23" spans="1:18" ht="15" customHeight="1">
      <c r="A23" s="321"/>
      <c r="B23" s="310" t="s">
        <v>277</v>
      </c>
      <c r="C23" s="311" t="s">
        <v>944</v>
      </c>
      <c r="D23" s="320"/>
      <c r="E23" s="668" t="s">
        <v>653</v>
      </c>
      <c r="F23" s="667" t="s">
        <v>1138</v>
      </c>
      <c r="G23" s="320"/>
      <c r="H23" s="671"/>
      <c r="I23" s="690"/>
      <c r="J23" s="320"/>
      <c r="K23" s="320"/>
      <c r="L23" s="320"/>
      <c r="M23" s="320"/>
      <c r="N23" s="320"/>
      <c r="O23" s="320"/>
      <c r="P23" s="320"/>
      <c r="Q23" s="320"/>
      <c r="R23" s="320"/>
    </row>
    <row r="24" spans="1:18" ht="15" customHeight="1">
      <c r="A24" s="321"/>
      <c r="B24" s="310" t="s">
        <v>38</v>
      </c>
      <c r="C24" s="311" t="s">
        <v>951</v>
      </c>
      <c r="D24" s="320"/>
      <c r="E24" s="671"/>
      <c r="F24" s="667"/>
      <c r="G24" s="320"/>
      <c r="H24" s="671"/>
      <c r="I24" s="690" t="str">
        <f>"-  Restricted Mid-Level Exception (smaller starting salary, can only offer 3 years compared to 4)"</f>
        <v>-  Restricted Mid-Level Exception (smaller starting salary, can only offer 3 years compared to 4)</v>
      </c>
      <c r="J24" s="320"/>
      <c r="K24" s="320"/>
      <c r="L24" s="320"/>
      <c r="M24" s="320"/>
      <c r="N24" s="320"/>
      <c r="O24" s="320"/>
      <c r="P24" s="320"/>
      <c r="Q24" s="320"/>
      <c r="R24" s="320"/>
    </row>
    <row r="25" spans="1:18" ht="15" customHeight="1">
      <c r="A25" s="321"/>
      <c r="B25" s="310" t="s">
        <v>284</v>
      </c>
      <c r="C25" s="311" t="s">
        <v>952</v>
      </c>
      <c r="D25" s="320"/>
      <c r="E25" s="669"/>
      <c r="F25" s="667"/>
      <c r="G25" s="320"/>
      <c r="H25" s="671"/>
      <c r="I25" s="690"/>
      <c r="J25" s="320"/>
      <c r="K25" s="320"/>
      <c r="L25" s="320"/>
      <c r="M25" s="320"/>
      <c r="N25" s="320"/>
      <c r="O25" s="320"/>
      <c r="P25" s="320"/>
      <c r="Q25" s="320"/>
      <c r="R25" s="320"/>
    </row>
    <row r="26" spans="1:18" ht="15" customHeight="1">
      <c r="A26" s="321"/>
      <c r="B26" s="308" t="s">
        <v>911</v>
      </c>
      <c r="C26" s="311" t="s">
        <v>953</v>
      </c>
      <c r="D26" s="320"/>
      <c r="E26" s="668" t="s">
        <v>663</v>
      </c>
      <c r="F26" s="667" t="s">
        <v>1139</v>
      </c>
      <c r="G26" s="320"/>
      <c r="H26" s="671"/>
      <c r="I26" s="690"/>
      <c r="J26" s="320"/>
      <c r="K26" s="320"/>
      <c r="L26" s="320"/>
      <c r="M26" s="320"/>
      <c r="N26" s="320"/>
      <c r="O26" s="320"/>
      <c r="P26" s="320"/>
      <c r="Q26" s="320"/>
      <c r="R26" s="320"/>
    </row>
    <row r="27" spans="1:18" ht="15" customHeight="1">
      <c r="A27" s="321"/>
      <c r="B27" s="312" t="s">
        <v>281</v>
      </c>
      <c r="C27" s="311" t="s">
        <v>948</v>
      </c>
      <c r="D27" s="320"/>
      <c r="E27" s="669"/>
      <c r="F27" s="667"/>
      <c r="G27" s="320"/>
      <c r="H27" s="682" t="s">
        <v>1089</v>
      </c>
      <c r="I27" s="686" t="s">
        <v>1090</v>
      </c>
      <c r="J27" s="320"/>
      <c r="K27" s="320"/>
      <c r="L27" s="320"/>
      <c r="M27" s="320"/>
      <c r="N27" s="320"/>
      <c r="O27" s="320"/>
      <c r="P27" s="320"/>
      <c r="Q27" s="320"/>
      <c r="R27" s="320"/>
    </row>
    <row r="28" spans="1:18" ht="15" customHeight="1">
      <c r="A28" s="321"/>
      <c r="B28" s="312" t="s">
        <v>283</v>
      </c>
      <c r="C28" s="311" t="s">
        <v>950</v>
      </c>
      <c r="D28" s="320"/>
      <c r="E28" s="668" t="s">
        <v>671</v>
      </c>
      <c r="F28" s="667" t="s">
        <v>1132</v>
      </c>
      <c r="G28" s="320"/>
      <c r="H28" s="683"/>
      <c r="I28" s="687"/>
      <c r="J28" s="320"/>
      <c r="K28" s="320"/>
      <c r="L28" s="320"/>
      <c r="M28" s="320"/>
      <c r="N28" s="320"/>
      <c r="O28" s="320"/>
      <c r="P28" s="320"/>
      <c r="Q28" s="320"/>
      <c r="R28" s="320"/>
    </row>
    <row r="29" spans="1:18" ht="15" customHeight="1">
      <c r="A29" s="325"/>
      <c r="B29" s="314" t="s">
        <v>279</v>
      </c>
      <c r="C29" s="315" t="s">
        <v>946</v>
      </c>
      <c r="D29" s="320"/>
      <c r="E29" s="671"/>
      <c r="F29" s="667"/>
      <c r="G29" s="320"/>
      <c r="H29" s="683"/>
      <c r="I29" s="687"/>
      <c r="J29" s="320"/>
      <c r="K29" s="320"/>
      <c r="L29" s="320"/>
      <c r="M29" s="320"/>
      <c r="N29" s="320"/>
      <c r="O29" s="320"/>
      <c r="P29" s="320"/>
      <c r="Q29" s="320"/>
      <c r="R29" s="320"/>
    </row>
    <row r="30" spans="1:18" ht="15" customHeight="1">
      <c r="A30" s="320"/>
      <c r="B30" s="322"/>
      <c r="C30" s="320"/>
      <c r="D30" s="320"/>
      <c r="E30" s="671"/>
      <c r="F30" s="667"/>
      <c r="G30" s="320"/>
      <c r="H30" s="689"/>
      <c r="I30" s="688"/>
      <c r="J30" s="320"/>
      <c r="K30" s="320"/>
      <c r="L30" s="320"/>
      <c r="M30" s="320"/>
      <c r="N30" s="320"/>
      <c r="O30" s="320"/>
      <c r="P30" s="320"/>
      <c r="Q30" s="320"/>
      <c r="R30" s="320"/>
    </row>
    <row r="31" spans="1:18" ht="15" customHeight="1">
      <c r="A31" s="320"/>
      <c r="B31" s="323"/>
      <c r="C31" s="320"/>
      <c r="D31" s="320"/>
      <c r="E31" s="671"/>
      <c r="F31" s="667"/>
      <c r="G31" s="320"/>
      <c r="H31" s="320"/>
      <c r="I31" s="320"/>
      <c r="J31" s="320"/>
      <c r="K31" s="320"/>
      <c r="L31" s="320"/>
      <c r="M31" s="320"/>
      <c r="N31" s="320"/>
      <c r="O31" s="320"/>
      <c r="P31" s="320"/>
      <c r="Q31" s="320"/>
      <c r="R31" s="320"/>
    </row>
    <row r="32" spans="1:18" ht="15" customHeight="1">
      <c r="A32" s="320"/>
      <c r="B32" s="323"/>
      <c r="C32" s="320"/>
      <c r="D32" s="320"/>
      <c r="E32" s="669"/>
      <c r="F32" s="670"/>
      <c r="G32" s="320"/>
      <c r="H32" s="320"/>
      <c r="I32" s="320"/>
      <c r="J32" s="320"/>
      <c r="K32" s="320"/>
      <c r="L32" s="320"/>
      <c r="M32" s="320"/>
      <c r="N32" s="320"/>
      <c r="O32" s="320"/>
      <c r="P32" s="320"/>
      <c r="Q32" s="320"/>
      <c r="R32" s="320"/>
    </row>
    <row r="33" spans="1:18" ht="15" customHeight="1">
      <c r="A33" s="320"/>
      <c r="B33" s="323"/>
      <c r="C33" s="320"/>
      <c r="D33" s="320"/>
      <c r="E33" s="668" t="s">
        <v>670</v>
      </c>
      <c r="F33" s="666" t="s">
        <v>1140</v>
      </c>
      <c r="G33" s="320"/>
      <c r="H33" s="320"/>
      <c r="I33" s="320"/>
      <c r="J33" s="320"/>
      <c r="K33" s="320"/>
      <c r="L33" s="320"/>
      <c r="M33" s="320"/>
      <c r="N33" s="320"/>
      <c r="O33" s="320"/>
      <c r="P33" s="320"/>
      <c r="Q33" s="320"/>
      <c r="R33" s="320"/>
    </row>
    <row r="34" spans="1:18" ht="15" customHeight="1">
      <c r="A34" s="320"/>
      <c r="B34" s="323"/>
      <c r="C34" s="320"/>
      <c r="D34" s="320"/>
      <c r="E34" s="671"/>
      <c r="F34" s="667"/>
      <c r="G34" s="320"/>
      <c r="H34" s="320"/>
      <c r="I34" s="320"/>
      <c r="J34" s="320"/>
      <c r="K34" s="320"/>
      <c r="L34" s="320"/>
      <c r="M34" s="320"/>
      <c r="N34" s="320"/>
      <c r="O34" s="320"/>
      <c r="P34" s="320"/>
      <c r="Q34" s="320"/>
      <c r="R34" s="320"/>
    </row>
    <row r="35" spans="1:18" ht="15" customHeight="1">
      <c r="A35" s="320"/>
      <c r="B35" s="323"/>
      <c r="C35" s="320"/>
      <c r="D35" s="320"/>
      <c r="E35" s="669"/>
      <c r="F35" s="667"/>
      <c r="G35" s="320"/>
      <c r="H35" s="320"/>
      <c r="I35" s="320"/>
      <c r="J35" s="320"/>
      <c r="K35" s="320"/>
      <c r="L35" s="320"/>
      <c r="M35" s="320"/>
      <c r="N35" s="320"/>
      <c r="O35" s="320"/>
      <c r="P35" s="320"/>
      <c r="Q35" s="320"/>
      <c r="R35" s="320"/>
    </row>
    <row r="36" spans="1:18" ht="15" customHeight="1">
      <c r="A36" s="320"/>
      <c r="B36" s="323"/>
      <c r="C36" s="320"/>
      <c r="D36" s="320"/>
      <c r="E36" s="668" t="s">
        <v>668</v>
      </c>
      <c r="F36" s="679" t="s">
        <v>1141</v>
      </c>
      <c r="G36" s="320"/>
      <c r="H36" s="320"/>
      <c r="I36" s="320"/>
      <c r="J36" s="320"/>
      <c r="K36" s="320"/>
      <c r="L36" s="320"/>
      <c r="M36" s="320"/>
      <c r="N36" s="320"/>
      <c r="O36" s="320"/>
      <c r="P36" s="320"/>
      <c r="Q36" s="320"/>
      <c r="R36" s="320"/>
    </row>
    <row r="37" spans="1:18" ht="15" customHeight="1">
      <c r="A37" s="320"/>
      <c r="B37" s="323"/>
      <c r="C37" s="320"/>
      <c r="D37" s="320"/>
      <c r="E37" s="671"/>
      <c r="F37" s="679"/>
      <c r="G37" s="320"/>
      <c r="H37" s="320"/>
      <c r="I37" s="320"/>
      <c r="J37" s="320"/>
      <c r="K37" s="320"/>
      <c r="L37" s="320"/>
      <c r="M37" s="320"/>
      <c r="N37" s="320"/>
      <c r="O37" s="320"/>
      <c r="P37" s="320"/>
      <c r="Q37" s="320"/>
      <c r="R37" s="320"/>
    </row>
    <row r="38" spans="1:18" ht="15" customHeight="1">
      <c r="A38" s="320"/>
      <c r="B38" s="323"/>
      <c r="C38" s="320"/>
      <c r="D38" s="320"/>
      <c r="E38" s="669"/>
      <c r="F38" s="679"/>
      <c r="G38" s="320"/>
      <c r="H38" s="320"/>
      <c r="I38" s="320"/>
      <c r="J38" s="320"/>
      <c r="K38" s="320"/>
      <c r="L38" s="320"/>
      <c r="M38" s="320"/>
      <c r="N38" s="320"/>
      <c r="O38" s="320"/>
      <c r="P38" s="320"/>
      <c r="Q38" s="320"/>
      <c r="R38" s="320"/>
    </row>
    <row r="39" spans="1:18" ht="15" customHeight="1">
      <c r="A39" s="320"/>
      <c r="B39" s="323"/>
      <c r="C39" s="320"/>
      <c r="D39" s="320"/>
      <c r="E39" s="668" t="s">
        <v>669</v>
      </c>
      <c r="F39" s="667" t="s">
        <v>1142</v>
      </c>
      <c r="G39" s="320"/>
      <c r="H39" s="320"/>
      <c r="I39" s="320"/>
      <c r="J39" s="320"/>
      <c r="K39" s="320"/>
      <c r="L39" s="320"/>
      <c r="M39" s="320"/>
      <c r="N39" s="320"/>
      <c r="O39" s="320"/>
      <c r="P39" s="320"/>
      <c r="Q39" s="320"/>
      <c r="R39" s="320"/>
    </row>
    <row r="40" spans="1:18" ht="15" customHeight="1">
      <c r="A40" s="320"/>
      <c r="B40" s="323"/>
      <c r="C40" s="320"/>
      <c r="D40" s="320"/>
      <c r="E40" s="671"/>
      <c r="F40" s="667"/>
      <c r="G40" s="320"/>
      <c r="H40" s="320"/>
      <c r="I40" s="320"/>
      <c r="J40" s="320"/>
      <c r="K40" s="320"/>
      <c r="L40" s="320"/>
      <c r="M40" s="320"/>
      <c r="N40" s="320"/>
      <c r="O40" s="320"/>
      <c r="P40" s="320"/>
      <c r="Q40" s="320"/>
      <c r="R40" s="320"/>
    </row>
    <row r="41" spans="1:18" ht="15" customHeight="1">
      <c r="A41" s="320"/>
      <c r="B41" s="323"/>
      <c r="C41" s="320"/>
      <c r="D41" s="320"/>
      <c r="E41" s="669"/>
      <c r="F41" s="670"/>
      <c r="G41" s="320"/>
      <c r="H41" s="320"/>
      <c r="I41" s="320"/>
      <c r="J41" s="320"/>
      <c r="K41" s="320"/>
      <c r="L41" s="320"/>
      <c r="M41" s="320"/>
      <c r="N41" s="320"/>
      <c r="O41" s="320"/>
      <c r="P41" s="320"/>
      <c r="Q41" s="320"/>
      <c r="R41" s="320"/>
    </row>
    <row r="42" spans="1:18" ht="15" customHeight="1">
      <c r="A42" s="320"/>
      <c r="B42" s="323"/>
      <c r="C42" s="320"/>
      <c r="D42" s="320"/>
      <c r="E42" s="668" t="s">
        <v>656</v>
      </c>
      <c r="F42" s="666" t="s">
        <v>1143</v>
      </c>
      <c r="G42" s="320"/>
      <c r="H42" s="320"/>
      <c r="I42" s="320"/>
      <c r="J42" s="320"/>
      <c r="K42" s="320"/>
      <c r="L42" s="320"/>
      <c r="M42" s="320"/>
      <c r="N42" s="320"/>
      <c r="O42" s="320"/>
      <c r="P42" s="320"/>
      <c r="Q42" s="320"/>
      <c r="R42" s="320"/>
    </row>
    <row r="43" spans="1:18" ht="15" customHeight="1">
      <c r="A43" s="320"/>
      <c r="B43" s="323"/>
      <c r="C43" s="320"/>
      <c r="D43" s="320"/>
      <c r="E43" s="671"/>
      <c r="F43" s="667"/>
      <c r="G43" s="320"/>
      <c r="H43" s="320"/>
      <c r="I43" s="320"/>
      <c r="J43" s="320"/>
      <c r="K43" s="320"/>
      <c r="L43" s="320"/>
      <c r="M43" s="320"/>
      <c r="N43" s="320"/>
      <c r="O43" s="320"/>
      <c r="P43" s="320"/>
      <c r="Q43" s="320"/>
      <c r="R43" s="320"/>
    </row>
    <row r="44" spans="1:18" ht="15" customHeight="1">
      <c r="A44" s="320"/>
      <c r="B44" s="323"/>
      <c r="C44" s="320"/>
      <c r="D44" s="320"/>
      <c r="E44" s="669"/>
      <c r="F44" s="667"/>
      <c r="G44" s="320"/>
      <c r="H44" s="320"/>
      <c r="I44" s="320"/>
      <c r="J44" s="320"/>
      <c r="K44" s="320"/>
      <c r="L44" s="320"/>
      <c r="M44" s="320"/>
      <c r="N44" s="320"/>
      <c r="O44" s="320"/>
      <c r="P44" s="320"/>
      <c r="Q44" s="320"/>
      <c r="R44" s="320"/>
    </row>
    <row r="45" spans="1:18" ht="15" customHeight="1">
      <c r="A45" s="320"/>
      <c r="B45" s="323"/>
      <c r="C45" s="320"/>
      <c r="D45" s="320"/>
      <c r="E45" s="668" t="s">
        <v>657</v>
      </c>
      <c r="F45" s="667" t="s">
        <v>1144</v>
      </c>
      <c r="G45" s="320"/>
      <c r="H45" s="320"/>
      <c r="I45" s="320"/>
      <c r="J45" s="320"/>
      <c r="K45" s="320"/>
      <c r="L45" s="320"/>
      <c r="M45" s="320"/>
      <c r="N45" s="320"/>
      <c r="O45" s="320"/>
      <c r="P45" s="320"/>
      <c r="Q45" s="320"/>
      <c r="R45" s="320"/>
    </row>
    <row r="46" spans="1:18" ht="15" customHeight="1">
      <c r="A46" s="320"/>
      <c r="B46" s="323"/>
      <c r="C46" s="320"/>
      <c r="D46" s="320"/>
      <c r="E46" s="671"/>
      <c r="F46" s="667"/>
      <c r="G46" s="320"/>
      <c r="H46" s="320"/>
      <c r="I46" s="320"/>
      <c r="J46" s="320"/>
      <c r="K46" s="320"/>
      <c r="L46" s="320"/>
      <c r="M46" s="320"/>
      <c r="N46" s="320"/>
      <c r="O46" s="320"/>
      <c r="P46" s="320"/>
      <c r="Q46" s="320"/>
      <c r="R46" s="320"/>
    </row>
    <row r="47" spans="1:18" ht="15" customHeight="1">
      <c r="A47" s="320"/>
      <c r="B47" s="323"/>
      <c r="C47" s="320"/>
      <c r="D47" s="320"/>
      <c r="E47" s="669"/>
      <c r="F47" s="667"/>
      <c r="G47" s="320"/>
      <c r="H47" s="320"/>
      <c r="I47" s="320"/>
      <c r="J47" s="320"/>
      <c r="K47" s="320"/>
      <c r="L47" s="320"/>
      <c r="M47" s="320"/>
      <c r="N47" s="320"/>
      <c r="O47" s="320"/>
      <c r="P47" s="320"/>
      <c r="Q47" s="320"/>
      <c r="R47" s="320"/>
    </row>
    <row r="48" spans="1:18" ht="15" customHeight="1">
      <c r="A48" s="320"/>
      <c r="B48" s="323"/>
      <c r="C48" s="320"/>
      <c r="D48" s="320"/>
      <c r="E48" s="668" t="s">
        <v>658</v>
      </c>
      <c r="F48" s="667" t="s">
        <v>1145</v>
      </c>
      <c r="G48" s="320"/>
      <c r="H48" s="320"/>
      <c r="I48" s="320"/>
      <c r="J48" s="320"/>
      <c r="K48" s="320"/>
      <c r="L48" s="320"/>
      <c r="M48" s="320"/>
      <c r="N48" s="320"/>
      <c r="O48" s="320"/>
      <c r="P48" s="320"/>
      <c r="Q48" s="320"/>
      <c r="R48" s="320"/>
    </row>
    <row r="49" spans="1:18" ht="15" customHeight="1">
      <c r="A49" s="320"/>
      <c r="B49" s="323"/>
      <c r="C49" s="320"/>
      <c r="D49" s="320"/>
      <c r="E49" s="671"/>
      <c r="F49" s="667"/>
      <c r="G49" s="320"/>
      <c r="H49" s="320"/>
      <c r="I49" s="320"/>
      <c r="J49" s="320"/>
      <c r="K49" s="320"/>
      <c r="L49" s="320"/>
      <c r="M49" s="320"/>
      <c r="N49" s="320"/>
      <c r="O49" s="320"/>
      <c r="P49" s="320"/>
      <c r="Q49" s="320"/>
      <c r="R49" s="320"/>
    </row>
    <row r="50" spans="1:18" ht="15" customHeight="1">
      <c r="A50" s="320"/>
      <c r="B50" s="323"/>
      <c r="C50" s="320"/>
      <c r="D50" s="320"/>
      <c r="E50" s="669"/>
      <c r="F50" s="670"/>
      <c r="G50" s="320"/>
      <c r="H50" s="320"/>
      <c r="I50" s="320"/>
      <c r="J50" s="320"/>
      <c r="K50" s="320"/>
      <c r="L50" s="320"/>
      <c r="M50" s="320"/>
      <c r="N50" s="320"/>
      <c r="O50" s="320"/>
      <c r="P50" s="320"/>
      <c r="Q50" s="320"/>
      <c r="R50" s="320"/>
    </row>
    <row r="51" spans="1:18" ht="15" customHeight="1">
      <c r="A51" s="320"/>
      <c r="B51" s="323"/>
      <c r="C51" s="320"/>
      <c r="D51" s="320"/>
      <c r="E51" s="668" t="s">
        <v>664</v>
      </c>
      <c r="F51" s="666" t="s">
        <v>1146</v>
      </c>
      <c r="G51" s="320"/>
      <c r="H51" s="320"/>
      <c r="I51" s="320"/>
      <c r="J51" s="320"/>
      <c r="K51" s="320"/>
      <c r="L51" s="320"/>
      <c r="M51" s="320"/>
      <c r="N51" s="320"/>
      <c r="O51" s="320"/>
      <c r="P51" s="320"/>
      <c r="Q51" s="320"/>
      <c r="R51" s="320"/>
    </row>
    <row r="52" spans="1:18" ht="15" customHeight="1">
      <c r="A52" s="320"/>
      <c r="B52" s="323"/>
      <c r="C52" s="320"/>
      <c r="D52" s="320"/>
      <c r="E52" s="669"/>
      <c r="F52" s="667"/>
      <c r="G52" s="320"/>
      <c r="H52" s="320"/>
      <c r="I52" s="320"/>
      <c r="J52" s="320"/>
      <c r="K52" s="320"/>
      <c r="L52" s="320"/>
      <c r="M52" s="320"/>
      <c r="N52" s="320"/>
      <c r="O52" s="320"/>
      <c r="P52" s="320"/>
      <c r="Q52" s="320"/>
      <c r="R52" s="320"/>
    </row>
    <row r="53" spans="1:18" ht="15" customHeight="1">
      <c r="A53" s="320"/>
      <c r="B53" s="323"/>
      <c r="C53" s="320"/>
      <c r="D53" s="320"/>
      <c r="E53" s="677" t="s">
        <v>665</v>
      </c>
      <c r="F53" s="667" t="s">
        <v>1147</v>
      </c>
      <c r="G53" s="320"/>
      <c r="H53" s="320"/>
      <c r="I53" s="320"/>
      <c r="J53" s="320"/>
      <c r="K53" s="320"/>
      <c r="L53" s="320"/>
      <c r="M53" s="320"/>
      <c r="N53" s="320"/>
      <c r="O53" s="320"/>
      <c r="P53" s="320"/>
      <c r="Q53" s="320"/>
      <c r="R53" s="320"/>
    </row>
    <row r="54" spans="1:18" ht="15" customHeight="1">
      <c r="A54" s="320"/>
      <c r="B54" s="323"/>
      <c r="C54" s="320"/>
      <c r="D54" s="320"/>
      <c r="E54" s="678"/>
      <c r="F54" s="667"/>
      <c r="G54" s="320"/>
      <c r="H54" s="320"/>
      <c r="I54" s="320"/>
      <c r="J54" s="320"/>
      <c r="K54" s="320"/>
      <c r="L54" s="320"/>
      <c r="M54" s="320"/>
      <c r="N54" s="320"/>
      <c r="O54" s="320"/>
      <c r="P54" s="320"/>
      <c r="Q54" s="320"/>
      <c r="R54" s="320"/>
    </row>
    <row r="55" spans="1:18" ht="15" customHeight="1">
      <c r="A55" s="320"/>
      <c r="B55" s="323"/>
      <c r="C55" s="320"/>
      <c r="D55" s="320"/>
      <c r="E55" s="668" t="s">
        <v>666</v>
      </c>
      <c r="F55" s="667" t="s">
        <v>1148</v>
      </c>
      <c r="G55" s="320"/>
      <c r="H55" s="320"/>
      <c r="I55" s="320"/>
      <c r="J55" s="320"/>
      <c r="K55" s="320"/>
      <c r="L55" s="320"/>
      <c r="M55" s="320"/>
      <c r="N55" s="320"/>
      <c r="O55" s="320"/>
      <c r="P55" s="320"/>
      <c r="Q55" s="320"/>
      <c r="R55" s="320"/>
    </row>
    <row r="56" spans="1:18" ht="15" customHeight="1">
      <c r="A56" s="320"/>
      <c r="B56" s="323"/>
      <c r="C56" s="320"/>
      <c r="D56" s="320"/>
      <c r="E56" s="669"/>
      <c r="F56" s="667"/>
      <c r="G56" s="320"/>
      <c r="H56" s="320"/>
      <c r="I56" s="320"/>
      <c r="J56" s="320"/>
      <c r="K56" s="320"/>
      <c r="L56" s="320"/>
      <c r="M56" s="320"/>
      <c r="N56" s="320"/>
      <c r="O56" s="320"/>
      <c r="P56" s="320"/>
      <c r="Q56" s="320"/>
      <c r="R56" s="320"/>
    </row>
    <row r="57" spans="1:18" ht="15" customHeight="1">
      <c r="A57" s="320"/>
      <c r="B57" s="323"/>
      <c r="C57" s="320"/>
      <c r="D57" s="320"/>
      <c r="E57" s="668" t="s">
        <v>667</v>
      </c>
      <c r="F57" s="667" t="s">
        <v>1149</v>
      </c>
      <c r="G57" s="320"/>
      <c r="H57" s="320"/>
      <c r="I57" s="320"/>
      <c r="J57" s="320"/>
      <c r="K57" s="320"/>
      <c r="L57" s="320"/>
      <c r="M57" s="320"/>
      <c r="N57" s="320"/>
      <c r="O57" s="320"/>
      <c r="P57" s="320"/>
      <c r="Q57" s="320"/>
      <c r="R57" s="320"/>
    </row>
    <row r="58" spans="1:18" ht="15" customHeight="1">
      <c r="A58" s="320"/>
      <c r="B58" s="323"/>
      <c r="C58" s="320"/>
      <c r="D58" s="320"/>
      <c r="E58" s="671"/>
      <c r="F58" s="667"/>
      <c r="G58" s="320"/>
      <c r="H58" s="320"/>
      <c r="I58" s="320"/>
      <c r="J58" s="320"/>
      <c r="K58" s="320"/>
      <c r="L58" s="320"/>
      <c r="M58" s="320"/>
      <c r="N58" s="320"/>
      <c r="O58" s="320"/>
      <c r="P58" s="320"/>
      <c r="Q58" s="320"/>
      <c r="R58" s="320"/>
    </row>
    <row r="59" spans="1:18" ht="15" customHeight="1">
      <c r="A59" s="320"/>
      <c r="B59" s="323"/>
      <c r="C59" s="320"/>
      <c r="D59" s="320"/>
      <c r="E59" s="669"/>
      <c r="F59" s="667"/>
      <c r="G59" s="320"/>
      <c r="H59" s="320"/>
      <c r="I59" s="320"/>
      <c r="J59" s="320"/>
      <c r="K59" s="320"/>
      <c r="L59" s="320"/>
      <c r="M59" s="320"/>
      <c r="N59" s="320"/>
      <c r="O59" s="320"/>
      <c r="P59" s="320"/>
      <c r="Q59" s="320"/>
      <c r="R59" s="320"/>
    </row>
    <row r="60" spans="1:18" ht="15" customHeight="1">
      <c r="A60" s="320"/>
      <c r="B60" s="323"/>
      <c r="C60" s="320"/>
      <c r="D60" s="320"/>
      <c r="E60" s="668" t="s">
        <v>1060</v>
      </c>
      <c r="F60" s="667" t="s">
        <v>1061</v>
      </c>
      <c r="G60" s="320"/>
      <c r="H60" s="320"/>
      <c r="I60" s="320"/>
      <c r="J60" s="320"/>
      <c r="K60" s="320"/>
      <c r="L60" s="320"/>
      <c r="M60" s="320"/>
      <c r="N60" s="320"/>
      <c r="O60" s="320"/>
      <c r="P60" s="320"/>
      <c r="Q60" s="320"/>
      <c r="R60" s="320"/>
    </row>
    <row r="61" spans="1:18" ht="15" customHeight="1">
      <c r="A61" s="320"/>
      <c r="B61" s="323"/>
      <c r="C61" s="320"/>
      <c r="D61" s="320"/>
      <c r="E61" s="671"/>
      <c r="F61" s="667"/>
      <c r="G61" s="320"/>
      <c r="H61" s="320"/>
      <c r="I61" s="320"/>
      <c r="J61" s="320"/>
      <c r="K61" s="320"/>
      <c r="L61" s="320"/>
      <c r="M61" s="320"/>
      <c r="N61" s="320"/>
      <c r="O61" s="320"/>
      <c r="P61" s="320"/>
      <c r="Q61" s="320"/>
      <c r="R61" s="320"/>
    </row>
    <row r="62" spans="1:18" ht="15" customHeight="1">
      <c r="A62" s="320"/>
      <c r="B62" s="323"/>
      <c r="C62" s="320"/>
      <c r="D62" s="320"/>
      <c r="E62" s="671"/>
      <c r="F62" s="667"/>
      <c r="G62" s="320"/>
      <c r="H62" s="320"/>
      <c r="I62" s="320"/>
      <c r="J62" s="320"/>
      <c r="K62" s="320"/>
      <c r="L62" s="320"/>
      <c r="M62" s="320"/>
      <c r="N62" s="320"/>
      <c r="O62" s="320"/>
      <c r="P62" s="320"/>
      <c r="Q62" s="320"/>
      <c r="R62" s="320"/>
    </row>
    <row r="63" spans="1:18" ht="15" customHeight="1">
      <c r="A63" s="320"/>
      <c r="B63" s="323"/>
      <c r="C63" s="320"/>
      <c r="D63" s="320"/>
      <c r="E63" s="671"/>
      <c r="F63" s="667"/>
      <c r="G63" s="320"/>
      <c r="H63" s="320"/>
      <c r="I63" s="320"/>
      <c r="J63" s="320"/>
      <c r="K63" s="320"/>
      <c r="L63" s="320"/>
      <c r="M63" s="320"/>
      <c r="N63" s="320"/>
      <c r="O63" s="320"/>
      <c r="P63" s="320"/>
      <c r="Q63" s="320"/>
      <c r="R63" s="320"/>
    </row>
    <row r="64" spans="1:18" ht="15" customHeight="1">
      <c r="A64" s="320"/>
      <c r="B64" s="323"/>
      <c r="C64" s="320"/>
      <c r="D64" s="320"/>
      <c r="E64" s="676"/>
      <c r="F64" s="675"/>
      <c r="G64" s="320"/>
      <c r="H64" s="320"/>
      <c r="I64" s="320"/>
      <c r="J64" s="320"/>
      <c r="K64" s="320"/>
      <c r="L64" s="320"/>
      <c r="M64" s="320"/>
      <c r="N64" s="320"/>
      <c r="O64" s="320"/>
      <c r="P64" s="320"/>
      <c r="Q64" s="320"/>
      <c r="R64" s="320"/>
    </row>
    <row r="65" spans="1:18" ht="15" customHeight="1">
      <c r="A65" s="320"/>
      <c r="B65" s="323"/>
      <c r="C65" s="320"/>
      <c r="D65" s="320"/>
      <c r="E65" s="320"/>
      <c r="F65" s="320"/>
      <c r="G65" s="320"/>
      <c r="H65" s="320"/>
      <c r="I65" s="320"/>
      <c r="J65" s="320"/>
      <c r="K65" s="320"/>
      <c r="L65" s="320"/>
      <c r="M65" s="320"/>
      <c r="N65" s="320"/>
      <c r="O65" s="320"/>
      <c r="P65" s="320"/>
      <c r="Q65" s="320"/>
      <c r="R65" s="320"/>
    </row>
    <row r="66" spans="1:18" ht="15" customHeight="1">
      <c r="A66" s="320"/>
      <c r="B66" s="323"/>
      <c r="C66" s="320"/>
      <c r="D66" s="320"/>
      <c r="E66" s="320"/>
      <c r="F66" s="320"/>
      <c r="G66" s="320"/>
      <c r="H66" s="320"/>
      <c r="I66" s="320"/>
      <c r="J66" s="320"/>
      <c r="K66" s="320"/>
      <c r="L66" s="320"/>
      <c r="M66" s="320"/>
      <c r="N66" s="320"/>
      <c r="O66" s="320"/>
      <c r="P66" s="320"/>
      <c r="Q66" s="320"/>
      <c r="R66" s="320"/>
    </row>
    <row r="67" spans="1:18" ht="15" customHeight="1">
      <c r="A67" s="320"/>
      <c r="B67" s="323"/>
      <c r="C67" s="320"/>
      <c r="D67" s="320"/>
      <c r="E67" s="320"/>
      <c r="F67" s="320"/>
      <c r="G67" s="320"/>
      <c r="H67" s="320"/>
      <c r="I67" s="320"/>
      <c r="J67" s="320"/>
      <c r="K67" s="320"/>
      <c r="L67" s="320"/>
      <c r="M67" s="320"/>
      <c r="N67" s="320"/>
      <c r="O67" s="320"/>
      <c r="P67" s="320"/>
      <c r="Q67" s="320"/>
      <c r="R67" s="320"/>
    </row>
    <row r="68" spans="1:18" ht="15" customHeight="1">
      <c r="A68" s="320"/>
      <c r="B68" s="323"/>
      <c r="C68" s="320"/>
      <c r="D68" s="320"/>
      <c r="E68" s="320"/>
      <c r="F68" s="320"/>
      <c r="G68" s="320"/>
      <c r="H68" s="320"/>
      <c r="I68" s="320"/>
      <c r="J68" s="320"/>
      <c r="K68" s="320"/>
      <c r="L68" s="320"/>
      <c r="M68" s="320"/>
      <c r="N68" s="320"/>
      <c r="O68" s="320"/>
      <c r="P68" s="320"/>
      <c r="Q68" s="320"/>
      <c r="R68" s="320"/>
    </row>
    <row r="69" spans="1:18" ht="15" customHeight="1">
      <c r="A69" s="320"/>
      <c r="B69" s="323"/>
      <c r="C69" s="320"/>
      <c r="D69" s="320"/>
      <c r="E69" s="320"/>
      <c r="F69" s="320"/>
      <c r="G69" s="320"/>
      <c r="H69" s="320"/>
      <c r="I69" s="320"/>
      <c r="J69" s="320"/>
      <c r="K69" s="320"/>
      <c r="L69" s="320"/>
      <c r="M69" s="320"/>
      <c r="N69" s="320"/>
      <c r="O69" s="320"/>
      <c r="P69" s="320"/>
      <c r="Q69" s="320"/>
      <c r="R69" s="320"/>
    </row>
    <row r="70" spans="1:18" ht="15" customHeight="1">
      <c r="A70" s="320"/>
      <c r="B70" s="323"/>
      <c r="C70" s="320"/>
      <c r="D70" s="320"/>
      <c r="E70" s="320"/>
      <c r="F70" s="320"/>
      <c r="G70" s="320"/>
      <c r="H70" s="320"/>
      <c r="I70" s="320"/>
      <c r="J70" s="320"/>
      <c r="K70" s="320"/>
      <c r="L70" s="320"/>
      <c r="M70" s="320"/>
      <c r="N70" s="320"/>
      <c r="O70" s="320"/>
      <c r="P70" s="320"/>
      <c r="Q70" s="320"/>
      <c r="R70" s="320"/>
    </row>
    <row r="71" spans="1:18" ht="15" customHeight="1">
      <c r="A71" s="320"/>
      <c r="B71" s="323"/>
      <c r="C71" s="320"/>
      <c r="D71" s="320"/>
      <c r="E71" s="320"/>
      <c r="F71" s="320"/>
      <c r="G71" s="320"/>
      <c r="H71" s="320"/>
      <c r="I71" s="320"/>
      <c r="J71" s="320"/>
      <c r="K71" s="320"/>
      <c r="L71" s="320"/>
      <c r="M71" s="320"/>
      <c r="N71" s="320"/>
      <c r="O71" s="320"/>
      <c r="P71" s="320"/>
      <c r="Q71" s="320"/>
      <c r="R71" s="320"/>
    </row>
    <row r="72" spans="1:18" ht="15" customHeight="1">
      <c r="A72" s="320"/>
      <c r="B72" s="323"/>
      <c r="C72" s="320"/>
      <c r="D72" s="320"/>
      <c r="E72" s="320"/>
      <c r="F72" s="320"/>
      <c r="G72" s="320"/>
      <c r="H72" s="320"/>
      <c r="I72" s="320"/>
      <c r="J72" s="320"/>
      <c r="K72" s="320"/>
      <c r="L72" s="320"/>
      <c r="M72" s="320"/>
      <c r="N72" s="320"/>
      <c r="O72" s="320"/>
      <c r="P72" s="320"/>
      <c r="Q72" s="320"/>
      <c r="R72" s="320"/>
    </row>
  </sheetData>
  <mergeCells count="61">
    <mergeCell ref="E2:F2"/>
    <mergeCell ref="I27:I30"/>
    <mergeCell ref="H27:H30"/>
    <mergeCell ref="I13:I15"/>
    <mergeCell ref="H13:H15"/>
    <mergeCell ref="H10:H12"/>
    <mergeCell ref="F26:F27"/>
    <mergeCell ref="E26:E27"/>
    <mergeCell ref="F28:F32"/>
    <mergeCell ref="I22:I23"/>
    <mergeCell ref="I24:I26"/>
    <mergeCell ref="H18:H26"/>
    <mergeCell ref="I16:I17"/>
    <mergeCell ref="H16:H17"/>
    <mergeCell ref="I18:I20"/>
    <mergeCell ref="I4:I6"/>
    <mergeCell ref="C13:C14"/>
    <mergeCell ref="B13:B14"/>
    <mergeCell ref="F4:F5"/>
    <mergeCell ref="E4:E5"/>
    <mergeCell ref="F12:F14"/>
    <mergeCell ref="E12:E14"/>
    <mergeCell ref="E8:E11"/>
    <mergeCell ref="F8:F11"/>
    <mergeCell ref="F53:F54"/>
    <mergeCell ref="E53:E54"/>
    <mergeCell ref="F6:F7"/>
    <mergeCell ref="E6:E7"/>
    <mergeCell ref="F42:F44"/>
    <mergeCell ref="E42:E44"/>
    <mergeCell ref="F15:F17"/>
    <mergeCell ref="E15:E17"/>
    <mergeCell ref="F33:F35"/>
    <mergeCell ref="E33:E35"/>
    <mergeCell ref="F45:F47"/>
    <mergeCell ref="E45:E47"/>
    <mergeCell ref="F36:F38"/>
    <mergeCell ref="E36:E38"/>
    <mergeCell ref="F18:F20"/>
    <mergeCell ref="E18:E20"/>
    <mergeCell ref="F60:F64"/>
    <mergeCell ref="E60:E64"/>
    <mergeCell ref="F55:F56"/>
    <mergeCell ref="E55:E56"/>
    <mergeCell ref="F57:F59"/>
    <mergeCell ref="E57:E59"/>
    <mergeCell ref="H4:H6"/>
    <mergeCell ref="I7:I9"/>
    <mergeCell ref="H7:H9"/>
    <mergeCell ref="I10:I12"/>
    <mergeCell ref="E39:E41"/>
    <mergeCell ref="F51:F52"/>
    <mergeCell ref="E51:E52"/>
    <mergeCell ref="E21:E22"/>
    <mergeCell ref="F48:F50"/>
    <mergeCell ref="E48:E50"/>
    <mergeCell ref="F23:F25"/>
    <mergeCell ref="E23:E25"/>
    <mergeCell ref="F39:F41"/>
    <mergeCell ref="E28:E32"/>
    <mergeCell ref="F21:F22"/>
  </mergeCells>
  <conditionalFormatting sqref="B29">
    <cfRule type="colorScale" priority="2">
      <colorScale>
        <cfvo type="min"/>
        <cfvo type="percentile" val="50"/>
        <cfvo type="max"/>
        <color rgb="FFF8696B"/>
        <color rgb="FFFCFCFF"/>
        <color rgb="FF63BE7B"/>
      </colorScale>
    </cfRule>
  </conditionalFormatting>
  <conditionalFormatting sqref="B11">
    <cfRule type="top10" dxfId="161" priority="1" percent="1" rank="10"/>
  </conditionalFormatting>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7"/>
  <dimension ref="A1:AA641"/>
  <sheetViews>
    <sheetView workbookViewId="0">
      <pane xSplit="2" ySplit="5" topLeftCell="C19" activePane="bottomRight" state="frozen"/>
      <selection pane="topRight" activeCell="C1" sqref="C1"/>
      <selection pane="bottomLeft" activeCell="A6" sqref="A6"/>
      <selection pane="bottomRight" activeCell="E31" sqref="E31"/>
    </sheetView>
  </sheetViews>
  <sheetFormatPr defaultRowHeight="15"/>
  <cols>
    <col min="1" max="1" width="5.42578125" bestFit="1" customWidth="1"/>
    <col min="2" max="2" width="24.85546875" bestFit="1" customWidth="1"/>
    <col min="3" max="3" width="6.42578125" bestFit="1" customWidth="1"/>
    <col min="4" max="4" width="6.7109375" bestFit="1" customWidth="1"/>
    <col min="5" max="5" width="6" bestFit="1" customWidth="1"/>
    <col min="6" max="6" width="4.7109375" bestFit="1" customWidth="1"/>
    <col min="7" max="7" width="6.28515625" bestFit="1" customWidth="1"/>
    <col min="8" max="8" width="6.5703125" bestFit="1" customWidth="1"/>
    <col min="9" max="9" width="6.85546875" bestFit="1" customWidth="1"/>
    <col min="10" max="10" width="7.42578125" bestFit="1" customWidth="1"/>
    <col min="11" max="11" width="6" bestFit="1" customWidth="1"/>
    <col min="12" max="12" width="8.5703125" bestFit="1" customWidth="1"/>
    <col min="13" max="13" width="8.42578125" bestFit="1" customWidth="1"/>
    <col min="14" max="15" width="8.140625" bestFit="1" customWidth="1"/>
    <col min="16" max="16" width="7.7109375" bestFit="1" customWidth="1"/>
    <col min="17" max="17" width="8" bestFit="1" customWidth="1"/>
    <col min="18" max="18" width="8.5703125" bestFit="1" customWidth="1"/>
    <col min="19" max="19" width="8.7109375" bestFit="1" customWidth="1"/>
    <col min="20" max="20" width="7.7109375" bestFit="1" customWidth="1"/>
    <col min="21" max="21" width="7.5703125" bestFit="1" customWidth="1"/>
    <col min="22" max="22" width="6.28515625" bestFit="1" customWidth="1"/>
    <col min="23" max="23" width="9.140625" bestFit="1" customWidth="1"/>
    <col min="24" max="24" width="8.85546875" bestFit="1" customWidth="1"/>
    <col min="25" max="25" width="8.7109375" bestFit="1" customWidth="1"/>
    <col min="26" max="26" width="7.42578125" bestFit="1" customWidth="1"/>
    <col min="27" max="27" width="8.28515625" bestFit="1" customWidth="1"/>
    <col min="28" max="28" width="7.42578125" bestFit="1" customWidth="1"/>
    <col min="29" max="29" width="8.28515625" bestFit="1" customWidth="1"/>
  </cols>
  <sheetData>
    <row r="1" spans="1:27" s="123" customFormat="1"/>
    <row r="2" spans="1:27" s="123" customFormat="1"/>
    <row r="3" spans="1:27" s="123" customFormat="1"/>
    <row r="4" spans="1:27" s="123" customFormat="1"/>
    <row r="5" spans="1:27" s="123" customFormat="1">
      <c r="A5" t="s">
        <v>257</v>
      </c>
      <c r="B5" t="s">
        <v>258</v>
      </c>
      <c r="C5" t="s">
        <v>259</v>
      </c>
      <c r="D5" t="s">
        <v>255</v>
      </c>
      <c r="E5" t="s">
        <v>260</v>
      </c>
      <c r="F5" t="s">
        <v>261</v>
      </c>
      <c r="G5" t="s">
        <v>263</v>
      </c>
      <c r="H5" t="s">
        <v>652</v>
      </c>
      <c r="I5" t="s">
        <v>653</v>
      </c>
      <c r="J5" t="s">
        <v>654</v>
      </c>
      <c r="K5" t="s">
        <v>655</v>
      </c>
      <c r="L5" t="s">
        <v>656</v>
      </c>
      <c r="M5" t="s">
        <v>657</v>
      </c>
      <c r="N5" t="s">
        <v>658</v>
      </c>
      <c r="O5" t="s">
        <v>659</v>
      </c>
      <c r="P5" t="s">
        <v>660</v>
      </c>
      <c r="Q5" t="s">
        <v>661</v>
      </c>
      <c r="R5" t="s">
        <v>662</v>
      </c>
      <c r="S5" t="s">
        <v>663</v>
      </c>
      <c r="T5" t="s">
        <v>664</v>
      </c>
      <c r="U5" t="s">
        <v>665</v>
      </c>
      <c r="V5" t="s">
        <v>666</v>
      </c>
      <c r="W5" t="s">
        <v>667</v>
      </c>
      <c r="X5" t="s">
        <v>668</v>
      </c>
      <c r="Y5" t="s">
        <v>669</v>
      </c>
      <c r="Z5" t="s">
        <v>670</v>
      </c>
      <c r="AA5" t="s">
        <v>671</v>
      </c>
    </row>
    <row r="6" spans="1:27">
      <c r="A6">
        <v>1</v>
      </c>
      <c r="B6" s="1" t="s">
        <v>442</v>
      </c>
      <c r="C6" s="5" t="s">
        <v>26</v>
      </c>
      <c r="D6" s="408">
        <v>24</v>
      </c>
      <c r="E6" s="5" t="s">
        <v>58</v>
      </c>
      <c r="F6" s="408">
        <v>66</v>
      </c>
      <c r="G6" s="408">
        <v>1005</v>
      </c>
      <c r="H6" s="408">
        <v>9.1999999999999993</v>
      </c>
      <c r="I6" s="408">
        <v>0.56599999999999995</v>
      </c>
      <c r="J6" s="408">
        <v>0.745</v>
      </c>
      <c r="K6" s="408">
        <v>0.14799999999999999</v>
      </c>
      <c r="L6" s="408">
        <v>2.6</v>
      </c>
      <c r="M6" s="408">
        <v>9.1999999999999993</v>
      </c>
      <c r="N6" s="408">
        <v>5.8</v>
      </c>
      <c r="O6" s="408">
        <v>3.4</v>
      </c>
      <c r="P6" s="408">
        <v>1.8</v>
      </c>
      <c r="Q6" s="408">
        <v>0.7</v>
      </c>
      <c r="R6" s="408">
        <v>8.1999999999999993</v>
      </c>
      <c r="S6" s="408">
        <v>13.1</v>
      </c>
      <c r="T6" s="408">
        <v>1.1000000000000001</v>
      </c>
      <c r="U6" s="408">
        <v>0.9</v>
      </c>
      <c r="V6" s="408">
        <v>2</v>
      </c>
      <c r="W6" s="408">
        <v>9.4E-2</v>
      </c>
      <c r="X6" s="408">
        <v>-0.6</v>
      </c>
      <c r="Y6" s="408">
        <v>-1.6</v>
      </c>
      <c r="Z6" s="408">
        <v>-2.2999999999999998</v>
      </c>
      <c r="AA6" s="408">
        <v>-0.1</v>
      </c>
    </row>
    <row r="7" spans="1:27">
      <c r="A7">
        <v>2</v>
      </c>
      <c r="B7" s="1" t="s">
        <v>143</v>
      </c>
      <c r="C7" s="5" t="s">
        <v>38</v>
      </c>
      <c r="D7" s="408">
        <v>27</v>
      </c>
      <c r="E7" s="5" t="s">
        <v>315</v>
      </c>
      <c r="F7" s="408">
        <v>62</v>
      </c>
      <c r="G7" s="408">
        <v>1207</v>
      </c>
      <c r="H7" s="408">
        <v>7.2</v>
      </c>
      <c r="I7" s="408">
        <v>0.502</v>
      </c>
      <c r="J7" s="408">
        <v>0.79200000000000004</v>
      </c>
      <c r="K7" s="408">
        <v>0.17699999999999999</v>
      </c>
      <c r="L7" s="408">
        <v>3.2</v>
      </c>
      <c r="M7" s="408">
        <v>17.5</v>
      </c>
      <c r="N7" s="408">
        <v>10.3</v>
      </c>
      <c r="O7" s="408">
        <v>5.9</v>
      </c>
      <c r="P7" s="408">
        <v>1.2</v>
      </c>
      <c r="Q7" s="408">
        <v>1.4</v>
      </c>
      <c r="R7" s="408">
        <v>14.3</v>
      </c>
      <c r="S7" s="408">
        <v>14.3</v>
      </c>
      <c r="T7" s="408">
        <v>-0.4</v>
      </c>
      <c r="U7" s="408">
        <v>1</v>
      </c>
      <c r="V7" s="408">
        <v>0.5</v>
      </c>
      <c r="W7" s="408">
        <v>2.1999999999999999E-2</v>
      </c>
      <c r="X7" s="408">
        <v>-2.6</v>
      </c>
      <c r="Y7" s="408">
        <v>-0.2</v>
      </c>
      <c r="Z7" s="408">
        <v>-2.8</v>
      </c>
      <c r="AA7" s="408">
        <v>-0.2</v>
      </c>
    </row>
    <row r="8" spans="1:27">
      <c r="A8">
        <v>3</v>
      </c>
      <c r="B8" s="1" t="s">
        <v>589</v>
      </c>
      <c r="C8" s="5" t="s">
        <v>83</v>
      </c>
      <c r="D8" s="408">
        <v>24</v>
      </c>
      <c r="E8" s="5" t="s">
        <v>58</v>
      </c>
      <c r="F8" s="408">
        <v>66</v>
      </c>
      <c r="G8" s="408">
        <v>2145</v>
      </c>
      <c r="H8" s="408">
        <v>21.2</v>
      </c>
      <c r="I8" s="408">
        <v>0.63600000000000001</v>
      </c>
      <c r="J8" s="408">
        <v>3.0000000000000001E-3</v>
      </c>
      <c r="K8" s="408">
        <v>0.378</v>
      </c>
      <c r="L8" s="408">
        <v>16.899999999999999</v>
      </c>
      <c r="M8" s="408">
        <v>13.8</v>
      </c>
      <c r="N8" s="408">
        <v>15.4</v>
      </c>
      <c r="O8" s="408">
        <v>5.0999999999999996</v>
      </c>
      <c r="P8" s="408">
        <v>1.9</v>
      </c>
      <c r="Q8" s="408">
        <v>3.1</v>
      </c>
      <c r="R8" s="408">
        <v>13</v>
      </c>
      <c r="S8" s="408">
        <v>16.7</v>
      </c>
      <c r="T8" s="408">
        <v>6</v>
      </c>
      <c r="U8" s="408">
        <v>2.7</v>
      </c>
      <c r="V8" s="408">
        <v>8.6999999999999993</v>
      </c>
      <c r="W8" s="408">
        <v>0.19500000000000001</v>
      </c>
      <c r="X8" s="408">
        <v>2.4</v>
      </c>
      <c r="Y8" s="408">
        <v>1.2</v>
      </c>
      <c r="Z8" s="408">
        <v>3.5</v>
      </c>
      <c r="AA8" s="408">
        <v>3</v>
      </c>
    </row>
    <row r="9" spans="1:27">
      <c r="A9">
        <v>4</v>
      </c>
      <c r="B9" s="1" t="s">
        <v>569</v>
      </c>
      <c r="C9" s="5" t="s">
        <v>83</v>
      </c>
      <c r="D9" s="408">
        <v>20</v>
      </c>
      <c r="E9" s="5" t="s">
        <v>50</v>
      </c>
      <c r="F9" s="408">
        <v>61</v>
      </c>
      <c r="G9" s="408">
        <v>1238</v>
      </c>
      <c r="H9" s="408">
        <v>16.100000000000001</v>
      </c>
      <c r="I9" s="408">
        <v>0.56899999999999995</v>
      </c>
      <c r="J9" s="408">
        <v>2.3E-2</v>
      </c>
      <c r="K9" s="408">
        <v>0.54100000000000004</v>
      </c>
      <c r="L9" s="408">
        <v>9.8000000000000007</v>
      </c>
      <c r="M9" s="408">
        <v>21.8</v>
      </c>
      <c r="N9" s="408">
        <v>15.8</v>
      </c>
      <c r="O9" s="408">
        <v>11.7</v>
      </c>
      <c r="P9" s="408">
        <v>1.2</v>
      </c>
      <c r="Q9" s="408">
        <v>2.6</v>
      </c>
      <c r="R9" s="408">
        <v>12.9</v>
      </c>
      <c r="S9" s="408">
        <v>15.7</v>
      </c>
      <c r="T9" s="408">
        <v>2.2000000000000002</v>
      </c>
      <c r="U9" s="408">
        <v>1.7</v>
      </c>
      <c r="V9" s="408">
        <v>3.9</v>
      </c>
      <c r="W9" s="408">
        <v>0.152</v>
      </c>
      <c r="X9" s="408">
        <v>-1.3</v>
      </c>
      <c r="Y9" s="408">
        <v>1.9</v>
      </c>
      <c r="Z9" s="408">
        <v>0.6</v>
      </c>
      <c r="AA9" s="408">
        <v>0.8</v>
      </c>
    </row>
    <row r="10" spans="1:27">
      <c r="A10">
        <v>5</v>
      </c>
      <c r="B10" s="1" t="s">
        <v>76</v>
      </c>
      <c r="C10" s="5" t="s">
        <v>26</v>
      </c>
      <c r="D10" s="408">
        <v>32</v>
      </c>
      <c r="E10" s="5" t="s">
        <v>75</v>
      </c>
      <c r="F10" s="408">
        <v>47</v>
      </c>
      <c r="G10" s="408">
        <v>597</v>
      </c>
      <c r="H10" s="408">
        <v>5.5</v>
      </c>
      <c r="I10" s="408">
        <v>0.51100000000000001</v>
      </c>
      <c r="J10" s="408">
        <v>0.41799999999999998</v>
      </c>
      <c r="K10" s="408">
        <v>0.17</v>
      </c>
      <c r="L10" s="408">
        <v>0.6</v>
      </c>
      <c r="M10" s="408">
        <v>11</v>
      </c>
      <c r="N10" s="408">
        <v>5.8</v>
      </c>
      <c r="O10" s="408">
        <v>6.1</v>
      </c>
      <c r="P10" s="408">
        <v>0.2</v>
      </c>
      <c r="Q10" s="408">
        <v>0.9</v>
      </c>
      <c r="R10" s="408">
        <v>10.6</v>
      </c>
      <c r="S10" s="408">
        <v>12.5</v>
      </c>
      <c r="T10" s="408">
        <v>-0.1</v>
      </c>
      <c r="U10" s="408">
        <v>0.1</v>
      </c>
      <c r="V10" s="408">
        <v>0</v>
      </c>
      <c r="W10" s="408">
        <v>3.0000000000000001E-3</v>
      </c>
      <c r="X10" s="408">
        <v>-4.0999999999999996</v>
      </c>
      <c r="Y10" s="408">
        <v>-2</v>
      </c>
      <c r="Z10" s="408">
        <v>-6.1</v>
      </c>
      <c r="AA10" s="408">
        <v>-0.6</v>
      </c>
    </row>
    <row r="11" spans="1:27">
      <c r="A11">
        <v>6</v>
      </c>
      <c r="B11" s="1" t="s">
        <v>8</v>
      </c>
      <c r="C11" s="5" t="s">
        <v>83</v>
      </c>
      <c r="D11" s="408">
        <v>29</v>
      </c>
      <c r="E11" s="5" t="s">
        <v>56</v>
      </c>
      <c r="F11" s="408">
        <v>17</v>
      </c>
      <c r="G11" s="408">
        <v>33</v>
      </c>
      <c r="H11" s="408">
        <v>5.0999999999999996</v>
      </c>
      <c r="I11" s="408">
        <v>0.313</v>
      </c>
      <c r="J11" s="408">
        <v>0</v>
      </c>
      <c r="K11" s="408">
        <v>0.36399999999999999</v>
      </c>
      <c r="L11" s="408">
        <v>10.4</v>
      </c>
      <c r="M11" s="408">
        <v>17.7</v>
      </c>
      <c r="N11" s="408">
        <v>14</v>
      </c>
      <c r="O11" s="408">
        <v>4</v>
      </c>
      <c r="P11" s="408">
        <v>3</v>
      </c>
      <c r="Q11" s="408">
        <v>2.7</v>
      </c>
      <c r="R11" s="408">
        <v>7.3</v>
      </c>
      <c r="S11" s="408">
        <v>18.5</v>
      </c>
      <c r="T11" s="408">
        <v>-0.1</v>
      </c>
      <c r="U11" s="408">
        <v>0</v>
      </c>
      <c r="V11" s="408">
        <v>0</v>
      </c>
      <c r="W11" s="408">
        <v>-4.9000000000000002E-2</v>
      </c>
      <c r="X11" s="408">
        <v>-7.5</v>
      </c>
      <c r="Y11" s="408">
        <v>-0.3</v>
      </c>
      <c r="Z11" s="408">
        <v>-7.7</v>
      </c>
      <c r="AA11" s="408">
        <v>0</v>
      </c>
    </row>
    <row r="12" spans="1:27">
      <c r="A12">
        <v>7</v>
      </c>
      <c r="B12" s="1" t="s">
        <v>504</v>
      </c>
      <c r="C12" s="5" t="s">
        <v>83</v>
      </c>
      <c r="D12" s="408">
        <v>32</v>
      </c>
      <c r="E12" s="5" t="s">
        <v>140</v>
      </c>
      <c r="F12" s="408">
        <v>64</v>
      </c>
      <c r="G12" s="408">
        <v>2143</v>
      </c>
      <c r="H12" s="408">
        <v>24</v>
      </c>
      <c r="I12" s="408">
        <v>0.56399999999999995</v>
      </c>
      <c r="J12" s="408">
        <v>7.2999999999999995E-2</v>
      </c>
      <c r="K12" s="408">
        <v>0.29899999999999999</v>
      </c>
      <c r="L12" s="408">
        <v>10.9</v>
      </c>
      <c r="M12" s="408">
        <v>16.8</v>
      </c>
      <c r="N12" s="408">
        <v>13.8</v>
      </c>
      <c r="O12" s="408">
        <v>11.1</v>
      </c>
      <c r="P12" s="408">
        <v>0.8</v>
      </c>
      <c r="Q12" s="408">
        <v>2.8</v>
      </c>
      <c r="R12" s="408">
        <v>7</v>
      </c>
      <c r="S12" s="408">
        <v>28.9</v>
      </c>
      <c r="T12" s="408">
        <v>5.8</v>
      </c>
      <c r="U12" s="408">
        <v>3.1</v>
      </c>
      <c r="V12" s="408">
        <v>9</v>
      </c>
      <c r="W12" s="408">
        <v>0.20100000000000001</v>
      </c>
      <c r="X12" s="408">
        <v>2.5</v>
      </c>
      <c r="Y12" s="408">
        <v>0.2</v>
      </c>
      <c r="Z12" s="408">
        <v>2.7</v>
      </c>
      <c r="AA12" s="408">
        <v>2.6</v>
      </c>
    </row>
    <row r="13" spans="1:27">
      <c r="A13">
        <v>8</v>
      </c>
      <c r="B13" s="1" t="s">
        <v>561</v>
      </c>
      <c r="C13" s="5" t="s">
        <v>83</v>
      </c>
      <c r="D13" s="408">
        <v>19</v>
      </c>
      <c r="E13" s="5" t="s">
        <v>315</v>
      </c>
      <c r="F13" s="408">
        <v>61</v>
      </c>
      <c r="G13" s="408">
        <v>1171</v>
      </c>
      <c r="H13" s="408">
        <v>17.600000000000001</v>
      </c>
      <c r="I13" s="408">
        <v>0.627</v>
      </c>
      <c r="J13" s="408">
        <v>3.3000000000000002E-2</v>
      </c>
      <c r="K13" s="408">
        <v>0.35499999999999998</v>
      </c>
      <c r="L13" s="408">
        <v>11.4</v>
      </c>
      <c r="M13" s="408">
        <v>18</v>
      </c>
      <c r="N13" s="408">
        <v>14.7</v>
      </c>
      <c r="O13" s="408">
        <v>6.1</v>
      </c>
      <c r="P13" s="408">
        <v>1</v>
      </c>
      <c r="Q13" s="408">
        <v>3.7</v>
      </c>
      <c r="R13" s="408">
        <v>14.9</v>
      </c>
      <c r="S13" s="408">
        <v>16.8</v>
      </c>
      <c r="T13" s="408">
        <v>2.2000000000000002</v>
      </c>
      <c r="U13" s="408">
        <v>1.2</v>
      </c>
      <c r="V13" s="408">
        <v>3.4</v>
      </c>
      <c r="W13" s="408">
        <v>0.13900000000000001</v>
      </c>
      <c r="X13" s="408">
        <v>-1</v>
      </c>
      <c r="Y13" s="408">
        <v>1.1000000000000001</v>
      </c>
      <c r="Z13" s="408">
        <v>0.1</v>
      </c>
      <c r="AA13" s="408">
        <v>0.6</v>
      </c>
    </row>
    <row r="14" spans="1:27">
      <c r="A14">
        <v>9</v>
      </c>
      <c r="B14" s="1" t="s">
        <v>481</v>
      </c>
      <c r="C14" s="5" t="s">
        <v>20</v>
      </c>
      <c r="D14" s="408">
        <v>25</v>
      </c>
      <c r="E14" s="5" t="s">
        <v>87</v>
      </c>
      <c r="F14" s="408">
        <v>9</v>
      </c>
      <c r="G14" s="408">
        <v>31</v>
      </c>
      <c r="H14" s="408">
        <v>-0.1</v>
      </c>
      <c r="I14" s="408">
        <v>0.32200000000000001</v>
      </c>
      <c r="J14" s="408">
        <v>0.5</v>
      </c>
      <c r="K14" s="408">
        <v>0.66700000000000004</v>
      </c>
      <c r="L14" s="408">
        <v>3.6</v>
      </c>
      <c r="M14" s="408">
        <v>10.4</v>
      </c>
      <c r="N14" s="408">
        <v>7.1</v>
      </c>
      <c r="O14" s="408">
        <v>8.5</v>
      </c>
      <c r="P14" s="408">
        <v>1.6</v>
      </c>
      <c r="Q14" s="408">
        <v>0</v>
      </c>
      <c r="R14" s="408">
        <v>27.9</v>
      </c>
      <c r="S14" s="408">
        <v>15.5</v>
      </c>
      <c r="T14" s="408">
        <v>-0.1</v>
      </c>
      <c r="U14" s="408">
        <v>0</v>
      </c>
      <c r="V14" s="408">
        <v>-0.1</v>
      </c>
      <c r="W14" s="408">
        <v>-0.10299999999999999</v>
      </c>
      <c r="X14" s="408">
        <v>-9</v>
      </c>
      <c r="Y14" s="408">
        <v>0</v>
      </c>
      <c r="Z14" s="408">
        <v>-9</v>
      </c>
      <c r="AA14" s="408">
        <v>-0.1</v>
      </c>
    </row>
    <row r="15" spans="1:27">
      <c r="A15">
        <v>10</v>
      </c>
      <c r="B15" s="1" t="s">
        <v>113</v>
      </c>
      <c r="C15" s="5" t="s">
        <v>46</v>
      </c>
      <c r="D15" s="408">
        <v>36</v>
      </c>
      <c r="E15" s="5" t="s">
        <v>112</v>
      </c>
      <c r="F15" s="408">
        <v>22</v>
      </c>
      <c r="G15" s="408">
        <v>273</v>
      </c>
      <c r="H15" s="408">
        <v>8.6999999999999993</v>
      </c>
      <c r="I15" s="408">
        <v>0.51400000000000001</v>
      </c>
      <c r="J15" s="408">
        <v>0.13200000000000001</v>
      </c>
      <c r="K15" s="408">
        <v>0.23100000000000001</v>
      </c>
      <c r="L15" s="408">
        <v>8.1999999999999993</v>
      </c>
      <c r="M15" s="408">
        <v>10.5</v>
      </c>
      <c r="N15" s="408">
        <v>9.4</v>
      </c>
      <c r="O15" s="408">
        <v>4.7</v>
      </c>
      <c r="P15" s="408">
        <v>1.9</v>
      </c>
      <c r="Q15" s="408">
        <v>0.9</v>
      </c>
      <c r="R15" s="408">
        <v>15.9</v>
      </c>
      <c r="S15" s="408">
        <v>19</v>
      </c>
      <c r="T15" s="408">
        <v>-0.2</v>
      </c>
      <c r="U15" s="408">
        <v>0.2</v>
      </c>
      <c r="V15" s="408">
        <v>0.1</v>
      </c>
      <c r="W15" s="408">
        <v>1.4E-2</v>
      </c>
      <c r="X15" s="408">
        <v>-4</v>
      </c>
      <c r="Y15" s="408">
        <v>-1.4</v>
      </c>
      <c r="Z15" s="408">
        <v>-5.4</v>
      </c>
      <c r="AA15" s="408">
        <v>-0.2</v>
      </c>
    </row>
    <row r="16" spans="1:27">
      <c r="A16">
        <v>11</v>
      </c>
      <c r="B16" s="1" t="s">
        <v>358</v>
      </c>
      <c r="C16" s="5" t="s">
        <v>38</v>
      </c>
      <c r="D16" s="408">
        <v>27</v>
      </c>
      <c r="E16" s="5" t="s">
        <v>96</v>
      </c>
      <c r="F16" s="408">
        <v>57</v>
      </c>
      <c r="G16" s="408">
        <v>1701</v>
      </c>
      <c r="H16" s="408">
        <v>11.8</v>
      </c>
      <c r="I16" s="408">
        <v>0.53</v>
      </c>
      <c r="J16" s="408">
        <v>0.57299999999999995</v>
      </c>
      <c r="K16" s="408">
        <v>0.13400000000000001</v>
      </c>
      <c r="L16" s="408">
        <v>4.8</v>
      </c>
      <c r="M16" s="408">
        <v>22.2</v>
      </c>
      <c r="N16" s="408">
        <v>13.6</v>
      </c>
      <c r="O16" s="408">
        <v>5.6</v>
      </c>
      <c r="P16" s="408">
        <v>1.6</v>
      </c>
      <c r="Q16" s="408">
        <v>1.6</v>
      </c>
      <c r="R16" s="408">
        <v>10.9</v>
      </c>
      <c r="S16" s="408">
        <v>14.5</v>
      </c>
      <c r="T16" s="408">
        <v>0.9</v>
      </c>
      <c r="U16" s="408">
        <v>2.6</v>
      </c>
      <c r="V16" s="408">
        <v>3.6</v>
      </c>
      <c r="W16" s="408">
        <v>0.1</v>
      </c>
      <c r="X16" s="408">
        <v>-0.8</v>
      </c>
      <c r="Y16" s="408">
        <v>1.7</v>
      </c>
      <c r="Z16" s="408">
        <v>0.9</v>
      </c>
      <c r="AA16" s="408">
        <v>1.2</v>
      </c>
    </row>
    <row r="17" spans="1:27">
      <c r="A17">
        <v>12</v>
      </c>
      <c r="B17" s="1" t="s">
        <v>440</v>
      </c>
      <c r="C17" s="5" t="s">
        <v>46</v>
      </c>
      <c r="D17" s="408">
        <v>24</v>
      </c>
      <c r="E17" s="5" t="s">
        <v>118</v>
      </c>
      <c r="F17" s="408">
        <v>30</v>
      </c>
      <c r="G17" s="408">
        <v>407</v>
      </c>
      <c r="H17" s="408">
        <v>12.8</v>
      </c>
      <c r="I17" s="408">
        <v>0.54900000000000004</v>
      </c>
      <c r="J17" s="408">
        <v>0.497</v>
      </c>
      <c r="K17" s="408">
        <v>0.16600000000000001</v>
      </c>
      <c r="L17" s="408">
        <v>5</v>
      </c>
      <c r="M17" s="408">
        <v>13.7</v>
      </c>
      <c r="N17" s="408">
        <v>9.5</v>
      </c>
      <c r="O17" s="408">
        <v>6.3</v>
      </c>
      <c r="P17" s="408">
        <v>1.4</v>
      </c>
      <c r="Q17" s="408">
        <v>1</v>
      </c>
      <c r="R17" s="408">
        <v>6.4</v>
      </c>
      <c r="S17" s="408">
        <v>18.2</v>
      </c>
      <c r="T17" s="408">
        <v>0.5</v>
      </c>
      <c r="U17" s="408">
        <v>0.5</v>
      </c>
      <c r="V17" s="408">
        <v>1</v>
      </c>
      <c r="W17" s="408">
        <v>0.113</v>
      </c>
      <c r="X17" s="408">
        <v>-0.5</v>
      </c>
      <c r="Y17" s="408">
        <v>-1.7</v>
      </c>
      <c r="Z17" s="408">
        <v>-2.2000000000000002</v>
      </c>
      <c r="AA17" s="408">
        <v>0</v>
      </c>
    </row>
    <row r="18" spans="1:27">
      <c r="A18">
        <v>13</v>
      </c>
      <c r="B18" s="1" t="s">
        <v>185</v>
      </c>
      <c r="C18" s="5" t="s">
        <v>46</v>
      </c>
      <c r="D18" s="408">
        <v>24</v>
      </c>
      <c r="E18" s="5" t="s">
        <v>140</v>
      </c>
      <c r="F18" s="408">
        <v>63</v>
      </c>
      <c r="G18" s="408">
        <v>1697</v>
      </c>
      <c r="H18" s="408">
        <v>15.5</v>
      </c>
      <c r="I18" s="408">
        <v>0.57099999999999995</v>
      </c>
      <c r="J18" s="408">
        <v>0.125</v>
      </c>
      <c r="K18" s="408">
        <v>0.34200000000000003</v>
      </c>
      <c r="L18" s="408">
        <v>4.7</v>
      </c>
      <c r="M18" s="408">
        <v>18.5</v>
      </c>
      <c r="N18" s="408">
        <v>11.6</v>
      </c>
      <c r="O18" s="408">
        <v>14.9</v>
      </c>
      <c r="P18" s="408">
        <v>2.9</v>
      </c>
      <c r="Q18" s="408">
        <v>2.4</v>
      </c>
      <c r="R18" s="408">
        <v>16.2</v>
      </c>
      <c r="S18" s="408">
        <v>13.6</v>
      </c>
      <c r="T18" s="408">
        <v>1.8</v>
      </c>
      <c r="U18" s="408">
        <v>3.4</v>
      </c>
      <c r="V18" s="408">
        <v>5.2</v>
      </c>
      <c r="W18" s="408">
        <v>0.14799999999999999</v>
      </c>
      <c r="X18" s="408">
        <v>-0.7</v>
      </c>
      <c r="Y18" s="408">
        <v>4.5999999999999996</v>
      </c>
      <c r="Z18" s="408">
        <v>3.9</v>
      </c>
      <c r="AA18" s="408">
        <v>2.5</v>
      </c>
    </row>
    <row r="19" spans="1:27">
      <c r="A19">
        <v>14</v>
      </c>
      <c r="B19" s="1" t="s">
        <v>328</v>
      </c>
      <c r="C19" s="5" t="s">
        <v>38</v>
      </c>
      <c r="D19" s="408">
        <v>29</v>
      </c>
      <c r="E19" s="5" t="s">
        <v>92</v>
      </c>
      <c r="F19" s="408">
        <v>59</v>
      </c>
      <c r="G19" s="408">
        <v>1597</v>
      </c>
      <c r="H19" s="408">
        <v>12.8</v>
      </c>
      <c r="I19" s="408">
        <v>0.59699999999999998</v>
      </c>
      <c r="J19" s="408">
        <v>0.71</v>
      </c>
      <c r="K19" s="408">
        <v>0.188</v>
      </c>
      <c r="L19" s="408">
        <v>6.2</v>
      </c>
      <c r="M19" s="408">
        <v>15.6</v>
      </c>
      <c r="N19" s="408">
        <v>10.9</v>
      </c>
      <c r="O19" s="408">
        <v>5.0999999999999996</v>
      </c>
      <c r="P19" s="408">
        <v>0.7</v>
      </c>
      <c r="Q19" s="408">
        <v>1</v>
      </c>
      <c r="R19" s="408">
        <v>7.7</v>
      </c>
      <c r="S19" s="408">
        <v>14.6</v>
      </c>
      <c r="T19" s="408">
        <v>2.9</v>
      </c>
      <c r="U19" s="408">
        <v>1.4</v>
      </c>
      <c r="V19" s="408">
        <v>4.4000000000000004</v>
      </c>
      <c r="W19" s="408">
        <v>0.13100000000000001</v>
      </c>
      <c r="X19" s="408">
        <v>1.3</v>
      </c>
      <c r="Y19" s="408">
        <v>-0.9</v>
      </c>
      <c r="Z19" s="408">
        <v>0.4</v>
      </c>
      <c r="AA19" s="408">
        <v>1</v>
      </c>
    </row>
    <row r="20" spans="1:27">
      <c r="A20">
        <v>15</v>
      </c>
      <c r="B20" s="1" t="s">
        <v>379</v>
      </c>
      <c r="C20" s="5" t="s">
        <v>83</v>
      </c>
      <c r="D20" s="408">
        <v>19</v>
      </c>
      <c r="E20" s="5" t="s">
        <v>30</v>
      </c>
      <c r="F20" s="408">
        <v>10</v>
      </c>
      <c r="G20" s="408">
        <v>28</v>
      </c>
      <c r="H20" s="408">
        <v>23.1</v>
      </c>
      <c r="I20" s="408">
        <v>0.55800000000000005</v>
      </c>
      <c r="J20" s="408">
        <v>0</v>
      </c>
      <c r="K20" s="408">
        <v>0.66700000000000004</v>
      </c>
      <c r="L20" s="408">
        <v>20.399999999999999</v>
      </c>
      <c r="M20" s="408">
        <v>15.9</v>
      </c>
      <c r="N20" s="408">
        <v>18.100000000000001</v>
      </c>
      <c r="O20" s="408">
        <v>0</v>
      </c>
      <c r="P20" s="408">
        <v>1.8</v>
      </c>
      <c r="Q20" s="408">
        <v>9.5</v>
      </c>
      <c r="R20" s="408">
        <v>14.7</v>
      </c>
      <c r="S20" s="408">
        <v>21.7</v>
      </c>
      <c r="T20" s="408">
        <v>0.1</v>
      </c>
      <c r="U20" s="408">
        <v>0</v>
      </c>
      <c r="V20" s="408">
        <v>0.1</v>
      </c>
      <c r="W20" s="408">
        <v>0.17599999999999999</v>
      </c>
      <c r="X20" s="408">
        <v>-4.0999999999999996</v>
      </c>
      <c r="Y20" s="408">
        <v>-1.3</v>
      </c>
      <c r="Z20" s="408">
        <v>-5.4</v>
      </c>
      <c r="AA20" s="408">
        <v>0</v>
      </c>
    </row>
    <row r="21" spans="1:27">
      <c r="A21">
        <v>16</v>
      </c>
      <c r="B21" s="1" t="s">
        <v>501</v>
      </c>
      <c r="C21" s="5" t="s">
        <v>38</v>
      </c>
      <c r="D21" s="408">
        <v>23</v>
      </c>
      <c r="E21" s="5" t="s">
        <v>41</v>
      </c>
      <c r="F21" s="408">
        <v>66</v>
      </c>
      <c r="G21" s="408">
        <v>2457</v>
      </c>
      <c r="H21" s="408">
        <v>27.9</v>
      </c>
      <c r="I21" s="408">
        <v>0.60099999999999998</v>
      </c>
      <c r="J21" s="408">
        <v>9.7000000000000003E-2</v>
      </c>
      <c r="K21" s="408">
        <v>0.46899999999999997</v>
      </c>
      <c r="L21" s="408">
        <v>6.8</v>
      </c>
      <c r="M21" s="408">
        <v>25.3</v>
      </c>
      <c r="N21" s="408">
        <v>16.100000000000001</v>
      </c>
      <c r="O21" s="408">
        <v>24</v>
      </c>
      <c r="P21" s="408">
        <v>2</v>
      </c>
      <c r="Q21" s="408">
        <v>3.3</v>
      </c>
      <c r="R21" s="408">
        <v>11.3</v>
      </c>
      <c r="S21" s="408">
        <v>31.5</v>
      </c>
      <c r="T21" s="408">
        <v>7.9</v>
      </c>
      <c r="U21" s="408">
        <v>3.3</v>
      </c>
      <c r="V21" s="408">
        <v>11.3</v>
      </c>
      <c r="W21" s="408">
        <v>0.22</v>
      </c>
      <c r="X21" s="408">
        <v>4.3</v>
      </c>
      <c r="Y21" s="408">
        <v>2</v>
      </c>
      <c r="Z21" s="408">
        <v>6.3</v>
      </c>
      <c r="AA21" s="408">
        <v>5.2</v>
      </c>
    </row>
    <row r="22" spans="1:27">
      <c r="A22">
        <v>17</v>
      </c>
      <c r="B22" s="1" t="s">
        <v>329</v>
      </c>
      <c r="C22" s="5" t="s">
        <v>38</v>
      </c>
      <c r="D22" s="408">
        <v>33</v>
      </c>
      <c r="E22" s="5" t="s">
        <v>58</v>
      </c>
      <c r="F22" s="408">
        <v>68</v>
      </c>
      <c r="G22" s="408">
        <v>2189</v>
      </c>
      <c r="H22" s="408">
        <v>13.1</v>
      </c>
      <c r="I22" s="408">
        <v>0.50800000000000001</v>
      </c>
      <c r="J22" s="408">
        <v>0.39700000000000002</v>
      </c>
      <c r="K22" s="408">
        <v>0.16600000000000001</v>
      </c>
      <c r="L22" s="408">
        <v>2.7</v>
      </c>
      <c r="M22" s="408">
        <v>17.899999999999999</v>
      </c>
      <c r="N22" s="408">
        <v>10.1</v>
      </c>
      <c r="O22" s="408">
        <v>6.3</v>
      </c>
      <c r="P22" s="408">
        <v>1</v>
      </c>
      <c r="Q22" s="408">
        <v>1.8</v>
      </c>
      <c r="R22" s="408">
        <v>7.3</v>
      </c>
      <c r="S22" s="408">
        <v>23.7</v>
      </c>
      <c r="T22" s="408">
        <v>1.2</v>
      </c>
      <c r="U22" s="408">
        <v>2.2000000000000002</v>
      </c>
      <c r="V22" s="408">
        <v>3.4</v>
      </c>
      <c r="W22" s="408">
        <v>7.4999999999999997E-2</v>
      </c>
      <c r="X22" s="408">
        <v>-1.8</v>
      </c>
      <c r="Y22" s="408">
        <v>-2</v>
      </c>
      <c r="Z22" s="408">
        <v>-3.8</v>
      </c>
      <c r="AA22" s="408">
        <v>-1</v>
      </c>
    </row>
    <row r="23" spans="1:27">
      <c r="A23">
        <v>18</v>
      </c>
      <c r="B23" s="1" t="s">
        <v>427</v>
      </c>
      <c r="C23" s="5" t="s">
        <v>46</v>
      </c>
      <c r="D23" s="408">
        <v>20</v>
      </c>
      <c r="E23" s="5" t="s">
        <v>47</v>
      </c>
      <c r="F23" s="408">
        <v>62</v>
      </c>
      <c r="G23" s="408">
        <v>1261</v>
      </c>
      <c r="H23" s="408">
        <v>9.6</v>
      </c>
      <c r="I23" s="408">
        <v>0.57599999999999996</v>
      </c>
      <c r="J23" s="408">
        <v>0.57899999999999996</v>
      </c>
      <c r="K23" s="408">
        <v>0.182</v>
      </c>
      <c r="L23" s="408">
        <v>3.3</v>
      </c>
      <c r="M23" s="408">
        <v>9.9</v>
      </c>
      <c r="N23" s="408">
        <v>6.6</v>
      </c>
      <c r="O23" s="408">
        <v>5.0999999999999996</v>
      </c>
      <c r="P23" s="408">
        <v>1.8</v>
      </c>
      <c r="Q23" s="408">
        <v>0.6</v>
      </c>
      <c r="R23" s="408">
        <v>11</v>
      </c>
      <c r="S23" s="408">
        <v>12.3</v>
      </c>
      <c r="T23" s="408">
        <v>1</v>
      </c>
      <c r="U23" s="408">
        <v>1.4</v>
      </c>
      <c r="V23" s="408">
        <v>2.5</v>
      </c>
      <c r="W23" s="408">
        <v>9.4E-2</v>
      </c>
      <c r="X23" s="408">
        <v>0.1</v>
      </c>
      <c r="Y23" s="408">
        <v>0.4</v>
      </c>
      <c r="Z23" s="408">
        <v>0.5</v>
      </c>
      <c r="AA23" s="408">
        <v>0.8</v>
      </c>
    </row>
    <row r="24" spans="1:27">
      <c r="A24">
        <v>19</v>
      </c>
      <c r="B24" s="1" t="s">
        <v>44</v>
      </c>
      <c r="C24" s="5" t="s">
        <v>20</v>
      </c>
      <c r="D24" s="408">
        <v>23</v>
      </c>
      <c r="E24" s="5" t="s">
        <v>43</v>
      </c>
      <c r="F24" s="408">
        <v>13</v>
      </c>
      <c r="G24" s="408">
        <v>120</v>
      </c>
      <c r="H24" s="408">
        <v>6.7</v>
      </c>
      <c r="I24" s="408">
        <v>0.58199999999999996</v>
      </c>
      <c r="J24" s="408">
        <v>0.83299999999999996</v>
      </c>
      <c r="K24" s="408">
        <v>0.16700000000000001</v>
      </c>
      <c r="L24" s="408">
        <v>0</v>
      </c>
      <c r="M24" s="408">
        <v>6.5</v>
      </c>
      <c r="N24" s="408">
        <v>3.1</v>
      </c>
      <c r="O24" s="408">
        <v>14.3</v>
      </c>
      <c r="P24" s="408">
        <v>2</v>
      </c>
      <c r="Q24" s="408">
        <v>0</v>
      </c>
      <c r="R24" s="408">
        <v>18.899999999999999</v>
      </c>
      <c r="S24" s="408">
        <v>5.8</v>
      </c>
      <c r="T24" s="408">
        <v>0.1</v>
      </c>
      <c r="U24" s="408">
        <v>0.1</v>
      </c>
      <c r="V24" s="408">
        <v>0.2</v>
      </c>
      <c r="W24" s="408">
        <v>6.3E-2</v>
      </c>
      <c r="X24" s="408">
        <v>-3.2</v>
      </c>
      <c r="Y24" s="408">
        <v>-1.1000000000000001</v>
      </c>
      <c r="Z24" s="408">
        <v>-4.3</v>
      </c>
      <c r="AA24" s="408">
        <v>-0.1</v>
      </c>
    </row>
    <row r="25" spans="1:27">
      <c r="A25">
        <v>20</v>
      </c>
      <c r="B25" s="1" t="s">
        <v>213</v>
      </c>
      <c r="C25" s="5" t="s">
        <v>46</v>
      </c>
      <c r="D25" s="408">
        <v>32</v>
      </c>
      <c r="E25" s="5" t="s">
        <v>92</v>
      </c>
      <c r="F25" s="408">
        <v>57</v>
      </c>
      <c r="G25" s="408">
        <v>1965</v>
      </c>
      <c r="H25" s="408">
        <v>12.2</v>
      </c>
      <c r="I25" s="408">
        <v>0.58499999999999996</v>
      </c>
      <c r="J25" s="408">
        <v>0.71899999999999997</v>
      </c>
      <c r="K25" s="408">
        <v>0.13800000000000001</v>
      </c>
      <c r="L25" s="408">
        <v>1.9</v>
      </c>
      <c r="M25" s="408">
        <v>12.9</v>
      </c>
      <c r="N25" s="408">
        <v>7.4</v>
      </c>
      <c r="O25" s="408">
        <v>6.7</v>
      </c>
      <c r="P25" s="408">
        <v>2.1</v>
      </c>
      <c r="Q25" s="408">
        <v>0.5</v>
      </c>
      <c r="R25" s="408">
        <v>7.9</v>
      </c>
      <c r="S25" s="408">
        <v>14.2</v>
      </c>
      <c r="T25" s="408">
        <v>2.6</v>
      </c>
      <c r="U25" s="408">
        <v>2.2999999999999998</v>
      </c>
      <c r="V25" s="408">
        <v>4.8</v>
      </c>
      <c r="W25" s="408">
        <v>0.11700000000000001</v>
      </c>
      <c r="X25" s="408">
        <v>1.2</v>
      </c>
      <c r="Y25" s="408">
        <v>0.6</v>
      </c>
      <c r="Z25" s="408">
        <v>1.9</v>
      </c>
      <c r="AA25" s="408">
        <v>1.9</v>
      </c>
    </row>
    <row r="26" spans="1:27">
      <c r="A26">
        <v>21</v>
      </c>
      <c r="B26" s="1" t="s">
        <v>620</v>
      </c>
      <c r="C26" s="5" t="s">
        <v>38</v>
      </c>
      <c r="D26" s="408">
        <v>29</v>
      </c>
      <c r="E26" s="5" t="s">
        <v>61</v>
      </c>
      <c r="F26" s="408">
        <v>18</v>
      </c>
      <c r="G26" s="408">
        <v>133</v>
      </c>
      <c r="H26" s="408">
        <v>8.1999999999999993</v>
      </c>
      <c r="I26" s="408">
        <v>0.55100000000000005</v>
      </c>
      <c r="J26" s="408">
        <v>0.46700000000000003</v>
      </c>
      <c r="K26" s="408">
        <v>6.7000000000000004E-2</v>
      </c>
      <c r="L26" s="408">
        <v>2.5</v>
      </c>
      <c r="M26" s="408">
        <v>10.199999999999999</v>
      </c>
      <c r="N26" s="408">
        <v>6.4</v>
      </c>
      <c r="O26" s="408">
        <v>9.9</v>
      </c>
      <c r="P26" s="408">
        <v>3</v>
      </c>
      <c r="Q26" s="408">
        <v>1.3</v>
      </c>
      <c r="R26" s="408">
        <v>24.5</v>
      </c>
      <c r="S26" s="408">
        <v>20</v>
      </c>
      <c r="T26" s="408">
        <v>-0.2</v>
      </c>
      <c r="U26" s="408">
        <v>0.1</v>
      </c>
      <c r="V26" s="408">
        <v>-0.1</v>
      </c>
      <c r="W26" s="408">
        <v>-0.02</v>
      </c>
      <c r="X26" s="408">
        <v>-3.8</v>
      </c>
      <c r="Y26" s="408">
        <v>-1</v>
      </c>
      <c r="Z26" s="408">
        <v>-4.8</v>
      </c>
      <c r="AA26" s="408">
        <v>-0.1</v>
      </c>
    </row>
    <row r="27" spans="1:27">
      <c r="A27">
        <v>22</v>
      </c>
      <c r="B27" s="1" t="s">
        <v>537</v>
      </c>
      <c r="C27" s="5" t="s">
        <v>26</v>
      </c>
      <c r="D27" s="408">
        <v>25</v>
      </c>
      <c r="E27" s="5" t="s">
        <v>75</v>
      </c>
      <c r="F27" s="408">
        <v>5</v>
      </c>
      <c r="G27" s="408">
        <v>55</v>
      </c>
      <c r="H27" s="408">
        <v>0.8</v>
      </c>
      <c r="I27" s="408">
        <v>0.246</v>
      </c>
      <c r="J27" s="408">
        <v>0.29399999999999998</v>
      </c>
      <c r="K27" s="408">
        <v>0.17599999999999999</v>
      </c>
      <c r="L27" s="408">
        <v>2</v>
      </c>
      <c r="M27" s="408">
        <v>12.2</v>
      </c>
      <c r="N27" s="408">
        <v>7.1</v>
      </c>
      <c r="O27" s="408">
        <v>9.8000000000000007</v>
      </c>
      <c r="P27" s="408">
        <v>0</v>
      </c>
      <c r="Q27" s="408">
        <v>0</v>
      </c>
      <c r="R27" s="408">
        <v>0</v>
      </c>
      <c r="S27" s="408">
        <v>14.7</v>
      </c>
      <c r="T27" s="408">
        <v>-0.2</v>
      </c>
      <c r="U27" s="408">
        <v>0</v>
      </c>
      <c r="V27" s="408">
        <v>-0.1</v>
      </c>
      <c r="W27" s="408">
        <v>-0.13100000000000001</v>
      </c>
      <c r="X27" s="408">
        <v>-8.3000000000000007</v>
      </c>
      <c r="Y27" s="408">
        <v>-3.1</v>
      </c>
      <c r="Z27" s="408">
        <v>-11.4</v>
      </c>
      <c r="AA27" s="408">
        <v>-0.1</v>
      </c>
    </row>
    <row r="28" spans="1:27">
      <c r="A28">
        <v>23</v>
      </c>
      <c r="B28" s="1" t="s">
        <v>611</v>
      </c>
      <c r="C28" s="5" t="s">
        <v>83</v>
      </c>
      <c r="D28" s="408">
        <v>31</v>
      </c>
      <c r="E28" s="5" t="s">
        <v>112</v>
      </c>
      <c r="F28" s="408">
        <v>14</v>
      </c>
      <c r="G28" s="408">
        <v>121</v>
      </c>
      <c r="H28" s="408">
        <v>4.5</v>
      </c>
      <c r="I28" s="408">
        <v>0.42299999999999999</v>
      </c>
      <c r="J28" s="408">
        <v>0</v>
      </c>
      <c r="K28" s="408">
        <v>0.75</v>
      </c>
      <c r="L28" s="408">
        <v>6.5</v>
      </c>
      <c r="M28" s="408">
        <v>26.2</v>
      </c>
      <c r="N28" s="408">
        <v>16.7</v>
      </c>
      <c r="O28" s="408">
        <v>2</v>
      </c>
      <c r="P28" s="408">
        <v>0.4</v>
      </c>
      <c r="Q28" s="408">
        <v>1.3</v>
      </c>
      <c r="R28" s="408">
        <v>19</v>
      </c>
      <c r="S28" s="408">
        <v>9.4</v>
      </c>
      <c r="T28" s="408">
        <v>-0.1</v>
      </c>
      <c r="U28" s="408">
        <v>0.1</v>
      </c>
      <c r="V28" s="408">
        <v>0</v>
      </c>
      <c r="W28" s="408">
        <v>5.0000000000000001E-3</v>
      </c>
      <c r="X28" s="408">
        <v>-7.4</v>
      </c>
      <c r="Y28" s="408">
        <v>-0.9</v>
      </c>
      <c r="Z28" s="408">
        <v>-8.3000000000000007</v>
      </c>
      <c r="AA28" s="408">
        <v>-0.2</v>
      </c>
    </row>
    <row r="29" spans="1:27">
      <c r="A29">
        <v>24</v>
      </c>
      <c r="B29" s="1" t="s">
        <v>421</v>
      </c>
      <c r="C29" s="5" t="s">
        <v>20</v>
      </c>
      <c r="D29" s="408">
        <v>30</v>
      </c>
      <c r="E29" s="5" t="s">
        <v>75</v>
      </c>
      <c r="F29" s="408">
        <v>63</v>
      </c>
      <c r="G29" s="408">
        <v>1442</v>
      </c>
      <c r="H29" s="408">
        <v>15.5</v>
      </c>
      <c r="I29" s="408">
        <v>0.624</v>
      </c>
      <c r="J29" s="408">
        <v>0.53</v>
      </c>
      <c r="K29" s="408">
        <v>0.375</v>
      </c>
      <c r="L29" s="408">
        <v>1.6</v>
      </c>
      <c r="M29" s="408">
        <v>7.9</v>
      </c>
      <c r="N29" s="408">
        <v>4.8</v>
      </c>
      <c r="O29" s="408">
        <v>23.7</v>
      </c>
      <c r="P29" s="408">
        <v>1.7</v>
      </c>
      <c r="Q29" s="408">
        <v>0</v>
      </c>
      <c r="R29" s="408">
        <v>16.600000000000001</v>
      </c>
      <c r="S29" s="408">
        <v>18.399999999999999</v>
      </c>
      <c r="T29" s="408">
        <v>2.9</v>
      </c>
      <c r="U29" s="408">
        <v>0.6</v>
      </c>
      <c r="V29" s="408">
        <v>3.4</v>
      </c>
      <c r="W29" s="408">
        <v>0.114</v>
      </c>
      <c r="X29" s="408">
        <v>1.8</v>
      </c>
      <c r="Y29" s="408">
        <v>-2.5</v>
      </c>
      <c r="Z29" s="408">
        <v>-0.7</v>
      </c>
      <c r="AA29" s="408">
        <v>0.5</v>
      </c>
    </row>
    <row r="30" spans="1:27">
      <c r="A30">
        <v>25</v>
      </c>
      <c r="B30" s="1" t="s">
        <v>152</v>
      </c>
      <c r="C30" s="5" t="s">
        <v>46</v>
      </c>
      <c r="D30" s="408">
        <v>28</v>
      </c>
      <c r="E30" s="5" t="s">
        <v>357</v>
      </c>
      <c r="F30" s="408">
        <v>46</v>
      </c>
      <c r="G30" s="408">
        <v>676</v>
      </c>
      <c r="H30" s="408">
        <v>10.6</v>
      </c>
      <c r="I30" s="408">
        <v>0.59899999999999998</v>
      </c>
      <c r="J30" s="408">
        <v>0.71099999999999997</v>
      </c>
      <c r="K30" s="408">
        <v>0.108</v>
      </c>
      <c r="L30" s="408">
        <v>1</v>
      </c>
      <c r="M30" s="408">
        <v>14.5</v>
      </c>
      <c r="N30" s="408">
        <v>7.7</v>
      </c>
      <c r="O30" s="408">
        <v>6.5</v>
      </c>
      <c r="P30" s="408">
        <v>0.6</v>
      </c>
      <c r="Q30" s="408">
        <v>0.9</v>
      </c>
      <c r="R30" s="408">
        <v>8.1999999999999993</v>
      </c>
      <c r="S30" s="408">
        <v>15.1</v>
      </c>
      <c r="T30" s="408">
        <v>0.7</v>
      </c>
      <c r="U30" s="408">
        <v>0.3</v>
      </c>
      <c r="V30" s="408">
        <v>1</v>
      </c>
      <c r="W30" s="408">
        <v>7.0000000000000007E-2</v>
      </c>
      <c r="X30" s="408">
        <v>-0.5</v>
      </c>
      <c r="Y30" s="408">
        <v>-2.2999999999999998</v>
      </c>
      <c r="Z30" s="408">
        <v>-2.9</v>
      </c>
      <c r="AA30" s="408">
        <v>-0.1</v>
      </c>
    </row>
    <row r="31" spans="1:27">
      <c r="A31">
        <v>25</v>
      </c>
      <c r="B31" s="1" t="s">
        <v>152</v>
      </c>
      <c r="C31" s="5" t="s">
        <v>46</v>
      </c>
      <c r="D31" s="408">
        <v>28</v>
      </c>
      <c r="E31" s="5" t="s">
        <v>149</v>
      </c>
      <c r="F31" s="408">
        <v>37</v>
      </c>
      <c r="G31" s="408">
        <v>570</v>
      </c>
      <c r="H31" s="408">
        <v>12</v>
      </c>
      <c r="I31" s="408">
        <v>0.63600000000000001</v>
      </c>
      <c r="J31" s="408">
        <v>0.66100000000000003</v>
      </c>
      <c r="K31" s="408">
        <v>0.13100000000000001</v>
      </c>
      <c r="L31" s="408">
        <v>1</v>
      </c>
      <c r="M31" s="408">
        <v>15.2</v>
      </c>
      <c r="N31" s="408">
        <v>8</v>
      </c>
      <c r="O31" s="408">
        <v>7</v>
      </c>
      <c r="P31" s="408">
        <v>0.6</v>
      </c>
      <c r="Q31" s="408">
        <v>0.8</v>
      </c>
      <c r="R31" s="408">
        <v>7.8</v>
      </c>
      <c r="S31" s="408">
        <v>14.8</v>
      </c>
      <c r="T31" s="408">
        <v>0.9</v>
      </c>
      <c r="U31" s="408">
        <v>0.2</v>
      </c>
      <c r="V31" s="408">
        <v>1.1000000000000001</v>
      </c>
      <c r="W31" s="408">
        <v>9.1999999999999998E-2</v>
      </c>
      <c r="X31" s="408">
        <v>0.2</v>
      </c>
      <c r="Y31" s="408">
        <v>-2.2999999999999998</v>
      </c>
      <c r="Z31" s="408">
        <v>-2.1</v>
      </c>
      <c r="AA31" s="408">
        <v>0</v>
      </c>
    </row>
    <row r="32" spans="1:27">
      <c r="A32">
        <v>25</v>
      </c>
      <c r="B32" s="1" t="s">
        <v>152</v>
      </c>
      <c r="C32" s="5" t="s">
        <v>46</v>
      </c>
      <c r="D32" s="408">
        <v>28</v>
      </c>
      <c r="E32" s="5" t="s">
        <v>50</v>
      </c>
      <c r="F32" s="408">
        <v>9</v>
      </c>
      <c r="G32" s="408">
        <v>106</v>
      </c>
      <c r="H32" s="408">
        <v>3.1</v>
      </c>
      <c r="I32" s="408">
        <v>0.41699999999999998</v>
      </c>
      <c r="J32" s="408">
        <v>0.94399999999999995</v>
      </c>
      <c r="K32" s="408">
        <v>0</v>
      </c>
      <c r="L32" s="408">
        <v>1.1000000000000001</v>
      </c>
      <c r="M32" s="408">
        <v>10.7</v>
      </c>
      <c r="N32" s="408">
        <v>5.9</v>
      </c>
      <c r="O32" s="408">
        <v>4</v>
      </c>
      <c r="P32" s="408">
        <v>0.5</v>
      </c>
      <c r="Q32" s="408">
        <v>1.6</v>
      </c>
      <c r="R32" s="408">
        <v>10</v>
      </c>
      <c r="S32" s="408">
        <v>17</v>
      </c>
      <c r="T32" s="408">
        <v>-0.2</v>
      </c>
      <c r="U32" s="408">
        <v>0.1</v>
      </c>
      <c r="V32" s="408">
        <v>-0.1</v>
      </c>
      <c r="W32" s="408">
        <v>-4.9000000000000002E-2</v>
      </c>
      <c r="X32" s="408">
        <v>-4.4000000000000004</v>
      </c>
      <c r="Y32" s="408">
        <v>-2.7</v>
      </c>
      <c r="Z32" s="408">
        <v>-7.1</v>
      </c>
      <c r="AA32" s="408">
        <v>-0.1</v>
      </c>
    </row>
    <row r="33" spans="1:27">
      <c r="A33">
        <v>26</v>
      </c>
      <c r="B33" s="1" t="s">
        <v>536</v>
      </c>
      <c r="C33" s="5" t="s">
        <v>26</v>
      </c>
      <c r="D33" s="408">
        <v>22</v>
      </c>
      <c r="E33" s="5" t="s">
        <v>311</v>
      </c>
      <c r="F33" s="408">
        <v>47</v>
      </c>
      <c r="G33" s="408">
        <v>554</v>
      </c>
      <c r="H33" s="408">
        <v>5.5</v>
      </c>
      <c r="I33" s="408">
        <v>0.42699999999999999</v>
      </c>
      <c r="J33" s="408">
        <v>0.26800000000000002</v>
      </c>
      <c r="K33" s="408">
        <v>0.127</v>
      </c>
      <c r="L33" s="408">
        <v>0.8</v>
      </c>
      <c r="M33" s="408">
        <v>19.8</v>
      </c>
      <c r="N33" s="408">
        <v>10</v>
      </c>
      <c r="O33" s="408">
        <v>6.6</v>
      </c>
      <c r="P33" s="408">
        <v>1.1000000000000001</v>
      </c>
      <c r="Q33" s="408">
        <v>0.3</v>
      </c>
      <c r="R33" s="408">
        <v>9.6</v>
      </c>
      <c r="S33" s="408">
        <v>13</v>
      </c>
      <c r="T33" s="408">
        <v>-0.5</v>
      </c>
      <c r="U33" s="408">
        <v>0.4</v>
      </c>
      <c r="V33" s="408">
        <v>-0.1</v>
      </c>
      <c r="W33" s="408">
        <v>-7.0000000000000001E-3</v>
      </c>
      <c r="X33" s="408">
        <v>-5.6</v>
      </c>
      <c r="Y33" s="408">
        <v>-0.4</v>
      </c>
      <c r="Z33" s="408">
        <v>-6</v>
      </c>
      <c r="AA33" s="408">
        <v>-0.6</v>
      </c>
    </row>
    <row r="34" spans="1:27">
      <c r="A34">
        <v>27</v>
      </c>
      <c r="B34" s="1" t="s">
        <v>523</v>
      </c>
      <c r="C34" s="5" t="s">
        <v>26</v>
      </c>
      <c r="D34" s="408">
        <v>24</v>
      </c>
      <c r="E34" s="5" t="s">
        <v>21</v>
      </c>
      <c r="F34" s="408">
        <v>29</v>
      </c>
      <c r="G34" s="408">
        <v>385</v>
      </c>
      <c r="H34" s="408">
        <v>9.3000000000000007</v>
      </c>
      <c r="I34" s="408">
        <v>0.504</v>
      </c>
      <c r="J34" s="408">
        <v>0.55900000000000005</v>
      </c>
      <c r="K34" s="408">
        <v>0.441</v>
      </c>
      <c r="L34" s="408">
        <v>1.5</v>
      </c>
      <c r="M34" s="408">
        <v>7.2</v>
      </c>
      <c r="N34" s="408">
        <v>4.3</v>
      </c>
      <c r="O34" s="408">
        <v>15.5</v>
      </c>
      <c r="P34" s="408">
        <v>3.3</v>
      </c>
      <c r="Q34" s="408">
        <v>1.4</v>
      </c>
      <c r="R34" s="408">
        <v>20.399999999999999</v>
      </c>
      <c r="S34" s="408">
        <v>10</v>
      </c>
      <c r="T34" s="408">
        <v>0.1</v>
      </c>
      <c r="U34" s="408">
        <v>0.4</v>
      </c>
      <c r="V34" s="408">
        <v>0.5</v>
      </c>
      <c r="W34" s="408">
        <v>6.2E-2</v>
      </c>
      <c r="X34" s="408">
        <v>-1.8</v>
      </c>
      <c r="Y34" s="408">
        <v>1</v>
      </c>
      <c r="Z34" s="408">
        <v>-0.8</v>
      </c>
      <c r="AA34" s="408">
        <v>0.1</v>
      </c>
    </row>
    <row r="35" spans="1:27">
      <c r="A35">
        <v>28</v>
      </c>
      <c r="B35" s="1" t="s">
        <v>753</v>
      </c>
      <c r="C35" s="5" t="s">
        <v>20</v>
      </c>
      <c r="D35" s="408">
        <v>21</v>
      </c>
      <c r="E35" s="5" t="s">
        <v>96</v>
      </c>
      <c r="F35" s="408">
        <v>1</v>
      </c>
      <c r="G35" s="408">
        <v>3</v>
      </c>
      <c r="H35" s="408">
        <v>-10.8</v>
      </c>
      <c r="I35" s="408">
        <v>0.56799999999999995</v>
      </c>
      <c r="J35" s="408"/>
      <c r="K35" s="408"/>
      <c r="L35" s="408">
        <v>0</v>
      </c>
      <c r="M35" s="408">
        <v>35.9</v>
      </c>
      <c r="N35" s="408">
        <v>18.2</v>
      </c>
      <c r="O35" s="408">
        <v>0</v>
      </c>
      <c r="P35" s="408">
        <v>0</v>
      </c>
      <c r="Q35" s="408">
        <v>0</v>
      </c>
      <c r="R35" s="408">
        <v>53.2</v>
      </c>
      <c r="S35" s="408">
        <v>27.5</v>
      </c>
      <c r="T35" s="408">
        <v>0</v>
      </c>
      <c r="U35" s="408">
        <v>0</v>
      </c>
      <c r="V35" s="408">
        <v>0</v>
      </c>
      <c r="W35" s="408">
        <v>-0.32100000000000001</v>
      </c>
      <c r="X35" s="408">
        <v>-21.4</v>
      </c>
      <c r="Y35" s="408">
        <v>-5</v>
      </c>
      <c r="Z35" s="408">
        <v>-26.4</v>
      </c>
      <c r="AA35" s="408">
        <v>0</v>
      </c>
    </row>
    <row r="36" spans="1:27">
      <c r="A36">
        <v>29</v>
      </c>
      <c r="B36" s="1" t="s">
        <v>346</v>
      </c>
      <c r="C36" s="5" t="s">
        <v>20</v>
      </c>
      <c r="D36" s="408">
        <v>20</v>
      </c>
      <c r="E36" s="5" t="s">
        <v>78</v>
      </c>
      <c r="F36" s="408">
        <v>48</v>
      </c>
      <c r="G36" s="408">
        <v>1627</v>
      </c>
      <c r="H36" s="408">
        <v>12.5</v>
      </c>
      <c r="I36" s="408">
        <v>0.44400000000000001</v>
      </c>
      <c r="J36" s="408">
        <v>0.52400000000000002</v>
      </c>
      <c r="K36" s="408">
        <v>0.121</v>
      </c>
      <c r="L36" s="408">
        <v>4</v>
      </c>
      <c r="M36" s="408">
        <v>17.5</v>
      </c>
      <c r="N36" s="408">
        <v>10.7</v>
      </c>
      <c r="O36" s="408">
        <v>28.6</v>
      </c>
      <c r="P36" s="408">
        <v>2.5</v>
      </c>
      <c r="Q36" s="408">
        <v>2</v>
      </c>
      <c r="R36" s="408">
        <v>18.899999999999999</v>
      </c>
      <c r="S36" s="408">
        <v>17.5</v>
      </c>
      <c r="T36" s="408">
        <v>-0.6</v>
      </c>
      <c r="U36" s="408">
        <v>2.2999999999999998</v>
      </c>
      <c r="V36" s="408">
        <v>1.7</v>
      </c>
      <c r="W36" s="408">
        <v>0.05</v>
      </c>
      <c r="X36" s="408">
        <v>-1</v>
      </c>
      <c r="Y36" s="408">
        <v>2.5</v>
      </c>
      <c r="Z36" s="408">
        <v>1.5</v>
      </c>
      <c r="AA36" s="408">
        <v>1.4</v>
      </c>
    </row>
    <row r="37" spans="1:27">
      <c r="A37">
        <v>30</v>
      </c>
      <c r="B37" s="1" t="s">
        <v>368</v>
      </c>
      <c r="C37" s="5" t="s">
        <v>20</v>
      </c>
      <c r="D37" s="408">
        <v>33</v>
      </c>
      <c r="E37" s="5" t="s">
        <v>33</v>
      </c>
      <c r="F37" s="408">
        <v>64</v>
      </c>
      <c r="G37" s="408">
        <v>1492</v>
      </c>
      <c r="H37" s="408">
        <v>17.5</v>
      </c>
      <c r="I37" s="408">
        <v>0.54</v>
      </c>
      <c r="J37" s="408">
        <v>0.45800000000000002</v>
      </c>
      <c r="K37" s="408">
        <v>0.156</v>
      </c>
      <c r="L37" s="408">
        <v>0.9</v>
      </c>
      <c r="M37" s="408">
        <v>13.6</v>
      </c>
      <c r="N37" s="408">
        <v>7.1</v>
      </c>
      <c r="O37" s="408">
        <v>44.8</v>
      </c>
      <c r="P37" s="408">
        <v>1.1000000000000001</v>
      </c>
      <c r="Q37" s="408">
        <v>0.2</v>
      </c>
      <c r="R37" s="408">
        <v>16.399999999999999</v>
      </c>
      <c r="S37" s="408">
        <v>24.9</v>
      </c>
      <c r="T37" s="408">
        <v>1.9</v>
      </c>
      <c r="U37" s="408">
        <v>1</v>
      </c>
      <c r="V37" s="408">
        <v>2.9</v>
      </c>
      <c r="W37" s="408">
        <v>9.4E-2</v>
      </c>
      <c r="X37" s="408">
        <v>2.2000000000000002</v>
      </c>
      <c r="Y37" s="408">
        <v>-2.2000000000000002</v>
      </c>
      <c r="Z37" s="408">
        <v>0</v>
      </c>
      <c r="AA37" s="408">
        <v>0.8</v>
      </c>
    </row>
    <row r="38" spans="1:27">
      <c r="A38">
        <v>31</v>
      </c>
      <c r="B38" s="1" t="s">
        <v>390</v>
      </c>
      <c r="C38" s="5" t="s">
        <v>38</v>
      </c>
      <c r="D38" s="408">
        <v>25</v>
      </c>
      <c r="E38" s="5" t="s">
        <v>33</v>
      </c>
      <c r="F38" s="408">
        <v>67</v>
      </c>
      <c r="G38" s="408">
        <v>2295</v>
      </c>
      <c r="H38" s="408">
        <v>16.100000000000001</v>
      </c>
      <c r="I38" s="408">
        <v>0.54100000000000004</v>
      </c>
      <c r="J38" s="408">
        <v>0.25700000000000001</v>
      </c>
      <c r="K38" s="408">
        <v>0.27500000000000002</v>
      </c>
      <c r="L38" s="408">
        <v>3.3</v>
      </c>
      <c r="M38" s="408">
        <v>17.899999999999999</v>
      </c>
      <c r="N38" s="408">
        <v>10.4</v>
      </c>
      <c r="O38" s="408">
        <v>9.6999999999999993</v>
      </c>
      <c r="P38" s="408">
        <v>1</v>
      </c>
      <c r="Q38" s="408">
        <v>0.5</v>
      </c>
      <c r="R38" s="408">
        <v>8.1</v>
      </c>
      <c r="S38" s="408">
        <v>25</v>
      </c>
      <c r="T38" s="408">
        <v>1.9</v>
      </c>
      <c r="U38" s="408">
        <v>1.8</v>
      </c>
      <c r="V38" s="408">
        <v>3.7</v>
      </c>
      <c r="W38" s="408">
        <v>7.6999999999999999E-2</v>
      </c>
      <c r="X38" s="408">
        <v>-0.7</v>
      </c>
      <c r="Y38" s="408">
        <v>-1.2</v>
      </c>
      <c r="Z38" s="408">
        <v>-1.9</v>
      </c>
      <c r="AA38" s="408">
        <v>0.1</v>
      </c>
    </row>
    <row r="39" spans="1:27">
      <c r="A39">
        <v>32</v>
      </c>
      <c r="B39" s="1" t="s">
        <v>230</v>
      </c>
      <c r="C39" s="5" t="s">
        <v>26</v>
      </c>
      <c r="D39" s="408">
        <v>27</v>
      </c>
      <c r="E39" s="5" t="s">
        <v>61</v>
      </c>
      <c r="F39" s="408">
        <v>70</v>
      </c>
      <c r="G39" s="408">
        <v>2281</v>
      </c>
      <c r="H39" s="408">
        <v>15.7</v>
      </c>
      <c r="I39" s="408">
        <v>0.55100000000000005</v>
      </c>
      <c r="J39" s="408">
        <v>0.40699999999999997</v>
      </c>
      <c r="K39" s="408">
        <v>0.21</v>
      </c>
      <c r="L39" s="408">
        <v>3</v>
      </c>
      <c r="M39" s="408">
        <v>14.2</v>
      </c>
      <c r="N39" s="408">
        <v>8.6</v>
      </c>
      <c r="O39" s="408">
        <v>18.8</v>
      </c>
      <c r="P39" s="408">
        <v>1.6</v>
      </c>
      <c r="Q39" s="408">
        <v>1.7</v>
      </c>
      <c r="R39" s="408">
        <v>12.1</v>
      </c>
      <c r="S39" s="408">
        <v>20.6</v>
      </c>
      <c r="T39" s="408">
        <v>3.2</v>
      </c>
      <c r="U39" s="408">
        <v>1.6</v>
      </c>
      <c r="V39" s="408">
        <v>4.8</v>
      </c>
      <c r="W39" s="408">
        <v>0.10100000000000001</v>
      </c>
      <c r="X39" s="408">
        <v>1.2</v>
      </c>
      <c r="Y39" s="408">
        <v>-0.5</v>
      </c>
      <c r="Z39" s="408">
        <v>0.7</v>
      </c>
      <c r="AA39" s="408">
        <v>1.6</v>
      </c>
    </row>
    <row r="40" spans="1:27">
      <c r="A40">
        <v>33</v>
      </c>
      <c r="B40" s="1" t="s">
        <v>395</v>
      </c>
      <c r="C40" s="5" t="s">
        <v>26</v>
      </c>
      <c r="D40" s="408">
        <v>29</v>
      </c>
      <c r="E40" s="5" t="s">
        <v>311</v>
      </c>
      <c r="F40" s="408">
        <v>56</v>
      </c>
      <c r="G40" s="408">
        <v>1786</v>
      </c>
      <c r="H40" s="408">
        <v>14.5</v>
      </c>
      <c r="I40" s="408">
        <v>0.52100000000000002</v>
      </c>
      <c r="J40" s="408">
        <v>0.42299999999999999</v>
      </c>
      <c r="K40" s="408">
        <v>0.189</v>
      </c>
      <c r="L40" s="408">
        <v>3</v>
      </c>
      <c r="M40" s="408">
        <v>14.1</v>
      </c>
      <c r="N40" s="408">
        <v>8.4</v>
      </c>
      <c r="O40" s="408">
        <v>26.1</v>
      </c>
      <c r="P40" s="408">
        <v>1.7</v>
      </c>
      <c r="Q40" s="408">
        <v>0.9</v>
      </c>
      <c r="R40" s="408">
        <v>15</v>
      </c>
      <c r="S40" s="408">
        <v>18.399999999999999</v>
      </c>
      <c r="T40" s="408">
        <v>1.5</v>
      </c>
      <c r="U40" s="408">
        <v>1.6</v>
      </c>
      <c r="V40" s="408">
        <v>3.1</v>
      </c>
      <c r="W40" s="408">
        <v>8.3000000000000004E-2</v>
      </c>
      <c r="X40" s="408">
        <v>0.9</v>
      </c>
      <c r="Y40" s="408">
        <v>0.5</v>
      </c>
      <c r="Z40" s="408">
        <v>1.3</v>
      </c>
      <c r="AA40" s="408">
        <v>1.5</v>
      </c>
    </row>
    <row r="41" spans="1:27">
      <c r="A41">
        <v>34</v>
      </c>
      <c r="B41" s="1" t="s">
        <v>383</v>
      </c>
      <c r="C41" s="5" t="s">
        <v>26</v>
      </c>
      <c r="D41" s="408">
        <v>29</v>
      </c>
      <c r="E41" s="5" t="s">
        <v>118</v>
      </c>
      <c r="F41" s="408">
        <v>39</v>
      </c>
      <c r="G41" s="408">
        <v>925</v>
      </c>
      <c r="H41" s="408">
        <v>7.6</v>
      </c>
      <c r="I41" s="408">
        <v>0.54600000000000004</v>
      </c>
      <c r="J41" s="408">
        <v>0.55700000000000005</v>
      </c>
      <c r="K41" s="408">
        <v>0.16800000000000001</v>
      </c>
      <c r="L41" s="408">
        <v>1.8</v>
      </c>
      <c r="M41" s="408">
        <v>7.4</v>
      </c>
      <c r="N41" s="408">
        <v>4.7</v>
      </c>
      <c r="O41" s="408">
        <v>8.1999999999999993</v>
      </c>
      <c r="P41" s="408">
        <v>1.2</v>
      </c>
      <c r="Q41" s="408">
        <v>0.5</v>
      </c>
      <c r="R41" s="408">
        <v>14.1</v>
      </c>
      <c r="S41" s="408">
        <v>15.2</v>
      </c>
      <c r="T41" s="408">
        <v>0.2</v>
      </c>
      <c r="U41" s="408">
        <v>0.8</v>
      </c>
      <c r="V41" s="408">
        <v>1</v>
      </c>
      <c r="W41" s="408">
        <v>5.0999999999999997E-2</v>
      </c>
      <c r="X41" s="408">
        <v>-1.7</v>
      </c>
      <c r="Y41" s="408">
        <v>-1.2</v>
      </c>
      <c r="Z41" s="408">
        <v>-3</v>
      </c>
      <c r="AA41" s="408">
        <v>-0.2</v>
      </c>
    </row>
    <row r="42" spans="1:27">
      <c r="A42">
        <v>35</v>
      </c>
      <c r="B42" s="1" t="s">
        <v>145</v>
      </c>
      <c r="C42" s="5" t="s">
        <v>83</v>
      </c>
      <c r="D42" s="408">
        <v>31</v>
      </c>
      <c r="E42" s="5" t="s">
        <v>87</v>
      </c>
      <c r="F42" s="408">
        <v>69</v>
      </c>
      <c r="G42" s="408">
        <v>1238</v>
      </c>
      <c r="H42" s="408">
        <v>11.4</v>
      </c>
      <c r="I42" s="408">
        <v>0.495</v>
      </c>
      <c r="J42" s="408">
        <v>3.1E-2</v>
      </c>
      <c r="K42" s="408">
        <v>0.20699999999999999</v>
      </c>
      <c r="L42" s="408">
        <v>9.3000000000000007</v>
      </c>
      <c r="M42" s="408">
        <v>22.4</v>
      </c>
      <c r="N42" s="408">
        <v>15.9</v>
      </c>
      <c r="O42" s="408">
        <v>8.8000000000000007</v>
      </c>
      <c r="P42" s="408">
        <v>0.7</v>
      </c>
      <c r="Q42" s="408">
        <v>3.1</v>
      </c>
      <c r="R42" s="408">
        <v>14.8</v>
      </c>
      <c r="S42" s="408">
        <v>16.5</v>
      </c>
      <c r="T42" s="408">
        <v>0.1</v>
      </c>
      <c r="U42" s="408">
        <v>2.2000000000000002</v>
      </c>
      <c r="V42" s="408">
        <v>2.2999999999999998</v>
      </c>
      <c r="W42" s="408">
        <v>9.0999999999999998E-2</v>
      </c>
      <c r="X42" s="408">
        <v>-4.5</v>
      </c>
      <c r="Y42" s="408">
        <v>2.2999999999999998</v>
      </c>
      <c r="Z42" s="408">
        <v>-2.1</v>
      </c>
      <c r="AA42" s="408">
        <v>0</v>
      </c>
    </row>
    <row r="43" spans="1:27">
      <c r="A43">
        <v>36</v>
      </c>
      <c r="B43" s="1" t="s">
        <v>382</v>
      </c>
      <c r="C43" s="5" t="s">
        <v>26</v>
      </c>
      <c r="D43" s="408">
        <v>28</v>
      </c>
      <c r="E43" s="5" t="s">
        <v>149</v>
      </c>
      <c r="F43" s="408">
        <v>65</v>
      </c>
      <c r="G43" s="408">
        <v>1789</v>
      </c>
      <c r="H43" s="408">
        <v>14.5</v>
      </c>
      <c r="I43" s="408">
        <v>0.54700000000000004</v>
      </c>
      <c r="J43" s="408">
        <v>0.40500000000000003</v>
      </c>
      <c r="K43" s="408">
        <v>0.29699999999999999</v>
      </c>
      <c r="L43" s="408">
        <v>1.6</v>
      </c>
      <c r="M43" s="408">
        <v>14.2</v>
      </c>
      <c r="N43" s="408">
        <v>7.8</v>
      </c>
      <c r="O43" s="408">
        <v>20.100000000000001</v>
      </c>
      <c r="P43" s="408">
        <v>2.7</v>
      </c>
      <c r="Q43" s="408">
        <v>2.2000000000000002</v>
      </c>
      <c r="R43" s="408">
        <v>17</v>
      </c>
      <c r="S43" s="408">
        <v>22.5</v>
      </c>
      <c r="T43" s="408">
        <v>0.3</v>
      </c>
      <c r="U43" s="408">
        <v>1.8</v>
      </c>
      <c r="V43" s="408">
        <v>2.1</v>
      </c>
      <c r="W43" s="408">
        <v>5.7000000000000002E-2</v>
      </c>
      <c r="X43" s="408">
        <v>-0.6</v>
      </c>
      <c r="Y43" s="408">
        <v>0.9</v>
      </c>
      <c r="Z43" s="408">
        <v>0.3</v>
      </c>
      <c r="AA43" s="408">
        <v>1</v>
      </c>
    </row>
    <row r="44" spans="1:27">
      <c r="A44">
        <v>37</v>
      </c>
      <c r="B44" s="1" t="s">
        <v>318</v>
      </c>
      <c r="C44" s="5" t="s">
        <v>26</v>
      </c>
      <c r="D44" s="408">
        <v>24</v>
      </c>
      <c r="E44" s="5" t="s">
        <v>27</v>
      </c>
      <c r="F44" s="408">
        <v>70</v>
      </c>
      <c r="G44" s="408">
        <v>2552</v>
      </c>
      <c r="H44" s="408">
        <v>19.100000000000001</v>
      </c>
      <c r="I44" s="408">
        <v>0.56599999999999995</v>
      </c>
      <c r="J44" s="408">
        <v>0.35099999999999998</v>
      </c>
      <c r="K44" s="408">
        <v>0.255</v>
      </c>
      <c r="L44" s="408">
        <v>2.5</v>
      </c>
      <c r="M44" s="408">
        <v>11.5</v>
      </c>
      <c r="N44" s="408">
        <v>7</v>
      </c>
      <c r="O44" s="408">
        <v>21.7</v>
      </c>
      <c r="P44" s="408">
        <v>1.6</v>
      </c>
      <c r="Q44" s="408">
        <v>1.1000000000000001</v>
      </c>
      <c r="R44" s="408">
        <v>11.3</v>
      </c>
      <c r="S44" s="408">
        <v>28.1</v>
      </c>
      <c r="T44" s="408">
        <v>4.2</v>
      </c>
      <c r="U44" s="408">
        <v>2.2000000000000002</v>
      </c>
      <c r="V44" s="408">
        <v>6.4</v>
      </c>
      <c r="W44" s="408">
        <v>0.12</v>
      </c>
      <c r="X44" s="408">
        <v>3</v>
      </c>
      <c r="Y44" s="408">
        <v>-1</v>
      </c>
      <c r="Z44" s="408">
        <v>2.1</v>
      </c>
      <c r="AA44" s="408">
        <v>2.6</v>
      </c>
    </row>
    <row r="45" spans="1:27">
      <c r="A45">
        <v>38</v>
      </c>
      <c r="B45" s="1" t="s">
        <v>520</v>
      </c>
      <c r="C45" s="5" t="s">
        <v>26</v>
      </c>
      <c r="D45" s="408">
        <v>21</v>
      </c>
      <c r="E45" s="5" t="s">
        <v>61</v>
      </c>
      <c r="F45" s="408">
        <v>58</v>
      </c>
      <c r="G45" s="408">
        <v>562</v>
      </c>
      <c r="H45" s="408">
        <v>8.6999999999999993</v>
      </c>
      <c r="I45" s="408">
        <v>0.498</v>
      </c>
      <c r="J45" s="408">
        <v>0.45100000000000001</v>
      </c>
      <c r="K45" s="408">
        <v>0.16800000000000001</v>
      </c>
      <c r="L45" s="408">
        <v>2.8</v>
      </c>
      <c r="M45" s="408">
        <v>11.5</v>
      </c>
      <c r="N45" s="408">
        <v>7.1</v>
      </c>
      <c r="O45" s="408">
        <v>7.5</v>
      </c>
      <c r="P45" s="408">
        <v>1.3</v>
      </c>
      <c r="Q45" s="408">
        <v>0.9</v>
      </c>
      <c r="R45" s="408">
        <v>11</v>
      </c>
      <c r="S45" s="408">
        <v>16.100000000000001</v>
      </c>
      <c r="T45" s="408">
        <v>0</v>
      </c>
      <c r="U45" s="408">
        <v>0.3</v>
      </c>
      <c r="V45" s="408">
        <v>0.3</v>
      </c>
      <c r="W45" s="408">
        <v>2.3E-2</v>
      </c>
      <c r="X45" s="408">
        <v>-3</v>
      </c>
      <c r="Y45" s="408">
        <v>-2.4</v>
      </c>
      <c r="Z45" s="408">
        <v>-5.3</v>
      </c>
      <c r="AA45" s="408">
        <v>-0.5</v>
      </c>
    </row>
    <row r="46" spans="1:27">
      <c r="A46">
        <v>39</v>
      </c>
      <c r="B46" s="1" t="s">
        <v>211</v>
      </c>
      <c r="C46" s="5" t="s">
        <v>38</v>
      </c>
      <c r="D46" s="408">
        <v>29</v>
      </c>
      <c r="E46" s="5" t="s">
        <v>21</v>
      </c>
      <c r="F46" s="408">
        <v>64</v>
      </c>
      <c r="G46" s="408">
        <v>1391</v>
      </c>
      <c r="H46" s="408">
        <v>17.5</v>
      </c>
      <c r="I46" s="408">
        <v>0.55400000000000005</v>
      </c>
      <c r="J46" s="408">
        <v>9.4E-2</v>
      </c>
      <c r="K46" s="408">
        <v>0.21299999999999999</v>
      </c>
      <c r="L46" s="408">
        <v>6.9</v>
      </c>
      <c r="M46" s="408">
        <v>21.1</v>
      </c>
      <c r="N46" s="408">
        <v>14.1</v>
      </c>
      <c r="O46" s="408">
        <v>12.2</v>
      </c>
      <c r="P46" s="408">
        <v>1</v>
      </c>
      <c r="Q46" s="408">
        <v>2.2999999999999998</v>
      </c>
      <c r="R46" s="408">
        <v>14.3</v>
      </c>
      <c r="S46" s="408">
        <v>26.7</v>
      </c>
      <c r="T46" s="408">
        <v>0.7</v>
      </c>
      <c r="U46" s="408">
        <v>1.3</v>
      </c>
      <c r="V46" s="408">
        <v>2</v>
      </c>
      <c r="W46" s="408">
        <v>6.9000000000000006E-2</v>
      </c>
      <c r="X46" s="408">
        <v>-1.2</v>
      </c>
      <c r="Y46" s="408">
        <v>-0.5</v>
      </c>
      <c r="Z46" s="408">
        <v>-1.7</v>
      </c>
      <c r="AA46" s="408">
        <v>0.1</v>
      </c>
    </row>
    <row r="47" spans="1:27">
      <c r="A47">
        <v>40</v>
      </c>
      <c r="B47" s="1" t="s">
        <v>14</v>
      </c>
      <c r="C47" s="5" t="s">
        <v>26</v>
      </c>
      <c r="D47" s="408">
        <v>31</v>
      </c>
      <c r="E47" s="5" t="s">
        <v>357</v>
      </c>
      <c r="F47" s="408">
        <v>67</v>
      </c>
      <c r="G47" s="408">
        <v>1596</v>
      </c>
      <c r="H47" s="408">
        <v>13.3</v>
      </c>
      <c r="I47" s="408">
        <v>0.56100000000000005</v>
      </c>
      <c r="J47" s="408">
        <v>0.50900000000000001</v>
      </c>
      <c r="K47" s="408">
        <v>0.21199999999999999</v>
      </c>
      <c r="L47" s="408">
        <v>1.2</v>
      </c>
      <c r="M47" s="408">
        <v>7.3</v>
      </c>
      <c r="N47" s="408">
        <v>4.3</v>
      </c>
      <c r="O47" s="408">
        <v>11.7</v>
      </c>
      <c r="P47" s="408">
        <v>1.6</v>
      </c>
      <c r="Q47" s="408">
        <v>0.3</v>
      </c>
      <c r="R47" s="408">
        <v>9.5</v>
      </c>
      <c r="S47" s="408">
        <v>20.399999999999999</v>
      </c>
      <c r="T47" s="408">
        <v>1.6</v>
      </c>
      <c r="U47" s="408">
        <v>0.8</v>
      </c>
      <c r="V47" s="408">
        <v>2.4</v>
      </c>
      <c r="W47" s="408">
        <v>7.2999999999999995E-2</v>
      </c>
      <c r="X47" s="408">
        <v>0.3</v>
      </c>
      <c r="Y47" s="408">
        <v>-2.5</v>
      </c>
      <c r="Z47" s="408">
        <v>-2.2000000000000002</v>
      </c>
      <c r="AA47" s="408">
        <v>-0.1</v>
      </c>
    </row>
    <row r="48" spans="1:27">
      <c r="A48">
        <v>40</v>
      </c>
      <c r="B48" s="1" t="s">
        <v>14</v>
      </c>
      <c r="C48" s="5" t="s">
        <v>26</v>
      </c>
      <c r="D48" s="408">
        <v>31</v>
      </c>
      <c r="E48" s="5" t="s">
        <v>149</v>
      </c>
      <c r="F48" s="408">
        <v>52</v>
      </c>
      <c r="G48" s="408">
        <v>1210</v>
      </c>
      <c r="H48" s="408">
        <v>14.1</v>
      </c>
      <c r="I48" s="408">
        <v>0.55500000000000005</v>
      </c>
      <c r="J48" s="408">
        <v>0.51</v>
      </c>
      <c r="K48" s="408">
        <v>0.22500000000000001</v>
      </c>
      <c r="L48" s="408">
        <v>1.2</v>
      </c>
      <c r="M48" s="408">
        <v>8.1</v>
      </c>
      <c r="N48" s="408">
        <v>4.5999999999999996</v>
      </c>
      <c r="O48" s="408">
        <v>13.5</v>
      </c>
      <c r="P48" s="408">
        <v>1.9</v>
      </c>
      <c r="Q48" s="408">
        <v>0.2</v>
      </c>
      <c r="R48" s="408">
        <v>9.1999999999999993</v>
      </c>
      <c r="S48" s="408">
        <v>21.2</v>
      </c>
      <c r="T48" s="408">
        <v>1.3</v>
      </c>
      <c r="U48" s="408">
        <v>0.5</v>
      </c>
      <c r="V48" s="408">
        <v>1.9</v>
      </c>
      <c r="W48" s="408">
        <v>7.3999999999999996E-2</v>
      </c>
      <c r="X48" s="408">
        <v>0.7</v>
      </c>
      <c r="Y48" s="408">
        <v>-2.5</v>
      </c>
      <c r="Z48" s="408">
        <v>-1.8</v>
      </c>
      <c r="AA48" s="408">
        <v>0.1</v>
      </c>
    </row>
    <row r="49" spans="1:27">
      <c r="A49">
        <v>40</v>
      </c>
      <c r="B49" s="1" t="s">
        <v>14</v>
      </c>
      <c r="C49" s="5" t="s">
        <v>26</v>
      </c>
      <c r="D49" s="408">
        <v>31</v>
      </c>
      <c r="E49" s="5" t="s">
        <v>118</v>
      </c>
      <c r="F49" s="408">
        <v>15</v>
      </c>
      <c r="G49" s="408">
        <v>386</v>
      </c>
      <c r="H49" s="408">
        <v>10.5</v>
      </c>
      <c r="I49" s="408">
        <v>0.58099999999999996</v>
      </c>
      <c r="J49" s="408">
        <v>0.504</v>
      </c>
      <c r="K49" s="408">
        <v>0.16300000000000001</v>
      </c>
      <c r="L49" s="408">
        <v>1.2</v>
      </c>
      <c r="M49" s="408">
        <v>4.9000000000000004</v>
      </c>
      <c r="N49" s="408">
        <v>3.1</v>
      </c>
      <c r="O49" s="408">
        <v>5.8</v>
      </c>
      <c r="P49" s="408">
        <v>0.9</v>
      </c>
      <c r="Q49" s="408">
        <v>0.6</v>
      </c>
      <c r="R49" s="408">
        <v>10.5</v>
      </c>
      <c r="S49" s="408">
        <v>18</v>
      </c>
      <c r="T49" s="408">
        <v>0.3</v>
      </c>
      <c r="U49" s="408">
        <v>0.3</v>
      </c>
      <c r="V49" s="408">
        <v>0.6</v>
      </c>
      <c r="W49" s="408">
        <v>7.0000000000000007E-2</v>
      </c>
      <c r="X49" s="408">
        <v>-0.9</v>
      </c>
      <c r="Y49" s="408">
        <v>-2.6</v>
      </c>
      <c r="Z49" s="408">
        <v>-3.5</v>
      </c>
      <c r="AA49" s="408">
        <v>-0.1</v>
      </c>
    </row>
    <row r="50" spans="1:27">
      <c r="A50">
        <v>41</v>
      </c>
      <c r="B50" s="1" t="s">
        <v>577</v>
      </c>
      <c r="C50" s="5" t="s">
        <v>83</v>
      </c>
      <c r="D50" s="408">
        <v>23</v>
      </c>
      <c r="E50" s="5" t="s">
        <v>73</v>
      </c>
      <c r="F50" s="408">
        <v>46</v>
      </c>
      <c r="G50" s="408">
        <v>655</v>
      </c>
      <c r="H50" s="408">
        <v>18.100000000000001</v>
      </c>
      <c r="I50" s="408">
        <v>0.65900000000000003</v>
      </c>
      <c r="J50" s="408">
        <v>2.1000000000000001E-2</v>
      </c>
      <c r="K50" s="408">
        <v>0.26700000000000002</v>
      </c>
      <c r="L50" s="408">
        <v>9.1</v>
      </c>
      <c r="M50" s="408">
        <v>18.7</v>
      </c>
      <c r="N50" s="408">
        <v>14.3</v>
      </c>
      <c r="O50" s="408">
        <v>16.7</v>
      </c>
      <c r="P50" s="408">
        <v>2.2000000000000002</v>
      </c>
      <c r="Q50" s="408">
        <v>5.8</v>
      </c>
      <c r="R50" s="408">
        <v>20.9</v>
      </c>
      <c r="S50" s="408">
        <v>13.8</v>
      </c>
      <c r="T50" s="408">
        <v>1.3</v>
      </c>
      <c r="U50" s="408">
        <v>1.2</v>
      </c>
      <c r="V50" s="408">
        <v>2.5</v>
      </c>
      <c r="W50" s="408">
        <v>0.184</v>
      </c>
      <c r="X50" s="408">
        <v>0.3</v>
      </c>
      <c r="Y50" s="408">
        <v>4.0999999999999996</v>
      </c>
      <c r="Z50" s="408">
        <v>4.4000000000000004</v>
      </c>
      <c r="AA50" s="408">
        <v>1.1000000000000001</v>
      </c>
    </row>
    <row r="51" spans="1:27">
      <c r="A51">
        <v>42</v>
      </c>
      <c r="B51" s="1" t="s">
        <v>528</v>
      </c>
      <c r="C51" s="5" t="s">
        <v>46</v>
      </c>
      <c r="D51" s="408">
        <v>23</v>
      </c>
      <c r="E51" s="5" t="s">
        <v>149</v>
      </c>
      <c r="F51" s="408">
        <v>21</v>
      </c>
      <c r="G51" s="408">
        <v>364</v>
      </c>
      <c r="H51" s="408">
        <v>5.7</v>
      </c>
      <c r="I51" s="408">
        <v>0.46</v>
      </c>
      <c r="J51" s="408">
        <v>0.23799999999999999</v>
      </c>
      <c r="K51" s="408">
        <v>0.248</v>
      </c>
      <c r="L51" s="408">
        <v>2.5</v>
      </c>
      <c r="M51" s="408">
        <v>15</v>
      </c>
      <c r="N51" s="408">
        <v>8.6999999999999993</v>
      </c>
      <c r="O51" s="408">
        <v>12.4</v>
      </c>
      <c r="P51" s="408">
        <v>1.7</v>
      </c>
      <c r="Q51" s="408">
        <v>2.4</v>
      </c>
      <c r="R51" s="408">
        <v>25.3</v>
      </c>
      <c r="S51" s="408">
        <v>18</v>
      </c>
      <c r="T51" s="408">
        <v>-0.8</v>
      </c>
      <c r="U51" s="408">
        <v>0.3</v>
      </c>
      <c r="V51" s="408">
        <v>-0.5</v>
      </c>
      <c r="W51" s="408">
        <v>-7.0000000000000007E-2</v>
      </c>
      <c r="X51" s="408">
        <v>-6.8</v>
      </c>
      <c r="Y51" s="408">
        <v>0.8</v>
      </c>
      <c r="Z51" s="408">
        <v>-6</v>
      </c>
      <c r="AA51" s="408">
        <v>-0.4</v>
      </c>
    </row>
    <row r="52" spans="1:27">
      <c r="A52">
        <v>43</v>
      </c>
      <c r="B52" s="1" t="s">
        <v>402</v>
      </c>
      <c r="C52" s="5" t="s">
        <v>38</v>
      </c>
      <c r="D52" s="408">
        <v>20</v>
      </c>
      <c r="E52" s="5" t="s">
        <v>313</v>
      </c>
      <c r="F52" s="408">
        <v>71</v>
      </c>
      <c r="G52" s="408">
        <v>1741</v>
      </c>
      <c r="H52" s="408">
        <v>6.9</v>
      </c>
      <c r="I52" s="408">
        <v>0.52500000000000002</v>
      </c>
      <c r="J52" s="408">
        <v>0.66300000000000003</v>
      </c>
      <c r="K52" s="408">
        <v>0.11</v>
      </c>
      <c r="L52" s="408">
        <v>1.8</v>
      </c>
      <c r="M52" s="408">
        <v>15.7</v>
      </c>
      <c r="N52" s="408">
        <v>8.6</v>
      </c>
      <c r="O52" s="408">
        <v>9.1999999999999993</v>
      </c>
      <c r="P52" s="408">
        <v>0.5</v>
      </c>
      <c r="Q52" s="408">
        <v>2</v>
      </c>
      <c r="R52" s="408">
        <v>17.8</v>
      </c>
      <c r="S52" s="408">
        <v>12.4</v>
      </c>
      <c r="T52" s="408">
        <v>-0.5</v>
      </c>
      <c r="U52" s="408">
        <v>0.5</v>
      </c>
      <c r="V52" s="408">
        <v>0.1</v>
      </c>
      <c r="W52" s="408">
        <v>1E-3</v>
      </c>
      <c r="X52" s="408">
        <v>-2.6</v>
      </c>
      <c r="Y52" s="408">
        <v>-0.2</v>
      </c>
      <c r="Z52" s="408">
        <v>-2.8</v>
      </c>
      <c r="AA52" s="408">
        <v>-0.4</v>
      </c>
    </row>
    <row r="53" spans="1:27">
      <c r="A53">
        <v>44</v>
      </c>
      <c r="B53" s="1" t="s">
        <v>141</v>
      </c>
      <c r="C53" s="5" t="s">
        <v>38</v>
      </c>
      <c r="D53" s="408">
        <v>25</v>
      </c>
      <c r="E53" s="5" t="s">
        <v>140</v>
      </c>
      <c r="F53" s="408">
        <v>67</v>
      </c>
      <c r="G53" s="408">
        <v>1017</v>
      </c>
      <c r="H53" s="408">
        <v>14.2</v>
      </c>
      <c r="I53" s="408">
        <v>0.59</v>
      </c>
      <c r="J53" s="408">
        <v>0.68799999999999994</v>
      </c>
      <c r="K53" s="408">
        <v>0.14399999999999999</v>
      </c>
      <c r="L53" s="408">
        <v>1.8</v>
      </c>
      <c r="M53" s="408">
        <v>13.9</v>
      </c>
      <c r="N53" s="408">
        <v>7.9</v>
      </c>
      <c r="O53" s="408">
        <v>10.199999999999999</v>
      </c>
      <c r="P53" s="408">
        <v>1.2</v>
      </c>
      <c r="Q53" s="408">
        <v>2.1</v>
      </c>
      <c r="R53" s="408">
        <v>8.1</v>
      </c>
      <c r="S53" s="408">
        <v>17.3</v>
      </c>
      <c r="T53" s="408">
        <v>1.6</v>
      </c>
      <c r="U53" s="408">
        <v>1.5</v>
      </c>
      <c r="V53" s="408">
        <v>3</v>
      </c>
      <c r="W53" s="408">
        <v>0.14199999999999999</v>
      </c>
      <c r="X53" s="408">
        <v>1.3</v>
      </c>
      <c r="Y53" s="408">
        <v>0</v>
      </c>
      <c r="Z53" s="408">
        <v>1.3</v>
      </c>
      <c r="AA53" s="408">
        <v>0.9</v>
      </c>
    </row>
    <row r="54" spans="1:27">
      <c r="A54">
        <v>45</v>
      </c>
      <c r="B54" s="1" t="s">
        <v>341</v>
      </c>
      <c r="C54" s="5" t="s">
        <v>26</v>
      </c>
      <c r="D54" s="408">
        <v>29</v>
      </c>
      <c r="E54" s="5" t="s">
        <v>64</v>
      </c>
      <c r="F54" s="408">
        <v>11</v>
      </c>
      <c r="G54" s="408">
        <v>334</v>
      </c>
      <c r="H54" s="408">
        <v>12.2</v>
      </c>
      <c r="I54" s="408">
        <v>0.53</v>
      </c>
      <c r="J54" s="408">
        <v>0.504</v>
      </c>
      <c r="K54" s="408">
        <v>0.14299999999999999</v>
      </c>
      <c r="L54" s="408">
        <v>5.3</v>
      </c>
      <c r="M54" s="408">
        <v>9.3000000000000007</v>
      </c>
      <c r="N54" s="408">
        <v>7.4</v>
      </c>
      <c r="O54" s="408">
        <v>13.9</v>
      </c>
      <c r="P54" s="408">
        <v>2.6</v>
      </c>
      <c r="Q54" s="408">
        <v>1.3</v>
      </c>
      <c r="R54" s="408">
        <v>16.5</v>
      </c>
      <c r="S54" s="408">
        <v>19.600000000000001</v>
      </c>
      <c r="T54" s="408">
        <v>0.1</v>
      </c>
      <c r="U54" s="408">
        <v>0.3</v>
      </c>
      <c r="V54" s="408">
        <v>0.4</v>
      </c>
      <c r="W54" s="408">
        <v>5.7000000000000002E-2</v>
      </c>
      <c r="X54" s="408">
        <v>0.3</v>
      </c>
      <c r="Y54" s="408">
        <v>0.4</v>
      </c>
      <c r="Z54" s="408">
        <v>0.7</v>
      </c>
      <c r="AA54" s="408">
        <v>0.2</v>
      </c>
    </row>
    <row r="55" spans="1:27">
      <c r="A55">
        <v>46</v>
      </c>
      <c r="B55" s="1" t="s">
        <v>639</v>
      </c>
      <c r="C55" s="5" t="s">
        <v>83</v>
      </c>
      <c r="D55" s="408">
        <v>25</v>
      </c>
      <c r="E55" s="5" t="s">
        <v>75</v>
      </c>
      <c r="F55" s="408">
        <v>30</v>
      </c>
      <c r="G55" s="408">
        <v>373</v>
      </c>
      <c r="H55" s="408">
        <v>13.3</v>
      </c>
      <c r="I55" s="408">
        <v>0.53900000000000003</v>
      </c>
      <c r="J55" s="408">
        <v>0</v>
      </c>
      <c r="K55" s="408">
        <v>0.4</v>
      </c>
      <c r="L55" s="408">
        <v>12.8</v>
      </c>
      <c r="M55" s="408">
        <v>19.2</v>
      </c>
      <c r="N55" s="408">
        <v>16</v>
      </c>
      <c r="O55" s="408">
        <v>7.5</v>
      </c>
      <c r="P55" s="408">
        <v>1.4</v>
      </c>
      <c r="Q55" s="408">
        <v>2.5</v>
      </c>
      <c r="R55" s="408">
        <v>15.4</v>
      </c>
      <c r="S55" s="408">
        <v>12.3</v>
      </c>
      <c r="T55" s="408">
        <v>0.4</v>
      </c>
      <c r="U55" s="408">
        <v>0.3</v>
      </c>
      <c r="V55" s="408">
        <v>0.8</v>
      </c>
      <c r="W55" s="408">
        <v>0.1</v>
      </c>
      <c r="X55" s="408">
        <v>-2.2999999999999998</v>
      </c>
      <c r="Y55" s="408">
        <v>1.1000000000000001</v>
      </c>
      <c r="Z55" s="408">
        <v>-1.2</v>
      </c>
      <c r="AA55" s="408">
        <v>0.1</v>
      </c>
    </row>
    <row r="56" spans="1:27">
      <c r="A56">
        <v>47</v>
      </c>
      <c r="B56" s="1" t="s">
        <v>573</v>
      </c>
      <c r="C56" s="5" t="s">
        <v>26</v>
      </c>
      <c r="D56" s="408">
        <v>23</v>
      </c>
      <c r="E56" s="5" t="s">
        <v>87</v>
      </c>
      <c r="F56" s="408">
        <v>5</v>
      </c>
      <c r="G56" s="408">
        <v>26</v>
      </c>
      <c r="H56" s="408">
        <v>4.5999999999999996</v>
      </c>
      <c r="I56" s="408">
        <v>0.40300000000000002</v>
      </c>
      <c r="J56" s="408">
        <v>0.5</v>
      </c>
      <c r="K56" s="408">
        <v>1.25</v>
      </c>
      <c r="L56" s="408">
        <v>4.3</v>
      </c>
      <c r="M56" s="408">
        <v>8.3000000000000007</v>
      </c>
      <c r="N56" s="408">
        <v>6.3</v>
      </c>
      <c r="O56" s="408">
        <v>5.0999999999999996</v>
      </c>
      <c r="P56" s="408">
        <v>1.9</v>
      </c>
      <c r="Q56" s="408">
        <v>0</v>
      </c>
      <c r="R56" s="408">
        <v>13.9</v>
      </c>
      <c r="S56" s="408">
        <v>12.4</v>
      </c>
      <c r="T56" s="408">
        <v>0</v>
      </c>
      <c r="U56" s="408">
        <v>0</v>
      </c>
      <c r="V56" s="408">
        <v>0</v>
      </c>
      <c r="W56" s="408">
        <v>0.02</v>
      </c>
      <c r="X56" s="408">
        <v>-5.3</v>
      </c>
      <c r="Y56" s="408">
        <v>0</v>
      </c>
      <c r="Z56" s="408">
        <v>-5.3</v>
      </c>
      <c r="AA56" s="408">
        <v>0</v>
      </c>
    </row>
    <row r="57" spans="1:27">
      <c r="A57">
        <v>48</v>
      </c>
      <c r="B57" s="1" t="s">
        <v>591</v>
      </c>
      <c r="C57" s="5" t="s">
        <v>83</v>
      </c>
      <c r="D57" s="408">
        <v>25</v>
      </c>
      <c r="E57" s="5" t="s">
        <v>75</v>
      </c>
      <c r="F57" s="408">
        <v>70</v>
      </c>
      <c r="G57" s="408">
        <v>1307</v>
      </c>
      <c r="H57" s="408">
        <v>13.5</v>
      </c>
      <c r="I57" s="408">
        <v>0.55700000000000005</v>
      </c>
      <c r="J57" s="408">
        <v>3.0000000000000001E-3</v>
      </c>
      <c r="K57" s="408">
        <v>0.45300000000000001</v>
      </c>
      <c r="L57" s="408">
        <v>10.4</v>
      </c>
      <c r="M57" s="408">
        <v>23.8</v>
      </c>
      <c r="N57" s="408">
        <v>17.100000000000001</v>
      </c>
      <c r="O57" s="408">
        <v>6.1</v>
      </c>
      <c r="P57" s="408">
        <v>0.7</v>
      </c>
      <c r="Q57" s="408">
        <v>4.9000000000000004</v>
      </c>
      <c r="R57" s="408">
        <v>17.600000000000001</v>
      </c>
      <c r="S57" s="408">
        <v>14.2</v>
      </c>
      <c r="T57" s="408">
        <v>0.9</v>
      </c>
      <c r="U57" s="408">
        <v>1.4</v>
      </c>
      <c r="V57" s="408">
        <v>2.2999999999999998</v>
      </c>
      <c r="W57" s="408">
        <v>8.5999999999999993E-2</v>
      </c>
      <c r="X57" s="408">
        <v>-3.6</v>
      </c>
      <c r="Y57" s="408">
        <v>1.9</v>
      </c>
      <c r="Z57" s="408">
        <v>-1.7</v>
      </c>
      <c r="AA57" s="408">
        <v>0.1</v>
      </c>
    </row>
    <row r="58" spans="1:27">
      <c r="A58">
        <v>49</v>
      </c>
      <c r="B58" s="1" t="s">
        <v>5</v>
      </c>
      <c r="C58" s="5" t="s">
        <v>38</v>
      </c>
      <c r="D58" s="408">
        <v>29</v>
      </c>
      <c r="E58" s="5" t="s">
        <v>56</v>
      </c>
      <c r="F58" s="408">
        <v>56</v>
      </c>
      <c r="G58" s="408">
        <v>1078</v>
      </c>
      <c r="H58" s="408">
        <v>13.9</v>
      </c>
      <c r="I58" s="408">
        <v>0.61599999999999999</v>
      </c>
      <c r="J58" s="408">
        <v>0.48699999999999999</v>
      </c>
      <c r="K58" s="408">
        <v>0.13100000000000001</v>
      </c>
      <c r="L58" s="408">
        <v>4.4000000000000004</v>
      </c>
      <c r="M58" s="408">
        <v>19.5</v>
      </c>
      <c r="N58" s="408">
        <v>11.9</v>
      </c>
      <c r="O58" s="408">
        <v>9</v>
      </c>
      <c r="P58" s="408">
        <v>1.7</v>
      </c>
      <c r="Q58" s="408">
        <v>0.9</v>
      </c>
      <c r="R58" s="408">
        <v>12</v>
      </c>
      <c r="S58" s="408">
        <v>14.7</v>
      </c>
      <c r="T58" s="408">
        <v>1.8</v>
      </c>
      <c r="U58" s="408">
        <v>0.8</v>
      </c>
      <c r="V58" s="408">
        <v>2.5</v>
      </c>
      <c r="W58" s="408">
        <v>0.113</v>
      </c>
      <c r="X58" s="408">
        <v>1.3</v>
      </c>
      <c r="Y58" s="408">
        <v>-0.4</v>
      </c>
      <c r="Z58" s="408">
        <v>0.9</v>
      </c>
      <c r="AA58" s="408">
        <v>0.8</v>
      </c>
    </row>
    <row r="59" spans="1:27">
      <c r="A59">
        <v>50</v>
      </c>
      <c r="B59" s="1" t="s">
        <v>93</v>
      </c>
      <c r="C59" s="5" t="s">
        <v>83</v>
      </c>
      <c r="D59" s="408">
        <v>26</v>
      </c>
      <c r="E59" s="5" t="s">
        <v>92</v>
      </c>
      <c r="F59" s="408">
        <v>42</v>
      </c>
      <c r="G59" s="408">
        <v>431</v>
      </c>
      <c r="H59" s="408">
        <v>14.4</v>
      </c>
      <c r="I59" s="408">
        <v>0.57599999999999996</v>
      </c>
      <c r="J59" s="408">
        <v>7.2999999999999995E-2</v>
      </c>
      <c r="K59" s="408">
        <v>0.45900000000000002</v>
      </c>
      <c r="L59" s="408">
        <v>14.9</v>
      </c>
      <c r="M59" s="408">
        <v>18.899999999999999</v>
      </c>
      <c r="N59" s="408">
        <v>16.899999999999999</v>
      </c>
      <c r="O59" s="408">
        <v>3.2</v>
      </c>
      <c r="P59" s="408">
        <v>2.1</v>
      </c>
      <c r="Q59" s="408">
        <v>4.7</v>
      </c>
      <c r="R59" s="408">
        <v>18.600000000000001</v>
      </c>
      <c r="S59" s="408">
        <v>16.399999999999999</v>
      </c>
      <c r="T59" s="408">
        <v>0.4</v>
      </c>
      <c r="U59" s="408">
        <v>0.7</v>
      </c>
      <c r="V59" s="408">
        <v>1.2</v>
      </c>
      <c r="W59" s="408">
        <v>0.13100000000000001</v>
      </c>
      <c r="X59" s="408">
        <v>-2.8</v>
      </c>
      <c r="Y59" s="408">
        <v>1.7</v>
      </c>
      <c r="Z59" s="408">
        <v>-1.1000000000000001</v>
      </c>
      <c r="AA59" s="408">
        <v>0.1</v>
      </c>
    </row>
    <row r="60" spans="1:27">
      <c r="A60">
        <v>51</v>
      </c>
      <c r="B60" s="1" t="s">
        <v>449</v>
      </c>
      <c r="C60" s="5" t="s">
        <v>26</v>
      </c>
      <c r="D60" s="408">
        <v>21</v>
      </c>
      <c r="E60" s="5" t="s">
        <v>43</v>
      </c>
      <c r="F60" s="408">
        <v>18</v>
      </c>
      <c r="G60" s="408">
        <v>290</v>
      </c>
      <c r="H60" s="408">
        <v>10.7</v>
      </c>
      <c r="I60" s="408">
        <v>0.48</v>
      </c>
      <c r="J60" s="408">
        <v>0.38100000000000001</v>
      </c>
      <c r="K60" s="408">
        <v>0.29099999999999998</v>
      </c>
      <c r="L60" s="408">
        <v>1.1000000000000001</v>
      </c>
      <c r="M60" s="408">
        <v>10.3</v>
      </c>
      <c r="N60" s="408">
        <v>5.5</v>
      </c>
      <c r="O60" s="408">
        <v>9.3000000000000007</v>
      </c>
      <c r="P60" s="408">
        <v>1.2</v>
      </c>
      <c r="Q60" s="408">
        <v>0.3</v>
      </c>
      <c r="R60" s="408">
        <v>6.2</v>
      </c>
      <c r="S60" s="408">
        <v>24.3</v>
      </c>
      <c r="T60" s="408">
        <v>-0.1</v>
      </c>
      <c r="U60" s="408">
        <v>0.1</v>
      </c>
      <c r="V60" s="408">
        <v>0</v>
      </c>
      <c r="W60" s="408">
        <v>3.0000000000000001E-3</v>
      </c>
      <c r="X60" s="408">
        <v>-3</v>
      </c>
      <c r="Y60" s="408">
        <v>-3.7</v>
      </c>
      <c r="Z60" s="408">
        <v>-6.7</v>
      </c>
      <c r="AA60" s="408">
        <v>-0.3</v>
      </c>
    </row>
    <row r="61" spans="1:27">
      <c r="A61">
        <v>52</v>
      </c>
      <c r="B61" s="1" t="s">
        <v>356</v>
      </c>
      <c r="C61" s="5" t="s">
        <v>20</v>
      </c>
      <c r="D61" s="408">
        <v>28</v>
      </c>
      <c r="E61" s="5" t="s">
        <v>357</v>
      </c>
      <c r="F61" s="408">
        <v>62</v>
      </c>
      <c r="G61" s="408">
        <v>1943</v>
      </c>
      <c r="H61" s="408">
        <v>18.399999999999999</v>
      </c>
      <c r="I61" s="408">
        <v>0.56100000000000005</v>
      </c>
      <c r="J61" s="408">
        <v>0.371</v>
      </c>
      <c r="K61" s="408">
        <v>0.32500000000000001</v>
      </c>
      <c r="L61" s="408">
        <v>2.7</v>
      </c>
      <c r="M61" s="408">
        <v>11.5</v>
      </c>
      <c r="N61" s="408">
        <v>7.1</v>
      </c>
      <c r="O61" s="408">
        <v>24.6</v>
      </c>
      <c r="P61" s="408">
        <v>3.3</v>
      </c>
      <c r="Q61" s="408">
        <v>1.6</v>
      </c>
      <c r="R61" s="408">
        <v>16.5</v>
      </c>
      <c r="S61" s="408">
        <v>26.6</v>
      </c>
      <c r="T61" s="408">
        <v>1.5</v>
      </c>
      <c r="U61" s="408">
        <v>2.2000000000000002</v>
      </c>
      <c r="V61" s="408">
        <v>3.7</v>
      </c>
      <c r="W61" s="408">
        <v>9.0999999999999998E-2</v>
      </c>
      <c r="X61" s="408">
        <v>1.4</v>
      </c>
      <c r="Y61" s="408">
        <v>-0.1</v>
      </c>
      <c r="Z61" s="408">
        <v>1.3</v>
      </c>
      <c r="AA61" s="408">
        <v>1.6</v>
      </c>
    </row>
    <row r="62" spans="1:27">
      <c r="A62">
        <v>52</v>
      </c>
      <c r="B62" s="1" t="s">
        <v>356</v>
      </c>
      <c r="C62" s="5" t="s">
        <v>20</v>
      </c>
      <c r="D62" s="408">
        <v>28</v>
      </c>
      <c r="E62" s="5" t="s">
        <v>313</v>
      </c>
      <c r="F62" s="408">
        <v>3</v>
      </c>
      <c r="G62" s="408">
        <v>83</v>
      </c>
      <c r="H62" s="408">
        <v>13</v>
      </c>
      <c r="I62" s="408">
        <v>0.50900000000000001</v>
      </c>
      <c r="J62" s="408">
        <v>0.32500000000000001</v>
      </c>
      <c r="K62" s="408">
        <v>0.35</v>
      </c>
      <c r="L62" s="408">
        <v>3.8</v>
      </c>
      <c r="M62" s="408">
        <v>5.3</v>
      </c>
      <c r="N62" s="408">
        <v>4.5</v>
      </c>
      <c r="O62" s="408">
        <v>17.899999999999999</v>
      </c>
      <c r="P62" s="408">
        <v>2.2999999999999998</v>
      </c>
      <c r="Q62" s="408">
        <v>1.9</v>
      </c>
      <c r="R62" s="408">
        <v>17.8</v>
      </c>
      <c r="S62" s="408">
        <v>28.6</v>
      </c>
      <c r="T62" s="408">
        <v>-0.1</v>
      </c>
      <c r="U62" s="408">
        <v>0</v>
      </c>
      <c r="V62" s="408">
        <v>0</v>
      </c>
      <c r="W62" s="408">
        <v>-2.9000000000000001E-2</v>
      </c>
      <c r="X62" s="408">
        <v>-2.4</v>
      </c>
      <c r="Y62" s="408">
        <v>-2.5</v>
      </c>
      <c r="Z62" s="408">
        <v>-5</v>
      </c>
      <c r="AA62" s="408">
        <v>-0.1</v>
      </c>
    </row>
    <row r="63" spans="1:27">
      <c r="A63">
        <v>52</v>
      </c>
      <c r="B63" s="1" t="s">
        <v>356</v>
      </c>
      <c r="C63" s="5" t="s">
        <v>20</v>
      </c>
      <c r="D63" s="408">
        <v>28</v>
      </c>
      <c r="E63" s="5" t="s">
        <v>41</v>
      </c>
      <c r="F63" s="408">
        <v>59</v>
      </c>
      <c r="G63" s="408">
        <v>1860</v>
      </c>
      <c r="H63" s="408">
        <v>18.600000000000001</v>
      </c>
      <c r="I63" s="408">
        <v>0.56399999999999995</v>
      </c>
      <c r="J63" s="408">
        <v>0.373</v>
      </c>
      <c r="K63" s="408">
        <v>0.32400000000000001</v>
      </c>
      <c r="L63" s="408">
        <v>2.7</v>
      </c>
      <c r="M63" s="408">
        <v>11.7</v>
      </c>
      <c r="N63" s="408">
        <v>7.2</v>
      </c>
      <c r="O63" s="408">
        <v>24.9</v>
      </c>
      <c r="P63" s="408">
        <v>3.3</v>
      </c>
      <c r="Q63" s="408">
        <v>1.6</v>
      </c>
      <c r="R63" s="408">
        <v>16.5</v>
      </c>
      <c r="S63" s="408">
        <v>26.5</v>
      </c>
      <c r="T63" s="408">
        <v>1.6</v>
      </c>
      <c r="U63" s="408">
        <v>2.2000000000000002</v>
      </c>
      <c r="V63" s="408">
        <v>3.7</v>
      </c>
      <c r="W63" s="408">
        <v>9.6000000000000002E-2</v>
      </c>
      <c r="X63" s="408">
        <v>1.6</v>
      </c>
      <c r="Y63" s="408">
        <v>0</v>
      </c>
      <c r="Z63" s="408">
        <v>1.6</v>
      </c>
      <c r="AA63" s="408">
        <v>1.7</v>
      </c>
    </row>
    <row r="64" spans="1:27">
      <c r="A64">
        <v>53</v>
      </c>
      <c r="B64" s="1" t="s">
        <v>590</v>
      </c>
      <c r="C64" s="5" t="s">
        <v>26</v>
      </c>
      <c r="D64" s="408">
        <v>25</v>
      </c>
      <c r="E64" s="5" t="s">
        <v>78</v>
      </c>
      <c r="F64" s="408">
        <v>5</v>
      </c>
      <c r="G64" s="408">
        <v>45</v>
      </c>
      <c r="H64" s="408">
        <v>-1.8</v>
      </c>
      <c r="I64" s="408">
        <v>0.255</v>
      </c>
      <c r="J64" s="408">
        <v>0.4</v>
      </c>
      <c r="K64" s="408">
        <v>0.4</v>
      </c>
      <c r="L64" s="408">
        <v>0</v>
      </c>
      <c r="M64" s="408">
        <v>2.4</v>
      </c>
      <c r="N64" s="408">
        <v>1.2</v>
      </c>
      <c r="O64" s="408">
        <v>8.1</v>
      </c>
      <c r="P64" s="408">
        <v>1.1000000000000001</v>
      </c>
      <c r="Q64" s="408">
        <v>0</v>
      </c>
      <c r="R64" s="408">
        <v>33.799999999999997</v>
      </c>
      <c r="S64" s="408">
        <v>8.3000000000000007</v>
      </c>
      <c r="T64" s="408">
        <v>-0.1</v>
      </c>
      <c r="U64" s="408">
        <v>0</v>
      </c>
      <c r="V64" s="408">
        <v>-0.1</v>
      </c>
      <c r="W64" s="408">
        <v>-0.10199999999999999</v>
      </c>
      <c r="X64" s="408">
        <v>-8.6999999999999993</v>
      </c>
      <c r="Y64" s="408">
        <v>-1.3</v>
      </c>
      <c r="Z64" s="408">
        <v>-10</v>
      </c>
      <c r="AA64" s="408">
        <v>-0.1</v>
      </c>
    </row>
    <row r="65" spans="1:27">
      <c r="A65">
        <v>54</v>
      </c>
      <c r="B65" s="1" t="s">
        <v>406</v>
      </c>
      <c r="C65" s="5" t="s">
        <v>26</v>
      </c>
      <c r="D65" s="408">
        <v>25</v>
      </c>
      <c r="E65" s="5" t="s">
        <v>100</v>
      </c>
      <c r="F65" s="408">
        <v>68</v>
      </c>
      <c r="G65" s="408">
        <v>1877</v>
      </c>
      <c r="H65" s="408">
        <v>13.8</v>
      </c>
      <c r="I65" s="408">
        <v>0.56000000000000005</v>
      </c>
      <c r="J65" s="408">
        <v>0.42899999999999999</v>
      </c>
      <c r="K65" s="408">
        <v>0.16200000000000001</v>
      </c>
      <c r="L65" s="408">
        <v>1.5</v>
      </c>
      <c r="M65" s="408">
        <v>10.7</v>
      </c>
      <c r="N65" s="408">
        <v>5.9</v>
      </c>
      <c r="O65" s="408">
        <v>18.5</v>
      </c>
      <c r="P65" s="408">
        <v>1.7</v>
      </c>
      <c r="Q65" s="408">
        <v>0.8</v>
      </c>
      <c r="R65" s="408">
        <v>13.1</v>
      </c>
      <c r="S65" s="408">
        <v>19.7</v>
      </c>
      <c r="T65" s="408">
        <v>1.7</v>
      </c>
      <c r="U65" s="408">
        <v>0.7</v>
      </c>
      <c r="V65" s="408">
        <v>2.5</v>
      </c>
      <c r="W65" s="408">
        <v>6.3E-2</v>
      </c>
      <c r="X65" s="408">
        <v>0.7</v>
      </c>
      <c r="Y65" s="408">
        <v>-1.7</v>
      </c>
      <c r="Z65" s="408">
        <v>-1</v>
      </c>
      <c r="AA65" s="408">
        <v>0.5</v>
      </c>
    </row>
    <row r="66" spans="1:27">
      <c r="A66">
        <v>55</v>
      </c>
      <c r="B66" s="1" t="s">
        <v>353</v>
      </c>
      <c r="C66" s="5" t="s">
        <v>46</v>
      </c>
      <c r="D66" s="408">
        <v>28</v>
      </c>
      <c r="E66" s="5" t="s">
        <v>30</v>
      </c>
      <c r="F66" s="408">
        <v>70</v>
      </c>
      <c r="G66" s="408">
        <v>2149</v>
      </c>
      <c r="H66" s="408">
        <v>13.6</v>
      </c>
      <c r="I66" s="408">
        <v>0.59899999999999998</v>
      </c>
      <c r="J66" s="408">
        <v>0.45800000000000002</v>
      </c>
      <c r="K66" s="408">
        <v>0.252</v>
      </c>
      <c r="L66" s="408">
        <v>1.3</v>
      </c>
      <c r="M66" s="408">
        <v>10.9</v>
      </c>
      <c r="N66" s="408">
        <v>6.1</v>
      </c>
      <c r="O66" s="408">
        <v>7.3</v>
      </c>
      <c r="P66" s="408">
        <v>1.2</v>
      </c>
      <c r="Q66" s="408">
        <v>0.2</v>
      </c>
      <c r="R66" s="408">
        <v>10.199999999999999</v>
      </c>
      <c r="S66" s="408">
        <v>18.7</v>
      </c>
      <c r="T66" s="408">
        <v>3</v>
      </c>
      <c r="U66" s="408">
        <v>1.5</v>
      </c>
      <c r="V66" s="408">
        <v>4.5</v>
      </c>
      <c r="W66" s="408">
        <v>0.10100000000000001</v>
      </c>
      <c r="X66" s="408">
        <v>0.9</v>
      </c>
      <c r="Y66" s="408">
        <v>-1.8</v>
      </c>
      <c r="Z66" s="408">
        <v>-0.9</v>
      </c>
      <c r="AA66" s="408">
        <v>0.6</v>
      </c>
    </row>
    <row r="67" spans="1:27">
      <c r="A67">
        <v>56</v>
      </c>
      <c r="B67" s="1" t="s">
        <v>287</v>
      </c>
      <c r="C67" s="5" t="s">
        <v>83</v>
      </c>
      <c r="D67" s="408">
        <v>33</v>
      </c>
      <c r="E67" s="5" t="s">
        <v>78</v>
      </c>
      <c r="F67" s="408">
        <v>23</v>
      </c>
      <c r="G67" s="408">
        <v>216</v>
      </c>
      <c r="H67" s="408">
        <v>10.8</v>
      </c>
      <c r="I67" s="408">
        <v>0.69599999999999995</v>
      </c>
      <c r="J67" s="408">
        <v>0</v>
      </c>
      <c r="K67" s="408">
        <v>0.08</v>
      </c>
      <c r="L67" s="408">
        <v>12.8</v>
      </c>
      <c r="M67" s="408">
        <v>25.6</v>
      </c>
      <c r="N67" s="408">
        <v>19.2</v>
      </c>
      <c r="O67" s="408">
        <v>9</v>
      </c>
      <c r="P67" s="408">
        <v>0.9</v>
      </c>
      <c r="Q67" s="408">
        <v>4.9000000000000004</v>
      </c>
      <c r="R67" s="408">
        <v>42.3</v>
      </c>
      <c r="S67" s="408">
        <v>8.8000000000000007</v>
      </c>
      <c r="T67" s="408">
        <v>0.1</v>
      </c>
      <c r="U67" s="408">
        <v>0.3</v>
      </c>
      <c r="V67" s="408">
        <v>0.4</v>
      </c>
      <c r="W67" s="408">
        <v>9.2999999999999999E-2</v>
      </c>
      <c r="X67" s="408">
        <v>-3.7</v>
      </c>
      <c r="Y67" s="408">
        <v>3.6</v>
      </c>
      <c r="Z67" s="408">
        <v>-0.1</v>
      </c>
      <c r="AA67" s="408">
        <v>0.1</v>
      </c>
    </row>
    <row r="68" spans="1:27">
      <c r="A68">
        <v>57</v>
      </c>
      <c r="B68" s="1" t="s">
        <v>595</v>
      </c>
      <c r="C68" s="5" t="s">
        <v>38</v>
      </c>
      <c r="D68" s="408">
        <v>24</v>
      </c>
      <c r="E68" s="5" t="s">
        <v>41</v>
      </c>
      <c r="F68" s="408">
        <v>6</v>
      </c>
      <c r="G68" s="408">
        <v>38</v>
      </c>
      <c r="H68" s="408">
        <v>11.8</v>
      </c>
      <c r="I68" s="408">
        <v>0.52100000000000002</v>
      </c>
      <c r="J68" s="408">
        <v>0.16700000000000001</v>
      </c>
      <c r="K68" s="408">
        <v>1</v>
      </c>
      <c r="L68" s="408">
        <v>18.7</v>
      </c>
      <c r="M68" s="408">
        <v>12.4</v>
      </c>
      <c r="N68" s="408">
        <v>15.6</v>
      </c>
      <c r="O68" s="408">
        <v>0</v>
      </c>
      <c r="P68" s="408">
        <v>2.6</v>
      </c>
      <c r="Q68" s="408">
        <v>0</v>
      </c>
      <c r="R68" s="408">
        <v>18.8</v>
      </c>
      <c r="S68" s="408">
        <v>12.7</v>
      </c>
      <c r="T68" s="408">
        <v>0</v>
      </c>
      <c r="U68" s="408">
        <v>0</v>
      </c>
      <c r="V68" s="408">
        <v>0.1</v>
      </c>
      <c r="W68" s="408">
        <v>8.1000000000000003E-2</v>
      </c>
      <c r="X68" s="408">
        <v>-3.2</v>
      </c>
      <c r="Y68" s="408">
        <v>-4.5</v>
      </c>
      <c r="Z68" s="408">
        <v>-7.7</v>
      </c>
      <c r="AA68" s="408">
        <v>-0.1</v>
      </c>
    </row>
    <row r="69" spans="1:27">
      <c r="A69">
        <v>58</v>
      </c>
      <c r="B69" s="1" t="s">
        <v>312</v>
      </c>
      <c r="C69" s="5" t="s">
        <v>26</v>
      </c>
      <c r="D69" s="408">
        <v>21</v>
      </c>
      <c r="E69" s="5" t="s">
        <v>313</v>
      </c>
      <c r="F69" s="408">
        <v>54</v>
      </c>
      <c r="G69" s="408">
        <v>1865</v>
      </c>
      <c r="H69" s="408">
        <v>18.100000000000001</v>
      </c>
      <c r="I69" s="408">
        <v>0.56100000000000005</v>
      </c>
      <c r="J69" s="408">
        <v>0.36399999999999999</v>
      </c>
      <c r="K69" s="408">
        <v>0.312</v>
      </c>
      <c r="L69" s="408">
        <v>1.5</v>
      </c>
      <c r="M69" s="408">
        <v>12.8</v>
      </c>
      <c r="N69" s="408">
        <v>7</v>
      </c>
      <c r="O69" s="408">
        <v>24.4</v>
      </c>
      <c r="P69" s="408">
        <v>1.2</v>
      </c>
      <c r="Q69" s="408">
        <v>0.6</v>
      </c>
      <c r="R69" s="408">
        <v>13.9</v>
      </c>
      <c r="S69" s="408">
        <v>31.6</v>
      </c>
      <c r="T69" s="408">
        <v>1.9</v>
      </c>
      <c r="U69" s="408">
        <v>0.5</v>
      </c>
      <c r="V69" s="408">
        <v>2.5</v>
      </c>
      <c r="W69" s="408">
        <v>6.3E-2</v>
      </c>
      <c r="X69" s="408">
        <v>2.9</v>
      </c>
      <c r="Y69" s="408">
        <v>-2.5</v>
      </c>
      <c r="Z69" s="408">
        <v>0.4</v>
      </c>
      <c r="AA69" s="408">
        <v>1.1000000000000001</v>
      </c>
    </row>
    <row r="70" spans="1:27">
      <c r="A70">
        <v>59</v>
      </c>
      <c r="B70" s="1" t="s">
        <v>178</v>
      </c>
      <c r="C70" s="5" t="s">
        <v>38</v>
      </c>
      <c r="D70" s="408">
        <v>30</v>
      </c>
      <c r="E70" s="5" t="s">
        <v>357</v>
      </c>
      <c r="F70" s="408">
        <v>58</v>
      </c>
      <c r="G70" s="408">
        <v>1011</v>
      </c>
      <c r="H70" s="408">
        <v>14.2</v>
      </c>
      <c r="I70" s="408">
        <v>0.55300000000000005</v>
      </c>
      <c r="J70" s="408">
        <v>9.5000000000000001E-2</v>
      </c>
      <c r="K70" s="408">
        <v>0.28599999999999998</v>
      </c>
      <c r="L70" s="408">
        <v>10.5</v>
      </c>
      <c r="M70" s="408">
        <v>19</v>
      </c>
      <c r="N70" s="408">
        <v>14.8</v>
      </c>
      <c r="O70" s="408">
        <v>11.2</v>
      </c>
      <c r="P70" s="408">
        <v>1.2</v>
      </c>
      <c r="Q70" s="408">
        <v>1.5</v>
      </c>
      <c r="R70" s="408">
        <v>14.5</v>
      </c>
      <c r="S70" s="408">
        <v>16.5</v>
      </c>
      <c r="T70" s="408">
        <v>1.1000000000000001</v>
      </c>
      <c r="U70" s="408">
        <v>1.1000000000000001</v>
      </c>
      <c r="V70" s="408">
        <v>2.2999999999999998</v>
      </c>
      <c r="W70" s="408">
        <v>0.107</v>
      </c>
      <c r="X70" s="408">
        <v>-1.5</v>
      </c>
      <c r="Y70" s="408">
        <v>0.6</v>
      </c>
      <c r="Z70" s="408">
        <v>-0.9</v>
      </c>
      <c r="AA70" s="408">
        <v>0.3</v>
      </c>
    </row>
    <row r="71" spans="1:27">
      <c r="A71">
        <v>59</v>
      </c>
      <c r="B71" s="1" t="s">
        <v>178</v>
      </c>
      <c r="C71" s="5" t="s">
        <v>38</v>
      </c>
      <c r="D71" s="408">
        <v>30</v>
      </c>
      <c r="E71" s="5" t="s">
        <v>315</v>
      </c>
      <c r="F71" s="408">
        <v>18</v>
      </c>
      <c r="G71" s="408">
        <v>395</v>
      </c>
      <c r="H71" s="408">
        <v>15.5</v>
      </c>
      <c r="I71" s="408">
        <v>0.53600000000000003</v>
      </c>
      <c r="J71" s="408">
        <v>0.08</v>
      </c>
      <c r="K71" s="408">
        <v>0.28699999999999998</v>
      </c>
      <c r="L71" s="408">
        <v>10.1</v>
      </c>
      <c r="M71" s="408">
        <v>22.1</v>
      </c>
      <c r="N71" s="408">
        <v>16</v>
      </c>
      <c r="O71" s="408">
        <v>16.3</v>
      </c>
      <c r="P71" s="408">
        <v>1</v>
      </c>
      <c r="Q71" s="408">
        <v>0.9</v>
      </c>
      <c r="R71" s="408">
        <v>15.1</v>
      </c>
      <c r="S71" s="408">
        <v>21.7</v>
      </c>
      <c r="T71" s="408">
        <v>0.3</v>
      </c>
      <c r="U71" s="408">
        <v>0.3</v>
      </c>
      <c r="V71" s="408">
        <v>0.6</v>
      </c>
      <c r="W71" s="408">
        <v>7.2999999999999995E-2</v>
      </c>
      <c r="X71" s="408">
        <v>-1.6</v>
      </c>
      <c r="Y71" s="408">
        <v>0.3</v>
      </c>
      <c r="Z71" s="408">
        <v>-1.3</v>
      </c>
      <c r="AA71" s="408">
        <v>0.1</v>
      </c>
    </row>
    <row r="72" spans="1:27">
      <c r="A72">
        <v>59</v>
      </c>
      <c r="B72" s="1" t="s">
        <v>178</v>
      </c>
      <c r="C72" s="5" t="s">
        <v>38</v>
      </c>
      <c r="D72" s="408">
        <v>30</v>
      </c>
      <c r="E72" s="5" t="s">
        <v>118</v>
      </c>
      <c r="F72" s="408">
        <v>33</v>
      </c>
      <c r="G72" s="408">
        <v>494</v>
      </c>
      <c r="H72" s="408">
        <v>14.7</v>
      </c>
      <c r="I72" s="408">
        <v>0.61799999999999999</v>
      </c>
      <c r="J72" s="408">
        <v>6.4000000000000001E-2</v>
      </c>
      <c r="K72" s="408">
        <v>0.35799999999999998</v>
      </c>
      <c r="L72" s="408">
        <v>10.7</v>
      </c>
      <c r="M72" s="408">
        <v>16</v>
      </c>
      <c r="N72" s="408">
        <v>13.4</v>
      </c>
      <c r="O72" s="408">
        <v>7.8</v>
      </c>
      <c r="P72" s="408">
        <v>1.6</v>
      </c>
      <c r="Q72" s="408">
        <v>1.9</v>
      </c>
      <c r="R72" s="408">
        <v>13.7</v>
      </c>
      <c r="S72" s="408">
        <v>12.7</v>
      </c>
      <c r="T72" s="408">
        <v>1</v>
      </c>
      <c r="U72" s="408">
        <v>0.7</v>
      </c>
      <c r="V72" s="408">
        <v>1.6</v>
      </c>
      <c r="W72" s="408">
        <v>0.158</v>
      </c>
      <c r="X72" s="408">
        <v>-0.6</v>
      </c>
      <c r="Y72" s="408">
        <v>1.1000000000000001</v>
      </c>
      <c r="Z72" s="408">
        <v>0.5</v>
      </c>
      <c r="AA72" s="408">
        <v>0.3</v>
      </c>
    </row>
    <row r="73" spans="1:27">
      <c r="A73">
        <v>59</v>
      </c>
      <c r="B73" s="1" t="s">
        <v>178</v>
      </c>
      <c r="C73" s="5" t="s">
        <v>38</v>
      </c>
      <c r="D73" s="408">
        <v>30</v>
      </c>
      <c r="E73" s="5" t="s">
        <v>30</v>
      </c>
      <c r="F73" s="408">
        <v>7</v>
      </c>
      <c r="G73" s="408">
        <v>122</v>
      </c>
      <c r="H73" s="408">
        <v>8</v>
      </c>
      <c r="I73" s="408">
        <v>0.40400000000000003</v>
      </c>
      <c r="J73" s="408">
        <v>0.25700000000000001</v>
      </c>
      <c r="K73" s="408">
        <v>5.7000000000000002E-2</v>
      </c>
      <c r="L73" s="408">
        <v>11.2</v>
      </c>
      <c r="M73" s="408">
        <v>21</v>
      </c>
      <c r="N73" s="408">
        <v>16.2</v>
      </c>
      <c r="O73" s="408">
        <v>8.8000000000000007</v>
      </c>
      <c r="P73" s="408">
        <v>0</v>
      </c>
      <c r="Q73" s="408">
        <v>2.2000000000000002</v>
      </c>
      <c r="R73" s="408">
        <v>14.3</v>
      </c>
      <c r="S73" s="408">
        <v>15.3</v>
      </c>
      <c r="T73" s="408">
        <v>-0.1</v>
      </c>
      <c r="U73" s="408">
        <v>0.1</v>
      </c>
      <c r="V73" s="408">
        <v>0</v>
      </c>
      <c r="W73" s="408">
        <v>1.0999999999999999E-2</v>
      </c>
      <c r="X73" s="408">
        <v>-4.4000000000000004</v>
      </c>
      <c r="Y73" s="408">
        <v>-0.5</v>
      </c>
      <c r="Z73" s="408">
        <v>-5</v>
      </c>
      <c r="AA73" s="408">
        <v>-0.1</v>
      </c>
    </row>
    <row r="74" spans="1:27">
      <c r="A74">
        <v>60</v>
      </c>
      <c r="B74" s="1" t="s">
        <v>1267</v>
      </c>
      <c r="C74" s="5" t="s">
        <v>38</v>
      </c>
      <c r="D74" s="408">
        <v>25</v>
      </c>
      <c r="E74" s="5" t="s">
        <v>73</v>
      </c>
      <c r="F74" s="408">
        <v>1</v>
      </c>
      <c r="G74" s="408">
        <v>1</v>
      </c>
      <c r="H74" s="408">
        <v>-28.4</v>
      </c>
      <c r="I74" s="408">
        <v>0</v>
      </c>
      <c r="J74" s="408">
        <v>1</v>
      </c>
      <c r="K74" s="408">
        <v>0</v>
      </c>
      <c r="L74" s="408">
        <v>0</v>
      </c>
      <c r="M74" s="408">
        <v>100</v>
      </c>
      <c r="N74" s="408">
        <v>56</v>
      </c>
      <c r="O74" s="408">
        <v>0</v>
      </c>
      <c r="P74" s="408">
        <v>0</v>
      </c>
      <c r="Q74" s="408">
        <v>0</v>
      </c>
      <c r="R74" s="408">
        <v>0</v>
      </c>
      <c r="S74" s="408">
        <v>43.8</v>
      </c>
      <c r="T74" s="408">
        <v>0</v>
      </c>
      <c r="U74" s="408">
        <v>0</v>
      </c>
      <c r="V74" s="408">
        <v>0</v>
      </c>
      <c r="W74" s="408">
        <v>-0.88800000000000001</v>
      </c>
      <c r="X74" s="408">
        <v>-39.1</v>
      </c>
      <c r="Y74" s="408">
        <v>-20</v>
      </c>
      <c r="Z74" s="408">
        <v>-59</v>
      </c>
      <c r="AA74" s="408">
        <v>0</v>
      </c>
    </row>
    <row r="75" spans="1:27">
      <c r="A75">
        <v>61</v>
      </c>
      <c r="B75" s="1" t="s">
        <v>232</v>
      </c>
      <c r="C75" s="5" t="s">
        <v>26</v>
      </c>
      <c r="D75" s="408">
        <v>27</v>
      </c>
      <c r="E75" s="5" t="s">
        <v>357</v>
      </c>
      <c r="F75" s="408">
        <v>46</v>
      </c>
      <c r="G75" s="408">
        <v>1433</v>
      </c>
      <c r="H75" s="408">
        <v>9.6999999999999993</v>
      </c>
      <c r="I75" s="408">
        <v>0.496</v>
      </c>
      <c r="J75" s="408">
        <v>0.32500000000000001</v>
      </c>
      <c r="K75" s="408">
        <v>0.13100000000000001</v>
      </c>
      <c r="L75" s="408">
        <v>1.7</v>
      </c>
      <c r="M75" s="408">
        <v>7.4</v>
      </c>
      <c r="N75" s="408">
        <v>4.5</v>
      </c>
      <c r="O75" s="408">
        <v>10.5</v>
      </c>
      <c r="P75" s="408">
        <v>1.8</v>
      </c>
      <c r="Q75" s="408">
        <v>0.5</v>
      </c>
      <c r="R75" s="408">
        <v>13.3</v>
      </c>
      <c r="S75" s="408">
        <v>23.5</v>
      </c>
      <c r="T75" s="408">
        <v>-1.4</v>
      </c>
      <c r="U75" s="408">
        <v>1.2</v>
      </c>
      <c r="V75" s="408">
        <v>-0.3</v>
      </c>
      <c r="W75" s="408">
        <v>-8.0000000000000002E-3</v>
      </c>
      <c r="X75" s="408">
        <v>-2.8</v>
      </c>
      <c r="Y75" s="408">
        <v>-1.4</v>
      </c>
      <c r="Z75" s="408">
        <v>-4.2</v>
      </c>
      <c r="AA75" s="408">
        <v>-0.8</v>
      </c>
    </row>
    <row r="76" spans="1:27">
      <c r="A76">
        <v>61</v>
      </c>
      <c r="B76" s="1" t="s">
        <v>232</v>
      </c>
      <c r="C76" s="5" t="s">
        <v>26</v>
      </c>
      <c r="D76" s="408">
        <v>27</v>
      </c>
      <c r="E76" s="5" t="s">
        <v>157</v>
      </c>
      <c r="F76" s="408">
        <v>40</v>
      </c>
      <c r="G76" s="408">
        <v>1268</v>
      </c>
      <c r="H76" s="408">
        <v>9.8000000000000007</v>
      </c>
      <c r="I76" s="408">
        <v>0.497</v>
      </c>
      <c r="J76" s="408">
        <v>0.34</v>
      </c>
      <c r="K76" s="408">
        <v>0.14000000000000001</v>
      </c>
      <c r="L76" s="408">
        <v>1.6</v>
      </c>
      <c r="M76" s="408">
        <v>6.8</v>
      </c>
      <c r="N76" s="408">
        <v>4.0999999999999996</v>
      </c>
      <c r="O76" s="408">
        <v>10.6</v>
      </c>
      <c r="P76" s="408">
        <v>1.8</v>
      </c>
      <c r="Q76" s="408">
        <v>0.5</v>
      </c>
      <c r="R76" s="408">
        <v>13.3</v>
      </c>
      <c r="S76" s="408">
        <v>24.4</v>
      </c>
      <c r="T76" s="408">
        <v>-1.4</v>
      </c>
      <c r="U76" s="408">
        <v>1.1000000000000001</v>
      </c>
      <c r="V76" s="408">
        <v>-0.3</v>
      </c>
      <c r="W76" s="408">
        <v>-1.0999999999999999E-2</v>
      </c>
      <c r="X76" s="408">
        <v>-2.7</v>
      </c>
      <c r="Y76" s="408">
        <v>-1.5</v>
      </c>
      <c r="Z76" s="408">
        <v>-4.3</v>
      </c>
      <c r="AA76" s="408">
        <v>-0.7</v>
      </c>
    </row>
    <row r="77" spans="1:27">
      <c r="A77">
        <v>61</v>
      </c>
      <c r="B77" s="1" t="s">
        <v>232</v>
      </c>
      <c r="C77" s="5" t="s">
        <v>26</v>
      </c>
      <c r="D77" s="408">
        <v>27</v>
      </c>
      <c r="E77" s="5" t="s">
        <v>64</v>
      </c>
      <c r="F77" s="408">
        <v>6</v>
      </c>
      <c r="G77" s="408">
        <v>165</v>
      </c>
      <c r="H77" s="408">
        <v>8.9</v>
      </c>
      <c r="I77" s="408">
        <v>0.49199999999999999</v>
      </c>
      <c r="J77" s="408">
        <v>0.16400000000000001</v>
      </c>
      <c r="K77" s="408">
        <v>3.5999999999999997E-2</v>
      </c>
      <c r="L77" s="408">
        <v>2</v>
      </c>
      <c r="M77" s="408">
        <v>12.4</v>
      </c>
      <c r="N77" s="408">
        <v>7.3</v>
      </c>
      <c r="O77" s="408">
        <v>9.8000000000000007</v>
      </c>
      <c r="P77" s="408">
        <v>1.5</v>
      </c>
      <c r="Q77" s="408">
        <v>0.5</v>
      </c>
      <c r="R77" s="408">
        <v>12.5</v>
      </c>
      <c r="S77" s="408">
        <v>16.7</v>
      </c>
      <c r="T77" s="408">
        <v>-0.1</v>
      </c>
      <c r="U77" s="408">
        <v>0.1</v>
      </c>
      <c r="V77" s="408">
        <v>0</v>
      </c>
      <c r="W77" s="408">
        <v>1.2999999999999999E-2</v>
      </c>
      <c r="X77" s="408">
        <v>-3.6</v>
      </c>
      <c r="Y77" s="408">
        <v>-0.6</v>
      </c>
      <c r="Z77" s="408">
        <v>-4.0999999999999996</v>
      </c>
      <c r="AA77" s="408">
        <v>-0.1</v>
      </c>
    </row>
    <row r="78" spans="1:27">
      <c r="A78">
        <v>62</v>
      </c>
      <c r="B78" s="1" t="s">
        <v>304</v>
      </c>
      <c r="C78" s="5" t="s">
        <v>83</v>
      </c>
      <c r="D78" s="408">
        <v>20</v>
      </c>
      <c r="E78" s="5" t="s">
        <v>305</v>
      </c>
      <c r="F78" s="408">
        <v>9</v>
      </c>
      <c r="G78" s="408">
        <v>29</v>
      </c>
      <c r="H78" s="408">
        <v>9.5</v>
      </c>
      <c r="I78" s="408">
        <v>0.33700000000000002</v>
      </c>
      <c r="J78" s="408">
        <v>9.0999999999999998E-2</v>
      </c>
      <c r="K78" s="408">
        <v>0.182</v>
      </c>
      <c r="L78" s="408">
        <v>15.8</v>
      </c>
      <c r="M78" s="408">
        <v>27.3</v>
      </c>
      <c r="N78" s="408">
        <v>21.5</v>
      </c>
      <c r="O78" s="408">
        <v>5.0999999999999996</v>
      </c>
      <c r="P78" s="408">
        <v>0</v>
      </c>
      <c r="Q78" s="408">
        <v>0</v>
      </c>
      <c r="R78" s="408">
        <v>0</v>
      </c>
      <c r="S78" s="408">
        <v>18.5</v>
      </c>
      <c r="T78" s="408">
        <v>0</v>
      </c>
      <c r="U78" s="408">
        <v>0</v>
      </c>
      <c r="V78" s="408">
        <v>0</v>
      </c>
      <c r="W78" s="408">
        <v>0.03</v>
      </c>
      <c r="X78" s="408">
        <v>-6.7</v>
      </c>
      <c r="Y78" s="408">
        <v>-3</v>
      </c>
      <c r="Z78" s="408">
        <v>-9.6</v>
      </c>
      <c r="AA78" s="408">
        <v>-0.1</v>
      </c>
    </row>
    <row r="79" spans="1:27">
      <c r="A79">
        <v>63</v>
      </c>
      <c r="B79" s="1" t="s">
        <v>79</v>
      </c>
      <c r="C79" s="5" t="s">
        <v>46</v>
      </c>
      <c r="D79" s="408">
        <v>31</v>
      </c>
      <c r="E79" s="5" t="s">
        <v>357</v>
      </c>
      <c r="F79" s="408">
        <v>62</v>
      </c>
      <c r="G79" s="408">
        <v>913</v>
      </c>
      <c r="H79" s="408">
        <v>11</v>
      </c>
      <c r="I79" s="408">
        <v>0.54500000000000004</v>
      </c>
      <c r="J79" s="408">
        <v>0.30099999999999999</v>
      </c>
      <c r="K79" s="408">
        <v>0.30499999999999999</v>
      </c>
      <c r="L79" s="408">
        <v>3.2</v>
      </c>
      <c r="M79" s="408">
        <v>10.199999999999999</v>
      </c>
      <c r="N79" s="408">
        <v>6.6</v>
      </c>
      <c r="O79" s="408">
        <v>7.7</v>
      </c>
      <c r="P79" s="408">
        <v>3.1</v>
      </c>
      <c r="Q79" s="408">
        <v>1.2</v>
      </c>
      <c r="R79" s="408">
        <v>14.1</v>
      </c>
      <c r="S79" s="408">
        <v>14.5</v>
      </c>
      <c r="T79" s="408">
        <v>0.4</v>
      </c>
      <c r="U79" s="408">
        <v>1.2</v>
      </c>
      <c r="V79" s="408">
        <v>1.6</v>
      </c>
      <c r="W79" s="408">
        <v>8.4000000000000005E-2</v>
      </c>
      <c r="X79" s="408">
        <v>-2.2999999999999998</v>
      </c>
      <c r="Y79" s="408">
        <v>1</v>
      </c>
      <c r="Z79" s="408">
        <v>-1.3</v>
      </c>
      <c r="AA79" s="408">
        <v>0.2</v>
      </c>
    </row>
    <row r="80" spans="1:27">
      <c r="A80">
        <v>63</v>
      </c>
      <c r="B80" s="1" t="s">
        <v>79</v>
      </c>
      <c r="C80" s="5" t="s">
        <v>46</v>
      </c>
      <c r="D80" s="408">
        <v>31</v>
      </c>
      <c r="E80" s="5" t="s">
        <v>78</v>
      </c>
      <c r="F80" s="408">
        <v>54</v>
      </c>
      <c r="G80" s="408">
        <v>694</v>
      </c>
      <c r="H80" s="408">
        <v>8.9</v>
      </c>
      <c r="I80" s="408">
        <v>0.50900000000000001</v>
      </c>
      <c r="J80" s="408">
        <v>0.25</v>
      </c>
      <c r="K80" s="408">
        <v>0.29699999999999999</v>
      </c>
      <c r="L80" s="408">
        <v>3.5</v>
      </c>
      <c r="M80" s="408">
        <v>10.7</v>
      </c>
      <c r="N80" s="408">
        <v>7.1</v>
      </c>
      <c r="O80" s="408">
        <v>8</v>
      </c>
      <c r="P80" s="408">
        <v>2.8</v>
      </c>
      <c r="Q80" s="408">
        <v>0.9</v>
      </c>
      <c r="R80" s="408">
        <v>16.3</v>
      </c>
      <c r="S80" s="408">
        <v>14.1</v>
      </c>
      <c r="T80" s="408">
        <v>-0.2</v>
      </c>
      <c r="U80" s="408">
        <v>0.9</v>
      </c>
      <c r="V80" s="408">
        <v>0.7</v>
      </c>
      <c r="W80" s="408">
        <v>4.7E-2</v>
      </c>
      <c r="X80" s="408">
        <v>-3.6</v>
      </c>
      <c r="Y80" s="408">
        <v>0.9</v>
      </c>
      <c r="Z80" s="408">
        <v>-2.7</v>
      </c>
      <c r="AA80" s="408">
        <v>-0.1</v>
      </c>
    </row>
    <row r="81" spans="1:27">
      <c r="A81">
        <v>63</v>
      </c>
      <c r="B81" s="1" t="s">
        <v>79</v>
      </c>
      <c r="C81" s="5" t="s">
        <v>46</v>
      </c>
      <c r="D81" s="408">
        <v>31</v>
      </c>
      <c r="E81" s="5" t="s">
        <v>58</v>
      </c>
      <c r="F81" s="408">
        <v>8</v>
      </c>
      <c r="G81" s="408">
        <v>219</v>
      </c>
      <c r="H81" s="408">
        <v>17.600000000000001</v>
      </c>
      <c r="I81" s="408">
        <v>0.64200000000000002</v>
      </c>
      <c r="J81" s="408">
        <v>0.438</v>
      </c>
      <c r="K81" s="408">
        <v>0.32800000000000001</v>
      </c>
      <c r="L81" s="408">
        <v>2</v>
      </c>
      <c r="M81" s="408">
        <v>8.4</v>
      </c>
      <c r="N81" s="408">
        <v>5.0999999999999996</v>
      </c>
      <c r="O81" s="408">
        <v>6.6</v>
      </c>
      <c r="P81" s="408">
        <v>4.0999999999999996</v>
      </c>
      <c r="Q81" s="408">
        <v>2.1</v>
      </c>
      <c r="R81" s="408">
        <v>7.6</v>
      </c>
      <c r="S81" s="408">
        <v>15.6</v>
      </c>
      <c r="T81" s="408">
        <v>0.6</v>
      </c>
      <c r="U81" s="408">
        <v>0.4</v>
      </c>
      <c r="V81" s="408">
        <v>0.9</v>
      </c>
      <c r="W81" s="408">
        <v>0.20100000000000001</v>
      </c>
      <c r="X81" s="408">
        <v>1.7</v>
      </c>
      <c r="Y81" s="408">
        <v>1.3</v>
      </c>
      <c r="Z81" s="408">
        <v>3</v>
      </c>
      <c r="AA81" s="408">
        <v>0.3</v>
      </c>
    </row>
    <row r="82" spans="1:27">
      <c r="A82">
        <v>64</v>
      </c>
      <c r="B82" s="1" t="s">
        <v>410</v>
      </c>
      <c r="C82" s="5" t="s">
        <v>20</v>
      </c>
      <c r="D82" s="408">
        <v>25</v>
      </c>
      <c r="E82" s="5" t="s">
        <v>41</v>
      </c>
      <c r="F82" s="408">
        <v>46</v>
      </c>
      <c r="G82" s="408">
        <v>1404</v>
      </c>
      <c r="H82" s="408">
        <v>14.4</v>
      </c>
      <c r="I82" s="408">
        <v>0.57899999999999996</v>
      </c>
      <c r="J82" s="408">
        <v>0.31900000000000001</v>
      </c>
      <c r="K82" s="408">
        <v>0.17399999999999999</v>
      </c>
      <c r="L82" s="408">
        <v>1.9</v>
      </c>
      <c r="M82" s="408">
        <v>10.8</v>
      </c>
      <c r="N82" s="408">
        <v>6.4</v>
      </c>
      <c r="O82" s="408">
        <v>16.5</v>
      </c>
      <c r="P82" s="408">
        <v>1.5</v>
      </c>
      <c r="Q82" s="408">
        <v>0.8</v>
      </c>
      <c r="R82" s="408">
        <v>11</v>
      </c>
      <c r="S82" s="408">
        <v>19.100000000000001</v>
      </c>
      <c r="T82" s="408">
        <v>2</v>
      </c>
      <c r="U82" s="408">
        <v>0.8</v>
      </c>
      <c r="V82" s="408">
        <v>2.8</v>
      </c>
      <c r="W82" s="408">
        <v>9.6000000000000002E-2</v>
      </c>
      <c r="X82" s="408">
        <v>0.6</v>
      </c>
      <c r="Y82" s="408">
        <v>-1.7</v>
      </c>
      <c r="Z82" s="408">
        <v>-1.1000000000000001</v>
      </c>
      <c r="AA82" s="408">
        <v>0.3</v>
      </c>
    </row>
    <row r="83" spans="1:27">
      <c r="A83">
        <v>65</v>
      </c>
      <c r="B83" s="1" t="s">
        <v>3</v>
      </c>
      <c r="C83" s="5" t="s">
        <v>20</v>
      </c>
      <c r="D83" s="408">
        <v>33</v>
      </c>
      <c r="E83" s="5" t="s">
        <v>56</v>
      </c>
      <c r="F83" s="408">
        <v>29</v>
      </c>
      <c r="G83" s="408">
        <v>160</v>
      </c>
      <c r="H83" s="408">
        <v>9.8000000000000007</v>
      </c>
      <c r="I83" s="408">
        <v>0.51300000000000001</v>
      </c>
      <c r="J83" s="408">
        <v>0.41199999999999998</v>
      </c>
      <c r="K83" s="408">
        <v>0.11799999999999999</v>
      </c>
      <c r="L83" s="408">
        <v>3.6</v>
      </c>
      <c r="M83" s="408">
        <v>5.8</v>
      </c>
      <c r="N83" s="408">
        <v>4.7</v>
      </c>
      <c r="O83" s="408">
        <v>15.7</v>
      </c>
      <c r="P83" s="408">
        <v>1.9</v>
      </c>
      <c r="Q83" s="408">
        <v>0</v>
      </c>
      <c r="R83" s="408">
        <v>14.4</v>
      </c>
      <c r="S83" s="408">
        <v>17.3</v>
      </c>
      <c r="T83" s="408">
        <v>0.1</v>
      </c>
      <c r="U83" s="408">
        <v>0</v>
      </c>
      <c r="V83" s="408">
        <v>0.1</v>
      </c>
      <c r="W83" s="408">
        <v>3.2000000000000001E-2</v>
      </c>
      <c r="X83" s="408">
        <v>-1</v>
      </c>
      <c r="Y83" s="408">
        <v>-3.1</v>
      </c>
      <c r="Z83" s="408">
        <v>-4.0999999999999996</v>
      </c>
      <c r="AA83" s="408">
        <v>-0.1</v>
      </c>
    </row>
    <row r="84" spans="1:27">
      <c r="A84">
        <v>66</v>
      </c>
      <c r="B84" s="1" t="s">
        <v>457</v>
      </c>
      <c r="C84" s="5" t="s">
        <v>46</v>
      </c>
      <c r="D84" s="408">
        <v>22</v>
      </c>
      <c r="E84" s="5" t="s">
        <v>128</v>
      </c>
      <c r="F84" s="408">
        <v>70</v>
      </c>
      <c r="G84" s="408">
        <v>2019</v>
      </c>
      <c r="H84" s="408">
        <v>8.9</v>
      </c>
      <c r="I84" s="408">
        <v>0.53100000000000003</v>
      </c>
      <c r="J84" s="408">
        <v>0.34100000000000003</v>
      </c>
      <c r="K84" s="408">
        <v>0.187</v>
      </c>
      <c r="L84" s="408">
        <v>2.2000000000000002</v>
      </c>
      <c r="M84" s="408">
        <v>10.199999999999999</v>
      </c>
      <c r="N84" s="408">
        <v>6.1</v>
      </c>
      <c r="O84" s="408">
        <v>8.1</v>
      </c>
      <c r="P84" s="408">
        <v>1.5</v>
      </c>
      <c r="Q84" s="408">
        <v>0.7</v>
      </c>
      <c r="R84" s="408">
        <v>12.6</v>
      </c>
      <c r="S84" s="408">
        <v>17.2</v>
      </c>
      <c r="T84" s="408">
        <v>0</v>
      </c>
      <c r="U84" s="408">
        <v>1.2</v>
      </c>
      <c r="V84" s="408">
        <v>1.1000000000000001</v>
      </c>
      <c r="W84" s="408">
        <v>2.7E-2</v>
      </c>
      <c r="X84" s="408">
        <v>-2.1</v>
      </c>
      <c r="Y84" s="408">
        <v>-1.1000000000000001</v>
      </c>
      <c r="Z84" s="408">
        <v>-3.2</v>
      </c>
      <c r="AA84" s="408">
        <v>-0.6</v>
      </c>
    </row>
    <row r="85" spans="1:27">
      <c r="A85">
        <v>67</v>
      </c>
      <c r="B85" s="1" t="s">
        <v>594</v>
      </c>
      <c r="C85" s="5" t="s">
        <v>20</v>
      </c>
      <c r="D85" s="408">
        <v>33</v>
      </c>
      <c r="E85" s="5" t="s">
        <v>92</v>
      </c>
      <c r="F85" s="408">
        <v>20</v>
      </c>
      <c r="G85" s="408">
        <v>115</v>
      </c>
      <c r="H85" s="408">
        <v>5.4</v>
      </c>
      <c r="I85" s="408">
        <v>0.42499999999999999</v>
      </c>
      <c r="J85" s="408">
        <v>0.69</v>
      </c>
      <c r="K85" s="408">
        <v>3.4000000000000002E-2</v>
      </c>
      <c r="L85" s="408">
        <v>0</v>
      </c>
      <c r="M85" s="408">
        <v>6.9</v>
      </c>
      <c r="N85" s="408">
        <v>3.5</v>
      </c>
      <c r="O85" s="408">
        <v>14.8</v>
      </c>
      <c r="P85" s="408">
        <v>1.7</v>
      </c>
      <c r="Q85" s="408">
        <v>0</v>
      </c>
      <c r="R85" s="408">
        <v>13.3</v>
      </c>
      <c r="S85" s="408">
        <v>26</v>
      </c>
      <c r="T85" s="408">
        <v>-0.3</v>
      </c>
      <c r="U85" s="408">
        <v>0.1</v>
      </c>
      <c r="V85" s="408">
        <v>-0.2</v>
      </c>
      <c r="W85" s="408">
        <v>-0.08</v>
      </c>
      <c r="X85" s="408">
        <v>-5</v>
      </c>
      <c r="Y85" s="408">
        <v>-4.3</v>
      </c>
      <c r="Z85" s="408">
        <v>-9.3000000000000007</v>
      </c>
      <c r="AA85" s="408">
        <v>-0.2</v>
      </c>
    </row>
    <row r="86" spans="1:27">
      <c r="A86">
        <v>68</v>
      </c>
      <c r="B86" s="1" t="s">
        <v>369</v>
      </c>
      <c r="C86" s="5" t="s">
        <v>46</v>
      </c>
      <c r="D86" s="408">
        <v>21</v>
      </c>
      <c r="E86" s="5" t="s">
        <v>87</v>
      </c>
      <c r="F86" s="408">
        <v>61</v>
      </c>
      <c r="G86" s="408">
        <v>1887</v>
      </c>
      <c r="H86" s="408">
        <v>13.2</v>
      </c>
      <c r="I86" s="408">
        <v>0.55300000000000005</v>
      </c>
      <c r="J86" s="408">
        <v>0.39100000000000001</v>
      </c>
      <c r="K86" s="408">
        <v>0.28100000000000003</v>
      </c>
      <c r="L86" s="408">
        <v>3.6</v>
      </c>
      <c r="M86" s="408">
        <v>14.7</v>
      </c>
      <c r="N86" s="408">
        <v>9.1999999999999993</v>
      </c>
      <c r="O86" s="408">
        <v>8.4</v>
      </c>
      <c r="P86" s="408">
        <v>1.5</v>
      </c>
      <c r="Q86" s="408">
        <v>1</v>
      </c>
      <c r="R86" s="408">
        <v>11.3</v>
      </c>
      <c r="S86" s="408">
        <v>20.8</v>
      </c>
      <c r="T86" s="408">
        <v>1.1000000000000001</v>
      </c>
      <c r="U86" s="408">
        <v>2.9</v>
      </c>
      <c r="V86" s="408">
        <v>3.9</v>
      </c>
      <c r="W86" s="408">
        <v>0.1</v>
      </c>
      <c r="X86" s="408">
        <v>-0.8</v>
      </c>
      <c r="Y86" s="408">
        <v>0.5</v>
      </c>
      <c r="Z86" s="408">
        <v>-0.2</v>
      </c>
      <c r="AA86" s="408">
        <v>0.9</v>
      </c>
    </row>
    <row r="87" spans="1:27">
      <c r="A87">
        <v>69</v>
      </c>
      <c r="B87" s="1" t="s">
        <v>643</v>
      </c>
      <c r="C87" s="5" t="s">
        <v>20</v>
      </c>
      <c r="D87" s="408">
        <v>27</v>
      </c>
      <c r="E87" s="5" t="s">
        <v>47</v>
      </c>
      <c r="F87" s="408">
        <v>12</v>
      </c>
      <c r="G87" s="408">
        <v>95</v>
      </c>
      <c r="H87" s="408">
        <v>5.6</v>
      </c>
      <c r="I87" s="408">
        <v>0.33300000000000002</v>
      </c>
      <c r="J87" s="408">
        <v>0.33300000000000002</v>
      </c>
      <c r="K87" s="408">
        <v>0</v>
      </c>
      <c r="L87" s="408">
        <v>0</v>
      </c>
      <c r="M87" s="408">
        <v>11.6</v>
      </c>
      <c r="N87" s="408">
        <v>5.9</v>
      </c>
      <c r="O87" s="408">
        <v>16.2</v>
      </c>
      <c r="P87" s="408">
        <v>1.6</v>
      </c>
      <c r="Q87" s="408">
        <v>0</v>
      </c>
      <c r="R87" s="408">
        <v>4.5</v>
      </c>
      <c r="S87" s="408">
        <v>10.1</v>
      </c>
      <c r="T87" s="408">
        <v>0</v>
      </c>
      <c r="U87" s="408">
        <v>0.1</v>
      </c>
      <c r="V87" s="408">
        <v>0.1</v>
      </c>
      <c r="W87" s="408">
        <v>2.7E-2</v>
      </c>
      <c r="X87" s="408">
        <v>-4.4000000000000004</v>
      </c>
      <c r="Y87" s="408">
        <v>-0.1</v>
      </c>
      <c r="Z87" s="408">
        <v>-4.5</v>
      </c>
      <c r="AA87" s="408">
        <v>-0.1</v>
      </c>
    </row>
    <row r="88" spans="1:27">
      <c r="A88">
        <v>70</v>
      </c>
      <c r="B88" s="1" t="s">
        <v>836</v>
      </c>
      <c r="C88" s="5" t="s">
        <v>26</v>
      </c>
      <c r="D88" s="408">
        <v>26</v>
      </c>
      <c r="E88" s="5" t="s">
        <v>92</v>
      </c>
      <c r="F88" s="408">
        <v>4</v>
      </c>
      <c r="G88" s="408">
        <v>31</v>
      </c>
      <c r="H88" s="408">
        <v>-1.3</v>
      </c>
      <c r="I88" s="408">
        <v>0.35699999999999998</v>
      </c>
      <c r="J88" s="408">
        <v>0.71399999999999997</v>
      </c>
      <c r="K88" s="408">
        <v>0</v>
      </c>
      <c r="L88" s="408">
        <v>3.7</v>
      </c>
      <c r="M88" s="408">
        <v>14.6</v>
      </c>
      <c r="N88" s="408">
        <v>9.1999999999999993</v>
      </c>
      <c r="O88" s="408">
        <v>8.6999999999999993</v>
      </c>
      <c r="P88" s="408">
        <v>0</v>
      </c>
      <c r="Q88" s="408">
        <v>0</v>
      </c>
      <c r="R88" s="408">
        <v>22.2</v>
      </c>
      <c r="S88" s="408">
        <v>12.8</v>
      </c>
      <c r="T88" s="408">
        <v>-0.1</v>
      </c>
      <c r="U88" s="408">
        <v>0</v>
      </c>
      <c r="V88" s="408">
        <v>0</v>
      </c>
      <c r="W88" s="408">
        <v>-6.6000000000000003E-2</v>
      </c>
      <c r="X88" s="408">
        <v>-6.5</v>
      </c>
      <c r="Y88" s="408">
        <v>-1.8</v>
      </c>
      <c r="Z88" s="408">
        <v>-8.4</v>
      </c>
      <c r="AA88" s="408">
        <v>0</v>
      </c>
    </row>
    <row r="89" spans="1:27">
      <c r="A89">
        <v>71</v>
      </c>
      <c r="B89" s="1" t="s">
        <v>476</v>
      </c>
      <c r="C89" s="5" t="s">
        <v>26</v>
      </c>
      <c r="D89" s="408">
        <v>22</v>
      </c>
      <c r="E89" s="5" t="s">
        <v>41</v>
      </c>
      <c r="F89" s="408">
        <v>45</v>
      </c>
      <c r="G89" s="408">
        <v>672</v>
      </c>
      <c r="H89" s="408">
        <v>10.3</v>
      </c>
      <c r="I89" s="408">
        <v>0.52500000000000002</v>
      </c>
      <c r="J89" s="408">
        <v>0.435</v>
      </c>
      <c r="K89" s="408">
        <v>0.124</v>
      </c>
      <c r="L89" s="408">
        <v>4.0999999999999996</v>
      </c>
      <c r="M89" s="408">
        <v>18.399999999999999</v>
      </c>
      <c r="N89" s="408">
        <v>11.3</v>
      </c>
      <c r="O89" s="408">
        <v>4.2</v>
      </c>
      <c r="P89" s="408">
        <v>2.2999999999999998</v>
      </c>
      <c r="Q89" s="408">
        <v>1.4</v>
      </c>
      <c r="R89" s="408">
        <v>10.5</v>
      </c>
      <c r="S89" s="408">
        <v>14.1</v>
      </c>
      <c r="T89" s="408">
        <v>0.1</v>
      </c>
      <c r="U89" s="408">
        <v>0.7</v>
      </c>
      <c r="V89" s="408">
        <v>0.8</v>
      </c>
      <c r="W89" s="408">
        <v>0.06</v>
      </c>
      <c r="X89" s="408">
        <v>-2.7</v>
      </c>
      <c r="Y89" s="408">
        <v>-0.6</v>
      </c>
      <c r="Z89" s="408">
        <v>-3.4</v>
      </c>
      <c r="AA89" s="408">
        <v>-0.2</v>
      </c>
    </row>
    <row r="90" spans="1:27">
      <c r="A90">
        <v>72</v>
      </c>
      <c r="B90" s="1" t="s">
        <v>647</v>
      </c>
      <c r="C90" s="5" t="s">
        <v>46</v>
      </c>
      <c r="D90" s="408">
        <v>24</v>
      </c>
      <c r="E90" s="5" t="s">
        <v>149</v>
      </c>
      <c r="F90" s="408">
        <v>4</v>
      </c>
      <c r="G90" s="408">
        <v>10</v>
      </c>
      <c r="H90" s="408">
        <v>-4.5999999999999996</v>
      </c>
      <c r="I90" s="408">
        <v>0</v>
      </c>
      <c r="J90" s="408">
        <v>1</v>
      </c>
      <c r="K90" s="408">
        <v>0</v>
      </c>
      <c r="L90" s="408">
        <v>0</v>
      </c>
      <c r="M90" s="408">
        <v>34.1</v>
      </c>
      <c r="N90" s="408">
        <v>17</v>
      </c>
      <c r="O90" s="408">
        <v>0</v>
      </c>
      <c r="P90" s="408">
        <v>0</v>
      </c>
      <c r="Q90" s="408">
        <v>0</v>
      </c>
      <c r="R90" s="408">
        <v>0</v>
      </c>
      <c r="S90" s="408">
        <v>8.6999999999999993</v>
      </c>
      <c r="T90" s="408">
        <v>0</v>
      </c>
      <c r="U90" s="408">
        <v>0</v>
      </c>
      <c r="V90" s="408">
        <v>0</v>
      </c>
      <c r="W90" s="408">
        <v>-0.18099999999999999</v>
      </c>
      <c r="X90" s="408">
        <v>-13.7</v>
      </c>
      <c r="Y90" s="408">
        <v>-5</v>
      </c>
      <c r="Z90" s="408">
        <v>-18.7</v>
      </c>
      <c r="AA90" s="408">
        <v>0</v>
      </c>
    </row>
    <row r="91" spans="1:27">
      <c r="A91">
        <v>73</v>
      </c>
      <c r="B91" s="1" t="s">
        <v>603</v>
      </c>
      <c r="C91" s="5" t="s">
        <v>83</v>
      </c>
      <c r="D91" s="408">
        <v>20</v>
      </c>
      <c r="E91" s="5" t="s">
        <v>78</v>
      </c>
      <c r="F91" s="408">
        <v>10</v>
      </c>
      <c r="G91" s="408">
        <v>33</v>
      </c>
      <c r="H91" s="408">
        <v>7.9</v>
      </c>
      <c r="I91" s="408">
        <v>0.47299999999999998</v>
      </c>
      <c r="J91" s="408">
        <v>0.55600000000000005</v>
      </c>
      <c r="K91" s="408">
        <v>0.66700000000000004</v>
      </c>
      <c r="L91" s="408">
        <v>3.2</v>
      </c>
      <c r="M91" s="408">
        <v>16.100000000000001</v>
      </c>
      <c r="N91" s="408">
        <v>9.6999999999999993</v>
      </c>
      <c r="O91" s="408">
        <v>8</v>
      </c>
      <c r="P91" s="408">
        <v>0</v>
      </c>
      <c r="Q91" s="408">
        <v>0</v>
      </c>
      <c r="R91" s="408">
        <v>7.9</v>
      </c>
      <c r="S91" s="408">
        <v>16.2</v>
      </c>
      <c r="T91" s="408">
        <v>0</v>
      </c>
      <c r="U91" s="408">
        <v>0</v>
      </c>
      <c r="V91" s="408">
        <v>0</v>
      </c>
      <c r="W91" s="408">
        <v>3.7999999999999999E-2</v>
      </c>
      <c r="X91" s="408">
        <v>-3.8</v>
      </c>
      <c r="Y91" s="408">
        <v>-3.3</v>
      </c>
      <c r="Z91" s="408">
        <v>-7.1</v>
      </c>
      <c r="AA91" s="408">
        <v>0</v>
      </c>
    </row>
    <row r="92" spans="1:27">
      <c r="A92">
        <v>74</v>
      </c>
      <c r="B92" s="1" t="s">
        <v>428</v>
      </c>
      <c r="C92" s="5" t="s">
        <v>46</v>
      </c>
      <c r="D92" s="408">
        <v>26</v>
      </c>
      <c r="E92" s="5" t="s">
        <v>157</v>
      </c>
      <c r="F92" s="408">
        <v>54</v>
      </c>
      <c r="G92" s="408">
        <v>1484</v>
      </c>
      <c r="H92" s="408">
        <v>13.6</v>
      </c>
      <c r="I92" s="408">
        <v>0.61799999999999999</v>
      </c>
      <c r="J92" s="408">
        <v>0.52300000000000002</v>
      </c>
      <c r="K92" s="408">
        <v>9.5000000000000001E-2</v>
      </c>
      <c r="L92" s="408">
        <v>1.6</v>
      </c>
      <c r="M92" s="408">
        <v>8.1</v>
      </c>
      <c r="N92" s="408">
        <v>4.8</v>
      </c>
      <c r="O92" s="408">
        <v>8.3000000000000007</v>
      </c>
      <c r="P92" s="408">
        <v>1.3</v>
      </c>
      <c r="Q92" s="408">
        <v>0.7</v>
      </c>
      <c r="R92" s="408">
        <v>7.3</v>
      </c>
      <c r="S92" s="408">
        <v>15.5</v>
      </c>
      <c r="T92" s="408">
        <v>2.5</v>
      </c>
      <c r="U92" s="408">
        <v>1.1000000000000001</v>
      </c>
      <c r="V92" s="408">
        <v>3.6</v>
      </c>
      <c r="W92" s="408">
        <v>0.11600000000000001</v>
      </c>
      <c r="X92" s="408">
        <v>1.3</v>
      </c>
      <c r="Y92" s="408">
        <v>-0.8</v>
      </c>
      <c r="Z92" s="408">
        <v>0.5</v>
      </c>
      <c r="AA92" s="408">
        <v>1</v>
      </c>
    </row>
    <row r="93" spans="1:27">
      <c r="A93">
        <v>75</v>
      </c>
      <c r="B93" s="1" t="s">
        <v>22</v>
      </c>
      <c r="C93" s="5" t="s">
        <v>20</v>
      </c>
      <c r="D93" s="408">
        <v>25</v>
      </c>
      <c r="E93" s="5" t="s">
        <v>21</v>
      </c>
      <c r="F93" s="408">
        <v>25</v>
      </c>
      <c r="G93" s="408">
        <v>425</v>
      </c>
      <c r="H93" s="408">
        <v>22.1</v>
      </c>
      <c r="I93" s="408">
        <v>0.56299999999999994</v>
      </c>
      <c r="J93" s="408">
        <v>0.24199999999999999</v>
      </c>
      <c r="K93" s="408">
        <v>0.14199999999999999</v>
      </c>
      <c r="L93" s="408">
        <v>1.8</v>
      </c>
      <c r="M93" s="408">
        <v>8.3000000000000007</v>
      </c>
      <c r="N93" s="408">
        <v>5.0999999999999996</v>
      </c>
      <c r="O93" s="408">
        <v>36.9</v>
      </c>
      <c r="P93" s="408">
        <v>1.3</v>
      </c>
      <c r="Q93" s="408">
        <v>0.8</v>
      </c>
      <c r="R93" s="408">
        <v>7.9</v>
      </c>
      <c r="S93" s="408">
        <v>25.9</v>
      </c>
      <c r="T93" s="408">
        <v>1.2</v>
      </c>
      <c r="U93" s="408">
        <v>0.2</v>
      </c>
      <c r="V93" s="408">
        <v>1.4</v>
      </c>
      <c r="W93" s="408">
        <v>0.158</v>
      </c>
      <c r="X93" s="408">
        <v>4.5</v>
      </c>
      <c r="Y93" s="408">
        <v>-3.3</v>
      </c>
      <c r="Z93" s="408">
        <v>1.1000000000000001</v>
      </c>
      <c r="AA93" s="408">
        <v>0.3</v>
      </c>
    </row>
    <row r="94" spans="1:27">
      <c r="A94">
        <v>76</v>
      </c>
      <c r="B94" s="1" t="s">
        <v>445</v>
      </c>
      <c r="C94" s="5" t="s">
        <v>26</v>
      </c>
      <c r="D94" s="408">
        <v>26</v>
      </c>
      <c r="E94" s="5" t="s">
        <v>305</v>
      </c>
      <c r="F94" s="408">
        <v>59</v>
      </c>
      <c r="G94" s="408">
        <v>1008</v>
      </c>
      <c r="H94" s="408">
        <v>13.4</v>
      </c>
      <c r="I94" s="408">
        <v>0.52600000000000002</v>
      </c>
      <c r="J94" s="408">
        <v>0.33500000000000002</v>
      </c>
      <c r="K94" s="408">
        <v>0.307</v>
      </c>
      <c r="L94" s="408">
        <v>2</v>
      </c>
      <c r="M94" s="408">
        <v>18.399999999999999</v>
      </c>
      <c r="N94" s="408">
        <v>10.3</v>
      </c>
      <c r="O94" s="408">
        <v>10</v>
      </c>
      <c r="P94" s="408">
        <v>1.8</v>
      </c>
      <c r="Q94" s="408">
        <v>0.7</v>
      </c>
      <c r="R94" s="408">
        <v>11.1</v>
      </c>
      <c r="S94" s="408">
        <v>22.7</v>
      </c>
      <c r="T94" s="408">
        <v>0.2</v>
      </c>
      <c r="U94" s="408">
        <v>1.5</v>
      </c>
      <c r="V94" s="408">
        <v>1.8</v>
      </c>
      <c r="W94" s="408">
        <v>8.5000000000000006E-2</v>
      </c>
      <c r="X94" s="408">
        <v>-2.6</v>
      </c>
      <c r="Y94" s="408">
        <v>-0.2</v>
      </c>
      <c r="Z94" s="408">
        <v>-2.8</v>
      </c>
      <c r="AA94" s="408">
        <v>-0.2</v>
      </c>
    </row>
    <row r="95" spans="1:27">
      <c r="A95">
        <v>77</v>
      </c>
      <c r="B95" s="1" t="s">
        <v>13</v>
      </c>
      <c r="C95" s="5" t="s">
        <v>26</v>
      </c>
      <c r="D95" s="408">
        <v>28</v>
      </c>
      <c r="E95" s="5" t="s">
        <v>56</v>
      </c>
      <c r="F95" s="408">
        <v>56</v>
      </c>
      <c r="G95" s="408">
        <v>2077</v>
      </c>
      <c r="H95" s="408">
        <v>23.6</v>
      </c>
      <c r="I95" s="408">
        <v>0.58899999999999997</v>
      </c>
      <c r="J95" s="408">
        <v>0.22</v>
      </c>
      <c r="K95" s="408">
        <v>0.44600000000000001</v>
      </c>
      <c r="L95" s="408">
        <v>4.0999999999999996</v>
      </c>
      <c r="M95" s="408">
        <v>12.9</v>
      </c>
      <c r="N95" s="408">
        <v>8.5</v>
      </c>
      <c r="O95" s="408">
        <v>20.6</v>
      </c>
      <c r="P95" s="408">
        <v>2.6</v>
      </c>
      <c r="Q95" s="408">
        <v>1</v>
      </c>
      <c r="R95" s="408">
        <v>8.9</v>
      </c>
      <c r="S95" s="408">
        <v>24.7</v>
      </c>
      <c r="T95" s="408">
        <v>6.8</v>
      </c>
      <c r="U95" s="408">
        <v>1.6</v>
      </c>
      <c r="V95" s="408">
        <v>8.4</v>
      </c>
      <c r="W95" s="408">
        <v>0.19500000000000001</v>
      </c>
      <c r="X95" s="408">
        <v>4.9000000000000004</v>
      </c>
      <c r="Y95" s="408">
        <v>0</v>
      </c>
      <c r="Z95" s="408">
        <v>4.9000000000000004</v>
      </c>
      <c r="AA95" s="408">
        <v>3.6</v>
      </c>
    </row>
    <row r="96" spans="1:27">
      <c r="A96">
        <v>78</v>
      </c>
      <c r="B96" s="1" t="s">
        <v>193</v>
      </c>
      <c r="C96" s="5" t="s">
        <v>20</v>
      </c>
      <c r="D96" s="408">
        <v>28</v>
      </c>
      <c r="E96" s="5" t="s">
        <v>157</v>
      </c>
      <c r="F96" s="408">
        <v>27</v>
      </c>
      <c r="G96" s="408">
        <v>422</v>
      </c>
      <c r="H96" s="408">
        <v>13.2</v>
      </c>
      <c r="I96" s="408">
        <v>0.502</v>
      </c>
      <c r="J96" s="408">
        <v>0.23</v>
      </c>
      <c r="K96" s="408">
        <v>0.20899999999999999</v>
      </c>
      <c r="L96" s="408">
        <v>3.1</v>
      </c>
      <c r="M96" s="408">
        <v>7.9</v>
      </c>
      <c r="N96" s="408">
        <v>5.4</v>
      </c>
      <c r="O96" s="408">
        <v>23</v>
      </c>
      <c r="P96" s="408">
        <v>2.2000000000000002</v>
      </c>
      <c r="Q96" s="408">
        <v>0.4</v>
      </c>
      <c r="R96" s="408">
        <v>15.4</v>
      </c>
      <c r="S96" s="408">
        <v>26.5</v>
      </c>
      <c r="T96" s="408">
        <v>-0.2</v>
      </c>
      <c r="U96" s="408">
        <v>0.4</v>
      </c>
      <c r="V96" s="408">
        <v>0.3</v>
      </c>
      <c r="W96" s="408">
        <v>2.9000000000000001E-2</v>
      </c>
      <c r="X96" s="408">
        <v>-2.2000000000000002</v>
      </c>
      <c r="Y96" s="408">
        <v>-1.7</v>
      </c>
      <c r="Z96" s="408">
        <v>-3.9</v>
      </c>
      <c r="AA96" s="408">
        <v>-0.2</v>
      </c>
    </row>
    <row r="97" spans="1:27">
      <c r="A97">
        <v>79</v>
      </c>
      <c r="B97" s="1" t="s">
        <v>48</v>
      </c>
      <c r="C97" s="5" t="s">
        <v>46</v>
      </c>
      <c r="D97" s="408">
        <v>22</v>
      </c>
      <c r="E97" s="5" t="s">
        <v>357</v>
      </c>
      <c r="F97" s="408">
        <v>7</v>
      </c>
      <c r="G97" s="408">
        <v>54</v>
      </c>
      <c r="H97" s="408">
        <v>6.7</v>
      </c>
      <c r="I97" s="408">
        <v>0.29299999999999998</v>
      </c>
      <c r="J97" s="408">
        <v>0.52900000000000003</v>
      </c>
      <c r="K97" s="408">
        <v>0.23499999999999999</v>
      </c>
      <c r="L97" s="408">
        <v>10.1</v>
      </c>
      <c r="M97" s="408">
        <v>13.1</v>
      </c>
      <c r="N97" s="408">
        <v>11.6</v>
      </c>
      <c r="O97" s="408">
        <v>9.9</v>
      </c>
      <c r="P97" s="408">
        <v>2.8</v>
      </c>
      <c r="Q97" s="408">
        <v>1.8</v>
      </c>
      <c r="R97" s="408">
        <v>5.0999999999999996</v>
      </c>
      <c r="S97" s="408">
        <v>16.399999999999999</v>
      </c>
      <c r="T97" s="408">
        <v>-0.1</v>
      </c>
      <c r="U97" s="408">
        <v>0.1</v>
      </c>
      <c r="V97" s="408">
        <v>0</v>
      </c>
      <c r="W97" s="408">
        <v>-3.7999999999999999E-2</v>
      </c>
      <c r="X97" s="408">
        <v>-3.9</v>
      </c>
      <c r="Y97" s="408">
        <v>-0.2</v>
      </c>
      <c r="Z97" s="408">
        <v>-4.0999999999999996</v>
      </c>
      <c r="AA97" s="408">
        <v>0</v>
      </c>
    </row>
    <row r="98" spans="1:27">
      <c r="A98">
        <v>79</v>
      </c>
      <c r="B98" s="1" t="s">
        <v>48</v>
      </c>
      <c r="C98" s="5" t="s">
        <v>46</v>
      </c>
      <c r="D98" s="408">
        <v>22</v>
      </c>
      <c r="E98" s="5" t="s">
        <v>47</v>
      </c>
      <c r="F98" s="408">
        <v>2</v>
      </c>
      <c r="G98" s="408">
        <v>7</v>
      </c>
      <c r="H98" s="408">
        <v>-0.1</v>
      </c>
      <c r="I98" s="408">
        <v>0</v>
      </c>
      <c r="J98" s="408">
        <v>1</v>
      </c>
      <c r="K98" s="408">
        <v>0</v>
      </c>
      <c r="L98" s="408">
        <v>0</v>
      </c>
      <c r="M98" s="408">
        <v>15.7</v>
      </c>
      <c r="N98" s="408">
        <v>8</v>
      </c>
      <c r="O98" s="408">
        <v>16.7</v>
      </c>
      <c r="P98" s="408">
        <v>7</v>
      </c>
      <c r="Q98" s="408">
        <v>0</v>
      </c>
      <c r="R98" s="408">
        <v>0</v>
      </c>
      <c r="S98" s="408">
        <v>12.5</v>
      </c>
      <c r="T98" s="408">
        <v>0</v>
      </c>
      <c r="U98" s="408">
        <v>0</v>
      </c>
      <c r="V98" s="408">
        <v>0</v>
      </c>
      <c r="W98" s="408">
        <v>-0.109</v>
      </c>
      <c r="X98" s="408">
        <v>-6.7</v>
      </c>
      <c r="Y98" s="408">
        <v>4.4000000000000004</v>
      </c>
      <c r="Z98" s="408">
        <v>-2.2999999999999998</v>
      </c>
      <c r="AA98" s="408">
        <v>0</v>
      </c>
    </row>
    <row r="99" spans="1:27">
      <c r="A99">
        <v>79</v>
      </c>
      <c r="B99" s="1" t="s">
        <v>48</v>
      </c>
      <c r="C99" s="5" t="s">
        <v>46</v>
      </c>
      <c r="D99" s="408">
        <v>22</v>
      </c>
      <c r="E99" s="5" t="s">
        <v>100</v>
      </c>
      <c r="F99" s="408">
        <v>5</v>
      </c>
      <c r="G99" s="408">
        <v>47</v>
      </c>
      <c r="H99" s="408">
        <v>7.7</v>
      </c>
      <c r="I99" s="408">
        <v>0.32800000000000001</v>
      </c>
      <c r="J99" s="408">
        <v>0.46700000000000003</v>
      </c>
      <c r="K99" s="408">
        <v>0.26700000000000002</v>
      </c>
      <c r="L99" s="408">
        <v>11.6</v>
      </c>
      <c r="M99" s="408">
        <v>12.7</v>
      </c>
      <c r="N99" s="408">
        <v>12.1</v>
      </c>
      <c r="O99" s="408">
        <v>8.8000000000000007</v>
      </c>
      <c r="P99" s="408">
        <v>2.1</v>
      </c>
      <c r="Q99" s="408">
        <v>2</v>
      </c>
      <c r="R99" s="408">
        <v>5.6</v>
      </c>
      <c r="S99" s="408">
        <v>17</v>
      </c>
      <c r="T99" s="408">
        <v>-0.1</v>
      </c>
      <c r="U99" s="408">
        <v>0</v>
      </c>
      <c r="V99" s="408">
        <v>0</v>
      </c>
      <c r="W99" s="408">
        <v>-2.8000000000000001E-2</v>
      </c>
      <c r="X99" s="408">
        <v>-3.5</v>
      </c>
      <c r="Y99" s="408">
        <v>-0.9</v>
      </c>
      <c r="Z99" s="408">
        <v>-4.4000000000000004</v>
      </c>
      <c r="AA99" s="408">
        <v>0</v>
      </c>
    </row>
    <row r="100" spans="1:27">
      <c r="A100">
        <v>80</v>
      </c>
      <c r="B100" s="1" t="s">
        <v>108</v>
      </c>
      <c r="C100" s="5" t="s">
        <v>20</v>
      </c>
      <c r="D100" s="408">
        <v>36</v>
      </c>
      <c r="E100" s="5" t="s">
        <v>102</v>
      </c>
      <c r="F100" s="408">
        <v>47</v>
      </c>
      <c r="G100" s="408">
        <v>724</v>
      </c>
      <c r="H100" s="408">
        <v>10.7</v>
      </c>
      <c r="I100" s="408">
        <v>0.63300000000000001</v>
      </c>
      <c r="J100" s="408">
        <v>0.53700000000000003</v>
      </c>
      <c r="K100" s="408">
        <v>0.19400000000000001</v>
      </c>
      <c r="L100" s="408">
        <v>1.6</v>
      </c>
      <c r="M100" s="408">
        <v>9</v>
      </c>
      <c r="N100" s="408">
        <v>5.3</v>
      </c>
      <c r="O100" s="408">
        <v>17.600000000000001</v>
      </c>
      <c r="P100" s="408">
        <v>1.6</v>
      </c>
      <c r="Q100" s="408">
        <v>0.1</v>
      </c>
      <c r="R100" s="408">
        <v>17.100000000000001</v>
      </c>
      <c r="S100" s="408">
        <v>10.7</v>
      </c>
      <c r="T100" s="408">
        <v>1.1000000000000001</v>
      </c>
      <c r="U100" s="408">
        <v>0.3</v>
      </c>
      <c r="V100" s="408">
        <v>1.4</v>
      </c>
      <c r="W100" s="408">
        <v>9.1999999999999998E-2</v>
      </c>
      <c r="X100" s="408">
        <v>-0.2</v>
      </c>
      <c r="Y100" s="408">
        <v>-1.8</v>
      </c>
      <c r="Z100" s="408">
        <v>-2.1</v>
      </c>
      <c r="AA100" s="408">
        <v>0</v>
      </c>
    </row>
    <row r="101" spans="1:27">
      <c r="A101">
        <v>81</v>
      </c>
      <c r="B101" s="1" t="s">
        <v>223</v>
      </c>
      <c r="C101" s="5" t="s">
        <v>26</v>
      </c>
      <c r="D101" s="408">
        <v>24</v>
      </c>
      <c r="E101" s="5" t="s">
        <v>78</v>
      </c>
      <c r="F101" s="408">
        <v>62</v>
      </c>
      <c r="G101" s="408">
        <v>2084</v>
      </c>
      <c r="H101" s="408">
        <v>13.3</v>
      </c>
      <c r="I101" s="408">
        <v>0.56100000000000005</v>
      </c>
      <c r="J101" s="408">
        <v>0.51700000000000002</v>
      </c>
      <c r="K101" s="408">
        <v>0.245</v>
      </c>
      <c r="L101" s="408">
        <v>2.7</v>
      </c>
      <c r="M101" s="408">
        <v>14.6</v>
      </c>
      <c r="N101" s="408">
        <v>8.6999999999999993</v>
      </c>
      <c r="O101" s="408">
        <v>9.1999999999999993</v>
      </c>
      <c r="P101" s="408">
        <v>2.2000000000000002</v>
      </c>
      <c r="Q101" s="408">
        <v>0.5</v>
      </c>
      <c r="R101" s="408">
        <v>9.8000000000000007</v>
      </c>
      <c r="S101" s="408">
        <v>16.7</v>
      </c>
      <c r="T101" s="408">
        <v>2.2000000000000002</v>
      </c>
      <c r="U101" s="408">
        <v>2.4</v>
      </c>
      <c r="V101" s="408">
        <v>4.5999999999999996</v>
      </c>
      <c r="W101" s="408">
        <v>0.106</v>
      </c>
      <c r="X101" s="408">
        <v>0.6</v>
      </c>
      <c r="Y101" s="408">
        <v>0.6</v>
      </c>
      <c r="Z101" s="408">
        <v>1.2</v>
      </c>
      <c r="AA101" s="408">
        <v>1.7</v>
      </c>
    </row>
    <row r="102" spans="1:27">
      <c r="A102">
        <v>82</v>
      </c>
      <c r="B102" s="1" t="s">
        <v>194</v>
      </c>
      <c r="C102" s="5" t="s">
        <v>429</v>
      </c>
      <c r="D102" s="408">
        <v>26</v>
      </c>
      <c r="E102" s="5" t="s">
        <v>357</v>
      </c>
      <c r="F102" s="408">
        <v>20</v>
      </c>
      <c r="G102" s="408">
        <v>422</v>
      </c>
      <c r="H102" s="408">
        <v>13.5</v>
      </c>
      <c r="I102" s="408">
        <v>0.53900000000000003</v>
      </c>
      <c r="J102" s="408">
        <v>0.48199999999999998</v>
      </c>
      <c r="K102" s="408">
        <v>0.372</v>
      </c>
      <c r="L102" s="408">
        <v>1.5</v>
      </c>
      <c r="M102" s="408">
        <v>10.1</v>
      </c>
      <c r="N102" s="408">
        <v>5.7</v>
      </c>
      <c r="O102" s="408">
        <v>26.7</v>
      </c>
      <c r="P102" s="408">
        <v>1.8</v>
      </c>
      <c r="Q102" s="408">
        <v>0.2</v>
      </c>
      <c r="R102" s="408">
        <v>15.4</v>
      </c>
      <c r="S102" s="408">
        <v>18.899999999999999</v>
      </c>
      <c r="T102" s="408">
        <v>0.5</v>
      </c>
      <c r="U102" s="408">
        <v>0.1</v>
      </c>
      <c r="V102" s="408">
        <v>0.6</v>
      </c>
      <c r="W102" s="408">
        <v>7.0999999999999994E-2</v>
      </c>
      <c r="X102" s="408">
        <v>0.2</v>
      </c>
      <c r="Y102" s="408">
        <v>-2.6</v>
      </c>
      <c r="Z102" s="408">
        <v>-2.4</v>
      </c>
      <c r="AA102" s="408">
        <v>0</v>
      </c>
    </row>
    <row r="103" spans="1:27">
      <c r="A103">
        <v>82</v>
      </c>
      <c r="B103" s="1" t="s">
        <v>194</v>
      </c>
      <c r="C103" s="5" t="s">
        <v>26</v>
      </c>
      <c r="D103" s="408">
        <v>26</v>
      </c>
      <c r="E103" s="5" t="s">
        <v>92</v>
      </c>
      <c r="F103" s="408">
        <v>1</v>
      </c>
      <c r="G103" s="408">
        <v>4</v>
      </c>
      <c r="H103" s="408">
        <v>-7.3</v>
      </c>
      <c r="I103" s="408">
        <v>0</v>
      </c>
      <c r="J103" s="408">
        <v>0</v>
      </c>
      <c r="K103" s="408">
        <v>0</v>
      </c>
      <c r="L103" s="408">
        <v>0</v>
      </c>
      <c r="M103" s="408">
        <v>28.2</v>
      </c>
      <c r="N103" s="408">
        <v>14.2</v>
      </c>
      <c r="O103" s="408">
        <v>0</v>
      </c>
      <c r="P103" s="408">
        <v>0</v>
      </c>
      <c r="Q103" s="408">
        <v>0</v>
      </c>
      <c r="R103" s="408">
        <v>0</v>
      </c>
      <c r="S103" s="408">
        <v>11</v>
      </c>
      <c r="T103" s="408">
        <v>0</v>
      </c>
      <c r="U103" s="408">
        <v>0</v>
      </c>
      <c r="V103" s="408">
        <v>0</v>
      </c>
      <c r="W103" s="408">
        <v>-0.22500000000000001</v>
      </c>
      <c r="X103" s="408">
        <v>-17.2</v>
      </c>
      <c r="Y103" s="408">
        <v>-4</v>
      </c>
      <c r="Z103" s="408">
        <v>-21.2</v>
      </c>
      <c r="AA103" s="408">
        <v>0</v>
      </c>
    </row>
    <row r="104" spans="1:27">
      <c r="A104">
        <v>82</v>
      </c>
      <c r="B104" s="1" t="s">
        <v>194</v>
      </c>
      <c r="C104" s="5" t="s">
        <v>20</v>
      </c>
      <c r="D104" s="408">
        <v>26</v>
      </c>
      <c r="E104" s="5" t="s">
        <v>313</v>
      </c>
      <c r="F104" s="408">
        <v>19</v>
      </c>
      <c r="G104" s="408">
        <v>418</v>
      </c>
      <c r="H104" s="408">
        <v>13.7</v>
      </c>
      <c r="I104" s="408">
        <v>0.54300000000000004</v>
      </c>
      <c r="J104" s="408">
        <v>0.48499999999999999</v>
      </c>
      <c r="K104" s="408">
        <v>0.375</v>
      </c>
      <c r="L104" s="408">
        <v>1.5</v>
      </c>
      <c r="M104" s="408">
        <v>10</v>
      </c>
      <c r="N104" s="408">
        <v>5.6</v>
      </c>
      <c r="O104" s="408">
        <v>26.9</v>
      </c>
      <c r="P104" s="408">
        <v>1.8</v>
      </c>
      <c r="Q104" s="408">
        <v>0.2</v>
      </c>
      <c r="R104" s="408">
        <v>15.5</v>
      </c>
      <c r="S104" s="408">
        <v>19</v>
      </c>
      <c r="T104" s="408">
        <v>0.5</v>
      </c>
      <c r="U104" s="408">
        <v>0.1</v>
      </c>
      <c r="V104" s="408">
        <v>0.6</v>
      </c>
      <c r="W104" s="408">
        <v>7.3999999999999996E-2</v>
      </c>
      <c r="X104" s="408">
        <v>0.3</v>
      </c>
      <c r="Y104" s="408">
        <v>-2.5</v>
      </c>
      <c r="Z104" s="408">
        <v>-2.2000000000000002</v>
      </c>
      <c r="AA104" s="408">
        <v>0</v>
      </c>
    </row>
    <row r="105" spans="1:27">
      <c r="A105">
        <v>83</v>
      </c>
      <c r="B105" s="1" t="s">
        <v>228</v>
      </c>
      <c r="C105" s="5" t="s">
        <v>83</v>
      </c>
      <c r="D105" s="408">
        <v>23</v>
      </c>
      <c r="E105" s="5" t="s">
        <v>92</v>
      </c>
      <c r="F105" s="408">
        <v>64</v>
      </c>
      <c r="G105" s="408">
        <v>1757</v>
      </c>
      <c r="H105" s="408">
        <v>24.7</v>
      </c>
      <c r="I105" s="408">
        <v>0.65100000000000002</v>
      </c>
      <c r="J105" s="408">
        <v>2E-3</v>
      </c>
      <c r="K105" s="408">
        <v>0.38900000000000001</v>
      </c>
      <c r="L105" s="408">
        <v>13.8</v>
      </c>
      <c r="M105" s="408">
        <v>31.4</v>
      </c>
      <c r="N105" s="408">
        <v>22.7</v>
      </c>
      <c r="O105" s="408">
        <v>5.6</v>
      </c>
      <c r="P105" s="408">
        <v>1.3</v>
      </c>
      <c r="Q105" s="408">
        <v>5.7</v>
      </c>
      <c r="R105" s="408">
        <v>11.6</v>
      </c>
      <c r="S105" s="408">
        <v>19.8</v>
      </c>
      <c r="T105" s="408">
        <v>5.5</v>
      </c>
      <c r="U105" s="408">
        <v>3.3</v>
      </c>
      <c r="V105" s="408">
        <v>8.8000000000000007</v>
      </c>
      <c r="W105" s="408">
        <v>0.24</v>
      </c>
      <c r="X105" s="408">
        <v>0.1</v>
      </c>
      <c r="Y105" s="408">
        <v>2.6</v>
      </c>
      <c r="Z105" s="408">
        <v>2.7</v>
      </c>
      <c r="AA105" s="408">
        <v>2.1</v>
      </c>
    </row>
    <row r="106" spans="1:27">
      <c r="A106">
        <v>84</v>
      </c>
      <c r="B106" s="1" t="s">
        <v>355</v>
      </c>
      <c r="C106" s="5" t="s">
        <v>46</v>
      </c>
      <c r="D106" s="408">
        <v>31</v>
      </c>
      <c r="E106" s="5" t="s">
        <v>315</v>
      </c>
      <c r="F106" s="408">
        <v>66</v>
      </c>
      <c r="G106" s="408">
        <v>1976</v>
      </c>
      <c r="H106" s="408">
        <v>14.8</v>
      </c>
      <c r="I106" s="408">
        <v>0.55500000000000005</v>
      </c>
      <c r="J106" s="408">
        <v>0.49399999999999999</v>
      </c>
      <c r="K106" s="408">
        <v>0.307</v>
      </c>
      <c r="L106" s="408">
        <v>5.4</v>
      </c>
      <c r="M106" s="408">
        <v>18.600000000000001</v>
      </c>
      <c r="N106" s="408">
        <v>12</v>
      </c>
      <c r="O106" s="408">
        <v>10.7</v>
      </c>
      <c r="P106" s="408">
        <v>1.4</v>
      </c>
      <c r="Q106" s="408">
        <v>1</v>
      </c>
      <c r="R106" s="408">
        <v>10.5</v>
      </c>
      <c r="S106" s="408">
        <v>19.8</v>
      </c>
      <c r="T106" s="408">
        <v>2.4</v>
      </c>
      <c r="U106" s="408">
        <v>1.7</v>
      </c>
      <c r="V106" s="408">
        <v>4</v>
      </c>
      <c r="W106" s="408">
        <v>9.8000000000000004E-2</v>
      </c>
      <c r="X106" s="408">
        <v>0.7</v>
      </c>
      <c r="Y106" s="408">
        <v>0</v>
      </c>
      <c r="Z106" s="408">
        <v>0.7</v>
      </c>
      <c r="AA106" s="408">
        <v>1.3</v>
      </c>
    </row>
    <row r="107" spans="1:27">
      <c r="A107">
        <v>85</v>
      </c>
      <c r="B107" s="1" t="s">
        <v>101</v>
      </c>
      <c r="C107" s="5" t="s">
        <v>46</v>
      </c>
      <c r="D107" s="408">
        <v>41</v>
      </c>
      <c r="E107" s="5" t="s">
        <v>100</v>
      </c>
      <c r="F107" s="408">
        <v>48</v>
      </c>
      <c r="G107" s="408">
        <v>850</v>
      </c>
      <c r="H107" s="408">
        <v>11.3</v>
      </c>
      <c r="I107" s="408">
        <v>0.52100000000000002</v>
      </c>
      <c r="J107" s="408">
        <v>0.57999999999999996</v>
      </c>
      <c r="K107" s="408">
        <v>0.13</v>
      </c>
      <c r="L107" s="408">
        <v>1.8</v>
      </c>
      <c r="M107" s="408">
        <v>14.4</v>
      </c>
      <c r="N107" s="408">
        <v>7.8</v>
      </c>
      <c r="O107" s="408">
        <v>9.6999999999999993</v>
      </c>
      <c r="P107" s="408">
        <v>2.4</v>
      </c>
      <c r="Q107" s="408">
        <v>2.7</v>
      </c>
      <c r="R107" s="408">
        <v>10</v>
      </c>
      <c r="S107" s="408">
        <v>14.8</v>
      </c>
      <c r="T107" s="408">
        <v>0.3</v>
      </c>
      <c r="U107" s="408">
        <v>0.7</v>
      </c>
      <c r="V107" s="408">
        <v>1</v>
      </c>
      <c r="W107" s="408">
        <v>5.6000000000000001E-2</v>
      </c>
      <c r="X107" s="408">
        <v>-1.3</v>
      </c>
      <c r="Y107" s="408">
        <v>0.6</v>
      </c>
      <c r="Z107" s="408">
        <v>-0.7</v>
      </c>
      <c r="AA107" s="408">
        <v>0.3</v>
      </c>
    </row>
    <row r="108" spans="1:27">
      <c r="A108">
        <v>86</v>
      </c>
      <c r="B108" s="1" t="s">
        <v>105</v>
      </c>
      <c r="C108" s="5" t="s">
        <v>20</v>
      </c>
      <c r="D108" s="408">
        <v>26</v>
      </c>
      <c r="E108" s="5" t="s">
        <v>311</v>
      </c>
      <c r="F108" s="408">
        <v>52</v>
      </c>
      <c r="G108" s="408">
        <v>835</v>
      </c>
      <c r="H108" s="408">
        <v>10.8</v>
      </c>
      <c r="I108" s="408">
        <v>0.44600000000000001</v>
      </c>
      <c r="J108" s="408">
        <v>0.25800000000000001</v>
      </c>
      <c r="K108" s="408">
        <v>0.38900000000000001</v>
      </c>
      <c r="L108" s="408">
        <v>4.7</v>
      </c>
      <c r="M108" s="408">
        <v>13.5</v>
      </c>
      <c r="N108" s="408">
        <v>9</v>
      </c>
      <c r="O108" s="408">
        <v>19.5</v>
      </c>
      <c r="P108" s="408">
        <v>2.6</v>
      </c>
      <c r="Q108" s="408">
        <v>2.2999999999999998</v>
      </c>
      <c r="R108" s="408">
        <v>16.2</v>
      </c>
      <c r="S108" s="408">
        <v>16.7</v>
      </c>
      <c r="T108" s="408">
        <v>-0.2</v>
      </c>
      <c r="U108" s="408">
        <v>1.1000000000000001</v>
      </c>
      <c r="V108" s="408">
        <v>0.8</v>
      </c>
      <c r="W108" s="408">
        <v>4.7E-2</v>
      </c>
      <c r="X108" s="408">
        <v>-2.7</v>
      </c>
      <c r="Y108" s="408">
        <v>2</v>
      </c>
      <c r="Z108" s="408">
        <v>-0.8</v>
      </c>
      <c r="AA108" s="408">
        <v>0.3</v>
      </c>
    </row>
    <row r="109" spans="1:27">
      <c r="A109">
        <v>87</v>
      </c>
      <c r="B109" s="1" t="s">
        <v>613</v>
      </c>
      <c r="C109" s="5" t="s">
        <v>20</v>
      </c>
      <c r="D109" s="408">
        <v>23</v>
      </c>
      <c r="E109" s="5" t="s">
        <v>78</v>
      </c>
      <c r="F109" s="408">
        <v>28</v>
      </c>
      <c r="G109" s="408">
        <v>366</v>
      </c>
      <c r="H109" s="408">
        <v>8.3000000000000007</v>
      </c>
      <c r="I109" s="408">
        <v>0.51300000000000001</v>
      </c>
      <c r="J109" s="408">
        <v>0.32800000000000001</v>
      </c>
      <c r="K109" s="408">
        <v>0.23899999999999999</v>
      </c>
      <c r="L109" s="408">
        <v>2.2999999999999998</v>
      </c>
      <c r="M109" s="408">
        <v>8.4</v>
      </c>
      <c r="N109" s="408">
        <v>5.4</v>
      </c>
      <c r="O109" s="408">
        <v>17.100000000000001</v>
      </c>
      <c r="P109" s="408">
        <v>2.1</v>
      </c>
      <c r="Q109" s="408">
        <v>1.8</v>
      </c>
      <c r="R109" s="408">
        <v>25.2</v>
      </c>
      <c r="S109" s="408">
        <v>11.4</v>
      </c>
      <c r="T109" s="408">
        <v>-0.1</v>
      </c>
      <c r="U109" s="408">
        <v>0.4</v>
      </c>
      <c r="V109" s="408">
        <v>0.3</v>
      </c>
      <c r="W109" s="408">
        <v>4.1000000000000002E-2</v>
      </c>
      <c r="X109" s="408">
        <v>-3.9</v>
      </c>
      <c r="Y109" s="408">
        <v>0.7</v>
      </c>
      <c r="Z109" s="408">
        <v>-3.2</v>
      </c>
      <c r="AA109" s="408">
        <v>-0.1</v>
      </c>
    </row>
    <row r="110" spans="1:27">
      <c r="A110">
        <v>88</v>
      </c>
      <c r="B110" s="1" t="s">
        <v>165</v>
      </c>
      <c r="C110" s="5" t="s">
        <v>46</v>
      </c>
      <c r="D110" s="408">
        <v>29</v>
      </c>
      <c r="E110" s="5" t="s">
        <v>73</v>
      </c>
      <c r="F110" s="408">
        <v>53</v>
      </c>
      <c r="G110" s="408">
        <v>740</v>
      </c>
      <c r="H110" s="408">
        <v>15.4</v>
      </c>
      <c r="I110" s="408">
        <v>0.63200000000000001</v>
      </c>
      <c r="J110" s="408">
        <v>0.106</v>
      </c>
      <c r="K110" s="408">
        <v>0.33300000000000002</v>
      </c>
      <c r="L110" s="408">
        <v>4.9000000000000004</v>
      </c>
      <c r="M110" s="408">
        <v>23.8</v>
      </c>
      <c r="N110" s="408">
        <v>15.1</v>
      </c>
      <c r="O110" s="408">
        <v>9.4</v>
      </c>
      <c r="P110" s="408">
        <v>1.2</v>
      </c>
      <c r="Q110" s="408">
        <v>2</v>
      </c>
      <c r="R110" s="408">
        <v>13.5</v>
      </c>
      <c r="S110" s="408">
        <v>16.2</v>
      </c>
      <c r="T110" s="408">
        <v>1.2</v>
      </c>
      <c r="U110" s="408">
        <v>1</v>
      </c>
      <c r="V110" s="408">
        <v>2.2000000000000002</v>
      </c>
      <c r="W110" s="408">
        <v>0.14399999999999999</v>
      </c>
      <c r="X110" s="408">
        <v>-1.4</v>
      </c>
      <c r="Y110" s="408">
        <v>0.2</v>
      </c>
      <c r="Z110" s="408">
        <v>-1.3</v>
      </c>
      <c r="AA110" s="408">
        <v>0.1</v>
      </c>
    </row>
    <row r="111" spans="1:27">
      <c r="A111">
        <v>89</v>
      </c>
      <c r="B111" s="1" t="s">
        <v>563</v>
      </c>
      <c r="C111" s="5" t="s">
        <v>83</v>
      </c>
      <c r="D111" s="408">
        <v>24</v>
      </c>
      <c r="E111" s="5" t="s">
        <v>100</v>
      </c>
      <c r="F111" s="408">
        <v>63</v>
      </c>
      <c r="G111" s="408">
        <v>1758</v>
      </c>
      <c r="H111" s="408">
        <v>17.100000000000001</v>
      </c>
      <c r="I111" s="408">
        <v>0.51900000000000002</v>
      </c>
      <c r="J111" s="408">
        <v>1.7999999999999999E-2</v>
      </c>
      <c r="K111" s="408">
        <v>0.32200000000000001</v>
      </c>
      <c r="L111" s="408">
        <v>7.2</v>
      </c>
      <c r="M111" s="408">
        <v>21.5</v>
      </c>
      <c r="N111" s="408">
        <v>14</v>
      </c>
      <c r="O111" s="408">
        <v>12.9</v>
      </c>
      <c r="P111" s="408">
        <v>2</v>
      </c>
      <c r="Q111" s="408">
        <v>3.2</v>
      </c>
      <c r="R111" s="408">
        <v>10.9</v>
      </c>
      <c r="S111" s="408">
        <v>21.5</v>
      </c>
      <c r="T111" s="408">
        <v>1.2</v>
      </c>
      <c r="U111" s="408">
        <v>1.7</v>
      </c>
      <c r="V111" s="408">
        <v>2.9</v>
      </c>
      <c r="W111" s="408">
        <v>7.9000000000000001E-2</v>
      </c>
      <c r="X111" s="408">
        <v>-1.6</v>
      </c>
      <c r="Y111" s="408">
        <v>1.5</v>
      </c>
      <c r="Z111" s="408">
        <v>-0.1</v>
      </c>
      <c r="AA111" s="408">
        <v>0.9</v>
      </c>
    </row>
    <row r="112" spans="1:27">
      <c r="A112">
        <v>90</v>
      </c>
      <c r="B112" s="1" t="s">
        <v>456</v>
      </c>
      <c r="C112" s="5" t="s">
        <v>38</v>
      </c>
      <c r="D112" s="408">
        <v>23</v>
      </c>
      <c r="E112" s="5" t="s">
        <v>149</v>
      </c>
      <c r="F112" s="408">
        <v>33</v>
      </c>
      <c r="G112" s="408">
        <v>448</v>
      </c>
      <c r="H112" s="408">
        <v>14.4</v>
      </c>
      <c r="I112" s="408">
        <v>0.60699999999999998</v>
      </c>
      <c r="J112" s="408">
        <v>0.6</v>
      </c>
      <c r="K112" s="408">
        <v>0.16800000000000001</v>
      </c>
      <c r="L112" s="408">
        <v>9.6</v>
      </c>
      <c r="M112" s="408">
        <v>18.3</v>
      </c>
      <c r="N112" s="408">
        <v>13.9</v>
      </c>
      <c r="O112" s="408">
        <v>8.8000000000000007</v>
      </c>
      <c r="P112" s="408">
        <v>1</v>
      </c>
      <c r="Q112" s="408">
        <v>0.8</v>
      </c>
      <c r="R112" s="408">
        <v>7.6</v>
      </c>
      <c r="S112" s="408">
        <v>14.2</v>
      </c>
      <c r="T112" s="408">
        <v>1</v>
      </c>
      <c r="U112" s="408">
        <v>0.3</v>
      </c>
      <c r="V112" s="408">
        <v>1.3</v>
      </c>
      <c r="W112" s="408">
        <v>0.13700000000000001</v>
      </c>
      <c r="X112" s="408">
        <v>1.6</v>
      </c>
      <c r="Y112" s="408">
        <v>-1.3</v>
      </c>
      <c r="Z112" s="408">
        <v>0.3</v>
      </c>
      <c r="AA112" s="408">
        <v>0.3</v>
      </c>
    </row>
    <row r="113" spans="1:27">
      <c r="A113">
        <v>91</v>
      </c>
      <c r="B113" s="1" t="s">
        <v>175</v>
      </c>
      <c r="C113" s="5" t="s">
        <v>20</v>
      </c>
      <c r="D113" s="408">
        <v>31</v>
      </c>
      <c r="E113" s="5" t="s">
        <v>128</v>
      </c>
      <c r="F113" s="408">
        <v>57</v>
      </c>
      <c r="G113" s="408">
        <v>1269</v>
      </c>
      <c r="H113" s="408">
        <v>10</v>
      </c>
      <c r="I113" s="408">
        <v>0.49299999999999999</v>
      </c>
      <c r="J113" s="408">
        <v>0.42099999999999999</v>
      </c>
      <c r="K113" s="408">
        <v>0.307</v>
      </c>
      <c r="L113" s="408">
        <v>1</v>
      </c>
      <c r="M113" s="408">
        <v>11.6</v>
      </c>
      <c r="N113" s="408">
        <v>6.2</v>
      </c>
      <c r="O113" s="408">
        <v>21.6</v>
      </c>
      <c r="P113" s="408">
        <v>2.8</v>
      </c>
      <c r="Q113" s="408">
        <v>0.8</v>
      </c>
      <c r="R113" s="408">
        <v>18.100000000000001</v>
      </c>
      <c r="S113" s="408">
        <v>19.399999999999999</v>
      </c>
      <c r="T113" s="408">
        <v>-0.6</v>
      </c>
      <c r="U113" s="408">
        <v>1.3</v>
      </c>
      <c r="V113" s="408">
        <v>0.6</v>
      </c>
      <c r="W113" s="408">
        <v>2.3E-2</v>
      </c>
      <c r="X113" s="408">
        <v>-2.4</v>
      </c>
      <c r="Y113" s="408">
        <v>-0.4</v>
      </c>
      <c r="Z113" s="408">
        <v>-2.9</v>
      </c>
      <c r="AA113" s="408">
        <v>-0.3</v>
      </c>
    </row>
    <row r="114" spans="1:27">
      <c r="A114">
        <v>92</v>
      </c>
      <c r="B114" s="1" t="s">
        <v>597</v>
      </c>
      <c r="C114" s="5" t="s">
        <v>83</v>
      </c>
      <c r="D114" s="408">
        <v>35</v>
      </c>
      <c r="E114" s="5" t="s">
        <v>313</v>
      </c>
      <c r="F114" s="408">
        <v>46</v>
      </c>
      <c r="G114" s="408">
        <v>1151</v>
      </c>
      <c r="H114" s="408">
        <v>14.2</v>
      </c>
      <c r="I114" s="408">
        <v>0.65700000000000003</v>
      </c>
      <c r="J114" s="408">
        <v>0</v>
      </c>
      <c r="K114" s="408">
        <v>0.503</v>
      </c>
      <c r="L114" s="408">
        <v>12.2</v>
      </c>
      <c r="M114" s="408">
        <v>27</v>
      </c>
      <c r="N114" s="408">
        <v>19.399999999999999</v>
      </c>
      <c r="O114" s="408">
        <v>6.6</v>
      </c>
      <c r="P114" s="408">
        <v>0.7</v>
      </c>
      <c r="Q114" s="408">
        <v>1.9</v>
      </c>
      <c r="R114" s="408">
        <v>20.5</v>
      </c>
      <c r="S114" s="408">
        <v>10.6</v>
      </c>
      <c r="T114" s="408">
        <v>1.8</v>
      </c>
      <c r="U114" s="408">
        <v>0.8</v>
      </c>
      <c r="V114" s="408">
        <v>2.6</v>
      </c>
      <c r="W114" s="408">
        <v>0.109</v>
      </c>
      <c r="X114" s="408">
        <v>-1.3</v>
      </c>
      <c r="Y114" s="408">
        <v>0.9</v>
      </c>
      <c r="Z114" s="408">
        <v>-0.4</v>
      </c>
      <c r="AA114" s="408">
        <v>0.5</v>
      </c>
    </row>
    <row r="115" spans="1:27">
      <c r="A115">
        <v>93</v>
      </c>
      <c r="B115" s="1" t="s">
        <v>412</v>
      </c>
      <c r="C115" s="5" t="s">
        <v>46</v>
      </c>
      <c r="D115" s="408">
        <v>30</v>
      </c>
      <c r="E115" s="5" t="s">
        <v>61</v>
      </c>
      <c r="F115" s="408">
        <v>64</v>
      </c>
      <c r="G115" s="408">
        <v>2009</v>
      </c>
      <c r="H115" s="408">
        <v>11.2</v>
      </c>
      <c r="I115" s="408">
        <v>0.54500000000000004</v>
      </c>
      <c r="J115" s="408">
        <v>0.38300000000000001</v>
      </c>
      <c r="K115" s="408">
        <v>0.188</v>
      </c>
      <c r="L115" s="408">
        <v>5.0999999999999996</v>
      </c>
      <c r="M115" s="408">
        <v>13.8</v>
      </c>
      <c r="N115" s="408">
        <v>9.4</v>
      </c>
      <c r="O115" s="408">
        <v>9.5</v>
      </c>
      <c r="P115" s="408">
        <v>0.9</v>
      </c>
      <c r="Q115" s="408">
        <v>1.4</v>
      </c>
      <c r="R115" s="408">
        <v>12</v>
      </c>
      <c r="S115" s="408">
        <v>14.7</v>
      </c>
      <c r="T115" s="408">
        <v>1.9</v>
      </c>
      <c r="U115" s="408">
        <v>1</v>
      </c>
      <c r="V115" s="408">
        <v>2.9</v>
      </c>
      <c r="W115" s="408">
        <v>6.8000000000000005E-2</v>
      </c>
      <c r="X115" s="408">
        <v>-0.4</v>
      </c>
      <c r="Y115" s="408">
        <v>-0.5</v>
      </c>
      <c r="Z115" s="408">
        <v>-1</v>
      </c>
      <c r="AA115" s="408">
        <v>0.5</v>
      </c>
    </row>
    <row r="116" spans="1:27">
      <c r="A116">
        <v>94</v>
      </c>
      <c r="B116" s="1" t="s">
        <v>441</v>
      </c>
      <c r="C116" s="5" t="s">
        <v>38</v>
      </c>
      <c r="D116" s="408">
        <v>20</v>
      </c>
      <c r="E116" s="5" t="s">
        <v>313</v>
      </c>
      <c r="F116" s="408">
        <v>63</v>
      </c>
      <c r="G116" s="408">
        <v>1277</v>
      </c>
      <c r="H116" s="408">
        <v>9.9</v>
      </c>
      <c r="I116" s="408">
        <v>0.49199999999999999</v>
      </c>
      <c r="J116" s="408">
        <v>0.42599999999999999</v>
      </c>
      <c r="K116" s="408">
        <v>0.316</v>
      </c>
      <c r="L116" s="408">
        <v>4.9000000000000004</v>
      </c>
      <c r="M116" s="408">
        <v>22.1</v>
      </c>
      <c r="N116" s="408">
        <v>13.3</v>
      </c>
      <c r="O116" s="408">
        <v>8.1</v>
      </c>
      <c r="P116" s="408">
        <v>1.6</v>
      </c>
      <c r="Q116" s="408">
        <v>3.7</v>
      </c>
      <c r="R116" s="408">
        <v>16.5</v>
      </c>
      <c r="S116" s="408">
        <v>17.3</v>
      </c>
      <c r="T116" s="408">
        <v>-0.9</v>
      </c>
      <c r="U116" s="408">
        <v>1.2</v>
      </c>
      <c r="V116" s="408">
        <v>0.3</v>
      </c>
      <c r="W116" s="408">
        <v>0.01</v>
      </c>
      <c r="X116" s="408">
        <v>-3.6</v>
      </c>
      <c r="Y116" s="408">
        <v>1.2</v>
      </c>
      <c r="Z116" s="408">
        <v>-2.4</v>
      </c>
      <c r="AA116" s="408">
        <v>-0.1</v>
      </c>
    </row>
    <row r="117" spans="1:27">
      <c r="A117">
        <v>95</v>
      </c>
      <c r="B117" s="1" t="s">
        <v>125</v>
      </c>
      <c r="C117" s="5" t="s">
        <v>26</v>
      </c>
      <c r="D117" s="408">
        <v>26</v>
      </c>
      <c r="E117" s="5" t="s">
        <v>112</v>
      </c>
      <c r="F117" s="408">
        <v>64</v>
      </c>
      <c r="G117" s="408">
        <v>1214</v>
      </c>
      <c r="H117" s="408">
        <v>9</v>
      </c>
      <c r="I117" s="408">
        <v>0.52600000000000002</v>
      </c>
      <c r="J117" s="408">
        <v>0.41399999999999998</v>
      </c>
      <c r="K117" s="408">
        <v>0.13</v>
      </c>
      <c r="L117" s="408">
        <v>0.9</v>
      </c>
      <c r="M117" s="408">
        <v>8.5</v>
      </c>
      <c r="N117" s="408">
        <v>4.8</v>
      </c>
      <c r="O117" s="408">
        <v>10.3</v>
      </c>
      <c r="P117" s="408">
        <v>1</v>
      </c>
      <c r="Q117" s="408">
        <v>0.7</v>
      </c>
      <c r="R117" s="408">
        <v>10</v>
      </c>
      <c r="S117" s="408">
        <v>16.8</v>
      </c>
      <c r="T117" s="408">
        <v>0.2</v>
      </c>
      <c r="U117" s="408">
        <v>0.6</v>
      </c>
      <c r="V117" s="408">
        <v>0.8</v>
      </c>
      <c r="W117" s="408">
        <v>3.1E-2</v>
      </c>
      <c r="X117" s="408">
        <v>-2.1</v>
      </c>
      <c r="Y117" s="408">
        <v>-2</v>
      </c>
      <c r="Z117" s="408">
        <v>-4.0999999999999996</v>
      </c>
      <c r="AA117" s="408">
        <v>-0.6</v>
      </c>
    </row>
    <row r="118" spans="1:27">
      <c r="A118">
        <v>96</v>
      </c>
      <c r="B118" s="1" t="s">
        <v>397</v>
      </c>
      <c r="C118" s="5" t="s">
        <v>26</v>
      </c>
      <c r="D118" s="408">
        <v>25</v>
      </c>
      <c r="E118" s="5" t="s">
        <v>357</v>
      </c>
      <c r="F118" s="408">
        <v>69</v>
      </c>
      <c r="G118" s="408">
        <v>1625</v>
      </c>
      <c r="H118" s="408">
        <v>17.100000000000001</v>
      </c>
      <c r="I118" s="408">
        <v>0.54600000000000004</v>
      </c>
      <c r="J118" s="408">
        <v>0.34599999999999997</v>
      </c>
      <c r="K118" s="408">
        <v>0.20100000000000001</v>
      </c>
      <c r="L118" s="408">
        <v>3.4</v>
      </c>
      <c r="M118" s="408">
        <v>9.8000000000000007</v>
      </c>
      <c r="N118" s="408">
        <v>6.6</v>
      </c>
      <c r="O118" s="408">
        <v>20.7</v>
      </c>
      <c r="P118" s="408">
        <v>1.4</v>
      </c>
      <c r="Q118" s="408">
        <v>0.2</v>
      </c>
      <c r="R118" s="408">
        <v>11.2</v>
      </c>
      <c r="S118" s="408">
        <v>26.9</v>
      </c>
      <c r="T118" s="408">
        <v>1.8</v>
      </c>
      <c r="U118" s="408">
        <v>1.1000000000000001</v>
      </c>
      <c r="V118" s="408">
        <v>2.9</v>
      </c>
      <c r="W118" s="408">
        <v>8.5999999999999993E-2</v>
      </c>
      <c r="X118" s="408">
        <v>1.2</v>
      </c>
      <c r="Y118" s="408">
        <v>-2.6</v>
      </c>
      <c r="Z118" s="408">
        <v>-1.4</v>
      </c>
      <c r="AA118" s="408">
        <v>0.3</v>
      </c>
    </row>
    <row r="119" spans="1:27">
      <c r="A119">
        <v>96</v>
      </c>
      <c r="B119" s="1" t="s">
        <v>397</v>
      </c>
      <c r="C119" s="5" t="s">
        <v>26</v>
      </c>
      <c r="D119" s="408">
        <v>25</v>
      </c>
      <c r="E119" s="5" t="s">
        <v>78</v>
      </c>
      <c r="F119" s="408">
        <v>53</v>
      </c>
      <c r="G119" s="408">
        <v>1256</v>
      </c>
      <c r="H119" s="408">
        <v>16.899999999999999</v>
      </c>
      <c r="I119" s="408">
        <v>0.53200000000000003</v>
      </c>
      <c r="J119" s="408">
        <v>0.315</v>
      </c>
      <c r="K119" s="408">
        <v>0.19800000000000001</v>
      </c>
      <c r="L119" s="408">
        <v>3.7</v>
      </c>
      <c r="M119" s="408">
        <v>9.6999999999999993</v>
      </c>
      <c r="N119" s="408">
        <v>6.7</v>
      </c>
      <c r="O119" s="408">
        <v>22.6</v>
      </c>
      <c r="P119" s="408">
        <v>1.5</v>
      </c>
      <c r="Q119" s="408">
        <v>0.2</v>
      </c>
      <c r="R119" s="408">
        <v>11.6</v>
      </c>
      <c r="S119" s="408">
        <v>27.5</v>
      </c>
      <c r="T119" s="408">
        <v>1.1000000000000001</v>
      </c>
      <c r="U119" s="408">
        <v>1</v>
      </c>
      <c r="V119" s="408">
        <v>2.1</v>
      </c>
      <c r="W119" s="408">
        <v>0.08</v>
      </c>
      <c r="X119" s="408">
        <v>0.9</v>
      </c>
      <c r="Y119" s="408">
        <v>-2.2000000000000002</v>
      </c>
      <c r="Z119" s="408">
        <v>-1.3</v>
      </c>
      <c r="AA119" s="408">
        <v>0.2</v>
      </c>
    </row>
    <row r="120" spans="1:27">
      <c r="A120">
        <v>96</v>
      </c>
      <c r="B120" s="1" t="s">
        <v>397</v>
      </c>
      <c r="C120" s="5" t="s">
        <v>26</v>
      </c>
      <c r="D120" s="408">
        <v>25</v>
      </c>
      <c r="E120" s="5" t="s">
        <v>102</v>
      </c>
      <c r="F120" s="408">
        <v>16</v>
      </c>
      <c r="G120" s="408">
        <v>369</v>
      </c>
      <c r="H120" s="408">
        <v>17.8</v>
      </c>
      <c r="I120" s="408">
        <v>0.60299999999999998</v>
      </c>
      <c r="J120" s="408">
        <v>0.46700000000000003</v>
      </c>
      <c r="K120" s="408">
        <v>0.21299999999999999</v>
      </c>
      <c r="L120" s="408">
        <v>2.2000000000000002</v>
      </c>
      <c r="M120" s="408">
        <v>10.1</v>
      </c>
      <c r="N120" s="408">
        <v>6.2</v>
      </c>
      <c r="O120" s="408">
        <v>14.1</v>
      </c>
      <c r="P120" s="408">
        <v>1.3</v>
      </c>
      <c r="Q120" s="408">
        <v>0.2</v>
      </c>
      <c r="R120" s="408">
        <v>9.8000000000000007</v>
      </c>
      <c r="S120" s="408">
        <v>24.6</v>
      </c>
      <c r="T120" s="408">
        <v>0.7</v>
      </c>
      <c r="U120" s="408">
        <v>0.1</v>
      </c>
      <c r="V120" s="408">
        <v>0.8</v>
      </c>
      <c r="W120" s="408">
        <v>0.107</v>
      </c>
      <c r="X120" s="408">
        <v>2.2000000000000002</v>
      </c>
      <c r="Y120" s="408">
        <v>-3.7</v>
      </c>
      <c r="Z120" s="408">
        <v>-1.5</v>
      </c>
      <c r="AA120" s="408">
        <v>0</v>
      </c>
    </row>
    <row r="121" spans="1:27">
      <c r="A121">
        <v>97</v>
      </c>
      <c r="B121" s="1" t="s">
        <v>295</v>
      </c>
      <c r="C121" s="5" t="s">
        <v>26</v>
      </c>
      <c r="D121" s="408">
        <v>24</v>
      </c>
      <c r="E121" s="5" t="s">
        <v>33</v>
      </c>
      <c r="F121" s="408">
        <v>7</v>
      </c>
      <c r="G121" s="408">
        <v>64</v>
      </c>
      <c r="H121" s="408">
        <v>7.4</v>
      </c>
      <c r="I121" s="408">
        <v>0.53</v>
      </c>
      <c r="J121" s="408">
        <v>0.83299999999999996</v>
      </c>
      <c r="K121" s="408">
        <v>0.111</v>
      </c>
      <c r="L121" s="408">
        <v>1.7</v>
      </c>
      <c r="M121" s="408">
        <v>10.8</v>
      </c>
      <c r="N121" s="408">
        <v>6.1</v>
      </c>
      <c r="O121" s="408">
        <v>6.7</v>
      </c>
      <c r="P121" s="408">
        <v>1.6</v>
      </c>
      <c r="Q121" s="408">
        <v>0</v>
      </c>
      <c r="R121" s="408">
        <v>9.6</v>
      </c>
      <c r="S121" s="408">
        <v>14.8</v>
      </c>
      <c r="T121" s="408">
        <v>0</v>
      </c>
      <c r="U121" s="408">
        <v>0</v>
      </c>
      <c r="V121" s="408">
        <v>0.1</v>
      </c>
      <c r="W121" s="408">
        <v>4.2999999999999997E-2</v>
      </c>
      <c r="X121" s="408">
        <v>-1.6</v>
      </c>
      <c r="Y121" s="408">
        <v>-1.8</v>
      </c>
      <c r="Z121" s="408">
        <v>-3.4</v>
      </c>
      <c r="AA121" s="408">
        <v>0</v>
      </c>
    </row>
    <row r="122" spans="1:27">
      <c r="A122">
        <v>98</v>
      </c>
      <c r="B122" s="1" t="s">
        <v>598</v>
      </c>
      <c r="C122" s="5" t="s">
        <v>26</v>
      </c>
      <c r="D122" s="408">
        <v>23</v>
      </c>
      <c r="E122" s="5" t="s">
        <v>33</v>
      </c>
      <c r="F122" s="408">
        <v>13</v>
      </c>
      <c r="G122" s="408">
        <v>81</v>
      </c>
      <c r="H122" s="408">
        <v>5.0999999999999996</v>
      </c>
      <c r="I122" s="408">
        <v>0.317</v>
      </c>
      <c r="J122" s="408">
        <v>7.0999999999999994E-2</v>
      </c>
      <c r="K122" s="408">
        <v>0.28599999999999998</v>
      </c>
      <c r="L122" s="408">
        <v>2.7</v>
      </c>
      <c r="M122" s="408">
        <v>11.4</v>
      </c>
      <c r="N122" s="408">
        <v>6.9</v>
      </c>
      <c r="O122" s="408">
        <v>3.3</v>
      </c>
      <c r="P122" s="408">
        <v>3.7</v>
      </c>
      <c r="Q122" s="408">
        <v>4.4000000000000004</v>
      </c>
      <c r="R122" s="408">
        <v>11.3</v>
      </c>
      <c r="S122" s="408">
        <v>10</v>
      </c>
      <c r="T122" s="408">
        <v>-0.1</v>
      </c>
      <c r="U122" s="408">
        <v>0.1</v>
      </c>
      <c r="V122" s="408">
        <v>0</v>
      </c>
      <c r="W122" s="408">
        <v>-3.0000000000000001E-3</v>
      </c>
      <c r="X122" s="408">
        <v>-7.5</v>
      </c>
      <c r="Y122" s="408">
        <v>4.5</v>
      </c>
      <c r="Z122" s="408">
        <v>-2.9</v>
      </c>
      <c r="AA122" s="408">
        <v>0</v>
      </c>
    </row>
    <row r="123" spans="1:27">
      <c r="A123">
        <v>99</v>
      </c>
      <c r="B123" s="1" t="s">
        <v>571</v>
      </c>
      <c r="C123" s="5" t="s">
        <v>38</v>
      </c>
      <c r="D123" s="408">
        <v>20</v>
      </c>
      <c r="E123" s="5" t="s">
        <v>149</v>
      </c>
      <c r="F123" s="408">
        <v>64</v>
      </c>
      <c r="G123" s="408">
        <v>1487</v>
      </c>
      <c r="H123" s="408">
        <v>19</v>
      </c>
      <c r="I123" s="408">
        <v>0.628</v>
      </c>
      <c r="J123" s="408">
        <v>5.8000000000000003E-2</v>
      </c>
      <c r="K123" s="408">
        <v>0.34499999999999997</v>
      </c>
      <c r="L123" s="408">
        <v>12.3</v>
      </c>
      <c r="M123" s="408">
        <v>22.5</v>
      </c>
      <c r="N123" s="408">
        <v>17.399999999999999</v>
      </c>
      <c r="O123" s="408">
        <v>7.7</v>
      </c>
      <c r="P123" s="408">
        <v>1.3</v>
      </c>
      <c r="Q123" s="408">
        <v>4</v>
      </c>
      <c r="R123" s="408">
        <v>14.1</v>
      </c>
      <c r="S123" s="408">
        <v>18.399999999999999</v>
      </c>
      <c r="T123" s="408">
        <v>3.2</v>
      </c>
      <c r="U123" s="408">
        <v>1.6</v>
      </c>
      <c r="V123" s="408">
        <v>4.8</v>
      </c>
      <c r="W123" s="408">
        <v>0.154</v>
      </c>
      <c r="X123" s="408">
        <v>0</v>
      </c>
      <c r="Y123" s="408">
        <v>1.4</v>
      </c>
      <c r="Z123" s="408">
        <v>1.4</v>
      </c>
      <c r="AA123" s="408">
        <v>1.3</v>
      </c>
    </row>
    <row r="124" spans="1:27">
      <c r="A124">
        <v>100</v>
      </c>
      <c r="B124" s="1" t="s">
        <v>517</v>
      </c>
      <c r="C124" s="5" t="s">
        <v>83</v>
      </c>
      <c r="D124" s="408">
        <v>20</v>
      </c>
      <c r="E124" s="5" t="s">
        <v>96</v>
      </c>
      <c r="F124" s="408">
        <v>54</v>
      </c>
      <c r="G124" s="408">
        <v>842</v>
      </c>
      <c r="H124" s="408">
        <v>7.9</v>
      </c>
      <c r="I124" s="408">
        <v>0.48299999999999998</v>
      </c>
      <c r="J124" s="408">
        <v>0.38</v>
      </c>
      <c r="K124" s="408">
        <v>0.153</v>
      </c>
      <c r="L124" s="408">
        <v>5</v>
      </c>
      <c r="M124" s="408">
        <v>18.899999999999999</v>
      </c>
      <c r="N124" s="408">
        <v>12.1</v>
      </c>
      <c r="O124" s="408">
        <v>6.9</v>
      </c>
      <c r="P124" s="408">
        <v>0.9</v>
      </c>
      <c r="Q124" s="408">
        <v>2.4</v>
      </c>
      <c r="R124" s="408">
        <v>15.8</v>
      </c>
      <c r="S124" s="408">
        <v>15.2</v>
      </c>
      <c r="T124" s="408">
        <v>-0.4</v>
      </c>
      <c r="U124" s="408">
        <v>1.2</v>
      </c>
      <c r="V124" s="408">
        <v>0.7</v>
      </c>
      <c r="W124" s="408">
        <v>4.1000000000000002E-2</v>
      </c>
      <c r="X124" s="408">
        <v>-3.9</v>
      </c>
      <c r="Y124" s="408">
        <v>1.1000000000000001</v>
      </c>
      <c r="Z124" s="408">
        <v>-2.8</v>
      </c>
      <c r="AA124" s="408">
        <v>-0.2</v>
      </c>
    </row>
    <row r="125" spans="1:27">
      <c r="A125">
        <v>101</v>
      </c>
      <c r="B125" s="1" t="s">
        <v>596</v>
      </c>
      <c r="C125" s="5" t="s">
        <v>46</v>
      </c>
      <c r="D125" s="408">
        <v>26</v>
      </c>
      <c r="E125" s="5" t="s">
        <v>33</v>
      </c>
      <c r="F125" s="408">
        <v>23</v>
      </c>
      <c r="G125" s="408">
        <v>310</v>
      </c>
      <c r="H125" s="408">
        <v>9.1</v>
      </c>
      <c r="I125" s="408">
        <v>0.438</v>
      </c>
      <c r="J125" s="408">
        <v>0.123</v>
      </c>
      <c r="K125" s="408">
        <v>0.36799999999999999</v>
      </c>
      <c r="L125" s="408">
        <v>8.4</v>
      </c>
      <c r="M125" s="408">
        <v>17.5</v>
      </c>
      <c r="N125" s="408">
        <v>12.8</v>
      </c>
      <c r="O125" s="408">
        <v>12.6</v>
      </c>
      <c r="P125" s="408">
        <v>2.4</v>
      </c>
      <c r="Q125" s="408">
        <v>0.9</v>
      </c>
      <c r="R125" s="408">
        <v>19.5</v>
      </c>
      <c r="S125" s="408">
        <v>12.1</v>
      </c>
      <c r="T125" s="408">
        <v>-0.1</v>
      </c>
      <c r="U125" s="408">
        <v>0.4</v>
      </c>
      <c r="V125" s="408">
        <v>0.3</v>
      </c>
      <c r="W125" s="408">
        <v>4.5999999999999999E-2</v>
      </c>
      <c r="X125" s="408">
        <v>-4</v>
      </c>
      <c r="Y125" s="408">
        <v>2.4</v>
      </c>
      <c r="Z125" s="408">
        <v>-1.6</v>
      </c>
      <c r="AA125" s="408">
        <v>0</v>
      </c>
    </row>
    <row r="126" spans="1:27">
      <c r="A126">
        <v>102</v>
      </c>
      <c r="B126" s="1" t="s">
        <v>430</v>
      </c>
      <c r="C126" s="5" t="s">
        <v>20</v>
      </c>
      <c r="D126" s="408">
        <v>30</v>
      </c>
      <c r="E126" s="5" t="s">
        <v>30</v>
      </c>
      <c r="F126" s="408">
        <v>58</v>
      </c>
      <c r="G126" s="408">
        <v>1727</v>
      </c>
      <c r="H126" s="408">
        <v>19.100000000000001</v>
      </c>
      <c r="I126" s="408">
        <v>0.61399999999999999</v>
      </c>
      <c r="J126" s="408">
        <v>0.33</v>
      </c>
      <c r="K126" s="408">
        <v>0.247</v>
      </c>
      <c r="L126" s="408">
        <v>2.1</v>
      </c>
      <c r="M126" s="408">
        <v>7.8</v>
      </c>
      <c r="N126" s="408">
        <v>5</v>
      </c>
      <c r="O126" s="408">
        <v>25.8</v>
      </c>
      <c r="P126" s="408">
        <v>2.2999999999999998</v>
      </c>
      <c r="Q126" s="408">
        <v>0.7</v>
      </c>
      <c r="R126" s="408">
        <v>10.4</v>
      </c>
      <c r="S126" s="408">
        <v>17.3</v>
      </c>
      <c r="T126" s="408">
        <v>5.0999999999999996</v>
      </c>
      <c r="U126" s="408">
        <v>1.6</v>
      </c>
      <c r="V126" s="408">
        <v>6.7</v>
      </c>
      <c r="W126" s="408">
        <v>0.187</v>
      </c>
      <c r="X126" s="408">
        <v>3.3</v>
      </c>
      <c r="Y126" s="408">
        <v>-1</v>
      </c>
      <c r="Z126" s="408">
        <v>2.2999999999999998</v>
      </c>
      <c r="AA126" s="408">
        <v>1.9</v>
      </c>
    </row>
    <row r="127" spans="1:27">
      <c r="A127">
        <v>103</v>
      </c>
      <c r="B127" s="1" t="s">
        <v>59</v>
      </c>
      <c r="C127" s="5" t="s">
        <v>38</v>
      </c>
      <c r="D127" s="408">
        <v>37</v>
      </c>
      <c r="E127" s="5" t="s">
        <v>58</v>
      </c>
      <c r="F127" s="408">
        <v>13</v>
      </c>
      <c r="G127" s="408">
        <v>72</v>
      </c>
      <c r="H127" s="408">
        <v>13.7</v>
      </c>
      <c r="I127" s="408">
        <v>0.66600000000000004</v>
      </c>
      <c r="J127" s="408">
        <v>0</v>
      </c>
      <c r="K127" s="408">
        <v>0.42099999999999999</v>
      </c>
      <c r="L127" s="408">
        <v>9</v>
      </c>
      <c r="M127" s="408">
        <v>20.9</v>
      </c>
      <c r="N127" s="408">
        <v>14.7</v>
      </c>
      <c r="O127" s="408">
        <v>8.6</v>
      </c>
      <c r="P127" s="408">
        <v>0</v>
      </c>
      <c r="Q127" s="408">
        <v>0</v>
      </c>
      <c r="R127" s="408">
        <v>23.7</v>
      </c>
      <c r="S127" s="408">
        <v>17.600000000000001</v>
      </c>
      <c r="T127" s="408">
        <v>0.1</v>
      </c>
      <c r="U127" s="408">
        <v>0.1</v>
      </c>
      <c r="V127" s="408">
        <v>0.1</v>
      </c>
      <c r="W127" s="408">
        <v>0.08</v>
      </c>
      <c r="X127" s="408">
        <v>-3.2</v>
      </c>
      <c r="Y127" s="408">
        <v>-2.8</v>
      </c>
      <c r="Z127" s="408">
        <v>-6</v>
      </c>
      <c r="AA127" s="408">
        <v>-0.1</v>
      </c>
    </row>
    <row r="128" spans="1:27">
      <c r="A128">
        <v>104</v>
      </c>
      <c r="B128" s="1" t="s">
        <v>322</v>
      </c>
      <c r="C128" s="5" t="s">
        <v>20</v>
      </c>
      <c r="D128" s="408">
        <v>30</v>
      </c>
      <c r="E128" s="5" t="s">
        <v>128</v>
      </c>
      <c r="F128" s="408">
        <v>12</v>
      </c>
      <c r="G128" s="408">
        <v>373</v>
      </c>
      <c r="H128" s="408">
        <v>15.5</v>
      </c>
      <c r="I128" s="408">
        <v>0.52</v>
      </c>
      <c r="J128" s="408">
        <v>0.45800000000000002</v>
      </c>
      <c r="K128" s="408">
        <v>0.39300000000000002</v>
      </c>
      <c r="L128" s="408">
        <v>0</v>
      </c>
      <c r="M128" s="408">
        <v>8.5</v>
      </c>
      <c r="N128" s="408">
        <v>4.2</v>
      </c>
      <c r="O128" s="408">
        <v>22.4</v>
      </c>
      <c r="P128" s="408">
        <v>1.6</v>
      </c>
      <c r="Q128" s="408">
        <v>0.8</v>
      </c>
      <c r="R128" s="408">
        <v>8.4</v>
      </c>
      <c r="S128" s="408">
        <v>26</v>
      </c>
      <c r="T128" s="408">
        <v>0.4</v>
      </c>
      <c r="U128" s="408">
        <v>0.2</v>
      </c>
      <c r="V128" s="408">
        <v>0.6</v>
      </c>
      <c r="W128" s="408">
        <v>8.2000000000000003E-2</v>
      </c>
      <c r="X128" s="408">
        <v>1.1000000000000001</v>
      </c>
      <c r="Y128" s="408">
        <v>-3.3</v>
      </c>
      <c r="Z128" s="408">
        <v>-2.2000000000000002</v>
      </c>
      <c r="AA128" s="408">
        <v>0</v>
      </c>
    </row>
    <row r="129" spans="1:27">
      <c r="A129">
        <v>105</v>
      </c>
      <c r="B129" s="1" t="s">
        <v>154</v>
      </c>
      <c r="C129" s="5" t="s">
        <v>26</v>
      </c>
      <c r="D129" s="408">
        <v>25</v>
      </c>
      <c r="E129" s="5" t="s">
        <v>96</v>
      </c>
      <c r="F129" s="408">
        <v>70</v>
      </c>
      <c r="G129" s="408">
        <v>1285</v>
      </c>
      <c r="H129" s="408">
        <v>9.9</v>
      </c>
      <c r="I129" s="408">
        <v>0.55100000000000005</v>
      </c>
      <c r="J129" s="408">
        <v>0.52900000000000003</v>
      </c>
      <c r="K129" s="408">
        <v>0.11799999999999999</v>
      </c>
      <c r="L129" s="408">
        <v>2.2999999999999998</v>
      </c>
      <c r="M129" s="408">
        <v>8.8000000000000007</v>
      </c>
      <c r="N129" s="408">
        <v>5.6</v>
      </c>
      <c r="O129" s="408">
        <v>9.1999999999999993</v>
      </c>
      <c r="P129" s="408">
        <v>0.7</v>
      </c>
      <c r="Q129" s="408">
        <v>1.2</v>
      </c>
      <c r="R129" s="408">
        <v>8.8000000000000007</v>
      </c>
      <c r="S129" s="408">
        <v>13.6</v>
      </c>
      <c r="T129" s="408">
        <v>1.3</v>
      </c>
      <c r="U129" s="408">
        <v>1.1000000000000001</v>
      </c>
      <c r="V129" s="408">
        <v>2.4</v>
      </c>
      <c r="W129" s="408">
        <v>0.09</v>
      </c>
      <c r="X129" s="408">
        <v>-0.6</v>
      </c>
      <c r="Y129" s="408">
        <v>-0.5</v>
      </c>
      <c r="Z129" s="408">
        <v>-1.1000000000000001</v>
      </c>
      <c r="AA129" s="408">
        <v>0.3</v>
      </c>
    </row>
    <row r="130" spans="1:27">
      <c r="A130">
        <v>106</v>
      </c>
      <c r="B130" s="1" t="s">
        <v>515</v>
      </c>
      <c r="C130" s="5" t="s">
        <v>20</v>
      </c>
      <c r="D130" s="408">
        <v>24</v>
      </c>
      <c r="E130" s="5" t="s">
        <v>73</v>
      </c>
      <c r="F130" s="408">
        <v>22</v>
      </c>
      <c r="G130" s="408">
        <v>363</v>
      </c>
      <c r="H130" s="408">
        <v>10.3</v>
      </c>
      <c r="I130" s="408">
        <v>0.57899999999999996</v>
      </c>
      <c r="J130" s="408">
        <v>0.442</v>
      </c>
      <c r="K130" s="408">
        <v>0.1</v>
      </c>
      <c r="L130" s="408">
        <v>1.3</v>
      </c>
      <c r="M130" s="408">
        <v>9.1</v>
      </c>
      <c r="N130" s="408">
        <v>5.6</v>
      </c>
      <c r="O130" s="408">
        <v>12.3</v>
      </c>
      <c r="P130" s="408">
        <v>0.7</v>
      </c>
      <c r="Q130" s="408">
        <v>0</v>
      </c>
      <c r="R130" s="408">
        <v>11.9</v>
      </c>
      <c r="S130" s="408">
        <v>17.2</v>
      </c>
      <c r="T130" s="408">
        <v>0.3</v>
      </c>
      <c r="U130" s="408">
        <v>0.2</v>
      </c>
      <c r="V130" s="408">
        <v>0.5</v>
      </c>
      <c r="W130" s="408">
        <v>6.7000000000000004E-2</v>
      </c>
      <c r="X130" s="408">
        <v>-0.8</v>
      </c>
      <c r="Y130" s="408">
        <v>-3.2</v>
      </c>
      <c r="Z130" s="408">
        <v>-4.0999999999999996</v>
      </c>
      <c r="AA130" s="408">
        <v>-0.2</v>
      </c>
    </row>
    <row r="131" spans="1:27">
      <c r="A131">
        <v>107</v>
      </c>
      <c r="B131" s="1" t="s">
        <v>600</v>
      </c>
      <c r="C131" s="5" t="s">
        <v>26</v>
      </c>
      <c r="D131" s="408">
        <v>23</v>
      </c>
      <c r="E131" s="5" t="s">
        <v>112</v>
      </c>
      <c r="F131" s="408">
        <v>10</v>
      </c>
      <c r="G131" s="408">
        <v>27</v>
      </c>
      <c r="H131" s="408">
        <v>-1.7</v>
      </c>
      <c r="I131" s="408">
        <v>0.27600000000000002</v>
      </c>
      <c r="J131" s="408">
        <v>0.6</v>
      </c>
      <c r="K131" s="408">
        <v>0.2</v>
      </c>
      <c r="L131" s="408">
        <v>0</v>
      </c>
      <c r="M131" s="408">
        <v>3.9</v>
      </c>
      <c r="N131" s="408">
        <v>2</v>
      </c>
      <c r="O131" s="408">
        <v>4.7</v>
      </c>
      <c r="P131" s="408">
        <v>1.8</v>
      </c>
      <c r="Q131" s="408">
        <v>0</v>
      </c>
      <c r="R131" s="408">
        <v>8.4</v>
      </c>
      <c r="S131" s="408">
        <v>19.100000000000001</v>
      </c>
      <c r="T131" s="408">
        <v>-0.1</v>
      </c>
      <c r="U131" s="408">
        <v>0</v>
      </c>
      <c r="V131" s="408">
        <v>-0.1</v>
      </c>
      <c r="W131" s="408">
        <v>-0.19</v>
      </c>
      <c r="X131" s="408">
        <v>-8.9</v>
      </c>
      <c r="Y131" s="408">
        <v>-3.9</v>
      </c>
      <c r="Z131" s="408">
        <v>-12.8</v>
      </c>
      <c r="AA131" s="408">
        <v>-0.1</v>
      </c>
    </row>
    <row r="132" spans="1:27">
      <c r="A132">
        <v>108</v>
      </c>
      <c r="B132" s="1" t="s">
        <v>306</v>
      </c>
      <c r="C132" s="5" t="s">
        <v>38</v>
      </c>
      <c r="D132" s="408">
        <v>26</v>
      </c>
      <c r="E132" s="5" t="s">
        <v>100</v>
      </c>
      <c r="F132" s="408">
        <v>2</v>
      </c>
      <c r="G132" s="408">
        <v>10</v>
      </c>
      <c r="H132" s="408">
        <v>47.8</v>
      </c>
      <c r="I132" s="408">
        <v>0.63500000000000001</v>
      </c>
      <c r="J132" s="408">
        <v>0</v>
      </c>
      <c r="K132" s="408">
        <v>0.28599999999999998</v>
      </c>
      <c r="L132" s="408">
        <v>32.799999999999997</v>
      </c>
      <c r="M132" s="408">
        <v>11.9</v>
      </c>
      <c r="N132" s="408">
        <v>22.8</v>
      </c>
      <c r="O132" s="408">
        <v>49.1</v>
      </c>
      <c r="P132" s="408">
        <v>0</v>
      </c>
      <c r="Q132" s="408">
        <v>0</v>
      </c>
      <c r="R132" s="408">
        <v>0</v>
      </c>
      <c r="S132" s="408">
        <v>35.4</v>
      </c>
      <c r="T132" s="408">
        <v>0.1</v>
      </c>
      <c r="U132" s="408">
        <v>0</v>
      </c>
      <c r="V132" s="408">
        <v>0.1</v>
      </c>
      <c r="W132" s="408">
        <v>0.51700000000000002</v>
      </c>
      <c r="X132" s="408">
        <v>22.8</v>
      </c>
      <c r="Y132" s="408">
        <v>0</v>
      </c>
      <c r="Z132" s="408">
        <v>22.7</v>
      </c>
      <c r="AA132" s="408">
        <v>0.1</v>
      </c>
    </row>
    <row r="133" spans="1:27">
      <c r="A133">
        <v>109</v>
      </c>
      <c r="B133" s="1" t="s">
        <v>626</v>
      </c>
      <c r="C133" s="5" t="s">
        <v>83</v>
      </c>
      <c r="D133" s="408">
        <v>24</v>
      </c>
      <c r="E133" s="5" t="s">
        <v>140</v>
      </c>
      <c r="F133" s="408">
        <v>4</v>
      </c>
      <c r="G133" s="408">
        <v>32</v>
      </c>
      <c r="H133" s="408">
        <v>9.6999999999999993</v>
      </c>
      <c r="I133" s="408">
        <v>0.5</v>
      </c>
      <c r="J133" s="408">
        <v>0</v>
      </c>
      <c r="K133" s="408">
        <v>0</v>
      </c>
      <c r="L133" s="408">
        <v>3.5</v>
      </c>
      <c r="M133" s="408">
        <v>27.7</v>
      </c>
      <c r="N133" s="408">
        <v>15.6</v>
      </c>
      <c r="O133" s="408">
        <v>8.4</v>
      </c>
      <c r="P133" s="408">
        <v>3.2</v>
      </c>
      <c r="Q133" s="408">
        <v>5.2</v>
      </c>
      <c r="R133" s="408">
        <v>20</v>
      </c>
      <c r="S133" s="408">
        <v>7</v>
      </c>
      <c r="T133" s="408">
        <v>0</v>
      </c>
      <c r="U133" s="408">
        <v>0.1</v>
      </c>
      <c r="V133" s="408">
        <v>0.1</v>
      </c>
      <c r="W133" s="408">
        <v>0.13200000000000001</v>
      </c>
      <c r="X133" s="408">
        <v>-5</v>
      </c>
      <c r="Y133" s="408">
        <v>6.8</v>
      </c>
      <c r="Z133" s="408">
        <v>1.8</v>
      </c>
      <c r="AA133" s="408">
        <v>0</v>
      </c>
    </row>
    <row r="134" spans="1:27">
      <c r="A134">
        <v>110</v>
      </c>
      <c r="B134" s="1" t="s">
        <v>245</v>
      </c>
      <c r="C134" s="5" t="s">
        <v>83</v>
      </c>
      <c r="D134" s="408">
        <v>27</v>
      </c>
      <c r="E134" s="5" t="s">
        <v>112</v>
      </c>
      <c r="F134" s="408">
        <v>48</v>
      </c>
      <c r="G134" s="408">
        <v>1737</v>
      </c>
      <c r="H134" s="408">
        <v>22.7</v>
      </c>
      <c r="I134" s="408">
        <v>0.58299999999999996</v>
      </c>
      <c r="J134" s="408">
        <v>0.34</v>
      </c>
      <c r="K134" s="408">
        <v>0.45600000000000002</v>
      </c>
      <c r="L134" s="408">
        <v>6.8</v>
      </c>
      <c r="M134" s="408">
        <v>31.2</v>
      </c>
      <c r="N134" s="408">
        <v>19.399999999999999</v>
      </c>
      <c r="O134" s="408">
        <v>23.3</v>
      </c>
      <c r="P134" s="408">
        <v>2.2000000000000002</v>
      </c>
      <c r="Q134" s="408">
        <v>3.5</v>
      </c>
      <c r="R134" s="408">
        <v>18.899999999999999</v>
      </c>
      <c r="S134" s="408">
        <v>32</v>
      </c>
      <c r="T134" s="408">
        <v>1.5</v>
      </c>
      <c r="U134" s="408">
        <v>3.1</v>
      </c>
      <c r="V134" s="408">
        <v>4.5999999999999996</v>
      </c>
      <c r="W134" s="408">
        <v>0.127</v>
      </c>
      <c r="X134" s="408">
        <v>2</v>
      </c>
      <c r="Y134" s="408">
        <v>3.5</v>
      </c>
      <c r="Z134" s="408">
        <v>5.5</v>
      </c>
      <c r="AA134" s="408">
        <v>3.2</v>
      </c>
    </row>
    <row r="135" spans="1:27">
      <c r="A135">
        <v>111</v>
      </c>
      <c r="B135" s="1" t="s">
        <v>296</v>
      </c>
      <c r="C135" s="5" t="s">
        <v>38</v>
      </c>
      <c r="D135" s="408">
        <v>27</v>
      </c>
      <c r="E135" s="5" t="s">
        <v>118</v>
      </c>
      <c r="F135" s="408">
        <v>67</v>
      </c>
      <c r="G135" s="408">
        <v>2148</v>
      </c>
      <c r="H135" s="408">
        <v>12.4</v>
      </c>
      <c r="I135" s="408">
        <v>0.56399999999999995</v>
      </c>
      <c r="J135" s="408">
        <v>0.66200000000000003</v>
      </c>
      <c r="K135" s="408">
        <v>0.17599999999999999</v>
      </c>
      <c r="L135" s="408">
        <v>2.6</v>
      </c>
      <c r="M135" s="408">
        <v>15.5</v>
      </c>
      <c r="N135" s="408">
        <v>9.3000000000000007</v>
      </c>
      <c r="O135" s="408">
        <v>8.6999999999999993</v>
      </c>
      <c r="P135" s="408">
        <v>2.2999999999999998</v>
      </c>
      <c r="Q135" s="408">
        <v>2</v>
      </c>
      <c r="R135" s="408">
        <v>12.8</v>
      </c>
      <c r="S135" s="408">
        <v>17.100000000000001</v>
      </c>
      <c r="T135" s="408">
        <v>1.4</v>
      </c>
      <c r="U135" s="408">
        <v>3.3</v>
      </c>
      <c r="V135" s="408">
        <v>4.7</v>
      </c>
      <c r="W135" s="408">
        <v>0.105</v>
      </c>
      <c r="X135" s="408">
        <v>0.3</v>
      </c>
      <c r="Y135" s="408">
        <v>1.4</v>
      </c>
      <c r="Z135" s="408">
        <v>1.8</v>
      </c>
      <c r="AA135" s="408">
        <v>2</v>
      </c>
    </row>
    <row r="136" spans="1:27">
      <c r="A136">
        <v>112</v>
      </c>
      <c r="B136" s="1" t="s">
        <v>314</v>
      </c>
      <c r="C136" s="5" t="s">
        <v>26</v>
      </c>
      <c r="D136" s="408">
        <v>25</v>
      </c>
      <c r="E136" s="5" t="s">
        <v>315</v>
      </c>
      <c r="F136" s="408">
        <v>65</v>
      </c>
      <c r="G136" s="408">
        <v>1916</v>
      </c>
      <c r="H136" s="408">
        <v>11.3</v>
      </c>
      <c r="I136" s="408">
        <v>0.54200000000000004</v>
      </c>
      <c r="J136" s="408">
        <v>0.63500000000000001</v>
      </c>
      <c r="K136" s="408">
        <v>0.152</v>
      </c>
      <c r="L136" s="408">
        <v>1.4</v>
      </c>
      <c r="M136" s="408">
        <v>14.5</v>
      </c>
      <c r="N136" s="408">
        <v>7.9</v>
      </c>
      <c r="O136" s="408">
        <v>8.1999999999999993</v>
      </c>
      <c r="P136" s="408">
        <v>1</v>
      </c>
      <c r="Q136" s="408">
        <v>1</v>
      </c>
      <c r="R136" s="408">
        <v>8.6</v>
      </c>
      <c r="S136" s="408">
        <v>18.899999999999999</v>
      </c>
      <c r="T136" s="408">
        <v>1</v>
      </c>
      <c r="U136" s="408">
        <v>1.2</v>
      </c>
      <c r="V136" s="408">
        <v>2.2000000000000002</v>
      </c>
      <c r="W136" s="408">
        <v>5.5E-2</v>
      </c>
      <c r="X136" s="408">
        <v>-0.2</v>
      </c>
      <c r="Y136" s="408">
        <v>-1.1000000000000001</v>
      </c>
      <c r="Z136" s="408">
        <v>-1.3</v>
      </c>
      <c r="AA136" s="408">
        <v>0.3</v>
      </c>
    </row>
    <row r="137" spans="1:27">
      <c r="A137">
        <v>113</v>
      </c>
      <c r="B137" s="1" t="s">
        <v>502</v>
      </c>
      <c r="C137" s="5" t="s">
        <v>46</v>
      </c>
      <c r="D137" s="408">
        <v>27</v>
      </c>
      <c r="E137" s="5" t="s">
        <v>61</v>
      </c>
      <c r="F137" s="408">
        <v>28</v>
      </c>
      <c r="G137" s="408">
        <v>466</v>
      </c>
      <c r="H137" s="408">
        <v>9.9</v>
      </c>
      <c r="I137" s="408">
        <v>0.54900000000000004</v>
      </c>
      <c r="J137" s="408">
        <v>0.41199999999999998</v>
      </c>
      <c r="K137" s="408">
        <v>0.28399999999999997</v>
      </c>
      <c r="L137" s="408">
        <v>6.8</v>
      </c>
      <c r="M137" s="408">
        <v>14.3</v>
      </c>
      <c r="N137" s="408">
        <v>10.5</v>
      </c>
      <c r="O137" s="408">
        <v>4.9000000000000004</v>
      </c>
      <c r="P137" s="408">
        <v>0.8</v>
      </c>
      <c r="Q137" s="408">
        <v>1.3</v>
      </c>
      <c r="R137" s="408">
        <v>9.5</v>
      </c>
      <c r="S137" s="408">
        <v>11.8</v>
      </c>
      <c r="T137" s="408">
        <v>0.5</v>
      </c>
      <c r="U137" s="408">
        <v>0.2</v>
      </c>
      <c r="V137" s="408">
        <v>0.7</v>
      </c>
      <c r="W137" s="408">
        <v>7.5999999999999998E-2</v>
      </c>
      <c r="X137" s="408">
        <v>-1.3</v>
      </c>
      <c r="Y137" s="408">
        <v>-1.5</v>
      </c>
      <c r="Z137" s="408">
        <v>-2.8</v>
      </c>
      <c r="AA137" s="408">
        <v>-0.1</v>
      </c>
    </row>
    <row r="138" spans="1:27">
      <c r="A138">
        <v>114</v>
      </c>
      <c r="B138" s="1" t="s">
        <v>7</v>
      </c>
      <c r="C138" s="5" t="s">
        <v>26</v>
      </c>
      <c r="D138" s="408">
        <v>37</v>
      </c>
      <c r="E138" s="5" t="s">
        <v>56</v>
      </c>
      <c r="F138" s="408">
        <v>69</v>
      </c>
      <c r="G138" s="408">
        <v>1373</v>
      </c>
      <c r="H138" s="408">
        <v>14</v>
      </c>
      <c r="I138" s="408">
        <v>0.52600000000000002</v>
      </c>
      <c r="J138" s="408">
        <v>0.42599999999999999</v>
      </c>
      <c r="K138" s="408">
        <v>0.156</v>
      </c>
      <c r="L138" s="408">
        <v>1.3</v>
      </c>
      <c r="M138" s="408">
        <v>5.4</v>
      </c>
      <c r="N138" s="408">
        <v>3.3</v>
      </c>
      <c r="O138" s="408">
        <v>17.600000000000001</v>
      </c>
      <c r="P138" s="408">
        <v>1.3</v>
      </c>
      <c r="Q138" s="408">
        <v>0.5</v>
      </c>
      <c r="R138" s="408">
        <v>9.9</v>
      </c>
      <c r="S138" s="408">
        <v>24.1</v>
      </c>
      <c r="T138" s="408">
        <v>1.2</v>
      </c>
      <c r="U138" s="408">
        <v>0.2</v>
      </c>
      <c r="V138" s="408">
        <v>1.5</v>
      </c>
      <c r="W138" s="408">
        <v>5.0999999999999997E-2</v>
      </c>
      <c r="X138" s="408">
        <v>0.6</v>
      </c>
      <c r="Y138" s="408">
        <v>-4.3</v>
      </c>
      <c r="Z138" s="408">
        <v>-3.7</v>
      </c>
      <c r="AA138" s="408">
        <v>-0.6</v>
      </c>
    </row>
    <row r="139" spans="1:27">
      <c r="A139">
        <v>115</v>
      </c>
      <c r="B139" s="1" t="s">
        <v>454</v>
      </c>
      <c r="C139" s="5" t="s">
        <v>26</v>
      </c>
      <c r="D139" s="408">
        <v>29</v>
      </c>
      <c r="E139" s="5" t="s">
        <v>112</v>
      </c>
      <c r="F139" s="408">
        <v>2</v>
      </c>
      <c r="G139" s="408">
        <v>37</v>
      </c>
      <c r="H139" s="408">
        <v>15.7</v>
      </c>
      <c r="I139" s="408">
        <v>0.64300000000000002</v>
      </c>
      <c r="J139" s="408">
        <v>0.35699999999999998</v>
      </c>
      <c r="K139" s="408">
        <v>0</v>
      </c>
      <c r="L139" s="408">
        <v>6.1</v>
      </c>
      <c r="M139" s="408">
        <v>2.9</v>
      </c>
      <c r="N139" s="408">
        <v>4.4000000000000004</v>
      </c>
      <c r="O139" s="408">
        <v>35.799999999999997</v>
      </c>
      <c r="P139" s="408">
        <v>0</v>
      </c>
      <c r="Q139" s="408">
        <v>2.2000000000000002</v>
      </c>
      <c r="R139" s="408">
        <v>22.2</v>
      </c>
      <c r="S139" s="408">
        <v>21.1</v>
      </c>
      <c r="T139" s="408">
        <v>0.1</v>
      </c>
      <c r="U139" s="408">
        <v>0</v>
      </c>
      <c r="V139" s="408">
        <v>0.1</v>
      </c>
      <c r="W139" s="408">
        <v>0.123</v>
      </c>
      <c r="X139" s="408">
        <v>1.3</v>
      </c>
      <c r="Y139" s="408">
        <v>-4.8</v>
      </c>
      <c r="Z139" s="408">
        <v>-3.5</v>
      </c>
      <c r="AA139" s="408">
        <v>0</v>
      </c>
    </row>
    <row r="140" spans="1:27">
      <c r="A140">
        <v>116</v>
      </c>
      <c r="B140" s="1" t="s">
        <v>398</v>
      </c>
      <c r="C140" s="5" t="s">
        <v>46</v>
      </c>
      <c r="D140" s="408">
        <v>27</v>
      </c>
      <c r="E140" s="5" t="s">
        <v>357</v>
      </c>
      <c r="F140" s="408">
        <v>68</v>
      </c>
      <c r="G140" s="408">
        <v>1778</v>
      </c>
      <c r="H140" s="408">
        <v>10.5</v>
      </c>
      <c r="I140" s="408">
        <v>0.53600000000000003</v>
      </c>
      <c r="J140" s="408">
        <v>0.51</v>
      </c>
      <c r="K140" s="408">
        <v>0.246</v>
      </c>
      <c r="L140" s="408">
        <v>3</v>
      </c>
      <c r="M140" s="408">
        <v>11.5</v>
      </c>
      <c r="N140" s="408">
        <v>7.3</v>
      </c>
      <c r="O140" s="408">
        <v>6.8</v>
      </c>
      <c r="P140" s="408">
        <v>1.4</v>
      </c>
      <c r="Q140" s="408">
        <v>0.8</v>
      </c>
      <c r="R140" s="408">
        <v>9.3000000000000007</v>
      </c>
      <c r="S140" s="408">
        <v>16.7</v>
      </c>
      <c r="T140" s="408">
        <v>1.1000000000000001</v>
      </c>
      <c r="U140" s="408">
        <v>1.2</v>
      </c>
      <c r="V140" s="408">
        <v>2.2000000000000002</v>
      </c>
      <c r="W140" s="408">
        <v>0.06</v>
      </c>
      <c r="X140" s="408">
        <v>-0.8</v>
      </c>
      <c r="Y140" s="408">
        <v>-1.1000000000000001</v>
      </c>
      <c r="Z140" s="408">
        <v>-1.9</v>
      </c>
      <c r="AA140" s="408">
        <v>0</v>
      </c>
    </row>
    <row r="141" spans="1:27">
      <c r="A141">
        <v>116</v>
      </c>
      <c r="B141" s="1" t="s">
        <v>398</v>
      </c>
      <c r="C141" s="5" t="s">
        <v>46</v>
      </c>
      <c r="D141" s="408">
        <v>27</v>
      </c>
      <c r="E141" s="5" t="s">
        <v>102</v>
      </c>
      <c r="F141" s="408">
        <v>53</v>
      </c>
      <c r="G141" s="408">
        <v>1346</v>
      </c>
      <c r="H141" s="408">
        <v>10.1</v>
      </c>
      <c r="I141" s="408">
        <v>0.54500000000000004</v>
      </c>
      <c r="J141" s="408">
        <v>0.503</v>
      </c>
      <c r="K141" s="408">
        <v>0.245</v>
      </c>
      <c r="L141" s="408">
        <v>3.5</v>
      </c>
      <c r="M141" s="408">
        <v>10.8</v>
      </c>
      <c r="N141" s="408">
        <v>7.2</v>
      </c>
      <c r="O141" s="408">
        <v>6</v>
      </c>
      <c r="P141" s="408">
        <v>1.5</v>
      </c>
      <c r="Q141" s="408">
        <v>0.8</v>
      </c>
      <c r="R141" s="408">
        <v>9.1999999999999993</v>
      </c>
      <c r="S141" s="408">
        <v>15.1</v>
      </c>
      <c r="T141" s="408">
        <v>1</v>
      </c>
      <c r="U141" s="408">
        <v>0.6</v>
      </c>
      <c r="V141" s="408">
        <v>1.6</v>
      </c>
      <c r="W141" s="408">
        <v>5.8000000000000003E-2</v>
      </c>
      <c r="X141" s="408">
        <v>-0.7</v>
      </c>
      <c r="Y141" s="408">
        <v>-1.3</v>
      </c>
      <c r="Z141" s="408">
        <v>-1.9</v>
      </c>
      <c r="AA141" s="408">
        <v>0</v>
      </c>
    </row>
    <row r="142" spans="1:27">
      <c r="A142">
        <v>116</v>
      </c>
      <c r="B142" s="1" t="s">
        <v>398</v>
      </c>
      <c r="C142" s="5" t="s">
        <v>46</v>
      </c>
      <c r="D142" s="408">
        <v>27</v>
      </c>
      <c r="E142" s="5" t="s">
        <v>305</v>
      </c>
      <c r="F142" s="408">
        <v>15</v>
      </c>
      <c r="G142" s="408">
        <v>432</v>
      </c>
      <c r="H142" s="408">
        <v>11.4</v>
      </c>
      <c r="I142" s="408">
        <v>0.51700000000000002</v>
      </c>
      <c r="J142" s="408">
        <v>0.52700000000000002</v>
      </c>
      <c r="K142" s="408">
        <v>0.249</v>
      </c>
      <c r="L142" s="408">
        <v>1.6</v>
      </c>
      <c r="M142" s="408">
        <v>13.6</v>
      </c>
      <c r="N142" s="408">
        <v>7.6</v>
      </c>
      <c r="O142" s="408">
        <v>9.5</v>
      </c>
      <c r="P142" s="408">
        <v>1.3</v>
      </c>
      <c r="Q142" s="408">
        <v>1</v>
      </c>
      <c r="R142" s="408">
        <v>9.6</v>
      </c>
      <c r="S142" s="408">
        <v>21.7</v>
      </c>
      <c r="T142" s="408">
        <v>0</v>
      </c>
      <c r="U142" s="408">
        <v>0.6</v>
      </c>
      <c r="V142" s="408">
        <v>0.6</v>
      </c>
      <c r="W142" s="408">
        <v>6.7000000000000004E-2</v>
      </c>
      <c r="X142" s="408">
        <v>-1.2</v>
      </c>
      <c r="Y142" s="408">
        <v>-0.7</v>
      </c>
      <c r="Z142" s="408">
        <v>-1.9</v>
      </c>
      <c r="AA142" s="408">
        <v>0</v>
      </c>
    </row>
    <row r="143" spans="1:27">
      <c r="A143">
        <v>117</v>
      </c>
      <c r="B143" s="1" t="s">
        <v>131</v>
      </c>
      <c r="C143" s="5" t="s">
        <v>46</v>
      </c>
      <c r="D143" s="408">
        <v>30</v>
      </c>
      <c r="E143" s="5" t="s">
        <v>357</v>
      </c>
      <c r="F143" s="408">
        <v>64</v>
      </c>
      <c r="G143" s="408">
        <v>1384</v>
      </c>
      <c r="H143" s="408">
        <v>9.6999999999999993</v>
      </c>
      <c r="I143" s="408">
        <v>0.54500000000000004</v>
      </c>
      <c r="J143" s="408">
        <v>0.46</v>
      </c>
      <c r="K143" s="408">
        <v>0.156</v>
      </c>
      <c r="L143" s="408">
        <v>5.4</v>
      </c>
      <c r="M143" s="408">
        <v>14.6</v>
      </c>
      <c r="N143" s="408">
        <v>10.1</v>
      </c>
      <c r="O143" s="408">
        <v>4</v>
      </c>
      <c r="P143" s="408">
        <v>1.3</v>
      </c>
      <c r="Q143" s="408">
        <v>1.2</v>
      </c>
      <c r="R143" s="408">
        <v>8</v>
      </c>
      <c r="S143" s="408">
        <v>11</v>
      </c>
      <c r="T143" s="408">
        <v>1</v>
      </c>
      <c r="U143" s="408">
        <v>1.1000000000000001</v>
      </c>
      <c r="V143" s="408">
        <v>2.1</v>
      </c>
      <c r="W143" s="408">
        <v>7.3999999999999996E-2</v>
      </c>
      <c r="X143" s="408">
        <v>-1.4</v>
      </c>
      <c r="Y143" s="408">
        <v>0</v>
      </c>
      <c r="Z143" s="408">
        <v>-1.5</v>
      </c>
      <c r="AA143" s="408">
        <v>0.2</v>
      </c>
    </row>
    <row r="144" spans="1:27">
      <c r="A144">
        <v>117</v>
      </c>
      <c r="B144" s="1" t="s">
        <v>131</v>
      </c>
      <c r="C144" s="5" t="s">
        <v>46</v>
      </c>
      <c r="D144" s="408">
        <v>30</v>
      </c>
      <c r="E144" s="5" t="s">
        <v>112</v>
      </c>
      <c r="F144" s="408">
        <v>51</v>
      </c>
      <c r="G144" s="408">
        <v>1115</v>
      </c>
      <c r="H144" s="408">
        <v>8.5</v>
      </c>
      <c r="I144" s="408">
        <v>0.52500000000000002</v>
      </c>
      <c r="J144" s="408">
        <v>0.48</v>
      </c>
      <c r="K144" s="408">
        <v>0.16</v>
      </c>
      <c r="L144" s="408">
        <v>5</v>
      </c>
      <c r="M144" s="408">
        <v>13.6</v>
      </c>
      <c r="N144" s="408">
        <v>9.4</v>
      </c>
      <c r="O144" s="408">
        <v>3</v>
      </c>
      <c r="P144" s="408">
        <v>1.2</v>
      </c>
      <c r="Q144" s="408">
        <v>1.1000000000000001</v>
      </c>
      <c r="R144" s="408">
        <v>6.2</v>
      </c>
      <c r="S144" s="408">
        <v>10</v>
      </c>
      <c r="T144" s="408">
        <v>0.7</v>
      </c>
      <c r="U144" s="408">
        <v>0.8</v>
      </c>
      <c r="V144" s="408">
        <v>1.5</v>
      </c>
      <c r="W144" s="408">
        <v>6.4000000000000001E-2</v>
      </c>
      <c r="X144" s="408">
        <v>-1.7</v>
      </c>
      <c r="Y144" s="408">
        <v>-0.2</v>
      </c>
      <c r="Z144" s="408">
        <v>-1.9</v>
      </c>
      <c r="AA144" s="408">
        <v>0</v>
      </c>
    </row>
    <row r="145" spans="1:27">
      <c r="A145">
        <v>117</v>
      </c>
      <c r="B145" s="1" t="s">
        <v>131</v>
      </c>
      <c r="C145" s="5" t="s">
        <v>46</v>
      </c>
      <c r="D145" s="408">
        <v>30</v>
      </c>
      <c r="E145" s="5" t="s">
        <v>315</v>
      </c>
      <c r="F145" s="408">
        <v>13</v>
      </c>
      <c r="G145" s="408">
        <v>269</v>
      </c>
      <c r="H145" s="408">
        <v>14.8</v>
      </c>
      <c r="I145" s="408">
        <v>0.60499999999999998</v>
      </c>
      <c r="J145" s="408">
        <v>0.40300000000000002</v>
      </c>
      <c r="K145" s="408">
        <v>0.14299999999999999</v>
      </c>
      <c r="L145" s="408">
        <v>6.6</v>
      </c>
      <c r="M145" s="408">
        <v>18.8</v>
      </c>
      <c r="N145" s="408">
        <v>12.7</v>
      </c>
      <c r="O145" s="408">
        <v>8.1</v>
      </c>
      <c r="P145" s="408">
        <v>1.8</v>
      </c>
      <c r="Q145" s="408">
        <v>1.7</v>
      </c>
      <c r="R145" s="408">
        <v>12.8</v>
      </c>
      <c r="S145" s="408">
        <v>15.1</v>
      </c>
      <c r="T145" s="408">
        <v>0.4</v>
      </c>
      <c r="U145" s="408">
        <v>0.3</v>
      </c>
      <c r="V145" s="408">
        <v>0.6</v>
      </c>
      <c r="W145" s="408">
        <v>0.113</v>
      </c>
      <c r="X145" s="408">
        <v>-0.4</v>
      </c>
      <c r="Y145" s="408">
        <v>0.8</v>
      </c>
      <c r="Z145" s="408">
        <v>0.4</v>
      </c>
      <c r="AA145" s="408">
        <v>0.2</v>
      </c>
    </row>
    <row r="146" spans="1:27">
      <c r="A146">
        <v>118</v>
      </c>
      <c r="B146" s="1" t="s">
        <v>288</v>
      </c>
      <c r="C146" s="5" t="s">
        <v>20</v>
      </c>
      <c r="D146" s="408">
        <v>29</v>
      </c>
      <c r="E146" s="5" t="s">
        <v>73</v>
      </c>
      <c r="F146" s="408">
        <v>50</v>
      </c>
      <c r="G146" s="408">
        <v>1605</v>
      </c>
      <c r="H146" s="408">
        <v>27.9</v>
      </c>
      <c r="I146" s="408">
        <v>0.67500000000000004</v>
      </c>
      <c r="J146" s="408">
        <v>0.58299999999999996</v>
      </c>
      <c r="K146" s="408">
        <v>0.35</v>
      </c>
      <c r="L146" s="408">
        <v>2.7</v>
      </c>
      <c r="M146" s="408">
        <v>14.1</v>
      </c>
      <c r="N146" s="408">
        <v>8.9</v>
      </c>
      <c r="O146" s="408">
        <v>30.3</v>
      </c>
      <c r="P146" s="408">
        <v>2.4</v>
      </c>
      <c r="Q146" s="408">
        <v>0.3</v>
      </c>
      <c r="R146" s="408">
        <v>13.5</v>
      </c>
      <c r="S146" s="408">
        <v>30.8</v>
      </c>
      <c r="T146" s="408">
        <v>7</v>
      </c>
      <c r="U146" s="408">
        <v>1.9</v>
      </c>
      <c r="V146" s="408">
        <v>9</v>
      </c>
      <c r="W146" s="408">
        <v>0.26900000000000002</v>
      </c>
      <c r="X146" s="408">
        <v>9.6999999999999993</v>
      </c>
      <c r="Y146" s="408">
        <v>-1.3</v>
      </c>
      <c r="Z146" s="408">
        <v>8.4</v>
      </c>
      <c r="AA146" s="408">
        <v>4.2</v>
      </c>
    </row>
    <row r="147" spans="1:27">
      <c r="A147">
        <v>119</v>
      </c>
      <c r="B147" s="1" t="s">
        <v>348</v>
      </c>
      <c r="C147" s="5" t="s">
        <v>26</v>
      </c>
      <c r="D147" s="408">
        <v>26</v>
      </c>
      <c r="E147" s="5" t="s">
        <v>313</v>
      </c>
      <c r="F147" s="408">
        <v>70</v>
      </c>
      <c r="G147" s="408">
        <v>1386</v>
      </c>
      <c r="H147" s="408">
        <v>9.6</v>
      </c>
      <c r="I147" s="408">
        <v>0.57999999999999996</v>
      </c>
      <c r="J147" s="408">
        <v>0.80400000000000005</v>
      </c>
      <c r="K147" s="408">
        <v>0.11799999999999999</v>
      </c>
      <c r="L147" s="408">
        <v>0.8</v>
      </c>
      <c r="M147" s="408">
        <v>7</v>
      </c>
      <c r="N147" s="408">
        <v>3.8</v>
      </c>
      <c r="O147" s="408">
        <v>5</v>
      </c>
      <c r="P147" s="408">
        <v>0.8</v>
      </c>
      <c r="Q147" s="408">
        <v>0.3</v>
      </c>
      <c r="R147" s="408">
        <v>8.4</v>
      </c>
      <c r="S147" s="408">
        <v>17</v>
      </c>
      <c r="T147" s="408">
        <v>1.3</v>
      </c>
      <c r="U147" s="408">
        <v>0</v>
      </c>
      <c r="V147" s="408">
        <v>1.2</v>
      </c>
      <c r="W147" s="408">
        <v>4.2000000000000003E-2</v>
      </c>
      <c r="X147" s="408">
        <v>0.8</v>
      </c>
      <c r="Y147" s="408">
        <v>-3.7</v>
      </c>
      <c r="Z147" s="408">
        <v>-2.9</v>
      </c>
      <c r="AA147" s="408">
        <v>-0.3</v>
      </c>
    </row>
    <row r="148" spans="1:27">
      <c r="A148">
        <v>120</v>
      </c>
      <c r="B148" s="1" t="s">
        <v>485</v>
      </c>
      <c r="C148" s="5" t="s">
        <v>38</v>
      </c>
      <c r="D148" s="408">
        <v>24</v>
      </c>
      <c r="E148" s="5" t="s">
        <v>112</v>
      </c>
      <c r="F148" s="408">
        <v>63</v>
      </c>
      <c r="G148" s="408">
        <v>2299</v>
      </c>
      <c r="H148" s="408">
        <v>28.6</v>
      </c>
      <c r="I148" s="408">
        <v>0.61199999999999999</v>
      </c>
      <c r="J148" s="408">
        <v>0.11799999999999999</v>
      </c>
      <c r="K148" s="408">
        <v>0.40200000000000002</v>
      </c>
      <c r="L148" s="408">
        <v>8</v>
      </c>
      <c r="M148" s="408">
        <v>25</v>
      </c>
      <c r="N148" s="408">
        <v>16.7</v>
      </c>
      <c r="O148" s="408">
        <v>10.9</v>
      </c>
      <c r="P148" s="408">
        <v>1.9</v>
      </c>
      <c r="Q148" s="408">
        <v>5.2</v>
      </c>
      <c r="R148" s="408">
        <v>8.6999999999999993</v>
      </c>
      <c r="S148" s="408">
        <v>29.8</v>
      </c>
      <c r="T148" s="408">
        <v>7.4</v>
      </c>
      <c r="U148" s="408">
        <v>3.8</v>
      </c>
      <c r="V148" s="408">
        <v>11.2</v>
      </c>
      <c r="W148" s="408">
        <v>0.23400000000000001</v>
      </c>
      <c r="X148" s="408">
        <v>2.9</v>
      </c>
      <c r="Y148" s="408">
        <v>1.9</v>
      </c>
      <c r="Z148" s="408">
        <v>4.8</v>
      </c>
      <c r="AA148" s="408">
        <v>3.9</v>
      </c>
    </row>
    <row r="149" spans="1:27">
      <c r="A149">
        <v>121</v>
      </c>
      <c r="B149" s="1" t="s">
        <v>586</v>
      </c>
      <c r="C149" s="5" t="s">
        <v>83</v>
      </c>
      <c r="D149" s="408">
        <v>21</v>
      </c>
      <c r="E149" s="5" t="s">
        <v>128</v>
      </c>
      <c r="F149" s="408">
        <v>50</v>
      </c>
      <c r="G149" s="408">
        <v>694</v>
      </c>
      <c r="H149" s="408">
        <v>17.7</v>
      </c>
      <c r="I149" s="408">
        <v>0.64500000000000002</v>
      </c>
      <c r="J149" s="408">
        <v>0</v>
      </c>
      <c r="K149" s="408">
        <v>0.23599999999999999</v>
      </c>
      <c r="L149" s="408">
        <v>9.3000000000000007</v>
      </c>
      <c r="M149" s="408">
        <v>21.9</v>
      </c>
      <c r="N149" s="408">
        <v>15.5</v>
      </c>
      <c r="O149" s="408">
        <v>7.6</v>
      </c>
      <c r="P149" s="408">
        <v>0.9</v>
      </c>
      <c r="Q149" s="408">
        <v>4.2</v>
      </c>
      <c r="R149" s="408">
        <v>10.6</v>
      </c>
      <c r="S149" s="408">
        <v>15.3</v>
      </c>
      <c r="T149" s="408">
        <v>1.6</v>
      </c>
      <c r="U149" s="408">
        <v>0.7</v>
      </c>
      <c r="V149" s="408">
        <v>2.2999999999999998</v>
      </c>
      <c r="W149" s="408">
        <v>0.16</v>
      </c>
      <c r="X149" s="408">
        <v>-0.9</v>
      </c>
      <c r="Y149" s="408">
        <v>0.8</v>
      </c>
      <c r="Z149" s="408">
        <v>-0.1</v>
      </c>
      <c r="AA149" s="408">
        <v>0.3</v>
      </c>
    </row>
    <row r="150" spans="1:27">
      <c r="A150">
        <v>122</v>
      </c>
      <c r="B150" s="1" t="s">
        <v>136</v>
      </c>
      <c r="C150" s="5" t="s">
        <v>83</v>
      </c>
      <c r="D150" s="408">
        <v>28</v>
      </c>
      <c r="E150" s="5" t="s">
        <v>96</v>
      </c>
      <c r="F150" s="408">
        <v>70</v>
      </c>
      <c r="G150" s="408">
        <v>1334</v>
      </c>
      <c r="H150" s="408">
        <v>16.3</v>
      </c>
      <c r="I150" s="408">
        <v>0.61499999999999999</v>
      </c>
      <c r="J150" s="408">
        <v>0</v>
      </c>
      <c r="K150" s="408">
        <v>0.38700000000000001</v>
      </c>
      <c r="L150" s="408">
        <v>14.4</v>
      </c>
      <c r="M150" s="408">
        <v>28.7</v>
      </c>
      <c r="N150" s="408">
        <v>21.7</v>
      </c>
      <c r="O150" s="408">
        <v>3.9</v>
      </c>
      <c r="P150" s="408">
        <v>1.2</v>
      </c>
      <c r="Q150" s="408">
        <v>2.9</v>
      </c>
      <c r="R150" s="408">
        <v>15.5</v>
      </c>
      <c r="S150" s="408">
        <v>12.4</v>
      </c>
      <c r="T150" s="408">
        <v>2.6</v>
      </c>
      <c r="U150" s="408">
        <v>2.4</v>
      </c>
      <c r="V150" s="408">
        <v>4.9000000000000004</v>
      </c>
      <c r="W150" s="408">
        <v>0.17799999999999999</v>
      </c>
      <c r="X150" s="408">
        <v>-1.3</v>
      </c>
      <c r="Y150" s="408">
        <v>1.9</v>
      </c>
      <c r="Z150" s="408">
        <v>0.6</v>
      </c>
      <c r="AA150" s="408">
        <v>0.9</v>
      </c>
    </row>
    <row r="151" spans="1:27">
      <c r="A151">
        <v>123</v>
      </c>
      <c r="B151" s="1" t="s">
        <v>511</v>
      </c>
      <c r="C151" s="5" t="s">
        <v>83</v>
      </c>
      <c r="D151" s="408">
        <v>28</v>
      </c>
      <c r="E151" s="5" t="s">
        <v>149</v>
      </c>
      <c r="F151" s="408">
        <v>51</v>
      </c>
      <c r="G151" s="408">
        <v>1227</v>
      </c>
      <c r="H151" s="408">
        <v>15.9</v>
      </c>
      <c r="I151" s="408">
        <v>0.61899999999999999</v>
      </c>
      <c r="J151" s="408">
        <v>0.29199999999999998</v>
      </c>
      <c r="K151" s="408">
        <v>0.183</v>
      </c>
      <c r="L151" s="408">
        <v>7.6</v>
      </c>
      <c r="M151" s="408">
        <v>27.2</v>
      </c>
      <c r="N151" s="408">
        <v>17.3</v>
      </c>
      <c r="O151" s="408">
        <v>9.1999999999999993</v>
      </c>
      <c r="P151" s="408">
        <v>1.4</v>
      </c>
      <c r="Q151" s="408">
        <v>2.8</v>
      </c>
      <c r="R151" s="408">
        <v>16.100000000000001</v>
      </c>
      <c r="S151" s="408">
        <v>16.8</v>
      </c>
      <c r="T151" s="408">
        <v>1.5</v>
      </c>
      <c r="U151" s="408">
        <v>1.4</v>
      </c>
      <c r="V151" s="408">
        <v>2.9</v>
      </c>
      <c r="W151" s="408">
        <v>0.113</v>
      </c>
      <c r="X151" s="408">
        <v>-0.8</v>
      </c>
      <c r="Y151" s="408">
        <v>1.4</v>
      </c>
      <c r="Z151" s="408">
        <v>0.6</v>
      </c>
      <c r="AA151" s="408">
        <v>0.8</v>
      </c>
    </row>
    <row r="152" spans="1:27">
      <c r="A152">
        <v>124</v>
      </c>
      <c r="B152" s="1" t="s">
        <v>516</v>
      </c>
      <c r="C152" s="5" t="s">
        <v>38</v>
      </c>
      <c r="D152" s="408">
        <v>23</v>
      </c>
      <c r="E152" s="5" t="s">
        <v>64</v>
      </c>
      <c r="F152" s="408">
        <v>62</v>
      </c>
      <c r="G152" s="408">
        <v>767</v>
      </c>
      <c r="H152" s="408">
        <v>10.8</v>
      </c>
      <c r="I152" s="408">
        <v>0.51600000000000001</v>
      </c>
      <c r="J152" s="408">
        <v>0.25800000000000001</v>
      </c>
      <c r="K152" s="408">
        <v>0.20399999999999999</v>
      </c>
      <c r="L152" s="408">
        <v>5.2</v>
      </c>
      <c r="M152" s="408">
        <v>15.4</v>
      </c>
      <c r="N152" s="408">
        <v>10.4</v>
      </c>
      <c r="O152" s="408">
        <v>6.2</v>
      </c>
      <c r="P152" s="408">
        <v>1.4</v>
      </c>
      <c r="Q152" s="408">
        <v>0.9</v>
      </c>
      <c r="R152" s="408">
        <v>10.199999999999999</v>
      </c>
      <c r="S152" s="408">
        <v>15.4</v>
      </c>
      <c r="T152" s="408">
        <v>0.3</v>
      </c>
      <c r="U152" s="408">
        <v>0.6</v>
      </c>
      <c r="V152" s="408">
        <v>0.9</v>
      </c>
      <c r="W152" s="408">
        <v>5.8999999999999997E-2</v>
      </c>
      <c r="X152" s="408">
        <v>-2.5</v>
      </c>
      <c r="Y152" s="408">
        <v>-0.7</v>
      </c>
      <c r="Z152" s="408">
        <v>-3.2</v>
      </c>
      <c r="AA152" s="408">
        <v>-0.2</v>
      </c>
    </row>
    <row r="153" spans="1:27">
      <c r="A153">
        <v>125</v>
      </c>
      <c r="B153" s="1" t="s">
        <v>462</v>
      </c>
      <c r="C153" s="5" t="s">
        <v>20</v>
      </c>
      <c r="D153" s="408">
        <v>28</v>
      </c>
      <c r="E153" s="5" t="s">
        <v>149</v>
      </c>
      <c r="F153" s="408">
        <v>54</v>
      </c>
      <c r="G153" s="408">
        <v>1014</v>
      </c>
      <c r="H153" s="408">
        <v>10.7</v>
      </c>
      <c r="I153" s="408">
        <v>0.51900000000000002</v>
      </c>
      <c r="J153" s="408">
        <v>0.435</v>
      </c>
      <c r="K153" s="408">
        <v>0.32300000000000001</v>
      </c>
      <c r="L153" s="408">
        <v>1</v>
      </c>
      <c r="M153" s="408">
        <v>10.199999999999999</v>
      </c>
      <c r="N153" s="408">
        <v>5.6</v>
      </c>
      <c r="O153" s="408">
        <v>23.4</v>
      </c>
      <c r="P153" s="408">
        <v>1.7</v>
      </c>
      <c r="Q153" s="408">
        <v>0.5</v>
      </c>
      <c r="R153" s="408">
        <v>16.899999999999999</v>
      </c>
      <c r="S153" s="408">
        <v>16.899999999999999</v>
      </c>
      <c r="T153" s="408">
        <v>0.4</v>
      </c>
      <c r="U153" s="408">
        <v>0.5</v>
      </c>
      <c r="V153" s="408">
        <v>1</v>
      </c>
      <c r="W153" s="408">
        <v>4.4999999999999998E-2</v>
      </c>
      <c r="X153" s="408">
        <v>-1.9</v>
      </c>
      <c r="Y153" s="408">
        <v>-1.7</v>
      </c>
      <c r="Z153" s="408">
        <v>-3.6</v>
      </c>
      <c r="AA153" s="408">
        <v>-0.4</v>
      </c>
    </row>
    <row r="154" spans="1:27">
      <c r="A154">
        <v>126</v>
      </c>
      <c r="B154" s="1" t="s">
        <v>467</v>
      </c>
      <c r="C154" s="5" t="s">
        <v>20</v>
      </c>
      <c r="D154" s="408">
        <v>27</v>
      </c>
      <c r="E154" s="5" t="s">
        <v>41</v>
      </c>
      <c r="F154" s="408">
        <v>37</v>
      </c>
      <c r="G154" s="408">
        <v>702</v>
      </c>
      <c r="H154" s="408">
        <v>8.6999999999999993</v>
      </c>
      <c r="I154" s="408">
        <v>0.50600000000000001</v>
      </c>
      <c r="J154" s="408">
        <v>0.51700000000000002</v>
      </c>
      <c r="K154" s="408">
        <v>0.16800000000000001</v>
      </c>
      <c r="L154" s="408">
        <v>2.2000000000000002</v>
      </c>
      <c r="M154" s="408">
        <v>8.4</v>
      </c>
      <c r="N154" s="408">
        <v>5.3</v>
      </c>
      <c r="O154" s="408">
        <v>27.6</v>
      </c>
      <c r="P154" s="408">
        <v>1</v>
      </c>
      <c r="Q154" s="408">
        <v>0</v>
      </c>
      <c r="R154" s="408">
        <v>23.1</v>
      </c>
      <c r="S154" s="408">
        <v>13.4</v>
      </c>
      <c r="T154" s="408">
        <v>0.3</v>
      </c>
      <c r="U154" s="408">
        <v>0.2</v>
      </c>
      <c r="V154" s="408">
        <v>0.5</v>
      </c>
      <c r="W154" s="408">
        <v>3.6999999999999998E-2</v>
      </c>
      <c r="X154" s="408">
        <v>-2.2999999999999998</v>
      </c>
      <c r="Y154" s="408">
        <v>-3.5</v>
      </c>
      <c r="Z154" s="408">
        <v>-5.7</v>
      </c>
      <c r="AA154" s="408">
        <v>-0.7</v>
      </c>
    </row>
    <row r="155" spans="1:27">
      <c r="A155">
        <v>127</v>
      </c>
      <c r="B155" s="1" t="s">
        <v>624</v>
      </c>
      <c r="C155" s="5" t="s">
        <v>46</v>
      </c>
      <c r="D155" s="408">
        <v>32</v>
      </c>
      <c r="E155" s="5" t="s">
        <v>78</v>
      </c>
      <c r="F155" s="408">
        <v>1</v>
      </c>
      <c r="G155" s="408">
        <v>13</v>
      </c>
      <c r="H155" s="408">
        <v>5.5</v>
      </c>
      <c r="I155" s="408">
        <v>0.5</v>
      </c>
      <c r="J155" s="408">
        <v>0</v>
      </c>
      <c r="K155" s="408">
        <v>0</v>
      </c>
      <c r="L155" s="408">
        <v>0</v>
      </c>
      <c r="M155" s="408">
        <v>0</v>
      </c>
      <c r="N155" s="408">
        <v>0</v>
      </c>
      <c r="O155" s="408">
        <v>10</v>
      </c>
      <c r="P155" s="408">
        <v>3.7</v>
      </c>
      <c r="Q155" s="408">
        <v>0</v>
      </c>
      <c r="R155" s="408">
        <v>33.299999999999997</v>
      </c>
      <c r="S155" s="408">
        <v>9.6999999999999993</v>
      </c>
      <c r="T155" s="408">
        <v>0</v>
      </c>
      <c r="U155" s="408">
        <v>0</v>
      </c>
      <c r="V155" s="408">
        <v>0</v>
      </c>
      <c r="W155" s="408">
        <v>-1.7999999999999999E-2</v>
      </c>
      <c r="X155" s="408">
        <v>-7.2</v>
      </c>
      <c r="Y155" s="408">
        <v>-1.3</v>
      </c>
      <c r="Z155" s="408">
        <v>-8.5</v>
      </c>
      <c r="AA155" s="408">
        <v>0</v>
      </c>
    </row>
    <row r="156" spans="1:27">
      <c r="A156">
        <v>128</v>
      </c>
      <c r="B156" s="1" t="s">
        <v>419</v>
      </c>
      <c r="C156" s="5" t="s">
        <v>26</v>
      </c>
      <c r="D156" s="408">
        <v>28</v>
      </c>
      <c r="E156" s="5" t="s">
        <v>47</v>
      </c>
      <c r="F156" s="408">
        <v>70</v>
      </c>
      <c r="G156" s="408">
        <v>2387</v>
      </c>
      <c r="H156" s="408">
        <v>21.7</v>
      </c>
      <c r="I156" s="408">
        <v>0.56000000000000005</v>
      </c>
      <c r="J156" s="408">
        <v>0.20200000000000001</v>
      </c>
      <c r="K156" s="408">
        <v>0.40200000000000002</v>
      </c>
      <c r="L156" s="408">
        <v>2.6</v>
      </c>
      <c r="M156" s="408">
        <v>10.4</v>
      </c>
      <c r="N156" s="408">
        <v>6.6</v>
      </c>
      <c r="O156" s="408">
        <v>24.7</v>
      </c>
      <c r="P156" s="408">
        <v>1.6</v>
      </c>
      <c r="Q156" s="408">
        <v>0.6</v>
      </c>
      <c r="R156" s="408">
        <v>9.6</v>
      </c>
      <c r="S156" s="408">
        <v>29.9</v>
      </c>
      <c r="T156" s="408">
        <v>6.3</v>
      </c>
      <c r="U156" s="408">
        <v>2.6</v>
      </c>
      <c r="V156" s="408">
        <v>8.9</v>
      </c>
      <c r="W156" s="408">
        <v>0.18</v>
      </c>
      <c r="X156" s="408">
        <v>3</v>
      </c>
      <c r="Y156" s="408">
        <v>-0.8</v>
      </c>
      <c r="Z156" s="408">
        <v>2.2000000000000002</v>
      </c>
      <c r="AA156" s="408">
        <v>2.6</v>
      </c>
    </row>
    <row r="157" spans="1:27">
      <c r="A157">
        <v>129</v>
      </c>
      <c r="B157" s="1" t="s">
        <v>534</v>
      </c>
      <c r="C157" s="5" t="s">
        <v>38</v>
      </c>
      <c r="D157" s="408">
        <v>21</v>
      </c>
      <c r="E157" s="5" t="s">
        <v>112</v>
      </c>
      <c r="F157" s="408">
        <v>40</v>
      </c>
      <c r="G157" s="408">
        <v>394</v>
      </c>
      <c r="H157" s="408">
        <v>17.2</v>
      </c>
      <c r="I157" s="408">
        <v>0.60399999999999998</v>
      </c>
      <c r="J157" s="408">
        <v>0</v>
      </c>
      <c r="K157" s="408">
        <v>0.316</v>
      </c>
      <c r="L157" s="408">
        <v>6.9</v>
      </c>
      <c r="M157" s="408">
        <v>29.6</v>
      </c>
      <c r="N157" s="408">
        <v>18.600000000000001</v>
      </c>
      <c r="O157" s="408">
        <v>4.9000000000000004</v>
      </c>
      <c r="P157" s="408">
        <v>1.1000000000000001</v>
      </c>
      <c r="Q157" s="408">
        <v>3.2</v>
      </c>
      <c r="R157" s="408">
        <v>10.6</v>
      </c>
      <c r="S157" s="408">
        <v>18.7</v>
      </c>
      <c r="T157" s="408">
        <v>0.6</v>
      </c>
      <c r="U157" s="408">
        <v>0.6</v>
      </c>
      <c r="V157" s="408">
        <v>1.2</v>
      </c>
      <c r="W157" s="408">
        <v>0.14099999999999999</v>
      </c>
      <c r="X157" s="408">
        <v>-3.4</v>
      </c>
      <c r="Y157" s="408">
        <v>-0.4</v>
      </c>
      <c r="Z157" s="408">
        <v>-3.8</v>
      </c>
      <c r="AA157" s="408">
        <v>-0.2</v>
      </c>
    </row>
    <row r="158" spans="1:27">
      <c r="A158">
        <v>130</v>
      </c>
      <c r="B158" s="1" t="s">
        <v>11</v>
      </c>
      <c r="C158" s="5" t="s">
        <v>83</v>
      </c>
      <c r="D158" s="408">
        <v>28</v>
      </c>
      <c r="E158" s="5" t="s">
        <v>56</v>
      </c>
      <c r="F158" s="408">
        <v>68</v>
      </c>
      <c r="G158" s="408">
        <v>1171</v>
      </c>
      <c r="H158" s="408">
        <v>14.2</v>
      </c>
      <c r="I158" s="408">
        <v>0.53800000000000003</v>
      </c>
      <c r="J158" s="408">
        <v>0.14399999999999999</v>
      </c>
      <c r="K158" s="408">
        <v>0.28399999999999997</v>
      </c>
      <c r="L158" s="408">
        <v>8.8000000000000007</v>
      </c>
      <c r="M158" s="408">
        <v>21.7</v>
      </c>
      <c r="N158" s="408">
        <v>15.2</v>
      </c>
      <c r="O158" s="408">
        <v>7.6</v>
      </c>
      <c r="P158" s="408">
        <v>1.7</v>
      </c>
      <c r="Q158" s="408">
        <v>2.2999999999999998</v>
      </c>
      <c r="R158" s="408">
        <v>12.2</v>
      </c>
      <c r="S158" s="408">
        <v>16.2</v>
      </c>
      <c r="T158" s="408">
        <v>1.3</v>
      </c>
      <c r="U158" s="408">
        <v>1.1000000000000001</v>
      </c>
      <c r="V158" s="408">
        <v>2.4</v>
      </c>
      <c r="W158" s="408">
        <v>9.7000000000000003E-2</v>
      </c>
      <c r="X158" s="408">
        <v>-1.1000000000000001</v>
      </c>
      <c r="Y158" s="408">
        <v>0.4</v>
      </c>
      <c r="Z158" s="408">
        <v>-0.7</v>
      </c>
      <c r="AA158" s="408">
        <v>0.4</v>
      </c>
    </row>
    <row r="159" spans="1:27">
      <c r="A159">
        <v>131</v>
      </c>
      <c r="B159" s="1" t="s">
        <v>339</v>
      </c>
      <c r="C159" s="5" t="s">
        <v>20</v>
      </c>
      <c r="D159" s="408">
        <v>24</v>
      </c>
      <c r="E159" s="5" t="s">
        <v>315</v>
      </c>
      <c r="F159" s="408">
        <v>70</v>
      </c>
      <c r="G159" s="408">
        <v>2045</v>
      </c>
      <c r="H159" s="408">
        <v>16.3</v>
      </c>
      <c r="I159" s="408">
        <v>0.52400000000000002</v>
      </c>
      <c r="J159" s="408">
        <v>0.502</v>
      </c>
      <c r="K159" s="408">
        <v>0.313</v>
      </c>
      <c r="L159" s="408">
        <v>1.8</v>
      </c>
      <c r="M159" s="408">
        <v>10.3</v>
      </c>
      <c r="N159" s="408">
        <v>6</v>
      </c>
      <c r="O159" s="408">
        <v>36.1</v>
      </c>
      <c r="P159" s="408">
        <v>1.5</v>
      </c>
      <c r="Q159" s="408">
        <v>0.8</v>
      </c>
      <c r="R159" s="408">
        <v>11.4</v>
      </c>
      <c r="S159" s="408">
        <v>20.5</v>
      </c>
      <c r="T159" s="408">
        <v>4</v>
      </c>
      <c r="U159" s="408">
        <v>1.2</v>
      </c>
      <c r="V159" s="408">
        <v>5.3</v>
      </c>
      <c r="W159" s="408">
        <v>0.124</v>
      </c>
      <c r="X159" s="408">
        <v>2.2999999999999998</v>
      </c>
      <c r="Y159" s="408">
        <v>-1.7</v>
      </c>
      <c r="Z159" s="408">
        <v>0.6</v>
      </c>
      <c r="AA159" s="408">
        <v>1.3</v>
      </c>
    </row>
    <row r="160" spans="1:27">
      <c r="A160">
        <v>132</v>
      </c>
      <c r="B160" s="1" t="s">
        <v>480</v>
      </c>
      <c r="C160" s="5" t="s">
        <v>26</v>
      </c>
      <c r="D160" s="408">
        <v>21</v>
      </c>
      <c r="E160" s="5" t="s">
        <v>149</v>
      </c>
      <c r="F160" s="408">
        <v>44</v>
      </c>
      <c r="G160" s="408">
        <v>665</v>
      </c>
      <c r="H160" s="408">
        <v>8.8000000000000007</v>
      </c>
      <c r="I160" s="408">
        <v>0.46500000000000002</v>
      </c>
      <c r="J160" s="408">
        <v>0.55300000000000005</v>
      </c>
      <c r="K160" s="408">
        <v>0.17199999999999999</v>
      </c>
      <c r="L160" s="408">
        <v>1.9</v>
      </c>
      <c r="M160" s="408">
        <v>14</v>
      </c>
      <c r="N160" s="408">
        <v>7.9</v>
      </c>
      <c r="O160" s="408">
        <v>13.1</v>
      </c>
      <c r="P160" s="408">
        <v>0.9</v>
      </c>
      <c r="Q160" s="408">
        <v>0.5</v>
      </c>
      <c r="R160" s="408">
        <v>8.1</v>
      </c>
      <c r="S160" s="408">
        <v>18.8</v>
      </c>
      <c r="T160" s="408">
        <v>-0.2</v>
      </c>
      <c r="U160" s="408">
        <v>0.3</v>
      </c>
      <c r="V160" s="408">
        <v>0.1</v>
      </c>
      <c r="W160" s="408">
        <v>6.0000000000000001E-3</v>
      </c>
      <c r="X160" s="408">
        <v>-2.5</v>
      </c>
      <c r="Y160" s="408">
        <v>-2.4</v>
      </c>
      <c r="Z160" s="408">
        <v>-4.9000000000000004</v>
      </c>
      <c r="AA160" s="408">
        <v>-0.5</v>
      </c>
    </row>
    <row r="161" spans="1:27">
      <c r="A161">
        <v>133</v>
      </c>
      <c r="B161" s="1" t="s">
        <v>548</v>
      </c>
      <c r="C161" s="5" t="s">
        <v>26</v>
      </c>
      <c r="D161" s="408">
        <v>23</v>
      </c>
      <c r="E161" s="5" t="s">
        <v>21</v>
      </c>
      <c r="F161" s="408">
        <v>37</v>
      </c>
      <c r="G161" s="408">
        <v>315</v>
      </c>
      <c r="H161" s="408">
        <v>10.1</v>
      </c>
      <c r="I161" s="408">
        <v>0.50900000000000001</v>
      </c>
      <c r="J161" s="408">
        <v>0.40600000000000003</v>
      </c>
      <c r="K161" s="408">
        <v>0.13900000000000001</v>
      </c>
      <c r="L161" s="408">
        <v>2.5</v>
      </c>
      <c r="M161" s="408">
        <v>15.7</v>
      </c>
      <c r="N161" s="408">
        <v>9.1999999999999993</v>
      </c>
      <c r="O161" s="408">
        <v>9.5</v>
      </c>
      <c r="P161" s="408">
        <v>1.1000000000000001</v>
      </c>
      <c r="Q161" s="408">
        <v>0.3</v>
      </c>
      <c r="R161" s="408">
        <v>9.3000000000000007</v>
      </c>
      <c r="S161" s="408">
        <v>16.399999999999999</v>
      </c>
      <c r="T161" s="408">
        <v>0.1</v>
      </c>
      <c r="U161" s="408">
        <v>0.2</v>
      </c>
      <c r="V161" s="408">
        <v>0.3</v>
      </c>
      <c r="W161" s="408">
        <v>4.4999999999999998E-2</v>
      </c>
      <c r="X161" s="408">
        <v>-2.1</v>
      </c>
      <c r="Y161" s="408">
        <v>-1.8</v>
      </c>
      <c r="Z161" s="408">
        <v>-3.9</v>
      </c>
      <c r="AA161" s="408">
        <v>-0.2</v>
      </c>
    </row>
    <row r="162" spans="1:27">
      <c r="A162">
        <v>134</v>
      </c>
      <c r="B162" s="1" t="s">
        <v>455</v>
      </c>
      <c r="C162" s="5" t="s">
        <v>26</v>
      </c>
      <c r="D162" s="408">
        <v>24</v>
      </c>
      <c r="E162" s="5" t="s">
        <v>315</v>
      </c>
      <c r="F162" s="408">
        <v>6</v>
      </c>
      <c r="G162" s="408">
        <v>63</v>
      </c>
      <c r="H162" s="408">
        <v>4.5</v>
      </c>
      <c r="I162" s="408">
        <v>0.34200000000000003</v>
      </c>
      <c r="J162" s="408">
        <v>0.52</v>
      </c>
      <c r="K162" s="408">
        <v>0.12</v>
      </c>
      <c r="L162" s="408">
        <v>3.3</v>
      </c>
      <c r="M162" s="408">
        <v>12</v>
      </c>
      <c r="N162" s="408">
        <v>7.6</v>
      </c>
      <c r="O162" s="408">
        <v>9.4</v>
      </c>
      <c r="P162" s="408">
        <v>1.5</v>
      </c>
      <c r="Q162" s="408">
        <v>1.2</v>
      </c>
      <c r="R162" s="408">
        <v>7.1</v>
      </c>
      <c r="S162" s="408">
        <v>19.399999999999999</v>
      </c>
      <c r="T162" s="408">
        <v>-0.2</v>
      </c>
      <c r="U162" s="408">
        <v>0</v>
      </c>
      <c r="V162" s="408">
        <v>-0.1</v>
      </c>
      <c r="W162" s="408">
        <v>-8.5999999999999993E-2</v>
      </c>
      <c r="X162" s="408">
        <v>-6.1</v>
      </c>
      <c r="Y162" s="408">
        <v>-1.7</v>
      </c>
      <c r="Z162" s="408">
        <v>-7.8</v>
      </c>
      <c r="AA162" s="408">
        <v>-0.1</v>
      </c>
    </row>
    <row r="163" spans="1:27">
      <c r="A163">
        <v>135</v>
      </c>
      <c r="B163" s="1" t="s">
        <v>886</v>
      </c>
      <c r="C163" s="5" t="s">
        <v>20</v>
      </c>
      <c r="D163" s="408">
        <v>21</v>
      </c>
      <c r="E163" s="5" t="s">
        <v>58</v>
      </c>
      <c r="F163" s="408">
        <v>2</v>
      </c>
      <c r="G163" s="408">
        <v>3</v>
      </c>
      <c r="H163" s="408">
        <v>-5</v>
      </c>
      <c r="I163" s="408">
        <v>0.5</v>
      </c>
      <c r="J163" s="408">
        <v>0</v>
      </c>
      <c r="K163" s="408">
        <v>0</v>
      </c>
      <c r="L163" s="408">
        <v>0</v>
      </c>
      <c r="M163" s="408">
        <v>38.5</v>
      </c>
      <c r="N163" s="408">
        <v>18.600000000000001</v>
      </c>
      <c r="O163" s="408">
        <v>0</v>
      </c>
      <c r="P163" s="408">
        <v>0</v>
      </c>
      <c r="Q163" s="408">
        <v>0</v>
      </c>
      <c r="R163" s="408">
        <v>33.299999999999997</v>
      </c>
      <c r="S163" s="408">
        <v>43</v>
      </c>
      <c r="T163" s="408">
        <v>0</v>
      </c>
      <c r="U163" s="408">
        <v>0</v>
      </c>
      <c r="V163" s="408">
        <v>0</v>
      </c>
      <c r="W163" s="408">
        <v>-0.40400000000000003</v>
      </c>
      <c r="X163" s="408">
        <v>-23.6</v>
      </c>
      <c r="Y163" s="408">
        <v>-10.5</v>
      </c>
      <c r="Z163" s="408">
        <v>-34.1</v>
      </c>
      <c r="AA163" s="408">
        <v>0</v>
      </c>
    </row>
    <row r="164" spans="1:27">
      <c r="A164">
        <v>136</v>
      </c>
      <c r="B164" s="1" t="s">
        <v>376</v>
      </c>
      <c r="C164" s="5" t="s">
        <v>20</v>
      </c>
      <c r="D164" s="408">
        <v>31</v>
      </c>
      <c r="E164" s="5" t="s">
        <v>50</v>
      </c>
      <c r="F164" s="408">
        <v>66</v>
      </c>
      <c r="G164" s="408">
        <v>2103</v>
      </c>
      <c r="H164" s="408">
        <v>16.899999999999999</v>
      </c>
      <c r="I164" s="408">
        <v>0.54</v>
      </c>
      <c r="J164" s="408">
        <v>0.28000000000000003</v>
      </c>
      <c r="K164" s="408">
        <v>0.26</v>
      </c>
      <c r="L164" s="408">
        <v>2.6</v>
      </c>
      <c r="M164" s="408">
        <v>11.7</v>
      </c>
      <c r="N164" s="408">
        <v>7.1</v>
      </c>
      <c r="O164" s="408">
        <v>25.7</v>
      </c>
      <c r="P164" s="408">
        <v>1.3</v>
      </c>
      <c r="Q164" s="408">
        <v>0.5</v>
      </c>
      <c r="R164" s="408">
        <v>11.8</v>
      </c>
      <c r="S164" s="408">
        <v>26.1</v>
      </c>
      <c r="T164" s="408">
        <v>2.7</v>
      </c>
      <c r="U164" s="408">
        <v>1.9</v>
      </c>
      <c r="V164" s="408">
        <v>4.7</v>
      </c>
      <c r="W164" s="408">
        <v>0.107</v>
      </c>
      <c r="X164" s="408">
        <v>1.2</v>
      </c>
      <c r="Y164" s="408">
        <v>-1.2</v>
      </c>
      <c r="Z164" s="408">
        <v>0</v>
      </c>
      <c r="AA164" s="408">
        <v>1</v>
      </c>
    </row>
    <row r="165" spans="1:27">
      <c r="A165">
        <v>137</v>
      </c>
      <c r="B165" s="1" t="s">
        <v>806</v>
      </c>
      <c r="C165" s="5" t="s">
        <v>20</v>
      </c>
      <c r="D165" s="408">
        <v>27</v>
      </c>
      <c r="E165" s="5" t="s">
        <v>357</v>
      </c>
      <c r="F165" s="408">
        <v>5</v>
      </c>
      <c r="G165" s="408">
        <v>25</v>
      </c>
      <c r="H165" s="408">
        <v>-11.4</v>
      </c>
      <c r="I165" s="408">
        <v>9.0999999999999998E-2</v>
      </c>
      <c r="J165" s="408">
        <v>0.36399999999999999</v>
      </c>
      <c r="K165" s="408">
        <v>0</v>
      </c>
      <c r="L165" s="408">
        <v>4.5</v>
      </c>
      <c r="M165" s="408">
        <v>0</v>
      </c>
      <c r="N165" s="408">
        <v>2.2000000000000002</v>
      </c>
      <c r="O165" s="408">
        <v>15.1</v>
      </c>
      <c r="P165" s="408">
        <v>0</v>
      </c>
      <c r="Q165" s="408">
        <v>0</v>
      </c>
      <c r="R165" s="408">
        <v>8.3000000000000007</v>
      </c>
      <c r="S165" s="408">
        <v>20.7</v>
      </c>
      <c r="T165" s="408">
        <v>-0.2</v>
      </c>
      <c r="U165" s="408">
        <v>0</v>
      </c>
      <c r="V165" s="408">
        <v>-0.2</v>
      </c>
      <c r="W165" s="408">
        <v>-0.34100000000000003</v>
      </c>
      <c r="X165" s="408">
        <v>-14</v>
      </c>
      <c r="Y165" s="408">
        <v>-6.1</v>
      </c>
      <c r="Z165" s="408">
        <v>-20.100000000000001</v>
      </c>
      <c r="AA165" s="408">
        <v>-0.1</v>
      </c>
    </row>
    <row r="166" spans="1:27">
      <c r="A166">
        <v>137</v>
      </c>
      <c r="B166" s="1" t="s">
        <v>806</v>
      </c>
      <c r="C166" s="5" t="s">
        <v>20</v>
      </c>
      <c r="D166" s="408">
        <v>27</v>
      </c>
      <c r="E166" s="5" t="s">
        <v>118</v>
      </c>
      <c r="F166" s="408">
        <v>3</v>
      </c>
      <c r="G166" s="408">
        <v>15</v>
      </c>
      <c r="H166" s="408">
        <v>-9.5</v>
      </c>
      <c r="I166" s="408">
        <v>0.14299999999999999</v>
      </c>
      <c r="J166" s="408">
        <v>0.42899999999999999</v>
      </c>
      <c r="K166" s="408">
        <v>0</v>
      </c>
      <c r="L166" s="408">
        <v>7.5</v>
      </c>
      <c r="M166" s="408">
        <v>0</v>
      </c>
      <c r="N166" s="408">
        <v>3.6</v>
      </c>
      <c r="O166" s="408">
        <v>17.600000000000001</v>
      </c>
      <c r="P166" s="408">
        <v>0</v>
      </c>
      <c r="Q166" s="408">
        <v>0</v>
      </c>
      <c r="R166" s="408">
        <v>12.5</v>
      </c>
      <c r="S166" s="408">
        <v>22.9</v>
      </c>
      <c r="T166" s="408">
        <v>-0.1</v>
      </c>
      <c r="U166" s="408">
        <v>0</v>
      </c>
      <c r="V166" s="408">
        <v>-0.1</v>
      </c>
      <c r="W166" s="408">
        <v>-0.30599999999999999</v>
      </c>
      <c r="X166" s="408">
        <v>-12.1</v>
      </c>
      <c r="Y166" s="408">
        <v>-5.4</v>
      </c>
      <c r="Z166" s="408">
        <v>-17.600000000000001</v>
      </c>
      <c r="AA166" s="408">
        <v>-0.1</v>
      </c>
    </row>
    <row r="167" spans="1:27">
      <c r="A167">
        <v>137</v>
      </c>
      <c r="B167" s="1" t="s">
        <v>806</v>
      </c>
      <c r="C167" s="5" t="s">
        <v>20</v>
      </c>
      <c r="D167" s="408">
        <v>27</v>
      </c>
      <c r="E167" s="5" t="s">
        <v>112</v>
      </c>
      <c r="F167" s="408">
        <v>2</v>
      </c>
      <c r="G167" s="408">
        <v>10</v>
      </c>
      <c r="H167" s="408">
        <v>-14.3</v>
      </c>
      <c r="I167" s="408">
        <v>0</v>
      </c>
      <c r="J167" s="408">
        <v>0.25</v>
      </c>
      <c r="K167" s="408">
        <v>0</v>
      </c>
      <c r="L167" s="408">
        <v>0</v>
      </c>
      <c r="M167" s="408">
        <v>0</v>
      </c>
      <c r="N167" s="408">
        <v>0</v>
      </c>
      <c r="O167" s="408">
        <v>11.5</v>
      </c>
      <c r="P167" s="408">
        <v>0</v>
      </c>
      <c r="Q167" s="408">
        <v>0</v>
      </c>
      <c r="R167" s="408">
        <v>0</v>
      </c>
      <c r="S167" s="408">
        <v>17.399999999999999</v>
      </c>
      <c r="T167" s="408">
        <v>-0.1</v>
      </c>
      <c r="U167" s="408">
        <v>0</v>
      </c>
      <c r="V167" s="408">
        <v>-0.1</v>
      </c>
      <c r="W167" s="408">
        <v>-0.39200000000000002</v>
      </c>
      <c r="X167" s="408">
        <v>-16.8</v>
      </c>
      <c r="Y167" s="408">
        <v>-7.2</v>
      </c>
      <c r="Z167" s="408">
        <v>-24</v>
      </c>
      <c r="AA167" s="408">
        <v>-0.1</v>
      </c>
    </row>
    <row r="168" spans="1:27">
      <c r="A168">
        <v>138</v>
      </c>
      <c r="B168" s="1" t="s">
        <v>578</v>
      </c>
      <c r="C168" s="5" t="s">
        <v>83</v>
      </c>
      <c r="D168" s="408">
        <v>24</v>
      </c>
      <c r="E168" s="5" t="s">
        <v>157</v>
      </c>
      <c r="F168" s="408">
        <v>68</v>
      </c>
      <c r="G168" s="408">
        <v>2260</v>
      </c>
      <c r="H168" s="408">
        <v>23.2</v>
      </c>
      <c r="I168" s="408">
        <v>0.55600000000000005</v>
      </c>
      <c r="J168" s="408">
        <v>8.9999999999999993E-3</v>
      </c>
      <c r="K168" s="408">
        <v>0.441</v>
      </c>
      <c r="L168" s="408">
        <v>16.7</v>
      </c>
      <c r="M168" s="408">
        <v>36.799999999999997</v>
      </c>
      <c r="N168" s="408">
        <v>26.5</v>
      </c>
      <c r="O168" s="408">
        <v>15.2</v>
      </c>
      <c r="P168" s="408">
        <v>2.2999999999999998</v>
      </c>
      <c r="Q168" s="408">
        <v>4.3</v>
      </c>
      <c r="R168" s="408">
        <v>16.3</v>
      </c>
      <c r="S168" s="408">
        <v>21.3</v>
      </c>
      <c r="T168" s="408">
        <v>3.9</v>
      </c>
      <c r="U168" s="408">
        <v>4.9000000000000004</v>
      </c>
      <c r="V168" s="408">
        <v>8.8000000000000007</v>
      </c>
      <c r="W168" s="408">
        <v>0.188</v>
      </c>
      <c r="X168" s="408">
        <v>0.4</v>
      </c>
      <c r="Y168" s="408">
        <v>5.5</v>
      </c>
      <c r="Z168" s="408">
        <v>5.9</v>
      </c>
      <c r="AA168" s="408">
        <v>4.5</v>
      </c>
    </row>
    <row r="169" spans="1:27">
      <c r="A169">
        <v>139</v>
      </c>
      <c r="B169" s="1" t="s">
        <v>506</v>
      </c>
      <c r="C169" s="5" t="s">
        <v>38</v>
      </c>
      <c r="D169" s="408">
        <v>32</v>
      </c>
      <c r="E169" s="5" t="s">
        <v>313</v>
      </c>
      <c r="F169" s="408">
        <v>40</v>
      </c>
      <c r="G169" s="408">
        <v>563</v>
      </c>
      <c r="H169" s="408">
        <v>9.3000000000000007</v>
      </c>
      <c r="I169" s="408">
        <v>0.58399999999999996</v>
      </c>
      <c r="J169" s="408">
        <v>0.69799999999999995</v>
      </c>
      <c r="K169" s="408">
        <v>0.30199999999999999</v>
      </c>
      <c r="L169" s="408">
        <v>1.3</v>
      </c>
      <c r="M169" s="408">
        <v>13.4</v>
      </c>
      <c r="N169" s="408">
        <v>7.2</v>
      </c>
      <c r="O169" s="408">
        <v>16</v>
      </c>
      <c r="P169" s="408">
        <v>1.7</v>
      </c>
      <c r="Q169" s="408">
        <v>1.1000000000000001</v>
      </c>
      <c r="R169" s="408">
        <v>17.5</v>
      </c>
      <c r="S169" s="408">
        <v>9.9</v>
      </c>
      <c r="T169" s="408">
        <v>0.5</v>
      </c>
      <c r="U169" s="408">
        <v>0.3</v>
      </c>
      <c r="V169" s="408">
        <v>0.8</v>
      </c>
      <c r="W169" s="408">
        <v>7.0000000000000007E-2</v>
      </c>
      <c r="X169" s="408">
        <v>-1.3</v>
      </c>
      <c r="Y169" s="408">
        <v>-0.4</v>
      </c>
      <c r="Z169" s="408">
        <v>-1.7</v>
      </c>
      <c r="AA169" s="408">
        <v>0</v>
      </c>
    </row>
    <row r="170" spans="1:27">
      <c r="A170">
        <v>140</v>
      </c>
      <c r="B170" s="1" t="s">
        <v>451</v>
      </c>
      <c r="C170" s="5" t="s">
        <v>20</v>
      </c>
      <c r="D170" s="408">
        <v>23</v>
      </c>
      <c r="E170" s="5" t="s">
        <v>43</v>
      </c>
      <c r="F170" s="408">
        <v>52</v>
      </c>
      <c r="G170" s="408">
        <v>1525</v>
      </c>
      <c r="H170" s="408">
        <v>14.5</v>
      </c>
      <c r="I170" s="408">
        <v>0.48799999999999999</v>
      </c>
      <c r="J170" s="408">
        <v>0.20100000000000001</v>
      </c>
      <c r="K170" s="408">
        <v>0.17299999999999999</v>
      </c>
      <c r="L170" s="408">
        <v>1.6</v>
      </c>
      <c r="M170" s="408">
        <v>14.3</v>
      </c>
      <c r="N170" s="408">
        <v>7.8</v>
      </c>
      <c r="O170" s="408">
        <v>33.1</v>
      </c>
      <c r="P170" s="408">
        <v>3.3</v>
      </c>
      <c r="Q170" s="408">
        <v>1.6</v>
      </c>
      <c r="R170" s="408">
        <v>17.3</v>
      </c>
      <c r="S170" s="408">
        <v>24.8</v>
      </c>
      <c r="T170" s="408">
        <v>-1.1000000000000001</v>
      </c>
      <c r="U170" s="408">
        <v>2</v>
      </c>
      <c r="V170" s="408">
        <v>0.9</v>
      </c>
      <c r="W170" s="408">
        <v>2.9000000000000001E-2</v>
      </c>
      <c r="X170" s="408">
        <v>-1.5</v>
      </c>
      <c r="Y170" s="408">
        <v>1.5</v>
      </c>
      <c r="Z170" s="408">
        <v>0</v>
      </c>
      <c r="AA170" s="408">
        <v>0.8</v>
      </c>
    </row>
    <row r="171" spans="1:27">
      <c r="A171">
        <v>141</v>
      </c>
      <c r="B171" s="1" t="s">
        <v>326</v>
      </c>
      <c r="C171" s="5" t="s">
        <v>38</v>
      </c>
      <c r="D171" s="408">
        <v>29</v>
      </c>
      <c r="E171" s="5" t="s">
        <v>73</v>
      </c>
      <c r="F171" s="408">
        <v>60</v>
      </c>
      <c r="G171" s="408">
        <v>2079</v>
      </c>
      <c r="H171" s="408">
        <v>25.9</v>
      </c>
      <c r="I171" s="408">
        <v>0.64500000000000002</v>
      </c>
      <c r="J171" s="408">
        <v>0.33800000000000002</v>
      </c>
      <c r="K171" s="408">
        <v>0.32700000000000001</v>
      </c>
      <c r="L171" s="408">
        <v>1.8</v>
      </c>
      <c r="M171" s="408">
        <v>18.8</v>
      </c>
      <c r="N171" s="408">
        <v>11</v>
      </c>
      <c r="O171" s="408">
        <v>24.7</v>
      </c>
      <c r="P171" s="408">
        <v>1</v>
      </c>
      <c r="Q171" s="408">
        <v>4.3</v>
      </c>
      <c r="R171" s="408">
        <v>13.1</v>
      </c>
      <c r="S171" s="408">
        <v>29.9</v>
      </c>
      <c r="T171" s="408">
        <v>6.7</v>
      </c>
      <c r="U171" s="408">
        <v>2.8</v>
      </c>
      <c r="V171" s="408">
        <v>9.5</v>
      </c>
      <c r="W171" s="408">
        <v>0.219</v>
      </c>
      <c r="X171" s="408">
        <v>4.9000000000000004</v>
      </c>
      <c r="Y171" s="408">
        <v>0.9</v>
      </c>
      <c r="Z171" s="408">
        <v>5.7</v>
      </c>
      <c r="AA171" s="408">
        <v>4.0999999999999996</v>
      </c>
    </row>
    <row r="172" spans="1:27">
      <c r="A172">
        <v>142</v>
      </c>
      <c r="B172" s="1" t="s">
        <v>713</v>
      </c>
      <c r="C172" s="5" t="s">
        <v>46</v>
      </c>
      <c r="D172" s="408">
        <v>26</v>
      </c>
      <c r="E172" s="5" t="s">
        <v>357</v>
      </c>
      <c r="F172" s="408">
        <v>3</v>
      </c>
      <c r="G172" s="408">
        <v>9</v>
      </c>
      <c r="H172" s="408">
        <v>-1.9</v>
      </c>
      <c r="I172" s="408">
        <v>0</v>
      </c>
      <c r="J172" s="408">
        <v>1</v>
      </c>
      <c r="K172" s="408">
        <v>0</v>
      </c>
      <c r="L172" s="408">
        <v>0</v>
      </c>
      <c r="M172" s="408">
        <v>12</v>
      </c>
      <c r="N172" s="408">
        <v>6.1</v>
      </c>
      <c r="O172" s="408">
        <v>0</v>
      </c>
      <c r="P172" s="408">
        <v>5.5</v>
      </c>
      <c r="Q172" s="408">
        <v>0</v>
      </c>
      <c r="R172" s="408">
        <v>0</v>
      </c>
      <c r="S172" s="408">
        <v>9.8000000000000007</v>
      </c>
      <c r="T172" s="408">
        <v>0</v>
      </c>
      <c r="U172" s="408">
        <v>0</v>
      </c>
      <c r="V172" s="408">
        <v>0</v>
      </c>
      <c r="W172" s="408">
        <v>-0.14000000000000001</v>
      </c>
      <c r="X172" s="408">
        <v>-10.1</v>
      </c>
      <c r="Y172" s="408">
        <v>1.7</v>
      </c>
      <c r="Z172" s="408">
        <v>-8.4</v>
      </c>
      <c r="AA172" s="408">
        <v>0</v>
      </c>
    </row>
    <row r="173" spans="1:27">
      <c r="A173">
        <v>142</v>
      </c>
      <c r="B173" s="1" t="s">
        <v>713</v>
      </c>
      <c r="C173" s="5" t="s">
        <v>46</v>
      </c>
      <c r="D173" s="408">
        <v>26</v>
      </c>
      <c r="E173" s="5" t="s">
        <v>87</v>
      </c>
      <c r="F173" s="408">
        <v>2</v>
      </c>
      <c r="G173" s="408">
        <v>6</v>
      </c>
      <c r="H173" s="408">
        <v>4</v>
      </c>
      <c r="I173" s="408">
        <v>0</v>
      </c>
      <c r="J173" s="408">
        <v>1</v>
      </c>
      <c r="K173" s="408">
        <v>0</v>
      </c>
      <c r="L173" s="408">
        <v>0</v>
      </c>
      <c r="M173" s="408">
        <v>17.899999999999999</v>
      </c>
      <c r="N173" s="408">
        <v>9.1</v>
      </c>
      <c r="O173" s="408">
        <v>0</v>
      </c>
      <c r="P173" s="408">
        <v>8.3000000000000007</v>
      </c>
      <c r="Q173" s="408">
        <v>0</v>
      </c>
      <c r="R173" s="408">
        <v>0</v>
      </c>
      <c r="S173" s="408">
        <v>7.4</v>
      </c>
      <c r="T173" s="408">
        <v>0</v>
      </c>
      <c r="U173" s="408">
        <v>0</v>
      </c>
      <c r="V173" s="408">
        <v>0</v>
      </c>
      <c r="W173" s="408">
        <v>-2.5000000000000001E-2</v>
      </c>
      <c r="X173" s="408">
        <v>-8.6</v>
      </c>
      <c r="Y173" s="408">
        <v>5.2</v>
      </c>
      <c r="Z173" s="408">
        <v>-3.4</v>
      </c>
      <c r="AA173" s="408">
        <v>0</v>
      </c>
    </row>
    <row r="174" spans="1:27">
      <c r="A174">
        <v>142</v>
      </c>
      <c r="B174" s="1" t="s">
        <v>713</v>
      </c>
      <c r="C174" s="5" t="s">
        <v>46</v>
      </c>
      <c r="D174" s="408">
        <v>26</v>
      </c>
      <c r="E174" s="5" t="s">
        <v>43</v>
      </c>
      <c r="F174" s="408">
        <v>1</v>
      </c>
      <c r="G174" s="408">
        <v>3</v>
      </c>
      <c r="H174" s="408">
        <v>-13.6</v>
      </c>
      <c r="I174" s="408">
        <v>0</v>
      </c>
      <c r="J174" s="408">
        <v>1</v>
      </c>
      <c r="K174" s="408">
        <v>0</v>
      </c>
      <c r="L174" s="408">
        <v>0</v>
      </c>
      <c r="M174" s="408">
        <v>0</v>
      </c>
      <c r="N174" s="408">
        <v>0</v>
      </c>
      <c r="O174" s="408">
        <v>0</v>
      </c>
      <c r="P174" s="408">
        <v>0</v>
      </c>
      <c r="Q174" s="408">
        <v>0</v>
      </c>
      <c r="R174" s="408">
        <v>0</v>
      </c>
      <c r="S174" s="408">
        <v>14.6</v>
      </c>
      <c r="T174" s="408">
        <v>0</v>
      </c>
      <c r="U174" s="408">
        <v>0</v>
      </c>
      <c r="V174" s="408">
        <v>0</v>
      </c>
      <c r="W174" s="408">
        <v>-0.372</v>
      </c>
      <c r="X174" s="408">
        <v>-13</v>
      </c>
      <c r="Y174" s="408">
        <v>-5.2</v>
      </c>
      <c r="Z174" s="408">
        <v>-18.2</v>
      </c>
      <c r="AA174" s="408">
        <v>0</v>
      </c>
    </row>
    <row r="175" spans="1:27">
      <c r="A175">
        <v>143</v>
      </c>
      <c r="B175" s="1" t="s">
        <v>614</v>
      </c>
      <c r="C175" s="5" t="s">
        <v>38</v>
      </c>
      <c r="D175" s="408">
        <v>21</v>
      </c>
      <c r="E175" s="5" t="s">
        <v>157</v>
      </c>
      <c r="F175" s="408">
        <v>28</v>
      </c>
      <c r="G175" s="408">
        <v>174</v>
      </c>
      <c r="H175" s="408">
        <v>5.5</v>
      </c>
      <c r="I175" s="408">
        <v>0.38900000000000001</v>
      </c>
      <c r="J175" s="408">
        <v>0.39800000000000002</v>
      </c>
      <c r="K175" s="408">
        <v>0.12</v>
      </c>
      <c r="L175" s="408">
        <v>4.3</v>
      </c>
      <c r="M175" s="408">
        <v>26.3</v>
      </c>
      <c r="N175" s="408">
        <v>15</v>
      </c>
      <c r="O175" s="408">
        <v>9.6999999999999993</v>
      </c>
      <c r="P175" s="408">
        <v>0.9</v>
      </c>
      <c r="Q175" s="408">
        <v>0</v>
      </c>
      <c r="R175" s="408">
        <v>12.1</v>
      </c>
      <c r="S175" s="408">
        <v>25.3</v>
      </c>
      <c r="T175" s="408">
        <v>-0.5</v>
      </c>
      <c r="U175" s="408">
        <v>0.2</v>
      </c>
      <c r="V175" s="408">
        <v>-0.3</v>
      </c>
      <c r="W175" s="408">
        <v>-0.09</v>
      </c>
      <c r="X175" s="408">
        <v>-7.6</v>
      </c>
      <c r="Y175" s="408">
        <v>-2.5</v>
      </c>
      <c r="Z175" s="408">
        <v>-10.199999999999999</v>
      </c>
      <c r="AA175" s="408">
        <v>-0.4</v>
      </c>
    </row>
    <row r="176" spans="1:27">
      <c r="A176">
        <v>144</v>
      </c>
      <c r="B176" s="1" t="s">
        <v>207</v>
      </c>
      <c r="C176" s="5" t="s">
        <v>26</v>
      </c>
      <c r="D176" s="408">
        <v>30</v>
      </c>
      <c r="E176" s="5" t="s">
        <v>50</v>
      </c>
      <c r="F176" s="408">
        <v>66</v>
      </c>
      <c r="G176" s="408">
        <v>1766</v>
      </c>
      <c r="H176" s="408">
        <v>12.4</v>
      </c>
      <c r="I176" s="408">
        <v>0.58399999999999996</v>
      </c>
      <c r="J176" s="408">
        <v>0.83199999999999996</v>
      </c>
      <c r="K176" s="408">
        <v>0.11700000000000001</v>
      </c>
      <c r="L176" s="408">
        <v>1.2</v>
      </c>
      <c r="M176" s="408">
        <v>11.3</v>
      </c>
      <c r="N176" s="408">
        <v>6.2</v>
      </c>
      <c r="O176" s="408">
        <v>6.3</v>
      </c>
      <c r="P176" s="408">
        <v>1.2</v>
      </c>
      <c r="Q176" s="408">
        <v>0.3</v>
      </c>
      <c r="R176" s="408">
        <v>6.7</v>
      </c>
      <c r="S176" s="408">
        <v>17.399999999999999</v>
      </c>
      <c r="T176" s="408">
        <v>2.2000000000000002</v>
      </c>
      <c r="U176" s="408">
        <v>1.5</v>
      </c>
      <c r="V176" s="408">
        <v>3.7</v>
      </c>
      <c r="W176" s="408">
        <v>0.10100000000000001</v>
      </c>
      <c r="X176" s="408">
        <v>1.7</v>
      </c>
      <c r="Y176" s="408">
        <v>-1.9</v>
      </c>
      <c r="Z176" s="408">
        <v>-0.2</v>
      </c>
      <c r="AA176" s="408">
        <v>0.8</v>
      </c>
    </row>
    <row r="177" spans="1:27">
      <c r="A177">
        <v>145</v>
      </c>
      <c r="B177" s="1" t="s">
        <v>424</v>
      </c>
      <c r="C177" s="5" t="s">
        <v>83</v>
      </c>
      <c r="D177" s="408">
        <v>23</v>
      </c>
      <c r="E177" s="5" t="s">
        <v>118</v>
      </c>
      <c r="F177" s="408">
        <v>58</v>
      </c>
      <c r="G177" s="408">
        <v>1813</v>
      </c>
      <c r="H177" s="408">
        <v>23</v>
      </c>
      <c r="I177" s="408">
        <v>0.57199999999999995</v>
      </c>
      <c r="J177" s="408">
        <v>0.20200000000000001</v>
      </c>
      <c r="K177" s="408">
        <v>0.435</v>
      </c>
      <c r="L177" s="408">
        <v>8.5</v>
      </c>
      <c r="M177" s="408">
        <v>29.9</v>
      </c>
      <c r="N177" s="408">
        <v>19.5</v>
      </c>
      <c r="O177" s="408">
        <v>18.600000000000001</v>
      </c>
      <c r="P177" s="408">
        <v>1</v>
      </c>
      <c r="Q177" s="408">
        <v>4.8</v>
      </c>
      <c r="R177" s="408">
        <v>15.9</v>
      </c>
      <c r="S177" s="408">
        <v>33.700000000000003</v>
      </c>
      <c r="T177" s="408">
        <v>2.1</v>
      </c>
      <c r="U177" s="408">
        <v>3.4</v>
      </c>
      <c r="V177" s="408">
        <v>5.6</v>
      </c>
      <c r="W177" s="408">
        <v>0.14799999999999999</v>
      </c>
      <c r="X177" s="408">
        <v>0.3</v>
      </c>
      <c r="Y177" s="408">
        <v>2.4</v>
      </c>
      <c r="Z177" s="408">
        <v>2.7</v>
      </c>
      <c r="AA177" s="408">
        <v>2.1</v>
      </c>
    </row>
    <row r="178" spans="1:27">
      <c r="A178">
        <v>146</v>
      </c>
      <c r="B178" s="1" t="s">
        <v>163</v>
      </c>
      <c r="C178" s="5" t="s">
        <v>46</v>
      </c>
      <c r="D178" s="408">
        <v>27</v>
      </c>
      <c r="E178" s="5" t="s">
        <v>357</v>
      </c>
      <c r="F178" s="408">
        <v>61</v>
      </c>
      <c r="G178" s="408">
        <v>1414</v>
      </c>
      <c r="H178" s="408">
        <v>11.9</v>
      </c>
      <c r="I178" s="408">
        <v>0.59899999999999998</v>
      </c>
      <c r="J178" s="408">
        <v>0.38900000000000001</v>
      </c>
      <c r="K178" s="408">
        <v>0.33300000000000002</v>
      </c>
      <c r="L178" s="408">
        <v>5.4</v>
      </c>
      <c r="M178" s="408">
        <v>11.3</v>
      </c>
      <c r="N178" s="408">
        <v>8.3000000000000007</v>
      </c>
      <c r="O178" s="408">
        <v>6.9</v>
      </c>
      <c r="P178" s="408">
        <v>1.5</v>
      </c>
      <c r="Q178" s="408">
        <v>1.1000000000000001</v>
      </c>
      <c r="R178" s="408">
        <v>11.7</v>
      </c>
      <c r="S178" s="408">
        <v>13.2</v>
      </c>
      <c r="T178" s="408">
        <v>2</v>
      </c>
      <c r="U178" s="408">
        <v>1</v>
      </c>
      <c r="V178" s="408">
        <v>3</v>
      </c>
      <c r="W178" s="408">
        <v>0.10199999999999999</v>
      </c>
      <c r="X178" s="408">
        <v>-0.5</v>
      </c>
      <c r="Y178" s="408">
        <v>-0.2</v>
      </c>
      <c r="Z178" s="408">
        <v>-0.7</v>
      </c>
      <c r="AA178" s="408">
        <v>0.5</v>
      </c>
    </row>
    <row r="179" spans="1:27">
      <c r="A179">
        <v>146</v>
      </c>
      <c r="B179" s="1" t="s">
        <v>163</v>
      </c>
      <c r="C179" s="5" t="s">
        <v>46</v>
      </c>
      <c r="D179" s="408">
        <v>27</v>
      </c>
      <c r="E179" s="5" t="s">
        <v>128</v>
      </c>
      <c r="F179" s="408">
        <v>45</v>
      </c>
      <c r="G179" s="408">
        <v>1053</v>
      </c>
      <c r="H179" s="408">
        <v>11.9</v>
      </c>
      <c r="I179" s="408">
        <v>0.61</v>
      </c>
      <c r="J179" s="408">
        <v>0.378</v>
      </c>
      <c r="K179" s="408">
        <v>0.32900000000000001</v>
      </c>
      <c r="L179" s="408">
        <v>5.7</v>
      </c>
      <c r="M179" s="408">
        <v>11.7</v>
      </c>
      <c r="N179" s="408">
        <v>8.6</v>
      </c>
      <c r="O179" s="408">
        <v>7.1</v>
      </c>
      <c r="P179" s="408">
        <v>1.5</v>
      </c>
      <c r="Q179" s="408">
        <v>1.1000000000000001</v>
      </c>
      <c r="R179" s="408">
        <v>13</v>
      </c>
      <c r="S179" s="408">
        <v>12.5</v>
      </c>
      <c r="T179" s="408">
        <v>1.5</v>
      </c>
      <c r="U179" s="408">
        <v>0.7</v>
      </c>
      <c r="V179" s="408">
        <v>2.2000000000000002</v>
      </c>
      <c r="W179" s="408">
        <v>9.8000000000000004E-2</v>
      </c>
      <c r="X179" s="408">
        <v>-0.4</v>
      </c>
      <c r="Y179" s="408">
        <v>-0.2</v>
      </c>
      <c r="Z179" s="408">
        <v>-0.6</v>
      </c>
      <c r="AA179" s="408">
        <v>0.4</v>
      </c>
    </row>
    <row r="180" spans="1:27">
      <c r="A180">
        <v>146</v>
      </c>
      <c r="B180" s="1" t="s">
        <v>163</v>
      </c>
      <c r="C180" s="5" t="s">
        <v>46</v>
      </c>
      <c r="D180" s="408">
        <v>27</v>
      </c>
      <c r="E180" s="5" t="s">
        <v>157</v>
      </c>
      <c r="F180" s="408">
        <v>16</v>
      </c>
      <c r="G180" s="408">
        <v>361</v>
      </c>
      <c r="H180" s="408">
        <v>11.9</v>
      </c>
      <c r="I180" s="408">
        <v>0.57499999999999996</v>
      </c>
      <c r="J180" s="408">
        <v>0.41399999999999998</v>
      </c>
      <c r="K180" s="408">
        <v>0.34300000000000003</v>
      </c>
      <c r="L180" s="408">
        <v>4.5</v>
      </c>
      <c r="M180" s="408">
        <v>10.1</v>
      </c>
      <c r="N180" s="408">
        <v>7.2</v>
      </c>
      <c r="O180" s="408">
        <v>6.1</v>
      </c>
      <c r="P180" s="408">
        <v>1.5</v>
      </c>
      <c r="Q180" s="408">
        <v>1.2</v>
      </c>
      <c r="R180" s="408">
        <v>8.8000000000000007</v>
      </c>
      <c r="S180" s="408">
        <v>15.3</v>
      </c>
      <c r="T180" s="408">
        <v>0.5</v>
      </c>
      <c r="U180" s="408">
        <v>0.3</v>
      </c>
      <c r="V180" s="408">
        <v>0.8</v>
      </c>
      <c r="W180" s="408">
        <v>0.111</v>
      </c>
      <c r="X180" s="408">
        <v>-0.5</v>
      </c>
      <c r="Y180" s="408">
        <v>-0.3</v>
      </c>
      <c r="Z180" s="408">
        <v>-0.8</v>
      </c>
      <c r="AA180" s="408">
        <v>0.1</v>
      </c>
    </row>
    <row r="181" spans="1:27">
      <c r="A181">
        <v>147</v>
      </c>
      <c r="B181" s="1" t="s">
        <v>538</v>
      </c>
      <c r="C181" s="5" t="s">
        <v>20</v>
      </c>
      <c r="D181" s="408">
        <v>23</v>
      </c>
      <c r="E181" s="5" t="s">
        <v>78</v>
      </c>
      <c r="F181" s="408">
        <v>43</v>
      </c>
      <c r="G181" s="408">
        <v>452</v>
      </c>
      <c r="H181" s="408">
        <v>9.1999999999999993</v>
      </c>
      <c r="I181" s="408">
        <v>0.45</v>
      </c>
      <c r="J181" s="408">
        <v>0.26600000000000001</v>
      </c>
      <c r="K181" s="408">
        <v>0.14399999999999999</v>
      </c>
      <c r="L181" s="408">
        <v>2.6</v>
      </c>
      <c r="M181" s="408">
        <v>11.8</v>
      </c>
      <c r="N181" s="408">
        <v>7.2</v>
      </c>
      <c r="O181" s="408">
        <v>19.8</v>
      </c>
      <c r="P181" s="408">
        <v>1.8</v>
      </c>
      <c r="Q181" s="408">
        <v>1.1000000000000001</v>
      </c>
      <c r="R181" s="408">
        <v>12.4</v>
      </c>
      <c r="S181" s="408">
        <v>15.7</v>
      </c>
      <c r="T181" s="408">
        <v>0</v>
      </c>
      <c r="U181" s="408">
        <v>0.5</v>
      </c>
      <c r="V181" s="408">
        <v>0.4</v>
      </c>
      <c r="W181" s="408">
        <v>4.4999999999999998E-2</v>
      </c>
      <c r="X181" s="408">
        <v>-3.6</v>
      </c>
      <c r="Y181" s="408">
        <v>-0.4</v>
      </c>
      <c r="Z181" s="408">
        <v>-3.9</v>
      </c>
      <c r="AA181" s="408">
        <v>-0.2</v>
      </c>
    </row>
    <row r="182" spans="1:27">
      <c r="A182">
        <v>148</v>
      </c>
      <c r="B182" s="1" t="s">
        <v>518</v>
      </c>
      <c r="C182" s="5" t="s">
        <v>20</v>
      </c>
      <c r="D182" s="408">
        <v>21</v>
      </c>
      <c r="E182" s="5" t="s">
        <v>64</v>
      </c>
      <c r="F182" s="408">
        <v>44</v>
      </c>
      <c r="G182" s="408">
        <v>764</v>
      </c>
      <c r="H182" s="408">
        <v>7.4</v>
      </c>
      <c r="I182" s="408">
        <v>0.42199999999999999</v>
      </c>
      <c r="J182" s="408">
        <v>0.214</v>
      </c>
      <c r="K182" s="408">
        <v>0.187</v>
      </c>
      <c r="L182" s="408">
        <v>1.3</v>
      </c>
      <c r="M182" s="408">
        <v>10.5</v>
      </c>
      <c r="N182" s="408">
        <v>6</v>
      </c>
      <c r="O182" s="408">
        <v>17.899999999999999</v>
      </c>
      <c r="P182" s="408">
        <v>2.2000000000000002</v>
      </c>
      <c r="Q182" s="408">
        <v>0.7</v>
      </c>
      <c r="R182" s="408">
        <v>13.3</v>
      </c>
      <c r="S182" s="408">
        <v>17.8</v>
      </c>
      <c r="T182" s="408">
        <v>-0.8</v>
      </c>
      <c r="U182" s="408">
        <v>0.7</v>
      </c>
      <c r="V182" s="408">
        <v>-0.1</v>
      </c>
      <c r="W182" s="408">
        <v>-5.0000000000000001E-3</v>
      </c>
      <c r="X182" s="408">
        <v>-4.2</v>
      </c>
      <c r="Y182" s="408">
        <v>-0.3</v>
      </c>
      <c r="Z182" s="408">
        <v>-4.5</v>
      </c>
      <c r="AA182" s="408">
        <v>-0.5</v>
      </c>
    </row>
    <row r="183" spans="1:27">
      <c r="A183">
        <v>149</v>
      </c>
      <c r="B183" s="1" t="s">
        <v>243</v>
      </c>
      <c r="C183" s="5" t="s">
        <v>20</v>
      </c>
      <c r="D183" s="408">
        <v>28</v>
      </c>
      <c r="E183" s="5" t="s">
        <v>128</v>
      </c>
      <c r="F183" s="408">
        <v>51</v>
      </c>
      <c r="G183" s="408">
        <v>1588</v>
      </c>
      <c r="H183" s="408">
        <v>21.1</v>
      </c>
      <c r="I183" s="408">
        <v>0.56000000000000005</v>
      </c>
      <c r="J183" s="408">
        <v>0.35599999999999998</v>
      </c>
      <c r="K183" s="408">
        <v>0.25700000000000001</v>
      </c>
      <c r="L183" s="408">
        <v>3.1</v>
      </c>
      <c r="M183" s="408">
        <v>16</v>
      </c>
      <c r="N183" s="408">
        <v>9.4</v>
      </c>
      <c r="O183" s="408">
        <v>31.4</v>
      </c>
      <c r="P183" s="408">
        <v>1.8</v>
      </c>
      <c r="Q183" s="408">
        <v>0.9</v>
      </c>
      <c r="R183" s="408">
        <v>11.1</v>
      </c>
      <c r="S183" s="408">
        <v>28.4</v>
      </c>
      <c r="T183" s="408">
        <v>3.1</v>
      </c>
      <c r="U183" s="408">
        <v>1.3</v>
      </c>
      <c r="V183" s="408">
        <v>4.4000000000000004</v>
      </c>
      <c r="W183" s="408">
        <v>0.13400000000000001</v>
      </c>
      <c r="X183" s="408">
        <v>4.5</v>
      </c>
      <c r="Y183" s="408">
        <v>-0.8</v>
      </c>
      <c r="Z183" s="408">
        <v>3.7</v>
      </c>
      <c r="AA183" s="408">
        <v>2.2999999999999998</v>
      </c>
    </row>
    <row r="184" spans="1:27">
      <c r="A184">
        <v>150</v>
      </c>
      <c r="B184" s="1" t="s">
        <v>37</v>
      </c>
      <c r="C184" s="5" t="s">
        <v>20</v>
      </c>
      <c r="D184" s="408">
        <v>22</v>
      </c>
      <c r="E184" s="5" t="s">
        <v>305</v>
      </c>
      <c r="F184" s="408">
        <v>2</v>
      </c>
      <c r="G184" s="408">
        <v>27</v>
      </c>
      <c r="H184" s="408">
        <v>10.1</v>
      </c>
      <c r="I184" s="408">
        <v>0.44</v>
      </c>
      <c r="J184" s="408">
        <v>0.182</v>
      </c>
      <c r="K184" s="408">
        <v>0.54500000000000004</v>
      </c>
      <c r="L184" s="408">
        <v>4.2</v>
      </c>
      <c r="M184" s="408">
        <v>12.5</v>
      </c>
      <c r="N184" s="408">
        <v>8.4</v>
      </c>
      <c r="O184" s="408">
        <v>23.3</v>
      </c>
      <c r="P184" s="408">
        <v>1.9</v>
      </c>
      <c r="Q184" s="408">
        <v>0</v>
      </c>
      <c r="R184" s="408">
        <v>18</v>
      </c>
      <c r="S184" s="408">
        <v>27.8</v>
      </c>
      <c r="T184" s="408">
        <v>-0.1</v>
      </c>
      <c r="U184" s="408">
        <v>0</v>
      </c>
      <c r="V184" s="408">
        <v>0</v>
      </c>
      <c r="W184" s="408">
        <v>-3.5999999999999997E-2</v>
      </c>
      <c r="X184" s="408">
        <v>-5.8</v>
      </c>
      <c r="Y184" s="408">
        <v>-1.1000000000000001</v>
      </c>
      <c r="Z184" s="408">
        <v>-6.9</v>
      </c>
      <c r="AA184" s="408">
        <v>0</v>
      </c>
    </row>
    <row r="185" spans="1:27">
      <c r="A185">
        <v>151</v>
      </c>
      <c r="B185" s="1" t="s">
        <v>585</v>
      </c>
      <c r="C185" s="5" t="s">
        <v>38</v>
      </c>
      <c r="D185" s="408">
        <v>28</v>
      </c>
      <c r="E185" s="5" t="s">
        <v>61</v>
      </c>
      <c r="F185" s="408">
        <v>32</v>
      </c>
      <c r="G185" s="408">
        <v>461</v>
      </c>
      <c r="H185" s="408">
        <v>17.399999999999999</v>
      </c>
      <c r="I185" s="408">
        <v>0.55200000000000005</v>
      </c>
      <c r="J185" s="408">
        <v>7.0000000000000001E-3</v>
      </c>
      <c r="K185" s="408">
        <v>0.34499999999999997</v>
      </c>
      <c r="L185" s="408">
        <v>16.600000000000001</v>
      </c>
      <c r="M185" s="408">
        <v>20.9</v>
      </c>
      <c r="N185" s="408">
        <v>18.7</v>
      </c>
      <c r="O185" s="408">
        <v>5.8</v>
      </c>
      <c r="P185" s="408">
        <v>1.3</v>
      </c>
      <c r="Q185" s="408">
        <v>2.4</v>
      </c>
      <c r="R185" s="408">
        <v>11.9</v>
      </c>
      <c r="S185" s="408">
        <v>18.2</v>
      </c>
      <c r="T185" s="408">
        <v>0.9</v>
      </c>
      <c r="U185" s="408">
        <v>0.4</v>
      </c>
      <c r="V185" s="408">
        <v>1.3</v>
      </c>
      <c r="W185" s="408">
        <v>0.13100000000000001</v>
      </c>
      <c r="X185" s="408">
        <v>-1.1000000000000001</v>
      </c>
      <c r="Y185" s="408">
        <v>-1.1000000000000001</v>
      </c>
      <c r="Z185" s="408">
        <v>-2.2999999999999998</v>
      </c>
      <c r="AA185" s="408">
        <v>0</v>
      </c>
    </row>
    <row r="186" spans="1:27">
      <c r="A186">
        <v>152</v>
      </c>
      <c r="B186" s="1" t="s">
        <v>217</v>
      </c>
      <c r="C186" s="5" t="s">
        <v>83</v>
      </c>
      <c r="D186" s="408">
        <v>26</v>
      </c>
      <c r="E186" s="5" t="s">
        <v>305</v>
      </c>
      <c r="F186" s="408">
        <v>66</v>
      </c>
      <c r="G186" s="408">
        <v>1838</v>
      </c>
      <c r="H186" s="408">
        <v>18.5</v>
      </c>
      <c r="I186" s="408">
        <v>0.58799999999999997</v>
      </c>
      <c r="J186" s="408">
        <v>7.3999999999999996E-2</v>
      </c>
      <c r="K186" s="408">
        <v>0.31</v>
      </c>
      <c r="L186" s="408">
        <v>10.5</v>
      </c>
      <c r="M186" s="408">
        <v>18.899999999999999</v>
      </c>
      <c r="N186" s="408">
        <v>14.7</v>
      </c>
      <c r="O186" s="408">
        <v>7.9</v>
      </c>
      <c r="P186" s="408">
        <v>1.4</v>
      </c>
      <c r="Q186" s="408">
        <v>3.1</v>
      </c>
      <c r="R186" s="408">
        <v>10.7</v>
      </c>
      <c r="S186" s="408">
        <v>18.5</v>
      </c>
      <c r="T186" s="408">
        <v>3.5</v>
      </c>
      <c r="U186" s="408">
        <v>3</v>
      </c>
      <c r="V186" s="408">
        <v>6.5</v>
      </c>
      <c r="W186" s="408">
        <v>0.17100000000000001</v>
      </c>
      <c r="X186" s="408">
        <v>0</v>
      </c>
      <c r="Y186" s="408">
        <v>2.2999999999999998</v>
      </c>
      <c r="Z186" s="408">
        <v>2.2999999999999998</v>
      </c>
      <c r="AA186" s="408">
        <v>2</v>
      </c>
    </row>
    <row r="187" spans="1:27">
      <c r="A187">
        <v>153</v>
      </c>
      <c r="B187" s="1" t="s">
        <v>320</v>
      </c>
      <c r="C187" s="5" t="s">
        <v>20</v>
      </c>
      <c r="D187" s="408">
        <v>22</v>
      </c>
      <c r="E187" s="5" t="s">
        <v>357</v>
      </c>
      <c r="F187" s="408">
        <v>15</v>
      </c>
      <c r="G187" s="408">
        <v>137</v>
      </c>
      <c r="H187" s="408">
        <v>2.9</v>
      </c>
      <c r="I187" s="408">
        <v>0.375</v>
      </c>
      <c r="J187" s="408">
        <v>0.27900000000000003</v>
      </c>
      <c r="K187" s="408">
        <v>0.17599999999999999</v>
      </c>
      <c r="L187" s="408">
        <v>1.5</v>
      </c>
      <c r="M187" s="408">
        <v>10.5</v>
      </c>
      <c r="N187" s="408">
        <v>5.9</v>
      </c>
      <c r="O187" s="408">
        <v>22.4</v>
      </c>
      <c r="P187" s="408">
        <v>1.1000000000000001</v>
      </c>
      <c r="Q187" s="408">
        <v>0.6</v>
      </c>
      <c r="R187" s="408">
        <v>17.899999999999999</v>
      </c>
      <c r="S187" s="408">
        <v>28.5</v>
      </c>
      <c r="T187" s="408">
        <v>-0.6</v>
      </c>
      <c r="U187" s="408">
        <v>0.1</v>
      </c>
      <c r="V187" s="408">
        <v>-0.5</v>
      </c>
      <c r="W187" s="408">
        <v>-0.185</v>
      </c>
      <c r="X187" s="408">
        <v>-8.6999999999999993</v>
      </c>
      <c r="Y187" s="408">
        <v>-3.4</v>
      </c>
      <c r="Z187" s="408">
        <v>-12.2</v>
      </c>
      <c r="AA187" s="408">
        <v>-0.4</v>
      </c>
    </row>
    <row r="188" spans="1:27">
      <c r="A188">
        <v>153</v>
      </c>
      <c r="B188" s="1" t="s">
        <v>320</v>
      </c>
      <c r="C188" s="5" t="s">
        <v>20</v>
      </c>
      <c r="D188" s="408">
        <v>22</v>
      </c>
      <c r="E188" s="5" t="s">
        <v>43</v>
      </c>
      <c r="F188" s="408">
        <v>14</v>
      </c>
      <c r="G188" s="408">
        <v>134</v>
      </c>
      <c r="H188" s="408">
        <v>3.6</v>
      </c>
      <c r="I188" s="408">
        <v>0.38600000000000001</v>
      </c>
      <c r="J188" s="408">
        <v>0.27300000000000002</v>
      </c>
      <c r="K188" s="408">
        <v>0.182</v>
      </c>
      <c r="L188" s="408">
        <v>0.8</v>
      </c>
      <c r="M188" s="408">
        <v>10.7</v>
      </c>
      <c r="N188" s="408">
        <v>5.6</v>
      </c>
      <c r="O188" s="408">
        <v>22.9</v>
      </c>
      <c r="P188" s="408">
        <v>1.1000000000000001</v>
      </c>
      <c r="Q188" s="408">
        <v>0.7</v>
      </c>
      <c r="R188" s="408">
        <v>17.399999999999999</v>
      </c>
      <c r="S188" s="408">
        <v>28.1</v>
      </c>
      <c r="T188" s="408">
        <v>-0.5</v>
      </c>
      <c r="U188" s="408">
        <v>0.1</v>
      </c>
      <c r="V188" s="408">
        <v>-0.5</v>
      </c>
      <c r="W188" s="408">
        <v>-0.16700000000000001</v>
      </c>
      <c r="X188" s="408">
        <v>-8.3000000000000007</v>
      </c>
      <c r="Y188" s="408">
        <v>-3.2</v>
      </c>
      <c r="Z188" s="408">
        <v>-11.5</v>
      </c>
      <c r="AA188" s="408">
        <v>-0.3</v>
      </c>
    </row>
    <row r="189" spans="1:27">
      <c r="A189">
        <v>153</v>
      </c>
      <c r="B189" s="1" t="s">
        <v>320</v>
      </c>
      <c r="C189" s="5" t="s">
        <v>20</v>
      </c>
      <c r="D189" s="408">
        <v>22</v>
      </c>
      <c r="E189" s="5" t="s">
        <v>157</v>
      </c>
      <c r="F189" s="408">
        <v>1</v>
      </c>
      <c r="G189" s="408">
        <v>3</v>
      </c>
      <c r="H189" s="408">
        <v>-31.6</v>
      </c>
      <c r="I189" s="408">
        <v>0</v>
      </c>
      <c r="J189" s="408">
        <v>0.5</v>
      </c>
      <c r="K189" s="408">
        <v>0</v>
      </c>
      <c r="L189" s="408">
        <v>36</v>
      </c>
      <c r="M189" s="408">
        <v>0</v>
      </c>
      <c r="N189" s="408">
        <v>18.5</v>
      </c>
      <c r="O189" s="408">
        <v>0</v>
      </c>
      <c r="P189" s="408">
        <v>0</v>
      </c>
      <c r="Q189" s="408">
        <v>0</v>
      </c>
      <c r="R189" s="408">
        <v>33.299999999999997</v>
      </c>
      <c r="S189" s="408">
        <v>44.3</v>
      </c>
      <c r="T189" s="408">
        <v>-0.1</v>
      </c>
      <c r="U189" s="408">
        <v>0</v>
      </c>
      <c r="V189" s="408">
        <v>-0.1</v>
      </c>
      <c r="W189" s="408">
        <v>-1.0129999999999999</v>
      </c>
      <c r="X189" s="408">
        <v>-29.5</v>
      </c>
      <c r="Y189" s="408">
        <v>-12</v>
      </c>
      <c r="Z189" s="408">
        <v>-41.5</v>
      </c>
      <c r="AA189" s="408">
        <v>0</v>
      </c>
    </row>
    <row r="190" spans="1:27">
      <c r="A190">
        <v>154</v>
      </c>
      <c r="B190" s="1" t="s">
        <v>605</v>
      </c>
      <c r="C190" s="5" t="s">
        <v>83</v>
      </c>
      <c r="D190" s="408">
        <v>25</v>
      </c>
      <c r="E190" s="5" t="s">
        <v>43</v>
      </c>
      <c r="F190" s="408">
        <v>44</v>
      </c>
      <c r="G190" s="408">
        <v>691</v>
      </c>
      <c r="H190" s="408">
        <v>11.4</v>
      </c>
      <c r="I190" s="408">
        <v>0.626</v>
      </c>
      <c r="J190" s="408">
        <v>7.0000000000000001E-3</v>
      </c>
      <c r="K190" s="408">
        <v>0.38900000000000001</v>
      </c>
      <c r="L190" s="408">
        <v>7.2</v>
      </c>
      <c r="M190" s="408">
        <v>15.1</v>
      </c>
      <c r="N190" s="408">
        <v>11</v>
      </c>
      <c r="O190" s="408">
        <v>8.6</v>
      </c>
      <c r="P190" s="408">
        <v>0.6</v>
      </c>
      <c r="Q190" s="408">
        <v>1.4</v>
      </c>
      <c r="R190" s="408">
        <v>17.600000000000001</v>
      </c>
      <c r="S190" s="408">
        <v>12.9</v>
      </c>
      <c r="T190" s="408">
        <v>0.8</v>
      </c>
      <c r="U190" s="408">
        <v>0.4</v>
      </c>
      <c r="V190" s="408">
        <v>1.2</v>
      </c>
      <c r="W190" s="408">
        <v>8.4000000000000005E-2</v>
      </c>
      <c r="X190" s="408">
        <v>-2.6</v>
      </c>
      <c r="Y190" s="408">
        <v>-0.1</v>
      </c>
      <c r="Z190" s="408">
        <v>-2.7</v>
      </c>
      <c r="AA190" s="408">
        <v>-0.1</v>
      </c>
    </row>
    <row r="191" spans="1:27">
      <c r="A191">
        <v>155</v>
      </c>
      <c r="B191" s="1" t="s">
        <v>166</v>
      </c>
      <c r="C191" s="5" t="s">
        <v>20</v>
      </c>
      <c r="D191" s="408">
        <v>33</v>
      </c>
      <c r="E191" s="5" t="s">
        <v>58</v>
      </c>
      <c r="F191" s="408">
        <v>72</v>
      </c>
      <c r="G191" s="408">
        <v>1216</v>
      </c>
      <c r="H191" s="408">
        <v>13.6</v>
      </c>
      <c r="I191" s="408">
        <v>0.501</v>
      </c>
      <c r="J191" s="408">
        <v>0.40899999999999997</v>
      </c>
      <c r="K191" s="408">
        <v>8.5999999999999993E-2</v>
      </c>
      <c r="L191" s="408">
        <v>2.2000000000000002</v>
      </c>
      <c r="M191" s="408">
        <v>11</v>
      </c>
      <c r="N191" s="408">
        <v>6.5</v>
      </c>
      <c r="O191" s="408">
        <v>23.6</v>
      </c>
      <c r="P191" s="408">
        <v>1.8</v>
      </c>
      <c r="Q191" s="408">
        <v>1</v>
      </c>
      <c r="R191" s="408">
        <v>11.9</v>
      </c>
      <c r="S191" s="408">
        <v>20.3</v>
      </c>
      <c r="T191" s="408">
        <v>1.1000000000000001</v>
      </c>
      <c r="U191" s="408">
        <v>1.2</v>
      </c>
      <c r="V191" s="408">
        <v>2.2000000000000002</v>
      </c>
      <c r="W191" s="408">
        <v>8.7999999999999995E-2</v>
      </c>
      <c r="X191" s="408">
        <v>-0.8</v>
      </c>
      <c r="Y191" s="408">
        <v>-1.7</v>
      </c>
      <c r="Z191" s="408">
        <v>-2.5</v>
      </c>
      <c r="AA191" s="408">
        <v>-0.2</v>
      </c>
    </row>
    <row r="192" spans="1:27">
      <c r="A192">
        <v>156</v>
      </c>
      <c r="B192" s="1" t="s">
        <v>499</v>
      </c>
      <c r="C192" s="5" t="s">
        <v>26</v>
      </c>
      <c r="D192" s="408">
        <v>19</v>
      </c>
      <c r="E192" s="5" t="s">
        <v>58</v>
      </c>
      <c r="F192" s="408">
        <v>54</v>
      </c>
      <c r="G192" s="408">
        <v>663</v>
      </c>
      <c r="H192" s="408">
        <v>7.4</v>
      </c>
      <c r="I192" s="408">
        <v>0.54100000000000004</v>
      </c>
      <c r="J192" s="408">
        <v>0.67300000000000004</v>
      </c>
      <c r="K192" s="408">
        <v>5.3999999999999999E-2</v>
      </c>
      <c r="L192" s="408">
        <v>2.9</v>
      </c>
      <c r="M192" s="408">
        <v>4</v>
      </c>
      <c r="N192" s="408">
        <v>3.5</v>
      </c>
      <c r="O192" s="408">
        <v>3.1</v>
      </c>
      <c r="P192" s="408">
        <v>1.7</v>
      </c>
      <c r="Q192" s="408">
        <v>1.4</v>
      </c>
      <c r="R192" s="408">
        <v>6.2</v>
      </c>
      <c r="S192" s="408">
        <v>10.4</v>
      </c>
      <c r="T192" s="408">
        <v>0.5</v>
      </c>
      <c r="U192" s="408">
        <v>0.5</v>
      </c>
      <c r="V192" s="408">
        <v>1.1000000000000001</v>
      </c>
      <c r="W192" s="408">
        <v>7.5999999999999998E-2</v>
      </c>
      <c r="X192" s="408">
        <v>-1.4</v>
      </c>
      <c r="Y192" s="408">
        <v>-1.1000000000000001</v>
      </c>
      <c r="Z192" s="408">
        <v>-2.4</v>
      </c>
      <c r="AA192" s="408">
        <v>-0.1</v>
      </c>
    </row>
    <row r="193" spans="1:27">
      <c r="A193">
        <v>157</v>
      </c>
      <c r="B193" s="1" t="s">
        <v>205</v>
      </c>
      <c r="C193" s="5" t="s">
        <v>26</v>
      </c>
      <c r="D193" s="408">
        <v>24</v>
      </c>
      <c r="E193" s="5" t="s">
        <v>33</v>
      </c>
      <c r="F193" s="408">
        <v>70</v>
      </c>
      <c r="G193" s="408">
        <v>2039</v>
      </c>
      <c r="H193" s="408">
        <v>10.7</v>
      </c>
      <c r="I193" s="408">
        <v>0.54600000000000004</v>
      </c>
      <c r="J193" s="408">
        <v>0.495</v>
      </c>
      <c r="K193" s="408">
        <v>0.14299999999999999</v>
      </c>
      <c r="L193" s="408">
        <v>1.4</v>
      </c>
      <c r="M193" s="408">
        <v>11.4</v>
      </c>
      <c r="N193" s="408">
        <v>6.2</v>
      </c>
      <c r="O193" s="408">
        <v>12.4</v>
      </c>
      <c r="P193" s="408">
        <v>1.3</v>
      </c>
      <c r="Q193" s="408">
        <v>0.3</v>
      </c>
      <c r="R193" s="408">
        <v>10</v>
      </c>
      <c r="S193" s="408">
        <v>16.100000000000001</v>
      </c>
      <c r="T193" s="408">
        <v>1.3</v>
      </c>
      <c r="U193" s="408">
        <v>1.4</v>
      </c>
      <c r="V193" s="408">
        <v>2.6</v>
      </c>
      <c r="W193" s="408">
        <v>6.2E-2</v>
      </c>
      <c r="X193" s="408">
        <v>-0.5</v>
      </c>
      <c r="Y193" s="408">
        <v>-0.4</v>
      </c>
      <c r="Z193" s="408">
        <v>-1</v>
      </c>
      <c r="AA193" s="408">
        <v>0.5</v>
      </c>
    </row>
    <row r="194" spans="1:27">
      <c r="A194">
        <v>158</v>
      </c>
      <c r="B194" s="1" t="s">
        <v>491</v>
      </c>
      <c r="C194" s="5" t="s">
        <v>38</v>
      </c>
      <c r="D194" s="408">
        <v>24</v>
      </c>
      <c r="E194" s="5" t="s">
        <v>33</v>
      </c>
      <c r="F194" s="408">
        <v>11</v>
      </c>
      <c r="G194" s="408">
        <v>156</v>
      </c>
      <c r="H194" s="408">
        <v>7.7</v>
      </c>
      <c r="I194" s="408">
        <v>0.53800000000000003</v>
      </c>
      <c r="J194" s="408">
        <v>0.6</v>
      </c>
      <c r="K194" s="408">
        <v>0.2</v>
      </c>
      <c r="L194" s="408">
        <v>7.6</v>
      </c>
      <c r="M194" s="408">
        <v>10.3</v>
      </c>
      <c r="N194" s="408">
        <v>9</v>
      </c>
      <c r="O194" s="408">
        <v>7.4</v>
      </c>
      <c r="P194" s="408">
        <v>0.6</v>
      </c>
      <c r="Q194" s="408">
        <v>1.2</v>
      </c>
      <c r="R194" s="408">
        <v>17.399999999999999</v>
      </c>
      <c r="S194" s="408">
        <v>13.4</v>
      </c>
      <c r="T194" s="408">
        <v>0.1</v>
      </c>
      <c r="U194" s="408">
        <v>0.1</v>
      </c>
      <c r="V194" s="408">
        <v>0.1</v>
      </c>
      <c r="W194" s="408">
        <v>4.2999999999999997E-2</v>
      </c>
      <c r="X194" s="408">
        <v>-2.1</v>
      </c>
      <c r="Y194" s="408">
        <v>-0.7</v>
      </c>
      <c r="Z194" s="408">
        <v>-2.8</v>
      </c>
      <c r="AA194" s="408">
        <v>0</v>
      </c>
    </row>
    <row r="195" spans="1:27">
      <c r="A195">
        <v>159</v>
      </c>
      <c r="B195" s="1" t="s">
        <v>174</v>
      </c>
      <c r="C195" s="5" t="s">
        <v>26</v>
      </c>
      <c r="D195" s="408">
        <v>24</v>
      </c>
      <c r="E195" s="5" t="s">
        <v>140</v>
      </c>
      <c r="F195" s="408">
        <v>70</v>
      </c>
      <c r="G195" s="408">
        <v>1358</v>
      </c>
      <c r="H195" s="408">
        <v>8.9</v>
      </c>
      <c r="I195" s="408">
        <v>0.52500000000000002</v>
      </c>
      <c r="J195" s="408">
        <v>0.47499999999999998</v>
      </c>
      <c r="K195" s="408">
        <v>0.13500000000000001</v>
      </c>
      <c r="L195" s="408">
        <v>0.9</v>
      </c>
      <c r="M195" s="408">
        <v>7.2</v>
      </c>
      <c r="N195" s="408">
        <v>4</v>
      </c>
      <c r="O195" s="408">
        <v>7.2</v>
      </c>
      <c r="P195" s="408">
        <v>1</v>
      </c>
      <c r="Q195" s="408">
        <v>0.1</v>
      </c>
      <c r="R195" s="408">
        <v>7</v>
      </c>
      <c r="S195" s="408">
        <v>16.899999999999999</v>
      </c>
      <c r="T195" s="408">
        <v>0.5</v>
      </c>
      <c r="U195" s="408">
        <v>1.3</v>
      </c>
      <c r="V195" s="408">
        <v>1.9</v>
      </c>
      <c r="W195" s="408">
        <v>6.5000000000000002E-2</v>
      </c>
      <c r="X195" s="408">
        <v>-1.3</v>
      </c>
      <c r="Y195" s="408">
        <v>-1.6</v>
      </c>
      <c r="Z195" s="408">
        <v>-3</v>
      </c>
      <c r="AA195" s="408">
        <v>-0.3</v>
      </c>
    </row>
    <row r="196" spans="1:27">
      <c r="A196">
        <v>160</v>
      </c>
      <c r="B196" s="1" t="s">
        <v>343</v>
      </c>
      <c r="C196" s="5" t="s">
        <v>46</v>
      </c>
      <c r="D196" s="408">
        <v>25</v>
      </c>
      <c r="E196" s="5" t="s">
        <v>75</v>
      </c>
      <c r="F196" s="408">
        <v>57</v>
      </c>
      <c r="G196" s="408">
        <v>1837</v>
      </c>
      <c r="H196" s="408">
        <v>15.6</v>
      </c>
      <c r="I196" s="408">
        <v>0.57699999999999996</v>
      </c>
      <c r="J196" s="408">
        <v>0.41799999999999998</v>
      </c>
      <c r="K196" s="408">
        <v>0.216</v>
      </c>
      <c r="L196" s="408">
        <v>1.4</v>
      </c>
      <c r="M196" s="408">
        <v>9.5</v>
      </c>
      <c r="N196" s="408">
        <v>5.5</v>
      </c>
      <c r="O196" s="408">
        <v>14.7</v>
      </c>
      <c r="P196" s="408">
        <v>1.3</v>
      </c>
      <c r="Q196" s="408">
        <v>0.7</v>
      </c>
      <c r="R196" s="408">
        <v>9.8000000000000007</v>
      </c>
      <c r="S196" s="408">
        <v>23.3</v>
      </c>
      <c r="T196" s="408">
        <v>2.5</v>
      </c>
      <c r="U196" s="408">
        <v>0.7</v>
      </c>
      <c r="V196" s="408">
        <v>3.2</v>
      </c>
      <c r="W196" s="408">
        <v>8.5000000000000006E-2</v>
      </c>
      <c r="X196" s="408">
        <v>1.7</v>
      </c>
      <c r="Y196" s="408">
        <v>-2.2000000000000002</v>
      </c>
      <c r="Z196" s="408">
        <v>-0.5</v>
      </c>
      <c r="AA196" s="408">
        <v>0.7</v>
      </c>
    </row>
    <row r="197" spans="1:27">
      <c r="A197">
        <v>161</v>
      </c>
      <c r="B197" s="1" t="s">
        <v>503</v>
      </c>
      <c r="C197" s="5" t="s">
        <v>20</v>
      </c>
      <c r="D197" s="408">
        <v>20</v>
      </c>
      <c r="E197" s="5" t="s">
        <v>100</v>
      </c>
      <c r="F197" s="408">
        <v>63</v>
      </c>
      <c r="G197" s="408">
        <v>1731</v>
      </c>
      <c r="H197" s="408">
        <v>11.4</v>
      </c>
      <c r="I197" s="408">
        <v>0.48599999999999999</v>
      </c>
      <c r="J197" s="408">
        <v>0.18099999999999999</v>
      </c>
      <c r="K197" s="408">
        <v>0.249</v>
      </c>
      <c r="L197" s="408">
        <v>1.7</v>
      </c>
      <c r="M197" s="408">
        <v>9.1999999999999993</v>
      </c>
      <c r="N197" s="408">
        <v>5.3</v>
      </c>
      <c r="O197" s="408">
        <v>24.2</v>
      </c>
      <c r="P197" s="408">
        <v>1.8</v>
      </c>
      <c r="Q197" s="408">
        <v>0.9</v>
      </c>
      <c r="R197" s="408">
        <v>16.7</v>
      </c>
      <c r="S197" s="408">
        <v>23.3</v>
      </c>
      <c r="T197" s="408">
        <v>-1.3</v>
      </c>
      <c r="U197" s="408">
        <v>0.7</v>
      </c>
      <c r="V197" s="408">
        <v>-0.6</v>
      </c>
      <c r="W197" s="408">
        <v>-1.6E-2</v>
      </c>
      <c r="X197" s="408">
        <v>-2.7</v>
      </c>
      <c r="Y197" s="408">
        <v>-1.8</v>
      </c>
      <c r="Z197" s="408">
        <v>-4.5999999999999996</v>
      </c>
      <c r="AA197" s="408">
        <v>-1.1000000000000001</v>
      </c>
    </row>
    <row r="198" spans="1:27">
      <c r="A198">
        <v>162</v>
      </c>
      <c r="B198" s="1" t="s">
        <v>81</v>
      </c>
      <c r="C198" s="5" t="s">
        <v>20</v>
      </c>
      <c r="D198" s="408">
        <v>27</v>
      </c>
      <c r="E198" s="5" t="s">
        <v>27</v>
      </c>
      <c r="F198" s="408">
        <v>52</v>
      </c>
      <c r="G198" s="408">
        <v>772</v>
      </c>
      <c r="H198" s="408">
        <v>11.5</v>
      </c>
      <c r="I198" s="408">
        <v>0.48699999999999999</v>
      </c>
      <c r="J198" s="408">
        <v>0.33300000000000002</v>
      </c>
      <c r="K198" s="408">
        <v>0.17899999999999999</v>
      </c>
      <c r="L198" s="408">
        <v>2.7</v>
      </c>
      <c r="M198" s="408">
        <v>12.7</v>
      </c>
      <c r="N198" s="408">
        <v>7.7</v>
      </c>
      <c r="O198" s="408">
        <v>31.4</v>
      </c>
      <c r="P198" s="408">
        <v>2.6</v>
      </c>
      <c r="Q198" s="408">
        <v>0.8</v>
      </c>
      <c r="R198" s="408">
        <v>24.6</v>
      </c>
      <c r="S198" s="408">
        <v>12.8</v>
      </c>
      <c r="T198" s="408">
        <v>0.4</v>
      </c>
      <c r="U198" s="408">
        <v>0.9</v>
      </c>
      <c r="V198" s="408">
        <v>1.3</v>
      </c>
      <c r="W198" s="408">
        <v>8.2000000000000003E-2</v>
      </c>
      <c r="X198" s="408">
        <v>-2.2000000000000002</v>
      </c>
      <c r="Y198" s="408">
        <v>0.2</v>
      </c>
      <c r="Z198" s="408">
        <v>-2</v>
      </c>
      <c r="AA198" s="408">
        <v>0</v>
      </c>
    </row>
    <row r="199" spans="1:27">
      <c r="A199">
        <v>163</v>
      </c>
      <c r="B199" s="1" t="s">
        <v>103</v>
      </c>
      <c r="C199" s="5" t="s">
        <v>83</v>
      </c>
      <c r="D199" s="408">
        <v>34</v>
      </c>
      <c r="E199" s="5" t="s">
        <v>357</v>
      </c>
      <c r="F199" s="408">
        <v>45</v>
      </c>
      <c r="G199" s="408">
        <v>556</v>
      </c>
      <c r="H199" s="408">
        <v>13.8</v>
      </c>
      <c r="I199" s="408">
        <v>0.60899999999999999</v>
      </c>
      <c r="J199" s="408">
        <v>0.53500000000000003</v>
      </c>
      <c r="K199" s="408">
        <v>8.7999999999999995E-2</v>
      </c>
      <c r="L199" s="408">
        <v>2</v>
      </c>
      <c r="M199" s="408">
        <v>19.8</v>
      </c>
      <c r="N199" s="408">
        <v>11</v>
      </c>
      <c r="O199" s="408">
        <v>7.4</v>
      </c>
      <c r="P199" s="408">
        <v>1.5</v>
      </c>
      <c r="Q199" s="408">
        <v>1.8</v>
      </c>
      <c r="R199" s="408">
        <v>8.8000000000000007</v>
      </c>
      <c r="S199" s="408">
        <v>15.4</v>
      </c>
      <c r="T199" s="408">
        <v>0.7</v>
      </c>
      <c r="U199" s="408">
        <v>0.5</v>
      </c>
      <c r="V199" s="408">
        <v>1.2</v>
      </c>
      <c r="W199" s="408">
        <v>0.10299999999999999</v>
      </c>
      <c r="X199" s="408">
        <v>-0.5</v>
      </c>
      <c r="Y199" s="408">
        <v>-0.9</v>
      </c>
      <c r="Z199" s="408">
        <v>-1.4</v>
      </c>
      <c r="AA199" s="408">
        <v>0.1</v>
      </c>
    </row>
    <row r="200" spans="1:27">
      <c r="A200">
        <v>163</v>
      </c>
      <c r="B200" s="1" t="s">
        <v>103</v>
      </c>
      <c r="C200" s="5" t="s">
        <v>83</v>
      </c>
      <c r="D200" s="408">
        <v>34</v>
      </c>
      <c r="E200" s="5" t="s">
        <v>102</v>
      </c>
      <c r="F200" s="408">
        <v>44</v>
      </c>
      <c r="G200" s="408">
        <v>545</v>
      </c>
      <c r="H200" s="408">
        <v>13.9</v>
      </c>
      <c r="I200" s="408">
        <v>0.60399999999999998</v>
      </c>
      <c r="J200" s="408">
        <v>0.53300000000000003</v>
      </c>
      <c r="K200" s="408">
        <v>8.8999999999999996E-2</v>
      </c>
      <c r="L200" s="408">
        <v>2.1</v>
      </c>
      <c r="M200" s="408">
        <v>20.2</v>
      </c>
      <c r="N200" s="408">
        <v>11.3</v>
      </c>
      <c r="O200" s="408">
        <v>7.5</v>
      </c>
      <c r="P200" s="408">
        <v>1.5</v>
      </c>
      <c r="Q200" s="408">
        <v>1.9</v>
      </c>
      <c r="R200" s="408">
        <v>8.8000000000000007</v>
      </c>
      <c r="S200" s="408">
        <v>15.7</v>
      </c>
      <c r="T200" s="408">
        <v>0.7</v>
      </c>
      <c r="U200" s="408">
        <v>0.5</v>
      </c>
      <c r="V200" s="408">
        <v>1.2</v>
      </c>
      <c r="W200" s="408">
        <v>0.10199999999999999</v>
      </c>
      <c r="X200" s="408">
        <v>-0.6</v>
      </c>
      <c r="Y200" s="408">
        <v>-0.9</v>
      </c>
      <c r="Z200" s="408">
        <v>-1.5</v>
      </c>
      <c r="AA200" s="408">
        <v>0.1</v>
      </c>
    </row>
    <row r="201" spans="1:27">
      <c r="A201">
        <v>163</v>
      </c>
      <c r="B201" s="1" t="s">
        <v>103</v>
      </c>
      <c r="C201" s="5" t="s">
        <v>83</v>
      </c>
      <c r="D201" s="408">
        <v>34</v>
      </c>
      <c r="E201" s="5" t="s">
        <v>78</v>
      </c>
      <c r="F201" s="408">
        <v>1</v>
      </c>
      <c r="G201" s="408">
        <v>11</v>
      </c>
      <c r="H201" s="408">
        <v>8.6999999999999993</v>
      </c>
      <c r="I201" s="408">
        <v>1.5</v>
      </c>
      <c r="J201" s="408">
        <v>1</v>
      </c>
      <c r="K201" s="408">
        <v>0</v>
      </c>
      <c r="L201" s="408">
        <v>0</v>
      </c>
      <c r="M201" s="408">
        <v>0</v>
      </c>
      <c r="N201" s="408">
        <v>0</v>
      </c>
      <c r="O201" s="408">
        <v>0</v>
      </c>
      <c r="P201" s="408">
        <v>0</v>
      </c>
      <c r="Q201" s="408">
        <v>0</v>
      </c>
      <c r="R201" s="408">
        <v>0</v>
      </c>
      <c r="S201" s="408">
        <v>3.8</v>
      </c>
      <c r="T201" s="408">
        <v>0</v>
      </c>
      <c r="U201" s="408">
        <v>0</v>
      </c>
      <c r="V201" s="408">
        <v>0</v>
      </c>
      <c r="W201" s="408">
        <v>0.123</v>
      </c>
      <c r="X201" s="408">
        <v>3.1</v>
      </c>
      <c r="Y201" s="408">
        <v>-4.0999999999999996</v>
      </c>
      <c r="Z201" s="408">
        <v>-1</v>
      </c>
      <c r="AA201" s="408">
        <v>0</v>
      </c>
    </row>
    <row r="202" spans="1:27">
      <c r="A202">
        <v>164</v>
      </c>
      <c r="B202" s="1" t="s">
        <v>617</v>
      </c>
      <c r="C202" s="5" t="s">
        <v>26</v>
      </c>
      <c r="D202" s="408">
        <v>19</v>
      </c>
      <c r="E202" s="5" t="s">
        <v>118</v>
      </c>
      <c r="F202" s="408">
        <v>4</v>
      </c>
      <c r="G202" s="408">
        <v>76</v>
      </c>
      <c r="H202" s="408">
        <v>3.6</v>
      </c>
      <c r="I202" s="408">
        <v>0.372</v>
      </c>
      <c r="J202" s="408">
        <v>0</v>
      </c>
      <c r="K202" s="408">
        <v>0.44400000000000001</v>
      </c>
      <c r="L202" s="408">
        <v>4.4000000000000004</v>
      </c>
      <c r="M202" s="408">
        <v>8.3000000000000007</v>
      </c>
      <c r="N202" s="408">
        <v>6.4</v>
      </c>
      <c r="O202" s="408">
        <v>13</v>
      </c>
      <c r="P202" s="408">
        <v>1.3</v>
      </c>
      <c r="Q202" s="408">
        <v>1.1000000000000001</v>
      </c>
      <c r="R202" s="408">
        <v>15.7</v>
      </c>
      <c r="S202" s="408">
        <v>21.6</v>
      </c>
      <c r="T202" s="408">
        <v>-0.2</v>
      </c>
      <c r="U202" s="408">
        <v>0.1</v>
      </c>
      <c r="V202" s="408">
        <v>-0.1</v>
      </c>
      <c r="W202" s="408">
        <v>-8.5999999999999993E-2</v>
      </c>
      <c r="X202" s="408">
        <v>-8.6999999999999993</v>
      </c>
      <c r="Y202" s="408">
        <v>-1.4</v>
      </c>
      <c r="Z202" s="408">
        <v>-10.1</v>
      </c>
      <c r="AA202" s="408">
        <v>-0.2</v>
      </c>
    </row>
    <row r="203" spans="1:27">
      <c r="A203">
        <v>165</v>
      </c>
      <c r="B203" s="1" t="s">
        <v>337</v>
      </c>
      <c r="C203" s="5" t="s">
        <v>46</v>
      </c>
      <c r="D203" s="408">
        <v>29</v>
      </c>
      <c r="E203" s="5" t="s">
        <v>64</v>
      </c>
      <c r="F203" s="408">
        <v>19</v>
      </c>
      <c r="G203" s="408">
        <v>615</v>
      </c>
      <c r="H203" s="408">
        <v>14.3</v>
      </c>
      <c r="I203" s="408">
        <v>0.55100000000000005</v>
      </c>
      <c r="J203" s="408">
        <v>0.44</v>
      </c>
      <c r="K203" s="408">
        <v>0.32</v>
      </c>
      <c r="L203" s="408">
        <v>1.4</v>
      </c>
      <c r="M203" s="408">
        <v>14.8</v>
      </c>
      <c r="N203" s="408">
        <v>8.3000000000000007</v>
      </c>
      <c r="O203" s="408">
        <v>9.4</v>
      </c>
      <c r="P203" s="408">
        <v>0.9</v>
      </c>
      <c r="Q203" s="408">
        <v>0.8</v>
      </c>
      <c r="R203" s="408">
        <v>7.7</v>
      </c>
      <c r="S203" s="408">
        <v>20.9</v>
      </c>
      <c r="T203" s="408">
        <v>0.8</v>
      </c>
      <c r="U203" s="408">
        <v>0.4</v>
      </c>
      <c r="V203" s="408">
        <v>1.3</v>
      </c>
      <c r="W203" s="408">
        <v>9.8000000000000004E-2</v>
      </c>
      <c r="X203" s="408">
        <v>0.3</v>
      </c>
      <c r="Y203" s="408">
        <v>-1.5</v>
      </c>
      <c r="Z203" s="408">
        <v>-1.2</v>
      </c>
      <c r="AA203" s="408">
        <v>0.1</v>
      </c>
    </row>
    <row r="204" spans="1:27">
      <c r="A204">
        <v>166</v>
      </c>
      <c r="B204" s="1" t="s">
        <v>391</v>
      </c>
      <c r="C204" s="5" t="s">
        <v>26</v>
      </c>
      <c r="D204" s="408">
        <v>26</v>
      </c>
      <c r="E204" s="5" t="s">
        <v>157</v>
      </c>
      <c r="F204" s="408">
        <v>53</v>
      </c>
      <c r="G204" s="408">
        <v>779</v>
      </c>
      <c r="H204" s="408">
        <v>12.4</v>
      </c>
      <c r="I204" s="408">
        <v>0.51100000000000001</v>
      </c>
      <c r="J204" s="408">
        <v>0.64700000000000002</v>
      </c>
      <c r="K204" s="408">
        <v>0.112</v>
      </c>
      <c r="L204" s="408">
        <v>1.7</v>
      </c>
      <c r="M204" s="408">
        <v>10.3</v>
      </c>
      <c r="N204" s="408">
        <v>5.8</v>
      </c>
      <c r="O204" s="408">
        <v>10.4</v>
      </c>
      <c r="P204" s="408">
        <v>1.9</v>
      </c>
      <c r="Q204" s="408">
        <v>0.6</v>
      </c>
      <c r="R204" s="408">
        <v>5.0999999999999996</v>
      </c>
      <c r="S204" s="408">
        <v>19</v>
      </c>
      <c r="T204" s="408">
        <v>0.5</v>
      </c>
      <c r="U204" s="408">
        <v>0.8</v>
      </c>
      <c r="V204" s="408">
        <v>1.3</v>
      </c>
      <c r="W204" s="408">
        <v>8.1000000000000003E-2</v>
      </c>
      <c r="X204" s="408">
        <v>0</v>
      </c>
      <c r="Y204" s="408">
        <v>-1.6</v>
      </c>
      <c r="Z204" s="408">
        <v>-1.6</v>
      </c>
      <c r="AA204" s="408">
        <v>0.1</v>
      </c>
    </row>
    <row r="205" spans="1:27">
      <c r="A205">
        <v>167</v>
      </c>
      <c r="B205" s="1" t="s">
        <v>375</v>
      </c>
      <c r="C205" s="5" t="s">
        <v>83</v>
      </c>
      <c r="D205" s="408">
        <v>33</v>
      </c>
      <c r="E205" s="5" t="s">
        <v>128</v>
      </c>
      <c r="F205" s="408">
        <v>65</v>
      </c>
      <c r="G205" s="408">
        <v>2197</v>
      </c>
      <c r="H205" s="408">
        <v>17.2</v>
      </c>
      <c r="I205" s="408">
        <v>0.52800000000000002</v>
      </c>
      <c r="J205" s="408">
        <v>0.30299999999999999</v>
      </c>
      <c r="K205" s="408">
        <v>0.34300000000000003</v>
      </c>
      <c r="L205" s="408">
        <v>3.7</v>
      </c>
      <c r="M205" s="408">
        <v>25.6</v>
      </c>
      <c r="N205" s="408">
        <v>14.5</v>
      </c>
      <c r="O205" s="408">
        <v>21.3</v>
      </c>
      <c r="P205" s="408">
        <v>1</v>
      </c>
      <c r="Q205" s="408">
        <v>4</v>
      </c>
      <c r="R205" s="408">
        <v>14.1</v>
      </c>
      <c r="S205" s="408">
        <v>26.1</v>
      </c>
      <c r="T205" s="408">
        <v>1</v>
      </c>
      <c r="U205" s="408">
        <v>2.6</v>
      </c>
      <c r="V205" s="408">
        <v>3.6</v>
      </c>
      <c r="W205" s="408">
        <v>7.9000000000000001E-2</v>
      </c>
      <c r="X205" s="408">
        <v>-0.5</v>
      </c>
      <c r="Y205" s="408">
        <v>1.8</v>
      </c>
      <c r="Z205" s="408">
        <v>1.3</v>
      </c>
      <c r="AA205" s="408">
        <v>1.8</v>
      </c>
    </row>
    <row r="206" spans="1:27">
      <c r="A206">
        <v>168</v>
      </c>
      <c r="B206" s="1" t="s">
        <v>477</v>
      </c>
      <c r="C206" s="5" t="s">
        <v>83</v>
      </c>
      <c r="D206" s="408">
        <v>37</v>
      </c>
      <c r="E206" s="5" t="s">
        <v>140</v>
      </c>
      <c r="F206" s="408">
        <v>66</v>
      </c>
      <c r="G206" s="408">
        <v>1607</v>
      </c>
      <c r="H206" s="408">
        <v>18.8</v>
      </c>
      <c r="I206" s="408">
        <v>0.54200000000000004</v>
      </c>
      <c r="J206" s="408">
        <v>0.19600000000000001</v>
      </c>
      <c r="K206" s="408">
        <v>0.32600000000000001</v>
      </c>
      <c r="L206" s="408">
        <v>7.1</v>
      </c>
      <c r="M206" s="408">
        <v>30</v>
      </c>
      <c r="N206" s="408">
        <v>18.5</v>
      </c>
      <c r="O206" s="408">
        <v>20.5</v>
      </c>
      <c r="P206" s="408">
        <v>0.7</v>
      </c>
      <c r="Q206" s="408">
        <v>3.6</v>
      </c>
      <c r="R206" s="408">
        <v>13.2</v>
      </c>
      <c r="S206" s="408">
        <v>20.399999999999999</v>
      </c>
      <c r="T206" s="408">
        <v>2.2999999999999998</v>
      </c>
      <c r="U206" s="408">
        <v>3.1</v>
      </c>
      <c r="V206" s="408">
        <v>5.4</v>
      </c>
      <c r="W206" s="408">
        <v>0.161</v>
      </c>
      <c r="X206" s="408">
        <v>-0.2</v>
      </c>
      <c r="Y206" s="408">
        <v>3.5</v>
      </c>
      <c r="Z206" s="408">
        <v>3.3</v>
      </c>
      <c r="AA206" s="408">
        <v>2.2000000000000002</v>
      </c>
    </row>
    <row r="207" spans="1:27">
      <c r="A207">
        <v>169</v>
      </c>
      <c r="B207" s="1" t="s">
        <v>482</v>
      </c>
      <c r="C207" s="5" t="s">
        <v>38</v>
      </c>
      <c r="D207" s="408">
        <v>31</v>
      </c>
      <c r="E207" s="5" t="s">
        <v>140</v>
      </c>
      <c r="F207" s="408">
        <v>46</v>
      </c>
      <c r="G207" s="408">
        <v>990</v>
      </c>
      <c r="H207" s="408">
        <v>17</v>
      </c>
      <c r="I207" s="408">
        <v>0.54400000000000004</v>
      </c>
      <c r="J207" s="408">
        <v>0.22</v>
      </c>
      <c r="K207" s="408">
        <v>0.26</v>
      </c>
      <c r="L207" s="408">
        <v>6.2</v>
      </c>
      <c r="M207" s="408">
        <v>19.600000000000001</v>
      </c>
      <c r="N207" s="408">
        <v>12.9</v>
      </c>
      <c r="O207" s="408">
        <v>10.1</v>
      </c>
      <c r="P207" s="408">
        <v>1.7</v>
      </c>
      <c r="Q207" s="408">
        <v>2.8</v>
      </c>
      <c r="R207" s="408">
        <v>12.6</v>
      </c>
      <c r="S207" s="408">
        <v>24.4</v>
      </c>
      <c r="T207" s="408">
        <v>0.6</v>
      </c>
      <c r="U207" s="408">
        <v>1.8</v>
      </c>
      <c r="V207" s="408">
        <v>2.2999999999999998</v>
      </c>
      <c r="W207" s="408">
        <v>0.113</v>
      </c>
      <c r="X207" s="408">
        <v>-1.3</v>
      </c>
      <c r="Y207" s="408">
        <v>1.2</v>
      </c>
      <c r="Z207" s="408">
        <v>-0.1</v>
      </c>
      <c r="AA207" s="408">
        <v>0.5</v>
      </c>
    </row>
    <row r="208" spans="1:27">
      <c r="A208">
        <v>170</v>
      </c>
      <c r="B208" s="1" t="s">
        <v>307</v>
      </c>
      <c r="C208" s="5" t="s">
        <v>46</v>
      </c>
      <c r="D208" s="408">
        <v>27</v>
      </c>
      <c r="E208" s="5" t="s">
        <v>58</v>
      </c>
      <c r="F208" s="408">
        <v>69</v>
      </c>
      <c r="G208" s="408">
        <v>2510</v>
      </c>
      <c r="H208" s="408">
        <v>19</v>
      </c>
      <c r="I208" s="408">
        <v>0.57499999999999996</v>
      </c>
      <c r="J208" s="408">
        <v>0.45300000000000001</v>
      </c>
      <c r="K208" s="408">
        <v>0.29699999999999999</v>
      </c>
      <c r="L208" s="408">
        <v>2.6</v>
      </c>
      <c r="M208" s="408">
        <v>15</v>
      </c>
      <c r="N208" s="408">
        <v>8.6</v>
      </c>
      <c r="O208" s="408">
        <v>14.9</v>
      </c>
      <c r="P208" s="408">
        <v>2.8</v>
      </c>
      <c r="Q208" s="408">
        <v>1.3</v>
      </c>
      <c r="R208" s="408">
        <v>12.4</v>
      </c>
      <c r="S208" s="408">
        <v>25.6</v>
      </c>
      <c r="T208" s="408">
        <v>4.4000000000000004</v>
      </c>
      <c r="U208" s="408">
        <v>3.5</v>
      </c>
      <c r="V208" s="408">
        <v>7.9</v>
      </c>
      <c r="W208" s="408">
        <v>0.151</v>
      </c>
      <c r="X208" s="408">
        <v>2.6</v>
      </c>
      <c r="Y208" s="408">
        <v>0.1</v>
      </c>
      <c r="Z208" s="408">
        <v>2.7</v>
      </c>
      <c r="AA208" s="408">
        <v>3</v>
      </c>
    </row>
    <row r="209" spans="1:27">
      <c r="A209">
        <v>171</v>
      </c>
      <c r="B209" s="1" t="s">
        <v>0</v>
      </c>
      <c r="C209" s="5" t="s">
        <v>26</v>
      </c>
      <c r="D209" s="408">
        <v>23</v>
      </c>
      <c r="E209" s="5" t="s">
        <v>56</v>
      </c>
      <c r="F209" s="408">
        <v>39</v>
      </c>
      <c r="G209" s="408">
        <v>204</v>
      </c>
      <c r="H209" s="408">
        <v>4.5</v>
      </c>
      <c r="I209" s="408">
        <v>0.45900000000000002</v>
      </c>
      <c r="J209" s="408">
        <v>0.33300000000000002</v>
      </c>
      <c r="K209" s="408">
        <v>0.38100000000000001</v>
      </c>
      <c r="L209" s="408">
        <v>3.9</v>
      </c>
      <c r="M209" s="408">
        <v>4</v>
      </c>
      <c r="N209" s="408">
        <v>4</v>
      </c>
      <c r="O209" s="408">
        <v>4.5</v>
      </c>
      <c r="P209" s="408">
        <v>1</v>
      </c>
      <c r="Q209" s="408">
        <v>0</v>
      </c>
      <c r="R209" s="408">
        <v>5.8</v>
      </c>
      <c r="S209" s="408">
        <v>11.3</v>
      </c>
      <c r="T209" s="408">
        <v>0</v>
      </c>
      <c r="U209" s="408">
        <v>0</v>
      </c>
      <c r="V209" s="408">
        <v>0</v>
      </c>
      <c r="W209" s="408">
        <v>8.9999999999999993E-3</v>
      </c>
      <c r="X209" s="408">
        <v>-2.5</v>
      </c>
      <c r="Y209" s="408">
        <v>-2.9</v>
      </c>
      <c r="Z209" s="408">
        <v>-5.3</v>
      </c>
      <c r="AA209" s="408">
        <v>-0.2</v>
      </c>
    </row>
    <row r="210" spans="1:27">
      <c r="A210">
        <v>172</v>
      </c>
      <c r="B210" s="1" t="s">
        <v>10</v>
      </c>
      <c r="C210" s="5" t="s">
        <v>38</v>
      </c>
      <c r="D210" s="408">
        <v>32</v>
      </c>
      <c r="E210" s="5" t="s">
        <v>56</v>
      </c>
      <c r="F210" s="408">
        <v>71</v>
      </c>
      <c r="G210" s="408">
        <v>2374</v>
      </c>
      <c r="H210" s="408">
        <v>15.5</v>
      </c>
      <c r="I210" s="408">
        <v>0.61099999999999999</v>
      </c>
      <c r="J210" s="408">
        <v>5.0999999999999997E-2</v>
      </c>
      <c r="K210" s="408">
        <v>0.24099999999999999</v>
      </c>
      <c r="L210" s="408">
        <v>8.1999999999999993</v>
      </c>
      <c r="M210" s="408">
        <v>16.399999999999999</v>
      </c>
      <c r="N210" s="408">
        <v>12.3</v>
      </c>
      <c r="O210" s="408">
        <v>5.4</v>
      </c>
      <c r="P210" s="408">
        <v>1.2</v>
      </c>
      <c r="Q210" s="408">
        <v>1.9</v>
      </c>
      <c r="R210" s="408">
        <v>10</v>
      </c>
      <c r="S210" s="408">
        <v>14.7</v>
      </c>
      <c r="T210" s="408">
        <v>4.7</v>
      </c>
      <c r="U210" s="408">
        <v>1.3</v>
      </c>
      <c r="V210" s="408">
        <v>6.1</v>
      </c>
      <c r="W210" s="408">
        <v>0.123</v>
      </c>
      <c r="X210" s="408">
        <v>1.1000000000000001</v>
      </c>
      <c r="Y210" s="408">
        <v>0.2</v>
      </c>
      <c r="Z210" s="408">
        <v>1.3</v>
      </c>
      <c r="AA210" s="408">
        <v>2</v>
      </c>
    </row>
    <row r="211" spans="1:27">
      <c r="A211">
        <v>173</v>
      </c>
      <c r="B211" s="1" t="s">
        <v>418</v>
      </c>
      <c r="C211" s="5" t="s">
        <v>26</v>
      </c>
      <c r="D211" s="408">
        <v>40</v>
      </c>
      <c r="E211" s="5" t="s">
        <v>140</v>
      </c>
      <c r="F211" s="408">
        <v>55</v>
      </c>
      <c r="G211" s="408">
        <v>1108</v>
      </c>
      <c r="H211" s="408">
        <v>12.6</v>
      </c>
      <c r="I211" s="408">
        <v>0.54800000000000004</v>
      </c>
      <c r="J211" s="408">
        <v>0.41599999999999998</v>
      </c>
      <c r="K211" s="408">
        <v>0.26700000000000002</v>
      </c>
      <c r="L211" s="408">
        <v>1.8</v>
      </c>
      <c r="M211" s="408">
        <v>10</v>
      </c>
      <c r="N211" s="408">
        <v>5.9</v>
      </c>
      <c r="O211" s="408">
        <v>19</v>
      </c>
      <c r="P211" s="408">
        <v>1.6</v>
      </c>
      <c r="Q211" s="408">
        <v>1.2</v>
      </c>
      <c r="R211" s="408">
        <v>17</v>
      </c>
      <c r="S211" s="408">
        <v>21.6</v>
      </c>
      <c r="T211" s="408">
        <v>0.3</v>
      </c>
      <c r="U211" s="408">
        <v>1.5</v>
      </c>
      <c r="V211" s="408">
        <v>1.8</v>
      </c>
      <c r="W211" s="408">
        <v>7.9000000000000001E-2</v>
      </c>
      <c r="X211" s="408">
        <v>-0.8</v>
      </c>
      <c r="Y211" s="408">
        <v>-0.3</v>
      </c>
      <c r="Z211" s="408">
        <v>-1.2</v>
      </c>
      <c r="AA211" s="408">
        <v>0.2</v>
      </c>
    </row>
    <row r="212" spans="1:27">
      <c r="A212">
        <v>174</v>
      </c>
      <c r="B212" s="1" t="s">
        <v>588</v>
      </c>
      <c r="C212" s="5" t="s">
        <v>83</v>
      </c>
      <c r="D212" s="408">
        <v>25</v>
      </c>
      <c r="E212" s="5" t="s">
        <v>305</v>
      </c>
      <c r="F212" s="408">
        <v>44</v>
      </c>
      <c r="G212" s="408">
        <v>1422</v>
      </c>
      <c r="H212" s="408">
        <v>21.5</v>
      </c>
      <c r="I212" s="408">
        <v>0.65800000000000003</v>
      </c>
      <c r="J212" s="408">
        <v>0</v>
      </c>
      <c r="K212" s="408">
        <v>0.67700000000000005</v>
      </c>
      <c r="L212" s="408">
        <v>10.3</v>
      </c>
      <c r="M212" s="408">
        <v>27.3</v>
      </c>
      <c r="N212" s="408">
        <v>18.899999999999999</v>
      </c>
      <c r="O212" s="408">
        <v>6.6</v>
      </c>
      <c r="P212" s="408">
        <v>1.1000000000000001</v>
      </c>
      <c r="Q212" s="408">
        <v>6.2</v>
      </c>
      <c r="R212" s="408">
        <v>14.1</v>
      </c>
      <c r="S212" s="408">
        <v>17.399999999999999</v>
      </c>
      <c r="T212" s="408">
        <v>3.6</v>
      </c>
      <c r="U212" s="408">
        <v>3</v>
      </c>
      <c r="V212" s="408">
        <v>6.6</v>
      </c>
      <c r="W212" s="408">
        <v>0.224</v>
      </c>
      <c r="X212" s="408">
        <v>-0.2</v>
      </c>
      <c r="Y212" s="408">
        <v>4.4000000000000004</v>
      </c>
      <c r="Z212" s="408">
        <v>4.2</v>
      </c>
      <c r="AA212" s="408">
        <v>2.2000000000000002</v>
      </c>
    </row>
    <row r="213" spans="1:27">
      <c r="A213">
        <v>175</v>
      </c>
      <c r="B213" s="1" t="s">
        <v>242</v>
      </c>
      <c r="C213" s="5" t="s">
        <v>38</v>
      </c>
      <c r="D213" s="408">
        <v>22</v>
      </c>
      <c r="E213" s="5" t="s">
        <v>75</v>
      </c>
      <c r="F213" s="408">
        <v>47</v>
      </c>
      <c r="G213" s="408">
        <v>1582</v>
      </c>
      <c r="H213" s="408">
        <v>17.100000000000001</v>
      </c>
      <c r="I213" s="408">
        <v>0.54200000000000004</v>
      </c>
      <c r="J213" s="408">
        <v>0.38800000000000001</v>
      </c>
      <c r="K213" s="408">
        <v>0.28100000000000003</v>
      </c>
      <c r="L213" s="408">
        <v>5.6</v>
      </c>
      <c r="M213" s="408">
        <v>22.3</v>
      </c>
      <c r="N213" s="408">
        <v>13.9</v>
      </c>
      <c r="O213" s="408">
        <v>11</v>
      </c>
      <c r="P213" s="408">
        <v>1.3</v>
      </c>
      <c r="Q213" s="408">
        <v>1.8</v>
      </c>
      <c r="R213" s="408">
        <v>9.9</v>
      </c>
      <c r="S213" s="408">
        <v>24.4</v>
      </c>
      <c r="T213" s="408">
        <v>1.3</v>
      </c>
      <c r="U213" s="408">
        <v>1.5</v>
      </c>
      <c r="V213" s="408">
        <v>2.7</v>
      </c>
      <c r="W213" s="408">
        <v>8.2000000000000003E-2</v>
      </c>
      <c r="X213" s="408">
        <v>0.4</v>
      </c>
      <c r="Y213" s="408">
        <v>-0.4</v>
      </c>
      <c r="Z213" s="408">
        <v>0</v>
      </c>
      <c r="AA213" s="408">
        <v>0.8</v>
      </c>
    </row>
    <row r="214" spans="1:27">
      <c r="A214">
        <v>176</v>
      </c>
      <c r="B214" s="1" t="s">
        <v>289</v>
      </c>
      <c r="C214" s="5" t="s">
        <v>26</v>
      </c>
      <c r="D214" s="408">
        <v>29</v>
      </c>
      <c r="E214" s="5" t="s">
        <v>92</v>
      </c>
      <c r="F214" s="408">
        <v>61</v>
      </c>
      <c r="G214" s="408">
        <v>1910</v>
      </c>
      <c r="H214" s="408">
        <v>15</v>
      </c>
      <c r="I214" s="408">
        <v>0.57399999999999995</v>
      </c>
      <c r="J214" s="408">
        <v>0.627</v>
      </c>
      <c r="K214" s="408">
        <v>0.26200000000000001</v>
      </c>
      <c r="L214" s="408">
        <v>1.3</v>
      </c>
      <c r="M214" s="408">
        <v>7.6</v>
      </c>
      <c r="N214" s="408">
        <v>4.5</v>
      </c>
      <c r="O214" s="408">
        <v>11.3</v>
      </c>
      <c r="P214" s="408">
        <v>1</v>
      </c>
      <c r="Q214" s="408">
        <v>1.1000000000000001</v>
      </c>
      <c r="R214" s="408">
        <v>10.6</v>
      </c>
      <c r="S214" s="408">
        <v>24.7</v>
      </c>
      <c r="T214" s="408">
        <v>2.6</v>
      </c>
      <c r="U214" s="408">
        <v>1.4</v>
      </c>
      <c r="V214" s="408">
        <v>4</v>
      </c>
      <c r="W214" s="408">
        <v>0.10100000000000001</v>
      </c>
      <c r="X214" s="408">
        <v>1.3</v>
      </c>
      <c r="Y214" s="408">
        <v>-2.5</v>
      </c>
      <c r="Z214" s="408">
        <v>-1.2</v>
      </c>
      <c r="AA214" s="408">
        <v>0.4</v>
      </c>
    </row>
    <row r="215" spans="1:27">
      <c r="A215">
        <v>177</v>
      </c>
      <c r="B215" s="1" t="s">
        <v>604</v>
      </c>
      <c r="C215" s="5" t="s">
        <v>83</v>
      </c>
      <c r="D215" s="408">
        <v>33</v>
      </c>
      <c r="E215" s="5" t="s">
        <v>27</v>
      </c>
      <c r="F215" s="408">
        <v>70</v>
      </c>
      <c r="G215" s="408">
        <v>1788</v>
      </c>
      <c r="H215" s="408">
        <v>14.7</v>
      </c>
      <c r="I215" s="408">
        <v>0.54500000000000004</v>
      </c>
      <c r="J215" s="408">
        <v>0</v>
      </c>
      <c r="K215" s="408">
        <v>0.29899999999999999</v>
      </c>
      <c r="L215" s="408">
        <v>9.8000000000000007</v>
      </c>
      <c r="M215" s="408">
        <v>24</v>
      </c>
      <c r="N215" s="408">
        <v>17</v>
      </c>
      <c r="O215" s="408">
        <v>10.5</v>
      </c>
      <c r="P215" s="408">
        <v>1</v>
      </c>
      <c r="Q215" s="408">
        <v>2.6</v>
      </c>
      <c r="R215" s="408">
        <v>13.3</v>
      </c>
      <c r="S215" s="408">
        <v>15.5</v>
      </c>
      <c r="T215" s="408">
        <v>2.1</v>
      </c>
      <c r="U215" s="408">
        <v>2.2000000000000002</v>
      </c>
      <c r="V215" s="408">
        <v>4.3</v>
      </c>
      <c r="W215" s="408">
        <v>0.115</v>
      </c>
      <c r="X215" s="408">
        <v>-1.6</v>
      </c>
      <c r="Y215" s="408">
        <v>2</v>
      </c>
      <c r="Z215" s="408">
        <v>0.4</v>
      </c>
      <c r="AA215" s="408">
        <v>1.1000000000000001</v>
      </c>
    </row>
    <row r="216" spans="1:27">
      <c r="A216">
        <v>178</v>
      </c>
      <c r="B216" s="1" t="s">
        <v>133</v>
      </c>
      <c r="C216" s="5" t="s">
        <v>26</v>
      </c>
      <c r="D216" s="408">
        <v>24</v>
      </c>
      <c r="E216" s="5" t="s">
        <v>311</v>
      </c>
      <c r="F216" s="408">
        <v>58</v>
      </c>
      <c r="G216" s="408">
        <v>978</v>
      </c>
      <c r="H216" s="408">
        <v>9.1999999999999993</v>
      </c>
      <c r="I216" s="408">
        <v>0.56599999999999995</v>
      </c>
      <c r="J216" s="408">
        <v>0.438</v>
      </c>
      <c r="K216" s="408">
        <v>0.26400000000000001</v>
      </c>
      <c r="L216" s="408">
        <v>4</v>
      </c>
      <c r="M216" s="408">
        <v>8.9</v>
      </c>
      <c r="N216" s="408">
        <v>6.4</v>
      </c>
      <c r="O216" s="408">
        <v>7.5</v>
      </c>
      <c r="P216" s="408">
        <v>1.5</v>
      </c>
      <c r="Q216" s="408">
        <v>0.1</v>
      </c>
      <c r="R216" s="408">
        <v>10.1</v>
      </c>
      <c r="S216" s="408">
        <v>11.5</v>
      </c>
      <c r="T216" s="408">
        <v>1</v>
      </c>
      <c r="U216" s="408">
        <v>0.6</v>
      </c>
      <c r="V216" s="408">
        <v>1.7</v>
      </c>
      <c r="W216" s="408">
        <v>8.2000000000000003E-2</v>
      </c>
      <c r="X216" s="408">
        <v>-0.6</v>
      </c>
      <c r="Y216" s="408">
        <v>-0.4</v>
      </c>
      <c r="Z216" s="408">
        <v>-1.1000000000000001</v>
      </c>
      <c r="AA216" s="408">
        <v>0.2</v>
      </c>
    </row>
    <row r="217" spans="1:27">
      <c r="A217">
        <v>179</v>
      </c>
      <c r="B217" s="1" t="s">
        <v>173</v>
      </c>
      <c r="C217" s="5" t="s">
        <v>38</v>
      </c>
      <c r="D217" s="408">
        <v>23</v>
      </c>
      <c r="E217" s="5" t="s">
        <v>58</v>
      </c>
      <c r="F217" s="408">
        <v>71</v>
      </c>
      <c r="G217" s="408">
        <v>1464</v>
      </c>
      <c r="H217" s="408">
        <v>15.2</v>
      </c>
      <c r="I217" s="408">
        <v>0.59</v>
      </c>
      <c r="J217" s="408">
        <v>0.246</v>
      </c>
      <c r="K217" s="408">
        <v>0.49399999999999999</v>
      </c>
      <c r="L217" s="408">
        <v>5.9</v>
      </c>
      <c r="M217" s="408">
        <v>16.399999999999999</v>
      </c>
      <c r="N217" s="408">
        <v>11</v>
      </c>
      <c r="O217" s="408">
        <v>5.3</v>
      </c>
      <c r="P217" s="408">
        <v>0.9</v>
      </c>
      <c r="Q217" s="408">
        <v>3.9</v>
      </c>
      <c r="R217" s="408">
        <v>9.1999999999999993</v>
      </c>
      <c r="S217" s="408">
        <v>15.9</v>
      </c>
      <c r="T217" s="408">
        <v>2.6</v>
      </c>
      <c r="U217" s="408">
        <v>1.7</v>
      </c>
      <c r="V217" s="408">
        <v>4.3</v>
      </c>
      <c r="W217" s="408">
        <v>0.14099999999999999</v>
      </c>
      <c r="X217" s="408">
        <v>-1.1000000000000001</v>
      </c>
      <c r="Y217" s="408">
        <v>0.1</v>
      </c>
      <c r="Z217" s="408">
        <v>-1</v>
      </c>
      <c r="AA217" s="408">
        <v>0.4</v>
      </c>
    </row>
    <row r="218" spans="1:27">
      <c r="A218">
        <v>180</v>
      </c>
      <c r="B218" s="1" t="s">
        <v>450</v>
      </c>
      <c r="C218" s="5" t="s">
        <v>20</v>
      </c>
      <c r="D218" s="408">
        <v>25</v>
      </c>
      <c r="E218" s="5" t="s">
        <v>43</v>
      </c>
      <c r="F218" s="408">
        <v>62</v>
      </c>
      <c r="G218" s="408">
        <v>1398</v>
      </c>
      <c r="H218" s="408">
        <v>14.8</v>
      </c>
      <c r="I218" s="408">
        <v>0.54200000000000004</v>
      </c>
      <c r="J218" s="408">
        <v>0.36799999999999999</v>
      </c>
      <c r="K218" s="408">
        <v>0.40300000000000002</v>
      </c>
      <c r="L218" s="408">
        <v>2.1</v>
      </c>
      <c r="M218" s="408">
        <v>9.8000000000000007</v>
      </c>
      <c r="N218" s="408">
        <v>5.8</v>
      </c>
      <c r="O218" s="408">
        <v>30.5</v>
      </c>
      <c r="P218" s="408">
        <v>1.7</v>
      </c>
      <c r="Q218" s="408">
        <v>0.4</v>
      </c>
      <c r="R218" s="408">
        <v>13.6</v>
      </c>
      <c r="S218" s="408">
        <v>17</v>
      </c>
      <c r="T218" s="408">
        <v>2.2999999999999998</v>
      </c>
      <c r="U218" s="408">
        <v>0.9</v>
      </c>
      <c r="V218" s="408">
        <v>3.1</v>
      </c>
      <c r="W218" s="408">
        <v>0.108</v>
      </c>
      <c r="X218" s="408">
        <v>0.1</v>
      </c>
      <c r="Y218" s="408">
        <v>-1.7</v>
      </c>
      <c r="Z218" s="408">
        <v>-1.7</v>
      </c>
      <c r="AA218" s="408">
        <v>0.1</v>
      </c>
    </row>
    <row r="219" spans="1:27">
      <c r="A219">
        <v>181</v>
      </c>
      <c r="B219" s="1" t="s">
        <v>837</v>
      </c>
      <c r="C219" s="5" t="s">
        <v>20</v>
      </c>
      <c r="D219" s="408">
        <v>24</v>
      </c>
      <c r="E219" s="5" t="s">
        <v>313</v>
      </c>
      <c r="F219" s="408">
        <v>5</v>
      </c>
      <c r="G219" s="408">
        <v>86</v>
      </c>
      <c r="H219" s="408">
        <v>7.3</v>
      </c>
      <c r="I219" s="408">
        <v>0.34899999999999998</v>
      </c>
      <c r="J219" s="408">
        <v>0.317</v>
      </c>
      <c r="K219" s="408">
        <v>0.26800000000000002</v>
      </c>
      <c r="L219" s="408">
        <v>2.4</v>
      </c>
      <c r="M219" s="408">
        <v>10.199999999999999</v>
      </c>
      <c r="N219" s="408">
        <v>6.2</v>
      </c>
      <c r="O219" s="408">
        <v>20.8</v>
      </c>
      <c r="P219" s="408">
        <v>4.4000000000000004</v>
      </c>
      <c r="Q219" s="408">
        <v>1.9</v>
      </c>
      <c r="R219" s="408">
        <v>13.2</v>
      </c>
      <c r="S219" s="408">
        <v>26</v>
      </c>
      <c r="T219" s="408">
        <v>-0.3</v>
      </c>
      <c r="U219" s="408">
        <v>0.1</v>
      </c>
      <c r="V219" s="408">
        <v>-0.2</v>
      </c>
      <c r="W219" s="408">
        <v>-0.11799999999999999</v>
      </c>
      <c r="X219" s="408">
        <v>-5.8</v>
      </c>
      <c r="Y219" s="408">
        <v>0.3</v>
      </c>
      <c r="Z219" s="408">
        <v>-5.6</v>
      </c>
      <c r="AA219" s="408">
        <v>-0.1</v>
      </c>
    </row>
    <row r="220" spans="1:27">
      <c r="A220">
        <v>182</v>
      </c>
      <c r="B220" s="1" t="s">
        <v>371</v>
      </c>
      <c r="C220" s="5" t="s">
        <v>26</v>
      </c>
      <c r="D220" s="408">
        <v>30</v>
      </c>
      <c r="E220" s="5" t="s">
        <v>140</v>
      </c>
      <c r="F220" s="408">
        <v>59</v>
      </c>
      <c r="G220" s="408">
        <v>1527</v>
      </c>
      <c r="H220" s="408">
        <v>12</v>
      </c>
      <c r="I220" s="408">
        <v>0.51900000000000002</v>
      </c>
      <c r="J220" s="408">
        <v>0.56999999999999995</v>
      </c>
      <c r="K220" s="408">
        <v>0.10199999999999999</v>
      </c>
      <c r="L220" s="408">
        <v>2.5</v>
      </c>
      <c r="M220" s="408">
        <v>12.8</v>
      </c>
      <c r="N220" s="408">
        <v>7.6</v>
      </c>
      <c r="O220" s="408">
        <v>9.3000000000000007</v>
      </c>
      <c r="P220" s="408">
        <v>1.9</v>
      </c>
      <c r="Q220" s="408">
        <v>3.6</v>
      </c>
      <c r="R220" s="408">
        <v>10.5</v>
      </c>
      <c r="S220" s="408">
        <v>16.399999999999999</v>
      </c>
      <c r="T220" s="408">
        <v>0.3</v>
      </c>
      <c r="U220" s="408">
        <v>2.6</v>
      </c>
      <c r="V220" s="408">
        <v>3</v>
      </c>
      <c r="W220" s="408">
        <v>9.2999999999999999E-2</v>
      </c>
      <c r="X220" s="408">
        <v>-0.7</v>
      </c>
      <c r="Y220" s="408">
        <v>2.5</v>
      </c>
      <c r="Z220" s="408">
        <v>1.8</v>
      </c>
      <c r="AA220" s="408">
        <v>1.5</v>
      </c>
    </row>
    <row r="221" spans="1:27">
      <c r="A221">
        <v>183</v>
      </c>
      <c r="B221" s="1" t="s">
        <v>396</v>
      </c>
      <c r="C221" s="5" t="s">
        <v>38</v>
      </c>
      <c r="D221" s="408">
        <v>27</v>
      </c>
      <c r="E221" s="5" t="s">
        <v>73</v>
      </c>
      <c r="F221" s="408">
        <v>62</v>
      </c>
      <c r="G221" s="408">
        <v>2038</v>
      </c>
      <c r="H221" s="408">
        <v>16.399999999999999</v>
      </c>
      <c r="I221" s="408">
        <v>0.55100000000000005</v>
      </c>
      <c r="J221" s="408">
        <v>0.40699999999999997</v>
      </c>
      <c r="K221" s="408">
        <v>0.27400000000000002</v>
      </c>
      <c r="L221" s="408">
        <v>4.4000000000000004</v>
      </c>
      <c r="M221" s="408">
        <v>21.1</v>
      </c>
      <c r="N221" s="408">
        <v>13.4</v>
      </c>
      <c r="O221" s="408">
        <v>28.9</v>
      </c>
      <c r="P221" s="408">
        <v>2</v>
      </c>
      <c r="Q221" s="408">
        <v>3.3</v>
      </c>
      <c r="R221" s="408">
        <v>21.3</v>
      </c>
      <c r="S221" s="408">
        <v>17.3</v>
      </c>
      <c r="T221" s="408">
        <v>2.6</v>
      </c>
      <c r="U221" s="408">
        <v>3.3</v>
      </c>
      <c r="V221" s="408">
        <v>5.9</v>
      </c>
      <c r="W221" s="408">
        <v>0.13900000000000001</v>
      </c>
      <c r="X221" s="408">
        <v>0.7</v>
      </c>
      <c r="Y221" s="408">
        <v>3</v>
      </c>
      <c r="Z221" s="408">
        <v>3.7</v>
      </c>
      <c r="AA221" s="408">
        <v>2.9</v>
      </c>
    </row>
    <row r="222" spans="1:27">
      <c r="A222">
        <v>184</v>
      </c>
      <c r="B222" s="1" t="s">
        <v>234</v>
      </c>
      <c r="C222" s="5" t="s">
        <v>26</v>
      </c>
      <c r="D222" s="408">
        <v>32</v>
      </c>
      <c r="E222" s="5" t="s">
        <v>92</v>
      </c>
      <c r="F222" s="408">
        <v>29</v>
      </c>
      <c r="G222" s="408">
        <v>617</v>
      </c>
      <c r="H222" s="408">
        <v>13.7</v>
      </c>
      <c r="I222" s="408">
        <v>0.55800000000000005</v>
      </c>
      <c r="J222" s="408">
        <v>0.71799999999999997</v>
      </c>
      <c r="K222" s="408">
        <v>0.14799999999999999</v>
      </c>
      <c r="L222" s="408">
        <v>2.2000000000000002</v>
      </c>
      <c r="M222" s="408">
        <v>13.5</v>
      </c>
      <c r="N222" s="408">
        <v>7.9</v>
      </c>
      <c r="O222" s="408">
        <v>3.1</v>
      </c>
      <c r="P222" s="408">
        <v>1.3</v>
      </c>
      <c r="Q222" s="408">
        <v>1.5</v>
      </c>
      <c r="R222" s="408">
        <v>5.4</v>
      </c>
      <c r="S222" s="408">
        <v>22.3</v>
      </c>
      <c r="T222" s="408">
        <v>0.7</v>
      </c>
      <c r="U222" s="408">
        <v>0.6</v>
      </c>
      <c r="V222" s="408">
        <v>1.3</v>
      </c>
      <c r="W222" s="408">
        <v>0.10199999999999999</v>
      </c>
      <c r="X222" s="408">
        <v>0.3</v>
      </c>
      <c r="Y222" s="408">
        <v>-2.9</v>
      </c>
      <c r="Z222" s="408">
        <v>-2.6</v>
      </c>
      <c r="AA222" s="408">
        <v>-0.1</v>
      </c>
    </row>
    <row r="223" spans="1:27">
      <c r="A223">
        <v>185</v>
      </c>
      <c r="B223" s="1" t="s">
        <v>471</v>
      </c>
      <c r="C223" s="5" t="s">
        <v>38</v>
      </c>
      <c r="D223" s="408">
        <v>27</v>
      </c>
      <c r="E223" s="5" t="s">
        <v>128</v>
      </c>
      <c r="F223" s="408">
        <v>49</v>
      </c>
      <c r="G223" s="408">
        <v>1365</v>
      </c>
      <c r="H223" s="408">
        <v>14.4</v>
      </c>
      <c r="I223" s="408">
        <v>0.52900000000000003</v>
      </c>
      <c r="J223" s="408">
        <v>0.254</v>
      </c>
      <c r="K223" s="408">
        <v>0.22900000000000001</v>
      </c>
      <c r="L223" s="408">
        <v>11.3</v>
      </c>
      <c r="M223" s="408">
        <v>23.6</v>
      </c>
      <c r="N223" s="408">
        <v>17.3</v>
      </c>
      <c r="O223" s="408">
        <v>8.6999999999999993</v>
      </c>
      <c r="P223" s="408">
        <v>1.2</v>
      </c>
      <c r="Q223" s="408">
        <v>1.4</v>
      </c>
      <c r="R223" s="408">
        <v>12.4</v>
      </c>
      <c r="S223" s="408">
        <v>18.3</v>
      </c>
      <c r="T223" s="408">
        <v>1.2</v>
      </c>
      <c r="U223" s="408">
        <v>1.3</v>
      </c>
      <c r="V223" s="408">
        <v>2.5</v>
      </c>
      <c r="W223" s="408">
        <v>8.6999999999999994E-2</v>
      </c>
      <c r="X223" s="408">
        <v>-1</v>
      </c>
      <c r="Y223" s="408">
        <v>-0.1</v>
      </c>
      <c r="Z223" s="408">
        <v>-1.1000000000000001</v>
      </c>
      <c r="AA223" s="408">
        <v>0.3</v>
      </c>
    </row>
    <row r="224" spans="1:27">
      <c r="A224">
        <v>186</v>
      </c>
      <c r="B224" s="1" t="s">
        <v>209</v>
      </c>
      <c r="C224" s="5" t="s">
        <v>38</v>
      </c>
      <c r="D224" s="408">
        <v>31</v>
      </c>
      <c r="E224" s="5" t="s">
        <v>102</v>
      </c>
      <c r="F224" s="408">
        <v>67</v>
      </c>
      <c r="G224" s="408">
        <v>1536</v>
      </c>
      <c r="H224" s="408">
        <v>14.9</v>
      </c>
      <c r="I224" s="408">
        <v>0.58199999999999996</v>
      </c>
      <c r="J224" s="408">
        <v>0.25800000000000001</v>
      </c>
      <c r="K224" s="408">
        <v>0.38700000000000001</v>
      </c>
      <c r="L224" s="408">
        <v>3.9</v>
      </c>
      <c r="M224" s="408">
        <v>12.1</v>
      </c>
      <c r="N224" s="408">
        <v>8.1</v>
      </c>
      <c r="O224" s="408">
        <v>8.5</v>
      </c>
      <c r="P224" s="408">
        <v>1.1000000000000001</v>
      </c>
      <c r="Q224" s="408">
        <v>1.5</v>
      </c>
      <c r="R224" s="408">
        <v>9.6999999999999993</v>
      </c>
      <c r="S224" s="408">
        <v>19.7</v>
      </c>
      <c r="T224" s="408">
        <v>2.5</v>
      </c>
      <c r="U224" s="408">
        <v>0.7</v>
      </c>
      <c r="V224" s="408">
        <v>3.2</v>
      </c>
      <c r="W224" s="408">
        <v>0.1</v>
      </c>
      <c r="X224" s="408">
        <v>-0.5</v>
      </c>
      <c r="Y224" s="408">
        <v>-1.7</v>
      </c>
      <c r="Z224" s="408">
        <v>-2.2999999999999998</v>
      </c>
      <c r="AA224" s="408">
        <v>-0.1</v>
      </c>
    </row>
    <row r="225" spans="1:27">
      <c r="A225">
        <v>187</v>
      </c>
      <c r="B225" s="1" t="s">
        <v>335</v>
      </c>
      <c r="C225" s="5" t="s">
        <v>38</v>
      </c>
      <c r="D225" s="408">
        <v>28</v>
      </c>
      <c r="E225" s="5" t="s">
        <v>357</v>
      </c>
      <c r="F225" s="408">
        <v>54</v>
      </c>
      <c r="G225" s="408">
        <v>1845</v>
      </c>
      <c r="H225" s="408">
        <v>19.399999999999999</v>
      </c>
      <c r="I225" s="408">
        <v>0.54</v>
      </c>
      <c r="J225" s="408">
        <v>0.318</v>
      </c>
      <c r="K225" s="408">
        <v>0.33900000000000002</v>
      </c>
      <c r="L225" s="408">
        <v>4.0999999999999996</v>
      </c>
      <c r="M225" s="408">
        <v>19.8</v>
      </c>
      <c r="N225" s="408">
        <v>11.9</v>
      </c>
      <c r="O225" s="408">
        <v>27.3</v>
      </c>
      <c r="P225" s="408">
        <v>1</v>
      </c>
      <c r="Q225" s="408">
        <v>0.8</v>
      </c>
      <c r="R225" s="408">
        <v>12.5</v>
      </c>
      <c r="S225" s="408">
        <v>29.3</v>
      </c>
      <c r="T225" s="408">
        <v>2.7</v>
      </c>
      <c r="U225" s="408">
        <v>1.7</v>
      </c>
      <c r="V225" s="408">
        <v>4.4000000000000004</v>
      </c>
      <c r="W225" s="408">
        <v>0.114</v>
      </c>
      <c r="X225" s="408">
        <v>2.5</v>
      </c>
      <c r="Y225" s="408">
        <v>-0.1</v>
      </c>
      <c r="Z225" s="408">
        <v>2.4</v>
      </c>
      <c r="AA225" s="408">
        <v>2.1</v>
      </c>
    </row>
    <row r="226" spans="1:27">
      <c r="A226">
        <v>187</v>
      </c>
      <c r="B226" s="1" t="s">
        <v>335</v>
      </c>
      <c r="C226" s="5" t="s">
        <v>38</v>
      </c>
      <c r="D226" s="408">
        <v>28</v>
      </c>
      <c r="E226" s="5" t="s">
        <v>64</v>
      </c>
      <c r="F226" s="408">
        <v>33</v>
      </c>
      <c r="G226" s="408">
        <v>1139</v>
      </c>
      <c r="H226" s="408">
        <v>20.399999999999999</v>
      </c>
      <c r="I226" s="408">
        <v>0.55300000000000005</v>
      </c>
      <c r="J226" s="408">
        <v>0.32400000000000001</v>
      </c>
      <c r="K226" s="408">
        <v>0.379</v>
      </c>
      <c r="L226" s="408">
        <v>4.5</v>
      </c>
      <c r="M226" s="408">
        <v>20.399999999999999</v>
      </c>
      <c r="N226" s="408">
        <v>12.6</v>
      </c>
      <c r="O226" s="408">
        <v>25.7</v>
      </c>
      <c r="P226" s="408">
        <v>1.3</v>
      </c>
      <c r="Q226" s="408">
        <v>0.7</v>
      </c>
      <c r="R226" s="408">
        <v>12.8</v>
      </c>
      <c r="S226" s="408">
        <v>29.3</v>
      </c>
      <c r="T226" s="408">
        <v>2</v>
      </c>
      <c r="U226" s="408">
        <v>1.1000000000000001</v>
      </c>
      <c r="V226" s="408">
        <v>3.1</v>
      </c>
      <c r="W226" s="408">
        <v>0.129</v>
      </c>
      <c r="X226" s="408">
        <v>3.1</v>
      </c>
      <c r="Y226" s="408">
        <v>0.1</v>
      </c>
      <c r="Z226" s="408">
        <v>3.1</v>
      </c>
      <c r="AA226" s="408">
        <v>1.5</v>
      </c>
    </row>
    <row r="227" spans="1:27">
      <c r="A227">
        <v>187</v>
      </c>
      <c r="B227" s="1" t="s">
        <v>335</v>
      </c>
      <c r="C227" s="5" t="s">
        <v>38</v>
      </c>
      <c r="D227" s="408">
        <v>28</v>
      </c>
      <c r="E227" s="5" t="s">
        <v>157</v>
      </c>
      <c r="F227" s="408">
        <v>21</v>
      </c>
      <c r="G227" s="408">
        <v>706</v>
      </c>
      <c r="H227" s="408">
        <v>17.7</v>
      </c>
      <c r="I227" s="408">
        <v>0.52</v>
      </c>
      <c r="J227" s="408">
        <v>0.31</v>
      </c>
      <c r="K227" s="408">
        <v>0.27500000000000002</v>
      </c>
      <c r="L227" s="408">
        <v>3.4</v>
      </c>
      <c r="M227" s="408">
        <v>18.8</v>
      </c>
      <c r="N227" s="408">
        <v>10.9</v>
      </c>
      <c r="O227" s="408">
        <v>29.7</v>
      </c>
      <c r="P227" s="408">
        <v>0.6</v>
      </c>
      <c r="Q227" s="408">
        <v>1</v>
      </c>
      <c r="R227" s="408">
        <v>12.1</v>
      </c>
      <c r="S227" s="408">
        <v>29.1</v>
      </c>
      <c r="T227" s="408">
        <v>0.7</v>
      </c>
      <c r="U227" s="408">
        <v>0.6</v>
      </c>
      <c r="V227" s="408">
        <v>1.3</v>
      </c>
      <c r="W227" s="408">
        <v>9.0999999999999998E-2</v>
      </c>
      <c r="X227" s="408">
        <v>1.7</v>
      </c>
      <c r="Y227" s="408">
        <v>-0.3</v>
      </c>
      <c r="Z227" s="408">
        <v>1.3</v>
      </c>
      <c r="AA227" s="408">
        <v>0.6</v>
      </c>
    </row>
    <row r="228" spans="1:27">
      <c r="A228">
        <v>188</v>
      </c>
      <c r="B228" s="1" t="s">
        <v>645</v>
      </c>
      <c r="C228" s="5" t="s">
        <v>26</v>
      </c>
      <c r="D228" s="408">
        <v>22</v>
      </c>
      <c r="E228" s="5" t="s">
        <v>58</v>
      </c>
      <c r="F228" s="408">
        <v>5</v>
      </c>
      <c r="G228" s="408">
        <v>26</v>
      </c>
      <c r="H228" s="408">
        <v>19.7</v>
      </c>
      <c r="I228" s="408">
        <v>0.54500000000000004</v>
      </c>
      <c r="J228" s="408">
        <v>0.45500000000000002</v>
      </c>
      <c r="K228" s="408">
        <v>0</v>
      </c>
      <c r="L228" s="408">
        <v>0</v>
      </c>
      <c r="M228" s="408">
        <v>22.2</v>
      </c>
      <c r="N228" s="408">
        <v>10.7</v>
      </c>
      <c r="O228" s="408">
        <v>42.3</v>
      </c>
      <c r="P228" s="408">
        <v>1.9</v>
      </c>
      <c r="Q228" s="408">
        <v>0</v>
      </c>
      <c r="R228" s="408">
        <v>15.4</v>
      </c>
      <c r="S228" s="408">
        <v>21.5</v>
      </c>
      <c r="T228" s="408">
        <v>0.1</v>
      </c>
      <c r="U228" s="408">
        <v>0</v>
      </c>
      <c r="V228" s="408">
        <v>0.1</v>
      </c>
      <c r="W228" s="408">
        <v>0.16200000000000001</v>
      </c>
      <c r="X228" s="408">
        <v>0.9</v>
      </c>
      <c r="Y228" s="408">
        <v>-1.9</v>
      </c>
      <c r="Z228" s="408">
        <v>-1</v>
      </c>
      <c r="AA228" s="408">
        <v>0</v>
      </c>
    </row>
    <row r="229" spans="1:27">
      <c r="A229">
        <v>189</v>
      </c>
      <c r="B229" s="1" t="s">
        <v>309</v>
      </c>
      <c r="C229" s="5" t="s">
        <v>26</v>
      </c>
      <c r="D229" s="408">
        <v>25</v>
      </c>
      <c r="E229" s="5" t="s">
        <v>21</v>
      </c>
      <c r="F229" s="408">
        <v>49</v>
      </c>
      <c r="G229" s="408">
        <v>1612</v>
      </c>
      <c r="H229" s="408">
        <v>14.6</v>
      </c>
      <c r="I229" s="408">
        <v>0.53300000000000003</v>
      </c>
      <c r="J229" s="408">
        <v>0.47399999999999998</v>
      </c>
      <c r="K229" s="408">
        <v>0.21299999999999999</v>
      </c>
      <c r="L229" s="408">
        <v>1.8</v>
      </c>
      <c r="M229" s="408">
        <v>11.4</v>
      </c>
      <c r="N229" s="408">
        <v>6.6</v>
      </c>
      <c r="O229" s="408">
        <v>12.9</v>
      </c>
      <c r="P229" s="408">
        <v>1.6</v>
      </c>
      <c r="Q229" s="408">
        <v>0.5</v>
      </c>
      <c r="R229" s="408">
        <v>8.9</v>
      </c>
      <c r="S229" s="408">
        <v>23.9</v>
      </c>
      <c r="T229" s="408">
        <v>1.4</v>
      </c>
      <c r="U229" s="408">
        <v>1</v>
      </c>
      <c r="V229" s="408">
        <v>2.4</v>
      </c>
      <c r="W229" s="408">
        <v>7.1999999999999995E-2</v>
      </c>
      <c r="X229" s="408">
        <v>1.8</v>
      </c>
      <c r="Y229" s="408">
        <v>-1.8</v>
      </c>
      <c r="Z229" s="408">
        <v>0</v>
      </c>
      <c r="AA229" s="408">
        <v>0.8</v>
      </c>
    </row>
    <row r="230" spans="1:27">
      <c r="A230">
        <v>190</v>
      </c>
      <c r="B230" s="1" t="s">
        <v>286</v>
      </c>
      <c r="C230" s="5" t="s">
        <v>26</v>
      </c>
      <c r="D230" s="408">
        <v>28</v>
      </c>
      <c r="E230" s="5" t="s">
        <v>92</v>
      </c>
      <c r="F230" s="408">
        <v>62</v>
      </c>
      <c r="G230" s="408">
        <v>2208</v>
      </c>
      <c r="H230" s="408">
        <v>30.4</v>
      </c>
      <c r="I230" s="408">
        <v>0.625</v>
      </c>
      <c r="J230" s="408">
        <v>0.51100000000000001</v>
      </c>
      <c r="K230" s="408">
        <v>0.49399999999999999</v>
      </c>
      <c r="L230" s="408">
        <v>1.9</v>
      </c>
      <c r="M230" s="408">
        <v>14.7</v>
      </c>
      <c r="N230" s="408">
        <v>8.4</v>
      </c>
      <c r="O230" s="408">
        <v>44.5</v>
      </c>
      <c r="P230" s="408">
        <v>2.6</v>
      </c>
      <c r="Q230" s="408">
        <v>1.7</v>
      </c>
      <c r="R230" s="408">
        <v>14.7</v>
      </c>
      <c r="S230" s="408">
        <v>36</v>
      </c>
      <c r="T230" s="408">
        <v>10.7</v>
      </c>
      <c r="U230" s="408">
        <v>3.1</v>
      </c>
      <c r="V230" s="408">
        <v>13.8</v>
      </c>
      <c r="W230" s="408">
        <v>0.30099999999999999</v>
      </c>
      <c r="X230" s="408">
        <v>10.199999999999999</v>
      </c>
      <c r="Y230" s="408">
        <v>1.2</v>
      </c>
      <c r="Z230" s="408">
        <v>11.3</v>
      </c>
      <c r="AA230" s="408">
        <v>7.4</v>
      </c>
    </row>
    <row r="231" spans="1:27">
      <c r="A231">
        <v>191</v>
      </c>
      <c r="B231" s="1" t="s">
        <v>494</v>
      </c>
      <c r="C231" s="5" t="s">
        <v>46</v>
      </c>
      <c r="D231" s="408">
        <v>24</v>
      </c>
      <c r="E231" s="5" t="s">
        <v>96</v>
      </c>
      <c r="F231" s="408">
        <v>56</v>
      </c>
      <c r="G231" s="408">
        <v>1173</v>
      </c>
      <c r="H231" s="408">
        <v>11.9</v>
      </c>
      <c r="I231" s="408">
        <v>0.57999999999999996</v>
      </c>
      <c r="J231" s="408">
        <v>0.39400000000000002</v>
      </c>
      <c r="K231" s="408">
        <v>0.186</v>
      </c>
      <c r="L231" s="408">
        <v>4</v>
      </c>
      <c r="M231" s="408">
        <v>10</v>
      </c>
      <c r="N231" s="408">
        <v>7</v>
      </c>
      <c r="O231" s="408">
        <v>5.7</v>
      </c>
      <c r="P231" s="408">
        <v>2</v>
      </c>
      <c r="Q231" s="408">
        <v>2.6</v>
      </c>
      <c r="R231" s="408">
        <v>11.6</v>
      </c>
      <c r="S231" s="408">
        <v>12.6</v>
      </c>
      <c r="T231" s="408">
        <v>1.2</v>
      </c>
      <c r="U231" s="408">
        <v>1.6</v>
      </c>
      <c r="V231" s="408">
        <v>2.8</v>
      </c>
      <c r="W231" s="408">
        <v>0.114</v>
      </c>
      <c r="X231" s="408">
        <v>-0.6</v>
      </c>
      <c r="Y231" s="408">
        <v>2.1</v>
      </c>
      <c r="Z231" s="408">
        <v>1.5</v>
      </c>
      <c r="AA231" s="408">
        <v>1</v>
      </c>
    </row>
    <row r="232" spans="1:27">
      <c r="A232">
        <v>192</v>
      </c>
      <c r="B232" s="1" t="s">
        <v>180</v>
      </c>
      <c r="C232" s="5" t="s">
        <v>83</v>
      </c>
      <c r="D232" s="408">
        <v>24</v>
      </c>
      <c r="E232" s="5" t="s">
        <v>64</v>
      </c>
      <c r="F232" s="408">
        <v>63</v>
      </c>
      <c r="G232" s="408">
        <v>1015</v>
      </c>
      <c r="H232" s="408">
        <v>24.8</v>
      </c>
      <c r="I232" s="408">
        <v>0.65200000000000002</v>
      </c>
      <c r="J232" s="408">
        <v>8.9999999999999993E-3</v>
      </c>
      <c r="K232" s="408">
        <v>0.44</v>
      </c>
      <c r="L232" s="408">
        <v>9.3000000000000007</v>
      </c>
      <c r="M232" s="408">
        <v>17.2</v>
      </c>
      <c r="N232" s="408">
        <v>13.4</v>
      </c>
      <c r="O232" s="408">
        <v>9</v>
      </c>
      <c r="P232" s="408">
        <v>1.4</v>
      </c>
      <c r="Q232" s="408">
        <v>3.7</v>
      </c>
      <c r="R232" s="408">
        <v>10.1</v>
      </c>
      <c r="S232" s="408">
        <v>23.9</v>
      </c>
      <c r="T232" s="408">
        <v>3.3</v>
      </c>
      <c r="U232" s="408">
        <v>1.1000000000000001</v>
      </c>
      <c r="V232" s="408">
        <v>4.5</v>
      </c>
      <c r="W232" s="408">
        <v>0.21099999999999999</v>
      </c>
      <c r="X232" s="408">
        <v>2</v>
      </c>
      <c r="Y232" s="408">
        <v>0.2</v>
      </c>
      <c r="Z232" s="408">
        <v>2.2000000000000002</v>
      </c>
      <c r="AA232" s="408">
        <v>1.1000000000000001</v>
      </c>
    </row>
    <row r="233" spans="1:27">
      <c r="A233">
        <v>193</v>
      </c>
      <c r="B233" s="1" t="s">
        <v>187</v>
      </c>
      <c r="C233" s="5" t="s">
        <v>20</v>
      </c>
      <c r="D233" s="408">
        <v>34</v>
      </c>
      <c r="E233" s="5" t="s">
        <v>357</v>
      </c>
      <c r="F233" s="408">
        <v>60</v>
      </c>
      <c r="G233" s="408">
        <v>1099</v>
      </c>
      <c r="H233" s="408">
        <v>13.4</v>
      </c>
      <c r="I233" s="408">
        <v>0.56200000000000006</v>
      </c>
      <c r="J233" s="408">
        <v>0.48399999999999999</v>
      </c>
      <c r="K233" s="408">
        <v>0.38900000000000001</v>
      </c>
      <c r="L233" s="408">
        <v>1.1000000000000001</v>
      </c>
      <c r="M233" s="408">
        <v>10</v>
      </c>
      <c r="N233" s="408">
        <v>5.5</v>
      </c>
      <c r="O233" s="408">
        <v>16.600000000000001</v>
      </c>
      <c r="P233" s="408">
        <v>2</v>
      </c>
      <c r="Q233" s="408">
        <v>0.9</v>
      </c>
      <c r="R233" s="408">
        <v>12.3</v>
      </c>
      <c r="S233" s="408">
        <v>20.6</v>
      </c>
      <c r="T233" s="408">
        <v>1.3</v>
      </c>
      <c r="U233" s="408">
        <v>0.9</v>
      </c>
      <c r="V233" s="408">
        <v>2.2000000000000002</v>
      </c>
      <c r="W233" s="408">
        <v>9.4E-2</v>
      </c>
      <c r="X233" s="408">
        <v>0</v>
      </c>
      <c r="Y233" s="408">
        <v>-1.4</v>
      </c>
      <c r="Z233" s="408">
        <v>-1.4</v>
      </c>
      <c r="AA233" s="408">
        <v>0.2</v>
      </c>
    </row>
    <row r="234" spans="1:27">
      <c r="A234">
        <v>193</v>
      </c>
      <c r="B234" s="1" t="s">
        <v>187</v>
      </c>
      <c r="C234" s="5" t="s">
        <v>20</v>
      </c>
      <c r="D234" s="408">
        <v>34</v>
      </c>
      <c r="E234" s="5" t="s">
        <v>33</v>
      </c>
      <c r="F234" s="408">
        <v>44</v>
      </c>
      <c r="G234" s="408">
        <v>807</v>
      </c>
      <c r="H234" s="408">
        <v>13.5</v>
      </c>
      <c r="I234" s="408">
        <v>0.56000000000000005</v>
      </c>
      <c r="J234" s="408">
        <v>0.44</v>
      </c>
      <c r="K234" s="408">
        <v>0.39400000000000002</v>
      </c>
      <c r="L234" s="408">
        <v>1.2</v>
      </c>
      <c r="M234" s="408">
        <v>10.9</v>
      </c>
      <c r="N234" s="408">
        <v>5.9</v>
      </c>
      <c r="O234" s="408">
        <v>16.399999999999999</v>
      </c>
      <c r="P234" s="408">
        <v>2.1</v>
      </c>
      <c r="Q234" s="408">
        <v>0.9</v>
      </c>
      <c r="R234" s="408">
        <v>12.8</v>
      </c>
      <c r="S234" s="408">
        <v>21.5</v>
      </c>
      <c r="T234" s="408">
        <v>0.7</v>
      </c>
      <c r="U234" s="408">
        <v>0.7</v>
      </c>
      <c r="V234" s="408">
        <v>1.5</v>
      </c>
      <c r="W234" s="408">
        <v>8.6999999999999994E-2</v>
      </c>
      <c r="X234" s="408">
        <v>-0.4</v>
      </c>
      <c r="Y234" s="408">
        <v>-0.8</v>
      </c>
      <c r="Z234" s="408">
        <v>-1.2</v>
      </c>
      <c r="AA234" s="408">
        <v>0.2</v>
      </c>
    </row>
    <row r="235" spans="1:27">
      <c r="A235">
        <v>193</v>
      </c>
      <c r="B235" s="1" t="s">
        <v>187</v>
      </c>
      <c r="C235" s="5" t="s">
        <v>20</v>
      </c>
      <c r="D235" s="408">
        <v>34</v>
      </c>
      <c r="E235" s="5" t="s">
        <v>61</v>
      </c>
      <c r="F235" s="408">
        <v>16</v>
      </c>
      <c r="G235" s="408">
        <v>292</v>
      </c>
      <c r="H235" s="408">
        <v>13.1</v>
      </c>
      <c r="I235" s="408">
        <v>0.57099999999999995</v>
      </c>
      <c r="J235" s="408">
        <v>0.61699999999999999</v>
      </c>
      <c r="K235" s="408">
        <v>0.372</v>
      </c>
      <c r="L235" s="408">
        <v>0.8</v>
      </c>
      <c r="M235" s="408">
        <v>7.8</v>
      </c>
      <c r="N235" s="408">
        <v>4.3</v>
      </c>
      <c r="O235" s="408">
        <v>17.399999999999999</v>
      </c>
      <c r="P235" s="408">
        <v>1.7</v>
      </c>
      <c r="Q235" s="408">
        <v>0.9</v>
      </c>
      <c r="R235" s="408">
        <v>10.6</v>
      </c>
      <c r="S235" s="408">
        <v>18.2</v>
      </c>
      <c r="T235" s="408">
        <v>0.6</v>
      </c>
      <c r="U235" s="408">
        <v>0.1</v>
      </c>
      <c r="V235" s="408">
        <v>0.7</v>
      </c>
      <c r="W235" s="408">
        <v>0.11600000000000001</v>
      </c>
      <c r="X235" s="408">
        <v>1</v>
      </c>
      <c r="Y235" s="408">
        <v>-3</v>
      </c>
      <c r="Z235" s="408">
        <v>-2</v>
      </c>
      <c r="AA235" s="408">
        <v>0</v>
      </c>
    </row>
    <row r="236" spans="1:27">
      <c r="A236">
        <v>194</v>
      </c>
      <c r="B236" s="1" t="s">
        <v>332</v>
      </c>
      <c r="C236" s="5" t="s">
        <v>26</v>
      </c>
      <c r="D236" s="408">
        <v>23</v>
      </c>
      <c r="E236" s="5" t="s">
        <v>61</v>
      </c>
      <c r="F236" s="408">
        <v>65</v>
      </c>
      <c r="G236" s="408">
        <v>2265</v>
      </c>
      <c r="H236" s="408">
        <v>16.600000000000001</v>
      </c>
      <c r="I236" s="408">
        <v>0.59899999999999998</v>
      </c>
      <c r="J236" s="408">
        <v>0.436</v>
      </c>
      <c r="K236" s="408">
        <v>0.17499999999999999</v>
      </c>
      <c r="L236" s="408">
        <v>1.8</v>
      </c>
      <c r="M236" s="408">
        <v>6.8</v>
      </c>
      <c r="N236" s="408">
        <v>4.3</v>
      </c>
      <c r="O236" s="408">
        <v>13.1</v>
      </c>
      <c r="P236" s="408">
        <v>2.6</v>
      </c>
      <c r="Q236" s="408">
        <v>0.6</v>
      </c>
      <c r="R236" s="408">
        <v>11</v>
      </c>
      <c r="S236" s="408">
        <v>20.6</v>
      </c>
      <c r="T236" s="408">
        <v>3.9</v>
      </c>
      <c r="U236" s="408">
        <v>1.5</v>
      </c>
      <c r="V236" s="408">
        <v>5.5</v>
      </c>
      <c r="W236" s="408">
        <v>0.11600000000000001</v>
      </c>
      <c r="X236" s="408">
        <v>2.5</v>
      </c>
      <c r="Y236" s="408">
        <v>-1.4</v>
      </c>
      <c r="Z236" s="408">
        <v>1.1000000000000001</v>
      </c>
      <c r="AA236" s="408">
        <v>1.8</v>
      </c>
    </row>
    <row r="237" spans="1:27">
      <c r="A237">
        <v>195</v>
      </c>
      <c r="B237" s="1" t="s">
        <v>203</v>
      </c>
      <c r="C237" s="5" t="s">
        <v>26</v>
      </c>
      <c r="D237" s="408">
        <v>26</v>
      </c>
      <c r="E237" s="5" t="s">
        <v>315</v>
      </c>
      <c r="F237" s="408">
        <v>69</v>
      </c>
      <c r="G237" s="408">
        <v>1741</v>
      </c>
      <c r="H237" s="408">
        <v>12.2</v>
      </c>
      <c r="I237" s="408">
        <v>0.61399999999999999</v>
      </c>
      <c r="J237" s="408">
        <v>0.58299999999999996</v>
      </c>
      <c r="K237" s="408">
        <v>0.161</v>
      </c>
      <c r="L237" s="408">
        <v>2.8</v>
      </c>
      <c r="M237" s="408">
        <v>11.1</v>
      </c>
      <c r="N237" s="408">
        <v>6.9</v>
      </c>
      <c r="O237" s="408">
        <v>9.5</v>
      </c>
      <c r="P237" s="408">
        <v>0.8</v>
      </c>
      <c r="Q237" s="408">
        <v>0.7</v>
      </c>
      <c r="R237" s="408">
        <v>12</v>
      </c>
      <c r="S237" s="408">
        <v>16.3</v>
      </c>
      <c r="T237" s="408">
        <v>2.2000000000000002</v>
      </c>
      <c r="U237" s="408">
        <v>0.8</v>
      </c>
      <c r="V237" s="408">
        <v>3</v>
      </c>
      <c r="W237" s="408">
        <v>8.3000000000000004E-2</v>
      </c>
      <c r="X237" s="408">
        <v>0.7</v>
      </c>
      <c r="Y237" s="408">
        <v>-1.3</v>
      </c>
      <c r="Z237" s="408">
        <v>-0.5</v>
      </c>
      <c r="AA237" s="408">
        <v>0.6</v>
      </c>
    </row>
    <row r="238" spans="1:27">
      <c r="A238">
        <v>196</v>
      </c>
      <c r="B238" s="1" t="s">
        <v>331</v>
      </c>
      <c r="C238" s="5" t="s">
        <v>38</v>
      </c>
      <c r="D238" s="408">
        <v>25</v>
      </c>
      <c r="E238" s="5" t="s">
        <v>357</v>
      </c>
      <c r="F238" s="408">
        <v>67</v>
      </c>
      <c r="G238" s="408">
        <v>2238</v>
      </c>
      <c r="H238" s="408">
        <v>17.399999999999999</v>
      </c>
      <c r="I238" s="408">
        <v>0.56899999999999995</v>
      </c>
      <c r="J238" s="408">
        <v>0.38</v>
      </c>
      <c r="K238" s="408">
        <v>0.18099999999999999</v>
      </c>
      <c r="L238" s="408">
        <v>2.5</v>
      </c>
      <c r="M238" s="408">
        <v>15.9</v>
      </c>
      <c r="N238" s="408">
        <v>9.1999999999999993</v>
      </c>
      <c r="O238" s="408">
        <v>11.2</v>
      </c>
      <c r="P238" s="408">
        <v>1.3</v>
      </c>
      <c r="Q238" s="408">
        <v>1.1000000000000001</v>
      </c>
      <c r="R238" s="408">
        <v>7.1</v>
      </c>
      <c r="S238" s="408">
        <v>23.2</v>
      </c>
      <c r="T238" s="408">
        <v>3.7</v>
      </c>
      <c r="U238" s="408">
        <v>2.2000000000000002</v>
      </c>
      <c r="V238" s="408">
        <v>5.9</v>
      </c>
      <c r="W238" s="408">
        <v>0.126</v>
      </c>
      <c r="X238" s="408">
        <v>1.7</v>
      </c>
      <c r="Y238" s="408">
        <v>-0.7</v>
      </c>
      <c r="Z238" s="408">
        <v>1</v>
      </c>
      <c r="AA238" s="408">
        <v>1.7</v>
      </c>
    </row>
    <row r="239" spans="1:27">
      <c r="A239">
        <v>196</v>
      </c>
      <c r="B239" s="1" t="s">
        <v>331</v>
      </c>
      <c r="C239" s="5" t="s">
        <v>38</v>
      </c>
      <c r="D239" s="408">
        <v>25</v>
      </c>
      <c r="E239" s="5" t="s">
        <v>157</v>
      </c>
      <c r="F239" s="408">
        <v>48</v>
      </c>
      <c r="G239" s="408">
        <v>1563</v>
      </c>
      <c r="H239" s="408">
        <v>16.8</v>
      </c>
      <c r="I239" s="408">
        <v>0.56399999999999995</v>
      </c>
      <c r="J239" s="408">
        <v>0.38900000000000001</v>
      </c>
      <c r="K239" s="408">
        <v>0.192</v>
      </c>
      <c r="L239" s="408">
        <v>2.5</v>
      </c>
      <c r="M239" s="408">
        <v>15.2</v>
      </c>
      <c r="N239" s="408">
        <v>8.6999999999999993</v>
      </c>
      <c r="O239" s="408">
        <v>10.1</v>
      </c>
      <c r="P239" s="408">
        <v>1.1000000000000001</v>
      </c>
      <c r="Q239" s="408">
        <v>0.9</v>
      </c>
      <c r="R239" s="408">
        <v>6.2</v>
      </c>
      <c r="S239" s="408">
        <v>23.2</v>
      </c>
      <c r="T239" s="408">
        <v>2.6</v>
      </c>
      <c r="U239" s="408">
        <v>1.4</v>
      </c>
      <c r="V239" s="408">
        <v>4</v>
      </c>
      <c r="W239" s="408">
        <v>0.123</v>
      </c>
      <c r="X239" s="408">
        <v>1.4</v>
      </c>
      <c r="Y239" s="408">
        <v>-1.2</v>
      </c>
      <c r="Z239" s="408">
        <v>0.3</v>
      </c>
      <c r="AA239" s="408">
        <v>0.9</v>
      </c>
    </row>
    <row r="240" spans="1:27">
      <c r="A240">
        <v>196</v>
      </c>
      <c r="B240" s="1" t="s">
        <v>331</v>
      </c>
      <c r="C240" s="5" t="s">
        <v>38</v>
      </c>
      <c r="D240" s="408">
        <v>25</v>
      </c>
      <c r="E240" s="5" t="s">
        <v>64</v>
      </c>
      <c r="F240" s="408">
        <v>19</v>
      </c>
      <c r="G240" s="408">
        <v>675</v>
      </c>
      <c r="H240" s="408">
        <v>18.8</v>
      </c>
      <c r="I240" s="408">
        <v>0.57899999999999996</v>
      </c>
      <c r="J240" s="408">
        <v>0.35699999999999998</v>
      </c>
      <c r="K240" s="408">
        <v>0.156</v>
      </c>
      <c r="L240" s="408">
        <v>2.6</v>
      </c>
      <c r="M240" s="408">
        <v>17.7</v>
      </c>
      <c r="N240" s="408">
        <v>10.3</v>
      </c>
      <c r="O240" s="408">
        <v>14</v>
      </c>
      <c r="P240" s="408">
        <v>1.9</v>
      </c>
      <c r="Q240" s="408">
        <v>1.7</v>
      </c>
      <c r="R240" s="408">
        <v>9.1</v>
      </c>
      <c r="S240" s="408">
        <v>23.2</v>
      </c>
      <c r="T240" s="408">
        <v>1.1000000000000001</v>
      </c>
      <c r="U240" s="408">
        <v>0.7</v>
      </c>
      <c r="V240" s="408">
        <v>1.9</v>
      </c>
      <c r="W240" s="408">
        <v>0.13300000000000001</v>
      </c>
      <c r="X240" s="408">
        <v>2.1</v>
      </c>
      <c r="Y240" s="408">
        <v>0.4</v>
      </c>
      <c r="Z240" s="408">
        <v>2.6</v>
      </c>
      <c r="AA240" s="408">
        <v>0.8</v>
      </c>
    </row>
    <row r="241" spans="1:27">
      <c r="A241">
        <v>197</v>
      </c>
      <c r="B241" s="1" t="s">
        <v>470</v>
      </c>
      <c r="C241" s="5" t="s">
        <v>20</v>
      </c>
      <c r="D241" s="408">
        <v>23</v>
      </c>
      <c r="E241" s="5" t="s">
        <v>128</v>
      </c>
      <c r="F241" s="408">
        <v>53</v>
      </c>
      <c r="G241" s="408">
        <v>1239</v>
      </c>
      <c r="H241" s="408">
        <v>12.8</v>
      </c>
      <c r="I241" s="408">
        <v>0.53700000000000003</v>
      </c>
      <c r="J241" s="408">
        <v>0.32900000000000001</v>
      </c>
      <c r="K241" s="408">
        <v>0.38400000000000001</v>
      </c>
      <c r="L241" s="408">
        <v>1.9</v>
      </c>
      <c r="M241" s="408">
        <v>9.9</v>
      </c>
      <c r="N241" s="408">
        <v>5.8</v>
      </c>
      <c r="O241" s="408">
        <v>21.2</v>
      </c>
      <c r="P241" s="408">
        <v>1.5</v>
      </c>
      <c r="Q241" s="408">
        <v>1.9</v>
      </c>
      <c r="R241" s="408">
        <v>14</v>
      </c>
      <c r="S241" s="408">
        <v>19.7</v>
      </c>
      <c r="T241" s="408">
        <v>1</v>
      </c>
      <c r="U241" s="408">
        <v>0.8</v>
      </c>
      <c r="V241" s="408">
        <v>1.8</v>
      </c>
      <c r="W241" s="408">
        <v>6.9000000000000006E-2</v>
      </c>
      <c r="X241" s="408">
        <v>-1</v>
      </c>
      <c r="Y241" s="408">
        <v>-1.2</v>
      </c>
      <c r="Z241" s="408">
        <v>-2.2000000000000002</v>
      </c>
      <c r="AA241" s="408">
        <v>-0.1</v>
      </c>
    </row>
    <row r="242" spans="1:27">
      <c r="A242">
        <v>198</v>
      </c>
      <c r="B242" s="1" t="s">
        <v>1041</v>
      </c>
      <c r="C242" s="5" t="s">
        <v>20</v>
      </c>
      <c r="D242" s="408">
        <v>24</v>
      </c>
      <c r="E242" s="5" t="s">
        <v>313</v>
      </c>
      <c r="F242" s="408">
        <v>12</v>
      </c>
      <c r="G242" s="408">
        <v>170</v>
      </c>
      <c r="H242" s="408">
        <v>14.8</v>
      </c>
      <c r="I242" s="408">
        <v>0.51</v>
      </c>
      <c r="J242" s="408">
        <v>0.21199999999999999</v>
      </c>
      <c r="K242" s="408">
        <v>0.38500000000000001</v>
      </c>
      <c r="L242" s="408">
        <v>3.1</v>
      </c>
      <c r="M242" s="408">
        <v>20.6</v>
      </c>
      <c r="N242" s="408">
        <v>11.7</v>
      </c>
      <c r="O242" s="408">
        <v>19.5</v>
      </c>
      <c r="P242" s="408">
        <v>3.7</v>
      </c>
      <c r="Q242" s="408">
        <v>2.4</v>
      </c>
      <c r="R242" s="408">
        <v>14.1</v>
      </c>
      <c r="S242" s="408">
        <v>17.600000000000001</v>
      </c>
      <c r="T242" s="408">
        <v>0.1</v>
      </c>
      <c r="U242" s="408">
        <v>0.2</v>
      </c>
      <c r="V242" s="408">
        <v>0.3</v>
      </c>
      <c r="W242" s="408">
        <v>8.2000000000000003E-2</v>
      </c>
      <c r="X242" s="408">
        <v>-1.9</v>
      </c>
      <c r="Y242" s="408">
        <v>2.5</v>
      </c>
      <c r="Z242" s="408">
        <v>0.6</v>
      </c>
      <c r="AA242" s="408">
        <v>0.1</v>
      </c>
    </row>
    <row r="243" spans="1:27">
      <c r="A243">
        <v>199</v>
      </c>
      <c r="B243" s="1" t="s">
        <v>464</v>
      </c>
      <c r="C243" s="5" t="s">
        <v>26</v>
      </c>
      <c r="D243" s="408">
        <v>22</v>
      </c>
      <c r="E243" s="5" t="s">
        <v>78</v>
      </c>
      <c r="F243" s="408">
        <v>55</v>
      </c>
      <c r="G243" s="408">
        <v>1182</v>
      </c>
      <c r="H243" s="408">
        <v>11.2</v>
      </c>
      <c r="I243" s="408">
        <v>0.58299999999999996</v>
      </c>
      <c r="J243" s="408">
        <v>0.53200000000000003</v>
      </c>
      <c r="K243" s="408">
        <v>0.22500000000000001</v>
      </c>
      <c r="L243" s="408">
        <v>3</v>
      </c>
      <c r="M243" s="408">
        <v>15.6</v>
      </c>
      <c r="N243" s="408">
        <v>9.3000000000000007</v>
      </c>
      <c r="O243" s="408">
        <v>7.5</v>
      </c>
      <c r="P243" s="408">
        <v>1.6</v>
      </c>
      <c r="Q243" s="408">
        <v>0.8</v>
      </c>
      <c r="R243" s="408">
        <v>10.1</v>
      </c>
      <c r="S243" s="408">
        <v>12.4</v>
      </c>
      <c r="T243" s="408">
        <v>1.3</v>
      </c>
      <c r="U243" s="408">
        <v>1.2</v>
      </c>
      <c r="V243" s="408">
        <v>2.5</v>
      </c>
      <c r="W243" s="408">
        <v>0.10100000000000001</v>
      </c>
      <c r="X243" s="408">
        <v>-0.8</v>
      </c>
      <c r="Y243" s="408">
        <v>0.3</v>
      </c>
      <c r="Z243" s="408">
        <v>-0.5</v>
      </c>
      <c r="AA243" s="408">
        <v>0.5</v>
      </c>
    </row>
    <row r="244" spans="1:27">
      <c r="A244">
        <v>200</v>
      </c>
      <c r="B244" s="1" t="s">
        <v>51</v>
      </c>
      <c r="C244" s="5" t="s">
        <v>83</v>
      </c>
      <c r="D244" s="408">
        <v>37</v>
      </c>
      <c r="E244" s="5" t="s">
        <v>50</v>
      </c>
      <c r="F244" s="408">
        <v>12</v>
      </c>
      <c r="G244" s="408">
        <v>61</v>
      </c>
      <c r="H244" s="408">
        <v>3.8</v>
      </c>
      <c r="I244" s="408">
        <v>0.29199999999999998</v>
      </c>
      <c r="J244" s="408">
        <v>0.5</v>
      </c>
      <c r="K244" s="408">
        <v>0</v>
      </c>
      <c r="L244" s="408">
        <v>5.6</v>
      </c>
      <c r="M244" s="408">
        <v>11.2</v>
      </c>
      <c r="N244" s="408">
        <v>8.3000000000000007</v>
      </c>
      <c r="O244" s="408">
        <v>11</v>
      </c>
      <c r="P244" s="408">
        <v>0</v>
      </c>
      <c r="Q244" s="408">
        <v>2.8</v>
      </c>
      <c r="R244" s="408">
        <v>14.3</v>
      </c>
      <c r="S244" s="408">
        <v>10.3</v>
      </c>
      <c r="T244" s="408">
        <v>-0.1</v>
      </c>
      <c r="U244" s="408">
        <v>0</v>
      </c>
      <c r="V244" s="408">
        <v>0</v>
      </c>
      <c r="W244" s="408">
        <v>-2.7E-2</v>
      </c>
      <c r="X244" s="408">
        <v>-6.2</v>
      </c>
      <c r="Y244" s="408">
        <v>0</v>
      </c>
      <c r="Z244" s="408">
        <v>-6.2</v>
      </c>
      <c r="AA244" s="408">
        <v>-0.1</v>
      </c>
    </row>
    <row r="245" spans="1:27">
      <c r="A245">
        <v>201</v>
      </c>
      <c r="B245" s="1" t="s">
        <v>721</v>
      </c>
      <c r="C245" s="5" t="s">
        <v>46</v>
      </c>
      <c r="D245" s="408">
        <v>23</v>
      </c>
      <c r="E245" s="5" t="s">
        <v>357</v>
      </c>
      <c r="F245" s="408">
        <v>4</v>
      </c>
      <c r="G245" s="408">
        <v>17</v>
      </c>
      <c r="H245" s="408">
        <v>18.600000000000001</v>
      </c>
      <c r="I245" s="408">
        <v>0.82699999999999996</v>
      </c>
      <c r="J245" s="408">
        <v>0.8</v>
      </c>
      <c r="K245" s="408">
        <v>0.2</v>
      </c>
      <c r="L245" s="408">
        <v>0</v>
      </c>
      <c r="M245" s="408">
        <v>0</v>
      </c>
      <c r="N245" s="408">
        <v>0</v>
      </c>
      <c r="O245" s="408">
        <v>15.6</v>
      </c>
      <c r="P245" s="408">
        <v>0</v>
      </c>
      <c r="Q245" s="408">
        <v>0</v>
      </c>
      <c r="R245" s="408">
        <v>15.5</v>
      </c>
      <c r="S245" s="408">
        <v>16.2</v>
      </c>
      <c r="T245" s="408">
        <v>0</v>
      </c>
      <c r="U245" s="408">
        <v>0</v>
      </c>
      <c r="V245" s="408">
        <v>0</v>
      </c>
      <c r="W245" s="408">
        <v>5.5E-2</v>
      </c>
      <c r="X245" s="408">
        <v>2.8</v>
      </c>
      <c r="Y245" s="408">
        <v>-8.1999999999999993</v>
      </c>
      <c r="Z245" s="408">
        <v>-5.4</v>
      </c>
      <c r="AA245" s="408">
        <v>0</v>
      </c>
    </row>
    <row r="246" spans="1:27">
      <c r="A246">
        <v>201</v>
      </c>
      <c r="B246" s="1" t="s">
        <v>721</v>
      </c>
      <c r="C246" s="5" t="s">
        <v>46</v>
      </c>
      <c r="D246" s="408">
        <v>23</v>
      </c>
      <c r="E246" s="5" t="s">
        <v>78</v>
      </c>
      <c r="F246" s="408">
        <v>2</v>
      </c>
      <c r="G246" s="408">
        <v>11</v>
      </c>
      <c r="H246" s="408">
        <v>9.8000000000000007</v>
      </c>
      <c r="I246" s="408">
        <v>0.436</v>
      </c>
      <c r="J246" s="408">
        <v>0.66700000000000004</v>
      </c>
      <c r="K246" s="408">
        <v>0.33300000000000002</v>
      </c>
      <c r="L246" s="408">
        <v>0</v>
      </c>
      <c r="M246" s="408">
        <v>0</v>
      </c>
      <c r="N246" s="408">
        <v>0</v>
      </c>
      <c r="O246" s="408">
        <v>24.1</v>
      </c>
      <c r="P246" s="408">
        <v>0</v>
      </c>
      <c r="Q246" s="408">
        <v>0</v>
      </c>
      <c r="R246" s="408">
        <v>0</v>
      </c>
      <c r="S246" s="408">
        <v>13.2</v>
      </c>
      <c r="T246" s="408">
        <v>0</v>
      </c>
      <c r="U246" s="408">
        <v>0</v>
      </c>
      <c r="V246" s="408">
        <v>0</v>
      </c>
      <c r="W246" s="408">
        <v>6.9000000000000006E-2</v>
      </c>
      <c r="X246" s="408">
        <v>-3.6</v>
      </c>
      <c r="Y246" s="408">
        <v>-9.3000000000000007</v>
      </c>
      <c r="Z246" s="408">
        <v>-12.8</v>
      </c>
      <c r="AA246" s="408">
        <v>0</v>
      </c>
    </row>
    <row r="247" spans="1:27">
      <c r="A247">
        <v>201</v>
      </c>
      <c r="B247" s="1" t="s">
        <v>721</v>
      </c>
      <c r="C247" s="5" t="s">
        <v>46</v>
      </c>
      <c r="D247" s="408">
        <v>23</v>
      </c>
      <c r="E247" s="5" t="s">
        <v>47</v>
      </c>
      <c r="F247" s="408">
        <v>2</v>
      </c>
      <c r="G247" s="408">
        <v>6</v>
      </c>
      <c r="H247" s="408">
        <v>34.9</v>
      </c>
      <c r="I247" s="408">
        <v>1.5</v>
      </c>
      <c r="J247" s="408">
        <v>1</v>
      </c>
      <c r="K247" s="408">
        <v>0</v>
      </c>
      <c r="L247" s="408">
        <v>0</v>
      </c>
      <c r="M247" s="408">
        <v>0</v>
      </c>
      <c r="N247" s="408">
        <v>0</v>
      </c>
      <c r="O247" s="408">
        <v>0</v>
      </c>
      <c r="P247" s="408">
        <v>0</v>
      </c>
      <c r="Q247" s="408">
        <v>0</v>
      </c>
      <c r="R247" s="408">
        <v>33.299999999999997</v>
      </c>
      <c r="S247" s="408">
        <v>21.8</v>
      </c>
      <c r="T247" s="408">
        <v>0</v>
      </c>
      <c r="U247" s="408">
        <v>0</v>
      </c>
      <c r="V247" s="408">
        <v>0</v>
      </c>
      <c r="W247" s="408">
        <v>2.8000000000000001E-2</v>
      </c>
      <c r="X247" s="408">
        <v>14.4</v>
      </c>
      <c r="Y247" s="408">
        <v>-6.3</v>
      </c>
      <c r="Z247" s="408">
        <v>8.1</v>
      </c>
      <c r="AA247" s="408">
        <v>0</v>
      </c>
    </row>
    <row r="248" spans="1:27">
      <c r="A248">
        <v>202</v>
      </c>
      <c r="B248" s="1" t="s">
        <v>635</v>
      </c>
      <c r="C248" s="5" t="s">
        <v>46</v>
      </c>
      <c r="D248" s="408">
        <v>27</v>
      </c>
      <c r="E248" s="5" t="s">
        <v>87</v>
      </c>
      <c r="F248" s="408">
        <v>1</v>
      </c>
      <c r="G248" s="408">
        <v>5</v>
      </c>
      <c r="H248" s="408">
        <v>7.3</v>
      </c>
      <c r="I248" s="408">
        <v>0.5</v>
      </c>
      <c r="J248" s="408">
        <v>0.5</v>
      </c>
      <c r="K248" s="408">
        <v>0</v>
      </c>
      <c r="L248" s="408">
        <v>0</v>
      </c>
      <c r="M248" s="408">
        <v>21.5</v>
      </c>
      <c r="N248" s="408">
        <v>10.9</v>
      </c>
      <c r="O248" s="408">
        <v>0</v>
      </c>
      <c r="P248" s="408">
        <v>0</v>
      </c>
      <c r="Q248" s="408">
        <v>0</v>
      </c>
      <c r="R248" s="408">
        <v>0</v>
      </c>
      <c r="S248" s="408">
        <v>17.899999999999999</v>
      </c>
      <c r="T248" s="408">
        <v>0</v>
      </c>
      <c r="U248" s="408">
        <v>0</v>
      </c>
      <c r="V248" s="408">
        <v>0</v>
      </c>
      <c r="W248" s="408">
        <v>5.7000000000000002E-2</v>
      </c>
      <c r="X248" s="408">
        <v>-6</v>
      </c>
      <c r="Y248" s="408">
        <v>-6</v>
      </c>
      <c r="Z248" s="408">
        <v>-11.9</v>
      </c>
      <c r="AA248" s="408">
        <v>0</v>
      </c>
    </row>
    <row r="249" spans="1:27">
      <c r="A249">
        <v>203</v>
      </c>
      <c r="B249" s="1" t="s">
        <v>839</v>
      </c>
      <c r="C249" s="5" t="s">
        <v>26</v>
      </c>
      <c r="D249" s="408">
        <v>26</v>
      </c>
      <c r="E249" s="5" t="s">
        <v>157</v>
      </c>
      <c r="F249" s="408">
        <v>2</v>
      </c>
      <c r="G249" s="408">
        <v>3</v>
      </c>
      <c r="H249" s="408">
        <v>44.4</v>
      </c>
      <c r="I249" s="408">
        <v>1.5</v>
      </c>
      <c r="J249" s="408">
        <v>1</v>
      </c>
      <c r="K249" s="408">
        <v>0</v>
      </c>
      <c r="L249" s="408">
        <v>0</v>
      </c>
      <c r="M249" s="408">
        <v>0</v>
      </c>
      <c r="N249" s="408">
        <v>0</v>
      </c>
      <c r="O249" s="408">
        <v>0</v>
      </c>
      <c r="P249" s="408">
        <v>0</v>
      </c>
      <c r="Q249" s="408">
        <v>0</v>
      </c>
      <c r="R249" s="408">
        <v>0</v>
      </c>
      <c r="S249" s="408">
        <v>14.8</v>
      </c>
      <c r="T249" s="408">
        <v>0</v>
      </c>
      <c r="U249" s="408">
        <v>0</v>
      </c>
      <c r="V249" s="408">
        <v>0</v>
      </c>
      <c r="W249" s="408">
        <v>0.23300000000000001</v>
      </c>
      <c r="X249" s="408">
        <v>20.7</v>
      </c>
      <c r="Y249" s="408">
        <v>-6.7</v>
      </c>
      <c r="Z249" s="408">
        <v>14</v>
      </c>
      <c r="AA249" s="408">
        <v>0</v>
      </c>
    </row>
    <row r="250" spans="1:27">
      <c r="A250">
        <v>204</v>
      </c>
      <c r="B250" s="1" t="s">
        <v>793</v>
      </c>
      <c r="C250" s="5" t="s">
        <v>46</v>
      </c>
      <c r="D250" s="408">
        <v>25</v>
      </c>
      <c r="E250" s="5" t="s">
        <v>128</v>
      </c>
      <c r="F250" s="408">
        <v>15</v>
      </c>
      <c r="G250" s="408">
        <v>279</v>
      </c>
      <c r="H250" s="408">
        <v>9.9</v>
      </c>
      <c r="I250" s="408">
        <v>0.49199999999999999</v>
      </c>
      <c r="J250" s="408">
        <v>0.55100000000000005</v>
      </c>
      <c r="K250" s="408">
        <v>0.128</v>
      </c>
      <c r="L250" s="408">
        <v>2.8</v>
      </c>
      <c r="M250" s="408">
        <v>7.6</v>
      </c>
      <c r="N250" s="408">
        <v>5.2</v>
      </c>
      <c r="O250" s="408">
        <v>8.8000000000000007</v>
      </c>
      <c r="P250" s="408">
        <v>3.8</v>
      </c>
      <c r="Q250" s="408">
        <v>1.7</v>
      </c>
      <c r="R250" s="408">
        <v>14.5</v>
      </c>
      <c r="S250" s="408">
        <v>15.6</v>
      </c>
      <c r="T250" s="408">
        <v>-0.2</v>
      </c>
      <c r="U250" s="408">
        <v>0.3</v>
      </c>
      <c r="V250" s="408">
        <v>0.2</v>
      </c>
      <c r="W250" s="408">
        <v>2.9000000000000001E-2</v>
      </c>
      <c r="X250" s="408">
        <v>-2.2000000000000002</v>
      </c>
      <c r="Y250" s="408">
        <v>0.9</v>
      </c>
      <c r="Z250" s="408">
        <v>-1.3</v>
      </c>
      <c r="AA250" s="408">
        <v>0</v>
      </c>
    </row>
    <row r="251" spans="1:27">
      <c r="A251">
        <v>205</v>
      </c>
      <c r="B251" s="1" t="s">
        <v>582</v>
      </c>
      <c r="C251" s="5" t="s">
        <v>83</v>
      </c>
      <c r="D251" s="408">
        <v>27</v>
      </c>
      <c r="E251" s="5" t="s">
        <v>41</v>
      </c>
      <c r="F251" s="408">
        <v>65</v>
      </c>
      <c r="G251" s="408">
        <v>1671</v>
      </c>
      <c r="H251" s="408">
        <v>15.6</v>
      </c>
      <c r="I251" s="408">
        <v>0.58599999999999997</v>
      </c>
      <c r="J251" s="408">
        <v>8.9999999999999993E-3</v>
      </c>
      <c r="K251" s="408">
        <v>0.33500000000000002</v>
      </c>
      <c r="L251" s="408">
        <v>9.1999999999999993</v>
      </c>
      <c r="M251" s="408">
        <v>22</v>
      </c>
      <c r="N251" s="408">
        <v>15.6</v>
      </c>
      <c r="O251" s="408">
        <v>7.7</v>
      </c>
      <c r="P251" s="408">
        <v>1</v>
      </c>
      <c r="Q251" s="408">
        <v>4.8</v>
      </c>
      <c r="R251" s="408">
        <v>13.4</v>
      </c>
      <c r="S251" s="408">
        <v>15.2</v>
      </c>
      <c r="T251" s="408">
        <v>2.2999999999999998</v>
      </c>
      <c r="U251" s="408">
        <v>1.9</v>
      </c>
      <c r="V251" s="408">
        <v>4.2</v>
      </c>
      <c r="W251" s="408">
        <v>0.12</v>
      </c>
      <c r="X251" s="408">
        <v>-1.7</v>
      </c>
      <c r="Y251" s="408">
        <v>1.7</v>
      </c>
      <c r="Z251" s="408">
        <v>0</v>
      </c>
      <c r="AA251" s="408">
        <v>0.9</v>
      </c>
    </row>
    <row r="252" spans="1:27">
      <c r="A252">
        <v>206</v>
      </c>
      <c r="B252" s="1" t="s">
        <v>474</v>
      </c>
      <c r="C252" s="5" t="s">
        <v>38</v>
      </c>
      <c r="D252" s="408">
        <v>22</v>
      </c>
      <c r="E252" s="5" t="s">
        <v>61</v>
      </c>
      <c r="F252" s="408">
        <v>22</v>
      </c>
      <c r="G252" s="408">
        <v>251</v>
      </c>
      <c r="H252" s="408">
        <v>9.9</v>
      </c>
      <c r="I252" s="408">
        <v>0.505</v>
      </c>
      <c r="J252" s="408">
        <v>0.627</v>
      </c>
      <c r="K252" s="408">
        <v>0.17899999999999999</v>
      </c>
      <c r="L252" s="408">
        <v>7.6</v>
      </c>
      <c r="M252" s="408">
        <v>16.2</v>
      </c>
      <c r="N252" s="408">
        <v>11.9</v>
      </c>
      <c r="O252" s="408">
        <v>4.9000000000000004</v>
      </c>
      <c r="P252" s="408">
        <v>1.2</v>
      </c>
      <c r="Q252" s="408">
        <v>1</v>
      </c>
      <c r="R252" s="408">
        <v>10</v>
      </c>
      <c r="S252" s="408">
        <v>13.9</v>
      </c>
      <c r="T252" s="408">
        <v>0.2</v>
      </c>
      <c r="U252" s="408">
        <v>0.1</v>
      </c>
      <c r="V252" s="408">
        <v>0.3</v>
      </c>
      <c r="W252" s="408">
        <v>0.06</v>
      </c>
      <c r="X252" s="408">
        <v>-1.5</v>
      </c>
      <c r="Y252" s="408">
        <v>-2.1</v>
      </c>
      <c r="Z252" s="408">
        <v>-3.6</v>
      </c>
      <c r="AA252" s="408">
        <v>-0.1</v>
      </c>
    </row>
    <row r="253" spans="1:27">
      <c r="A253">
        <v>207</v>
      </c>
      <c r="B253" s="1" t="s">
        <v>612</v>
      </c>
      <c r="C253" s="5" t="s">
        <v>83</v>
      </c>
      <c r="D253" s="408">
        <v>23</v>
      </c>
      <c r="E253" s="5" t="s">
        <v>357</v>
      </c>
      <c r="F253" s="408">
        <v>37</v>
      </c>
      <c r="G253" s="408">
        <v>310</v>
      </c>
      <c r="H253" s="408">
        <v>17.100000000000001</v>
      </c>
      <c r="I253" s="408">
        <v>0.57799999999999996</v>
      </c>
      <c r="J253" s="408">
        <v>7.4999999999999997E-2</v>
      </c>
      <c r="K253" s="408">
        <v>0.44900000000000001</v>
      </c>
      <c r="L253" s="408">
        <v>11</v>
      </c>
      <c r="M253" s="408">
        <v>22.5</v>
      </c>
      <c r="N253" s="408">
        <v>16.7</v>
      </c>
      <c r="O253" s="408">
        <v>11.8</v>
      </c>
      <c r="P253" s="408">
        <v>1.8</v>
      </c>
      <c r="Q253" s="408">
        <v>2.8</v>
      </c>
      <c r="R253" s="408">
        <v>19</v>
      </c>
      <c r="S253" s="408">
        <v>22.2</v>
      </c>
      <c r="T253" s="408">
        <v>0.2</v>
      </c>
      <c r="U253" s="408">
        <v>0.4</v>
      </c>
      <c r="V253" s="408">
        <v>0.6</v>
      </c>
      <c r="W253" s="408">
        <v>8.7999999999999995E-2</v>
      </c>
      <c r="X253" s="408">
        <v>-1.7</v>
      </c>
      <c r="Y253" s="408">
        <v>0.5</v>
      </c>
      <c r="Z253" s="408">
        <v>-1.2</v>
      </c>
      <c r="AA253" s="408">
        <v>0.1</v>
      </c>
    </row>
    <row r="254" spans="1:27">
      <c r="A254">
        <v>207</v>
      </c>
      <c r="B254" s="1" t="s">
        <v>612</v>
      </c>
      <c r="C254" s="5" t="s">
        <v>83</v>
      </c>
      <c r="D254" s="408">
        <v>23</v>
      </c>
      <c r="E254" s="5" t="s">
        <v>21</v>
      </c>
      <c r="F254" s="408">
        <v>26</v>
      </c>
      <c r="G254" s="408">
        <v>233</v>
      </c>
      <c r="H254" s="408">
        <v>16.899999999999999</v>
      </c>
      <c r="I254" s="408">
        <v>0.59499999999999997</v>
      </c>
      <c r="J254" s="408">
        <v>6.2E-2</v>
      </c>
      <c r="K254" s="408">
        <v>0.34599999999999997</v>
      </c>
      <c r="L254" s="408">
        <v>10.6</v>
      </c>
      <c r="M254" s="408">
        <v>21.3</v>
      </c>
      <c r="N254" s="408">
        <v>16</v>
      </c>
      <c r="O254" s="408">
        <v>14.4</v>
      </c>
      <c r="P254" s="408">
        <v>1.7</v>
      </c>
      <c r="Q254" s="408">
        <v>2.6</v>
      </c>
      <c r="R254" s="408">
        <v>21.8</v>
      </c>
      <c r="S254" s="408">
        <v>22.3</v>
      </c>
      <c r="T254" s="408">
        <v>0.1</v>
      </c>
      <c r="U254" s="408">
        <v>0.3</v>
      </c>
      <c r="V254" s="408">
        <v>0.3</v>
      </c>
      <c r="W254" s="408">
        <v>7.1999999999999995E-2</v>
      </c>
      <c r="X254" s="408">
        <v>-1.3</v>
      </c>
      <c r="Y254" s="408">
        <v>0.9</v>
      </c>
      <c r="Z254" s="408">
        <v>-0.4</v>
      </c>
      <c r="AA254" s="408">
        <v>0.1</v>
      </c>
    </row>
    <row r="255" spans="1:27">
      <c r="A255">
        <v>207</v>
      </c>
      <c r="B255" s="1" t="s">
        <v>612</v>
      </c>
      <c r="C255" s="5" t="s">
        <v>83</v>
      </c>
      <c r="D255" s="408">
        <v>23</v>
      </c>
      <c r="E255" s="5" t="s">
        <v>311</v>
      </c>
      <c r="F255" s="408">
        <v>11</v>
      </c>
      <c r="G255" s="408">
        <v>77</v>
      </c>
      <c r="H255" s="408">
        <v>17.7</v>
      </c>
      <c r="I255" s="408">
        <v>0.53200000000000003</v>
      </c>
      <c r="J255" s="408">
        <v>0.115</v>
      </c>
      <c r="K255" s="408">
        <v>0.76900000000000002</v>
      </c>
      <c r="L255" s="408">
        <v>12.4</v>
      </c>
      <c r="M255" s="408">
        <v>26.1</v>
      </c>
      <c r="N255" s="408">
        <v>19.100000000000001</v>
      </c>
      <c r="O255" s="408">
        <v>3.9</v>
      </c>
      <c r="P255" s="408">
        <v>1.9</v>
      </c>
      <c r="Q255" s="408">
        <v>3.3</v>
      </c>
      <c r="R255" s="408">
        <v>10.3</v>
      </c>
      <c r="S255" s="408">
        <v>21.9</v>
      </c>
      <c r="T255" s="408">
        <v>0.1</v>
      </c>
      <c r="U255" s="408">
        <v>0.1</v>
      </c>
      <c r="V255" s="408">
        <v>0.2</v>
      </c>
      <c r="W255" s="408">
        <v>0.13700000000000001</v>
      </c>
      <c r="X255" s="408">
        <v>-3</v>
      </c>
      <c r="Y255" s="408">
        <v>-0.7</v>
      </c>
      <c r="Z255" s="408">
        <v>-3.7</v>
      </c>
      <c r="AA255" s="408">
        <v>0</v>
      </c>
    </row>
    <row r="256" spans="1:27">
      <c r="A256">
        <v>208</v>
      </c>
      <c r="B256" s="1" t="s">
        <v>160</v>
      </c>
      <c r="C256" s="5" t="s">
        <v>46</v>
      </c>
      <c r="D256" s="408">
        <v>22</v>
      </c>
      <c r="E256" s="5" t="s">
        <v>75</v>
      </c>
      <c r="F256" s="408">
        <v>63</v>
      </c>
      <c r="G256" s="408">
        <v>1301</v>
      </c>
      <c r="H256" s="408">
        <v>13.7</v>
      </c>
      <c r="I256" s="408">
        <v>0.54800000000000004</v>
      </c>
      <c r="J256" s="408">
        <v>0.42799999999999999</v>
      </c>
      <c r="K256" s="408">
        <v>0.153</v>
      </c>
      <c r="L256" s="408">
        <v>3.1</v>
      </c>
      <c r="M256" s="408">
        <v>15.6</v>
      </c>
      <c r="N256" s="408">
        <v>9.3000000000000007</v>
      </c>
      <c r="O256" s="408">
        <v>9.3000000000000007</v>
      </c>
      <c r="P256" s="408">
        <v>2.2999999999999998</v>
      </c>
      <c r="Q256" s="408">
        <v>1.3</v>
      </c>
      <c r="R256" s="408">
        <v>11</v>
      </c>
      <c r="S256" s="408">
        <v>19.600000000000001</v>
      </c>
      <c r="T256" s="408">
        <v>0.5</v>
      </c>
      <c r="U256" s="408">
        <v>1.2</v>
      </c>
      <c r="V256" s="408">
        <v>1.7</v>
      </c>
      <c r="W256" s="408">
        <v>6.4000000000000001E-2</v>
      </c>
      <c r="X256" s="408">
        <v>-0.9</v>
      </c>
      <c r="Y256" s="408">
        <v>-0.3</v>
      </c>
      <c r="Z256" s="408">
        <v>-1.1000000000000001</v>
      </c>
      <c r="AA256" s="408">
        <v>0.3</v>
      </c>
    </row>
    <row r="257" spans="1:27">
      <c r="A257">
        <v>209</v>
      </c>
      <c r="B257" s="1" t="s">
        <v>887</v>
      </c>
      <c r="C257" s="5" t="s">
        <v>38</v>
      </c>
      <c r="D257" s="408">
        <v>23</v>
      </c>
      <c r="E257" s="5" t="s">
        <v>21</v>
      </c>
      <c r="F257" s="408">
        <v>9</v>
      </c>
      <c r="G257" s="408">
        <v>120</v>
      </c>
      <c r="H257" s="408">
        <v>6.9</v>
      </c>
      <c r="I257" s="408">
        <v>0.53300000000000003</v>
      </c>
      <c r="J257" s="408">
        <v>0.14699999999999999</v>
      </c>
      <c r="K257" s="408">
        <v>0.23499999999999999</v>
      </c>
      <c r="L257" s="408">
        <v>5.6</v>
      </c>
      <c r="M257" s="408">
        <v>15.6</v>
      </c>
      <c r="N257" s="408">
        <v>10.6</v>
      </c>
      <c r="O257" s="408">
        <v>4.8</v>
      </c>
      <c r="P257" s="408">
        <v>0.8</v>
      </c>
      <c r="Q257" s="408">
        <v>0.7</v>
      </c>
      <c r="R257" s="408">
        <v>17.600000000000001</v>
      </c>
      <c r="S257" s="408">
        <v>16.600000000000001</v>
      </c>
      <c r="T257" s="408">
        <v>0</v>
      </c>
      <c r="U257" s="408">
        <v>0.1</v>
      </c>
      <c r="V257" s="408">
        <v>0</v>
      </c>
      <c r="W257" s="408">
        <v>1.0999999999999999E-2</v>
      </c>
      <c r="X257" s="408">
        <v>-4.0999999999999996</v>
      </c>
      <c r="Y257" s="408">
        <v>-1.8</v>
      </c>
      <c r="Z257" s="408">
        <v>-5.9</v>
      </c>
      <c r="AA257" s="408">
        <v>-0.1</v>
      </c>
    </row>
    <row r="258" spans="1:27">
      <c r="A258">
        <v>210</v>
      </c>
      <c r="B258" s="1" t="s">
        <v>359</v>
      </c>
      <c r="C258" s="5" t="s">
        <v>26</v>
      </c>
      <c r="D258" s="408">
        <v>24</v>
      </c>
      <c r="E258" s="5" t="s">
        <v>100</v>
      </c>
      <c r="F258" s="408">
        <v>70</v>
      </c>
      <c r="G258" s="408">
        <v>1733</v>
      </c>
      <c r="H258" s="408">
        <v>15.6</v>
      </c>
      <c r="I258" s="408">
        <v>0.55200000000000005</v>
      </c>
      <c r="J258" s="408">
        <v>0.44800000000000001</v>
      </c>
      <c r="K258" s="408">
        <v>8.8999999999999996E-2</v>
      </c>
      <c r="L258" s="408">
        <v>2.8</v>
      </c>
      <c r="M258" s="408">
        <v>15.3</v>
      </c>
      <c r="N258" s="408">
        <v>8.8000000000000007</v>
      </c>
      <c r="O258" s="408">
        <v>12.2</v>
      </c>
      <c r="P258" s="408">
        <v>1.9</v>
      </c>
      <c r="Q258" s="408">
        <v>1.1000000000000001</v>
      </c>
      <c r="R258" s="408">
        <v>10.9</v>
      </c>
      <c r="S258" s="408">
        <v>24.1</v>
      </c>
      <c r="T258" s="408">
        <v>1</v>
      </c>
      <c r="U258" s="408">
        <v>1</v>
      </c>
      <c r="V258" s="408">
        <v>2.1</v>
      </c>
      <c r="W258" s="408">
        <v>5.7000000000000002E-2</v>
      </c>
      <c r="X258" s="408">
        <v>0.9</v>
      </c>
      <c r="Y258" s="408">
        <v>-1.7</v>
      </c>
      <c r="Z258" s="408">
        <v>-0.8</v>
      </c>
      <c r="AA258" s="408">
        <v>0.5</v>
      </c>
    </row>
    <row r="259" spans="1:27">
      <c r="A259">
        <v>211</v>
      </c>
      <c r="B259" s="1" t="s">
        <v>575</v>
      </c>
      <c r="C259" s="5" t="s">
        <v>83</v>
      </c>
      <c r="D259" s="408">
        <v>35</v>
      </c>
      <c r="E259" s="5" t="s">
        <v>92</v>
      </c>
      <c r="F259" s="408">
        <v>47</v>
      </c>
      <c r="G259" s="408">
        <v>682</v>
      </c>
      <c r="H259" s="408">
        <v>16.7</v>
      </c>
      <c r="I259" s="408">
        <v>0.61099999999999999</v>
      </c>
      <c r="J259" s="408">
        <v>8.9999999999999993E-3</v>
      </c>
      <c r="K259" s="408">
        <v>0.43099999999999999</v>
      </c>
      <c r="L259" s="408">
        <v>7.7</v>
      </c>
      <c r="M259" s="408">
        <v>18</v>
      </c>
      <c r="N259" s="408">
        <v>12.9</v>
      </c>
      <c r="O259" s="408">
        <v>9.4</v>
      </c>
      <c r="P259" s="408">
        <v>1.6</v>
      </c>
      <c r="Q259" s="408">
        <v>1.6</v>
      </c>
      <c r="R259" s="408">
        <v>12.2</v>
      </c>
      <c r="S259" s="408">
        <v>19.100000000000001</v>
      </c>
      <c r="T259" s="408">
        <v>1.5</v>
      </c>
      <c r="U259" s="408">
        <v>0.9</v>
      </c>
      <c r="V259" s="408">
        <v>2.2999999999999998</v>
      </c>
      <c r="W259" s="408">
        <v>0.16300000000000001</v>
      </c>
      <c r="X259" s="408">
        <v>-1.3</v>
      </c>
      <c r="Y259" s="408">
        <v>0.3</v>
      </c>
      <c r="Z259" s="408">
        <v>-1</v>
      </c>
      <c r="AA259" s="408">
        <v>0.2</v>
      </c>
    </row>
    <row r="260" spans="1:27">
      <c r="A260">
        <v>212</v>
      </c>
      <c r="B260" s="1" t="s">
        <v>432</v>
      </c>
      <c r="C260" s="5" t="s">
        <v>20</v>
      </c>
      <c r="D260" s="408">
        <v>31</v>
      </c>
      <c r="E260" s="5" t="s">
        <v>357</v>
      </c>
      <c r="F260" s="408">
        <v>59</v>
      </c>
      <c r="G260" s="408">
        <v>1601</v>
      </c>
      <c r="H260" s="408">
        <v>13.2</v>
      </c>
      <c r="I260" s="408">
        <v>0.57599999999999996</v>
      </c>
      <c r="J260" s="408">
        <v>0.40799999999999997</v>
      </c>
      <c r="K260" s="408">
        <v>0.3</v>
      </c>
      <c r="L260" s="408">
        <v>2.7</v>
      </c>
      <c r="M260" s="408">
        <v>8.9</v>
      </c>
      <c r="N260" s="408">
        <v>5.7</v>
      </c>
      <c r="O260" s="408">
        <v>15.3</v>
      </c>
      <c r="P260" s="408">
        <v>1.6</v>
      </c>
      <c r="Q260" s="408">
        <v>1.2</v>
      </c>
      <c r="R260" s="408">
        <v>13.5</v>
      </c>
      <c r="S260" s="408">
        <v>16.600000000000001</v>
      </c>
      <c r="T260" s="408">
        <v>2</v>
      </c>
      <c r="U260" s="408">
        <v>0.6</v>
      </c>
      <c r="V260" s="408">
        <v>2.6</v>
      </c>
      <c r="W260" s="408">
        <v>7.8E-2</v>
      </c>
      <c r="X260" s="408">
        <v>0.3</v>
      </c>
      <c r="Y260" s="408">
        <v>-1.2</v>
      </c>
      <c r="Z260" s="408">
        <v>-1</v>
      </c>
      <c r="AA260" s="408">
        <v>0.4</v>
      </c>
    </row>
    <row r="261" spans="1:27">
      <c r="A261">
        <v>212</v>
      </c>
      <c r="B261" s="1" t="s">
        <v>432</v>
      </c>
      <c r="C261" s="5" t="s">
        <v>20</v>
      </c>
      <c r="D261" s="408">
        <v>31</v>
      </c>
      <c r="E261" s="5" t="s">
        <v>100</v>
      </c>
      <c r="F261" s="408">
        <v>43</v>
      </c>
      <c r="G261" s="408">
        <v>1143</v>
      </c>
      <c r="H261" s="408">
        <v>14</v>
      </c>
      <c r="I261" s="408">
        <v>0.59699999999999998</v>
      </c>
      <c r="J261" s="408">
        <v>0.39300000000000002</v>
      </c>
      <c r="K261" s="408">
        <v>0.30399999999999999</v>
      </c>
      <c r="L261" s="408">
        <v>2.1</v>
      </c>
      <c r="M261" s="408">
        <v>9.9</v>
      </c>
      <c r="N261" s="408">
        <v>5.8</v>
      </c>
      <c r="O261" s="408">
        <v>15.5</v>
      </c>
      <c r="P261" s="408">
        <v>1.7</v>
      </c>
      <c r="Q261" s="408">
        <v>1</v>
      </c>
      <c r="R261" s="408">
        <v>14</v>
      </c>
      <c r="S261" s="408">
        <v>16.899999999999999</v>
      </c>
      <c r="T261" s="408">
        <v>1.6</v>
      </c>
      <c r="U261" s="408">
        <v>0.4</v>
      </c>
      <c r="V261" s="408">
        <v>2</v>
      </c>
      <c r="W261" s="408">
        <v>8.4000000000000005E-2</v>
      </c>
      <c r="X261" s="408">
        <v>0.5</v>
      </c>
      <c r="Y261" s="408">
        <v>-1.2</v>
      </c>
      <c r="Z261" s="408">
        <v>-0.7</v>
      </c>
      <c r="AA261" s="408">
        <v>0.4</v>
      </c>
    </row>
    <row r="262" spans="1:27">
      <c r="A262">
        <v>212</v>
      </c>
      <c r="B262" s="1" t="s">
        <v>432</v>
      </c>
      <c r="C262" s="5" t="s">
        <v>20</v>
      </c>
      <c r="D262" s="408">
        <v>31</v>
      </c>
      <c r="E262" s="5" t="s">
        <v>102</v>
      </c>
      <c r="F262" s="408">
        <v>16</v>
      </c>
      <c r="G262" s="408">
        <v>458</v>
      </c>
      <c r="H262" s="408">
        <v>11.1</v>
      </c>
      <c r="I262" s="408">
        <v>0.52300000000000002</v>
      </c>
      <c r="J262" s="408">
        <v>0.44900000000000001</v>
      </c>
      <c r="K262" s="408">
        <v>0.29099999999999998</v>
      </c>
      <c r="L262" s="408">
        <v>4.2</v>
      </c>
      <c r="M262" s="408">
        <v>6.5</v>
      </c>
      <c r="N262" s="408">
        <v>5.4</v>
      </c>
      <c r="O262" s="408">
        <v>15.1</v>
      </c>
      <c r="P262" s="408">
        <v>1.3</v>
      </c>
      <c r="Q262" s="408">
        <v>1.7</v>
      </c>
      <c r="R262" s="408">
        <v>12.2</v>
      </c>
      <c r="S262" s="408">
        <v>15.8</v>
      </c>
      <c r="T262" s="408">
        <v>0.4</v>
      </c>
      <c r="U262" s="408">
        <v>0.2</v>
      </c>
      <c r="V262" s="408">
        <v>0.6</v>
      </c>
      <c r="W262" s="408">
        <v>6.2E-2</v>
      </c>
      <c r="X262" s="408">
        <v>-0.4</v>
      </c>
      <c r="Y262" s="408">
        <v>-1.2</v>
      </c>
      <c r="Z262" s="408">
        <v>-1.6</v>
      </c>
      <c r="AA262" s="408">
        <v>0</v>
      </c>
    </row>
    <row r="263" spans="1:27">
      <c r="A263">
        <v>213</v>
      </c>
      <c r="B263" s="1" t="s">
        <v>785</v>
      </c>
      <c r="C263" s="5" t="s">
        <v>46</v>
      </c>
      <c r="D263" s="408">
        <v>26</v>
      </c>
      <c r="E263" s="5" t="s">
        <v>112</v>
      </c>
      <c r="F263" s="408">
        <v>1</v>
      </c>
      <c r="G263" s="408">
        <v>8</v>
      </c>
      <c r="H263" s="408">
        <v>4</v>
      </c>
      <c r="I263" s="408"/>
      <c r="J263" s="408"/>
      <c r="K263" s="408"/>
      <c r="L263" s="408">
        <v>0</v>
      </c>
      <c r="M263" s="408">
        <v>0</v>
      </c>
      <c r="N263" s="408">
        <v>0</v>
      </c>
      <c r="O263" s="408">
        <v>14.4</v>
      </c>
      <c r="P263" s="408">
        <v>0</v>
      </c>
      <c r="Q263" s="408">
        <v>0</v>
      </c>
      <c r="R263" s="408"/>
      <c r="S263" s="408">
        <v>0</v>
      </c>
      <c r="T263" s="408">
        <v>0</v>
      </c>
      <c r="U263" s="408">
        <v>0</v>
      </c>
      <c r="V263" s="408">
        <v>0</v>
      </c>
      <c r="W263" s="408">
        <v>4.9000000000000002E-2</v>
      </c>
      <c r="X263" s="408">
        <v>-6.2</v>
      </c>
      <c r="Y263" s="408">
        <v>-4</v>
      </c>
      <c r="Z263" s="408">
        <v>-10.1</v>
      </c>
      <c r="AA263" s="408">
        <v>0</v>
      </c>
    </row>
    <row r="264" spans="1:27">
      <c r="A264">
        <v>214</v>
      </c>
      <c r="B264" s="1" t="s">
        <v>593</v>
      </c>
      <c r="C264" s="5" t="s">
        <v>26</v>
      </c>
      <c r="D264" s="408">
        <v>24</v>
      </c>
      <c r="E264" s="5" t="s">
        <v>140</v>
      </c>
      <c r="F264" s="408">
        <v>14</v>
      </c>
      <c r="G264" s="408">
        <v>95</v>
      </c>
      <c r="H264" s="408">
        <v>3.3</v>
      </c>
      <c r="I264" s="408">
        <v>0.36199999999999999</v>
      </c>
      <c r="J264" s="408">
        <v>0.316</v>
      </c>
      <c r="K264" s="408">
        <v>0.36799999999999999</v>
      </c>
      <c r="L264" s="408">
        <v>0</v>
      </c>
      <c r="M264" s="408">
        <v>8.1999999999999993</v>
      </c>
      <c r="N264" s="408">
        <v>4.0999999999999996</v>
      </c>
      <c r="O264" s="408">
        <v>15.3</v>
      </c>
      <c r="P264" s="408">
        <v>1.1000000000000001</v>
      </c>
      <c r="Q264" s="408">
        <v>0</v>
      </c>
      <c r="R264" s="408">
        <v>15.3</v>
      </c>
      <c r="S264" s="408">
        <v>12.3</v>
      </c>
      <c r="T264" s="408">
        <v>-0.1</v>
      </c>
      <c r="U264" s="408">
        <v>0.1</v>
      </c>
      <c r="V264" s="408">
        <v>0</v>
      </c>
      <c r="W264" s="408">
        <v>-1.0999999999999999E-2</v>
      </c>
      <c r="X264" s="408">
        <v>-6.3</v>
      </c>
      <c r="Y264" s="408">
        <v>-1.1000000000000001</v>
      </c>
      <c r="Z264" s="408">
        <v>-7.4</v>
      </c>
      <c r="AA264" s="408">
        <v>-0.1</v>
      </c>
    </row>
    <row r="265" spans="1:27">
      <c r="A265">
        <v>215</v>
      </c>
      <c r="B265" s="1" t="s">
        <v>350</v>
      </c>
      <c r="C265" s="5" t="s">
        <v>26</v>
      </c>
      <c r="D265" s="408">
        <v>27</v>
      </c>
      <c r="E265" s="5" t="s">
        <v>112</v>
      </c>
      <c r="F265" s="408">
        <v>70</v>
      </c>
      <c r="G265" s="408">
        <v>2556</v>
      </c>
      <c r="H265" s="408">
        <v>17.5</v>
      </c>
      <c r="I265" s="408">
        <v>0.56699999999999995</v>
      </c>
      <c r="J265" s="408">
        <v>0.29399999999999998</v>
      </c>
      <c r="K265" s="408">
        <v>0.19500000000000001</v>
      </c>
      <c r="L265" s="408">
        <v>2.2000000000000002</v>
      </c>
      <c r="M265" s="408">
        <v>10.8</v>
      </c>
      <c r="N265" s="408">
        <v>6.6</v>
      </c>
      <c r="O265" s="408">
        <v>24.2</v>
      </c>
      <c r="P265" s="408">
        <v>1.9</v>
      </c>
      <c r="Q265" s="408">
        <v>1.7</v>
      </c>
      <c r="R265" s="408">
        <v>13</v>
      </c>
      <c r="S265" s="408">
        <v>23.1</v>
      </c>
      <c r="T265" s="408">
        <v>3.6</v>
      </c>
      <c r="U265" s="408">
        <v>2.2999999999999998</v>
      </c>
      <c r="V265" s="408">
        <v>5.9</v>
      </c>
      <c r="W265" s="408">
        <v>0.11</v>
      </c>
      <c r="X265" s="408">
        <v>1.7</v>
      </c>
      <c r="Y265" s="408">
        <v>0</v>
      </c>
      <c r="Z265" s="408">
        <v>1.7</v>
      </c>
      <c r="AA265" s="408">
        <v>2.4</v>
      </c>
    </row>
    <row r="266" spans="1:27">
      <c r="A266">
        <v>216</v>
      </c>
      <c r="B266" s="1" t="s">
        <v>321</v>
      </c>
      <c r="C266" s="5" t="s">
        <v>26</v>
      </c>
      <c r="D266" s="408">
        <v>28</v>
      </c>
      <c r="E266" s="5" t="s">
        <v>43</v>
      </c>
      <c r="F266" s="408">
        <v>61</v>
      </c>
      <c r="G266" s="408">
        <v>2009</v>
      </c>
      <c r="H266" s="408">
        <v>11</v>
      </c>
      <c r="I266" s="408">
        <v>0.52100000000000002</v>
      </c>
      <c r="J266" s="408">
        <v>0.57399999999999995</v>
      </c>
      <c r="K266" s="408">
        <v>0.219</v>
      </c>
      <c r="L266" s="408">
        <v>1.6</v>
      </c>
      <c r="M266" s="408">
        <v>12.9</v>
      </c>
      <c r="N266" s="408">
        <v>7</v>
      </c>
      <c r="O266" s="408">
        <v>9.9</v>
      </c>
      <c r="P266" s="408">
        <v>1.7</v>
      </c>
      <c r="Q266" s="408">
        <v>1.3</v>
      </c>
      <c r="R266" s="408">
        <v>10.1</v>
      </c>
      <c r="S266" s="408">
        <v>17.8</v>
      </c>
      <c r="T266" s="408">
        <v>0.3</v>
      </c>
      <c r="U266" s="408">
        <v>1.5</v>
      </c>
      <c r="V266" s="408">
        <v>1.8</v>
      </c>
      <c r="W266" s="408">
        <v>4.3999999999999997E-2</v>
      </c>
      <c r="X266" s="408">
        <v>-0.8</v>
      </c>
      <c r="Y266" s="408">
        <v>0</v>
      </c>
      <c r="Z266" s="408">
        <v>-0.9</v>
      </c>
      <c r="AA266" s="408">
        <v>0.6</v>
      </c>
    </row>
    <row r="267" spans="1:27">
      <c r="A267">
        <v>217</v>
      </c>
      <c r="B267" s="1" t="s">
        <v>632</v>
      </c>
      <c r="C267" s="5" t="s">
        <v>46</v>
      </c>
      <c r="D267" s="408">
        <v>29</v>
      </c>
      <c r="E267" s="5" t="s">
        <v>102</v>
      </c>
      <c r="F267" s="408">
        <v>16</v>
      </c>
      <c r="G267" s="408">
        <v>119</v>
      </c>
      <c r="H267" s="408">
        <v>6.3</v>
      </c>
      <c r="I267" s="408">
        <v>0.40799999999999997</v>
      </c>
      <c r="J267" s="408">
        <v>0.65700000000000003</v>
      </c>
      <c r="K267" s="408">
        <v>0.114</v>
      </c>
      <c r="L267" s="408">
        <v>2.9</v>
      </c>
      <c r="M267" s="408">
        <v>12.9</v>
      </c>
      <c r="N267" s="408">
        <v>8</v>
      </c>
      <c r="O267" s="408">
        <v>4.5</v>
      </c>
      <c r="P267" s="408">
        <v>2.5</v>
      </c>
      <c r="Q267" s="408">
        <v>1.4</v>
      </c>
      <c r="R267" s="408">
        <v>9.8000000000000007</v>
      </c>
      <c r="S267" s="408">
        <v>15.2</v>
      </c>
      <c r="T267" s="408">
        <v>-0.2</v>
      </c>
      <c r="U267" s="408">
        <v>0.1</v>
      </c>
      <c r="V267" s="408">
        <v>-0.1</v>
      </c>
      <c r="W267" s="408">
        <v>-2.7E-2</v>
      </c>
      <c r="X267" s="408">
        <v>-4.4000000000000004</v>
      </c>
      <c r="Y267" s="408">
        <v>-1.1000000000000001</v>
      </c>
      <c r="Z267" s="408">
        <v>-5.4</v>
      </c>
      <c r="AA267" s="408">
        <v>-0.1</v>
      </c>
    </row>
    <row r="268" spans="1:27">
      <c r="A268">
        <v>218</v>
      </c>
      <c r="B268" s="1" t="s">
        <v>540</v>
      </c>
      <c r="C268" s="5" t="s">
        <v>46</v>
      </c>
      <c r="D268" s="408">
        <v>23</v>
      </c>
      <c r="E268" s="5" t="s">
        <v>315</v>
      </c>
      <c r="F268" s="408">
        <v>57</v>
      </c>
      <c r="G268" s="408">
        <v>1598</v>
      </c>
      <c r="H268" s="408">
        <v>17.5</v>
      </c>
      <c r="I268" s="408">
        <v>0.55200000000000005</v>
      </c>
      <c r="J268" s="408">
        <v>7.9000000000000001E-2</v>
      </c>
      <c r="K268" s="408">
        <v>0.44400000000000001</v>
      </c>
      <c r="L268" s="408">
        <v>5.9</v>
      </c>
      <c r="M268" s="408">
        <v>19.600000000000001</v>
      </c>
      <c r="N268" s="408">
        <v>12.7</v>
      </c>
      <c r="O268" s="408">
        <v>14.3</v>
      </c>
      <c r="P268" s="408">
        <v>1.5</v>
      </c>
      <c r="Q268" s="408">
        <v>1.8</v>
      </c>
      <c r="R268" s="408">
        <v>11.6</v>
      </c>
      <c r="S268" s="408">
        <v>22.7</v>
      </c>
      <c r="T268" s="408">
        <v>2.1</v>
      </c>
      <c r="U268" s="408">
        <v>1.6</v>
      </c>
      <c r="V268" s="408">
        <v>3.7</v>
      </c>
      <c r="W268" s="408">
        <v>0.111</v>
      </c>
      <c r="X268" s="408">
        <v>-1</v>
      </c>
      <c r="Y268" s="408">
        <v>0.9</v>
      </c>
      <c r="Z268" s="408">
        <v>-0.1</v>
      </c>
      <c r="AA268" s="408">
        <v>0.8</v>
      </c>
    </row>
    <row r="269" spans="1:27">
      <c r="A269">
        <v>219</v>
      </c>
      <c r="B269" s="1" t="s">
        <v>541</v>
      </c>
      <c r="C269" s="5" t="s">
        <v>83</v>
      </c>
      <c r="D269" s="408">
        <v>24</v>
      </c>
      <c r="E269" s="5" t="s">
        <v>118</v>
      </c>
      <c r="F269" s="408">
        <v>35</v>
      </c>
      <c r="G269" s="408">
        <v>522</v>
      </c>
      <c r="H269" s="408">
        <v>15.9</v>
      </c>
      <c r="I269" s="408">
        <v>0.54700000000000004</v>
      </c>
      <c r="J269" s="408">
        <v>0.161</v>
      </c>
      <c r="K269" s="408">
        <v>0.214</v>
      </c>
      <c r="L269" s="408">
        <v>9</v>
      </c>
      <c r="M269" s="408">
        <v>22.6</v>
      </c>
      <c r="N269" s="408">
        <v>16.100000000000001</v>
      </c>
      <c r="O269" s="408">
        <v>12.7</v>
      </c>
      <c r="P269" s="408">
        <v>1.4</v>
      </c>
      <c r="Q269" s="408">
        <v>3.2</v>
      </c>
      <c r="R269" s="408">
        <v>9.8000000000000007</v>
      </c>
      <c r="S269" s="408">
        <v>16.8</v>
      </c>
      <c r="T269" s="408">
        <v>0.8</v>
      </c>
      <c r="U269" s="408">
        <v>0.9</v>
      </c>
      <c r="V269" s="408">
        <v>1.7</v>
      </c>
      <c r="W269" s="408">
        <v>0.155</v>
      </c>
      <c r="X269" s="408">
        <v>-1.1000000000000001</v>
      </c>
      <c r="Y269" s="408">
        <v>1.8</v>
      </c>
      <c r="Z269" s="408">
        <v>0.8</v>
      </c>
      <c r="AA269" s="408">
        <v>0.4</v>
      </c>
    </row>
    <row r="270" spans="1:27">
      <c r="A270">
        <v>220</v>
      </c>
      <c r="B270" s="1" t="s">
        <v>236</v>
      </c>
      <c r="C270" s="5" t="s">
        <v>26</v>
      </c>
      <c r="D270" s="408">
        <v>25</v>
      </c>
      <c r="E270" s="5" t="s">
        <v>357</v>
      </c>
      <c r="F270" s="408">
        <v>51</v>
      </c>
      <c r="G270" s="408">
        <v>1388</v>
      </c>
      <c r="H270" s="408">
        <v>14</v>
      </c>
      <c r="I270" s="408">
        <v>0.54100000000000004</v>
      </c>
      <c r="J270" s="408">
        <v>0.46</v>
      </c>
      <c r="K270" s="408">
        <v>0.16400000000000001</v>
      </c>
      <c r="L270" s="408">
        <v>1.5</v>
      </c>
      <c r="M270" s="408">
        <v>10</v>
      </c>
      <c r="N270" s="408">
        <v>5.8</v>
      </c>
      <c r="O270" s="408">
        <v>9.9</v>
      </c>
      <c r="P270" s="408">
        <v>1.4</v>
      </c>
      <c r="Q270" s="408">
        <v>0.7</v>
      </c>
      <c r="R270" s="408">
        <v>8.8000000000000007</v>
      </c>
      <c r="S270" s="408">
        <v>25.4</v>
      </c>
      <c r="T270" s="408">
        <v>0.7</v>
      </c>
      <c r="U270" s="408">
        <v>1.4</v>
      </c>
      <c r="V270" s="408">
        <v>2.1</v>
      </c>
      <c r="W270" s="408">
        <v>7.0999999999999994E-2</v>
      </c>
      <c r="X270" s="408">
        <v>-0.1</v>
      </c>
      <c r="Y270" s="408">
        <v>-2.1</v>
      </c>
      <c r="Z270" s="408">
        <v>-2.2000000000000002</v>
      </c>
      <c r="AA270" s="408">
        <v>-0.1</v>
      </c>
    </row>
    <row r="271" spans="1:27">
      <c r="A271">
        <v>220</v>
      </c>
      <c r="B271" s="1" t="s">
        <v>236</v>
      </c>
      <c r="C271" s="5" t="s">
        <v>26</v>
      </c>
      <c r="D271" s="408">
        <v>25</v>
      </c>
      <c r="E271" s="5" t="s">
        <v>305</v>
      </c>
      <c r="F271" s="408">
        <v>39</v>
      </c>
      <c r="G271" s="408">
        <v>1084</v>
      </c>
      <c r="H271" s="408">
        <v>15.2</v>
      </c>
      <c r="I271" s="408">
        <v>0.55100000000000005</v>
      </c>
      <c r="J271" s="408">
        <v>0.47499999999999998</v>
      </c>
      <c r="K271" s="408">
        <v>0.17599999999999999</v>
      </c>
      <c r="L271" s="408">
        <v>1.5</v>
      </c>
      <c r="M271" s="408">
        <v>10.1</v>
      </c>
      <c r="N271" s="408">
        <v>5.8</v>
      </c>
      <c r="O271" s="408">
        <v>10.5</v>
      </c>
      <c r="P271" s="408">
        <v>1.4</v>
      </c>
      <c r="Q271" s="408">
        <v>0.6</v>
      </c>
      <c r="R271" s="408">
        <v>9.6</v>
      </c>
      <c r="S271" s="408">
        <v>27.4</v>
      </c>
      <c r="T271" s="408">
        <v>0.6</v>
      </c>
      <c r="U271" s="408">
        <v>1.3</v>
      </c>
      <c r="V271" s="408">
        <v>1.9</v>
      </c>
      <c r="W271" s="408">
        <v>8.3000000000000004E-2</v>
      </c>
      <c r="X271" s="408">
        <v>0.5</v>
      </c>
      <c r="Y271" s="408">
        <v>-2.1</v>
      </c>
      <c r="Z271" s="408">
        <v>-1.6</v>
      </c>
      <c r="AA271" s="408">
        <v>0.1</v>
      </c>
    </row>
    <row r="272" spans="1:27">
      <c r="A272">
        <v>220</v>
      </c>
      <c r="B272" s="1" t="s">
        <v>236</v>
      </c>
      <c r="C272" s="5" t="s">
        <v>26</v>
      </c>
      <c r="D272" s="408">
        <v>25</v>
      </c>
      <c r="E272" s="5" t="s">
        <v>102</v>
      </c>
      <c r="F272" s="408">
        <v>12</v>
      </c>
      <c r="G272" s="408">
        <v>304</v>
      </c>
      <c r="H272" s="408">
        <v>9.9</v>
      </c>
      <c r="I272" s="408">
        <v>0.495</v>
      </c>
      <c r="J272" s="408">
        <v>0.38900000000000001</v>
      </c>
      <c r="K272" s="408">
        <v>0.106</v>
      </c>
      <c r="L272" s="408">
        <v>1.5</v>
      </c>
      <c r="M272" s="408">
        <v>9.8000000000000007</v>
      </c>
      <c r="N272" s="408">
        <v>5.7</v>
      </c>
      <c r="O272" s="408">
        <v>7.7</v>
      </c>
      <c r="P272" s="408">
        <v>1.3</v>
      </c>
      <c r="Q272" s="408">
        <v>1.1000000000000001</v>
      </c>
      <c r="R272" s="408">
        <v>4.8</v>
      </c>
      <c r="S272" s="408">
        <v>18.100000000000001</v>
      </c>
      <c r="T272" s="408">
        <v>0.1</v>
      </c>
      <c r="U272" s="408">
        <v>0.1</v>
      </c>
      <c r="V272" s="408">
        <v>0.2</v>
      </c>
      <c r="W272" s="408">
        <v>2.8000000000000001E-2</v>
      </c>
      <c r="X272" s="408">
        <v>-2.1</v>
      </c>
      <c r="Y272" s="408">
        <v>-2.2000000000000002</v>
      </c>
      <c r="Z272" s="408">
        <v>-4.3</v>
      </c>
      <c r="AA272" s="408">
        <v>-0.2</v>
      </c>
    </row>
    <row r="273" spans="1:27">
      <c r="A273">
        <v>221</v>
      </c>
      <c r="B273" s="1" t="s">
        <v>1057</v>
      </c>
      <c r="C273" s="5" t="s">
        <v>26</v>
      </c>
      <c r="D273" s="408">
        <v>28</v>
      </c>
      <c r="E273" s="5" t="s">
        <v>33</v>
      </c>
      <c r="F273" s="408">
        <v>1</v>
      </c>
      <c r="G273" s="408">
        <v>8</v>
      </c>
      <c r="H273" s="408">
        <v>-4.5999999999999996</v>
      </c>
      <c r="I273" s="408">
        <v>0.26600000000000001</v>
      </c>
      <c r="J273" s="408">
        <v>0</v>
      </c>
      <c r="K273" s="408">
        <v>2</v>
      </c>
      <c r="L273" s="408">
        <v>0</v>
      </c>
      <c r="M273" s="408">
        <v>0</v>
      </c>
      <c r="N273" s="408">
        <v>0</v>
      </c>
      <c r="O273" s="408">
        <v>15.8</v>
      </c>
      <c r="P273" s="408">
        <v>0</v>
      </c>
      <c r="Q273" s="408">
        <v>0</v>
      </c>
      <c r="R273" s="408">
        <v>34.700000000000003</v>
      </c>
      <c r="S273" s="408">
        <v>16.399999999999999</v>
      </c>
      <c r="T273" s="408">
        <v>0</v>
      </c>
      <c r="U273" s="408">
        <v>0</v>
      </c>
      <c r="V273" s="408">
        <v>0</v>
      </c>
      <c r="W273" s="408">
        <v>-0.23799999999999999</v>
      </c>
      <c r="X273" s="408">
        <v>-14.7</v>
      </c>
      <c r="Y273" s="408">
        <v>-6</v>
      </c>
      <c r="Z273" s="408">
        <v>-20.6</v>
      </c>
      <c r="AA273" s="408">
        <v>0</v>
      </c>
    </row>
    <row r="274" spans="1:27">
      <c r="A274">
        <v>222</v>
      </c>
      <c r="B274" s="1" t="s">
        <v>417</v>
      </c>
      <c r="C274" s="5" t="s">
        <v>83</v>
      </c>
      <c r="D274" s="408">
        <v>31</v>
      </c>
      <c r="E274" s="5" t="s">
        <v>87</v>
      </c>
      <c r="F274" s="408">
        <v>63</v>
      </c>
      <c r="G274" s="408">
        <v>1991</v>
      </c>
      <c r="H274" s="408">
        <v>17.5</v>
      </c>
      <c r="I274" s="408">
        <v>0.57399999999999995</v>
      </c>
      <c r="J274" s="408">
        <v>0.307</v>
      </c>
      <c r="K274" s="408">
        <v>0.14199999999999999</v>
      </c>
      <c r="L274" s="408">
        <v>5</v>
      </c>
      <c r="M274" s="408">
        <v>20.7</v>
      </c>
      <c r="N274" s="408">
        <v>13</v>
      </c>
      <c r="O274" s="408">
        <v>24.1</v>
      </c>
      <c r="P274" s="408">
        <v>0.9</v>
      </c>
      <c r="Q274" s="408">
        <v>2.9</v>
      </c>
      <c r="R274" s="408">
        <v>14.6</v>
      </c>
      <c r="S274" s="408">
        <v>18.5</v>
      </c>
      <c r="T274" s="408">
        <v>3.3</v>
      </c>
      <c r="U274" s="408">
        <v>3.4</v>
      </c>
      <c r="V274" s="408">
        <v>6.7</v>
      </c>
      <c r="W274" s="408">
        <v>0.16300000000000001</v>
      </c>
      <c r="X274" s="408">
        <v>0.9</v>
      </c>
      <c r="Y274" s="408">
        <v>3.1</v>
      </c>
      <c r="Z274" s="408">
        <v>4.0999999999999996</v>
      </c>
      <c r="AA274" s="408">
        <v>3</v>
      </c>
    </row>
    <row r="275" spans="1:27">
      <c r="A275">
        <v>223</v>
      </c>
      <c r="B275" s="1" t="s">
        <v>493</v>
      </c>
      <c r="C275" s="5" t="s">
        <v>26</v>
      </c>
      <c r="D275" s="408">
        <v>24</v>
      </c>
      <c r="E275" s="5" t="s">
        <v>313</v>
      </c>
      <c r="F275" s="408">
        <v>16</v>
      </c>
      <c r="G275" s="408">
        <v>193</v>
      </c>
      <c r="H275" s="408">
        <v>10.9</v>
      </c>
      <c r="I275" s="408">
        <v>0.49099999999999999</v>
      </c>
      <c r="J275" s="408">
        <v>0.46300000000000002</v>
      </c>
      <c r="K275" s="408">
        <v>0.28399999999999997</v>
      </c>
      <c r="L275" s="408">
        <v>4.9000000000000004</v>
      </c>
      <c r="M275" s="408">
        <v>15.9</v>
      </c>
      <c r="N275" s="408">
        <v>10.3</v>
      </c>
      <c r="O275" s="408">
        <v>6.2</v>
      </c>
      <c r="P275" s="408">
        <v>1.2</v>
      </c>
      <c r="Q275" s="408">
        <v>0.4</v>
      </c>
      <c r="R275" s="408">
        <v>6.2</v>
      </c>
      <c r="S275" s="408">
        <v>17.600000000000001</v>
      </c>
      <c r="T275" s="408">
        <v>0.1</v>
      </c>
      <c r="U275" s="408">
        <v>0.1</v>
      </c>
      <c r="V275" s="408">
        <v>0.2</v>
      </c>
      <c r="W275" s="408">
        <v>4.2000000000000003E-2</v>
      </c>
      <c r="X275" s="408">
        <v>-2.1</v>
      </c>
      <c r="Y275" s="408">
        <v>-2.7</v>
      </c>
      <c r="Z275" s="408">
        <v>-4.8</v>
      </c>
      <c r="AA275" s="408">
        <v>-0.1</v>
      </c>
    </row>
    <row r="276" spans="1:27">
      <c r="A276">
        <v>224</v>
      </c>
      <c r="B276" s="1" t="s">
        <v>580</v>
      </c>
      <c r="C276" s="5" t="s">
        <v>83</v>
      </c>
      <c r="D276" s="408">
        <v>32</v>
      </c>
      <c r="E276" s="5" t="s">
        <v>311</v>
      </c>
      <c r="F276" s="408">
        <v>71</v>
      </c>
      <c r="G276" s="408">
        <v>2163</v>
      </c>
      <c r="H276" s="408">
        <v>20</v>
      </c>
      <c r="I276" s="408">
        <v>0.57399999999999995</v>
      </c>
      <c r="J276" s="408">
        <v>6.0000000000000001E-3</v>
      </c>
      <c r="K276" s="408">
        <v>0.623</v>
      </c>
      <c r="L276" s="408">
        <v>10.7</v>
      </c>
      <c r="M276" s="408">
        <v>32.6</v>
      </c>
      <c r="N276" s="408">
        <v>21.4</v>
      </c>
      <c r="O276" s="408">
        <v>7.2</v>
      </c>
      <c r="P276" s="408">
        <v>1</v>
      </c>
      <c r="Q276" s="408">
        <v>4.7</v>
      </c>
      <c r="R276" s="408">
        <v>15.5</v>
      </c>
      <c r="S276" s="408">
        <v>24</v>
      </c>
      <c r="T276" s="408">
        <v>2.1</v>
      </c>
      <c r="U276" s="408">
        <v>3.4</v>
      </c>
      <c r="V276" s="408">
        <v>5.5</v>
      </c>
      <c r="W276" s="408">
        <v>0.122</v>
      </c>
      <c r="X276" s="408">
        <v>-2.2999999999999998</v>
      </c>
      <c r="Y276" s="408">
        <v>1.9</v>
      </c>
      <c r="Z276" s="408">
        <v>-0.3</v>
      </c>
      <c r="AA276" s="408">
        <v>0.9</v>
      </c>
    </row>
    <row r="277" spans="1:27">
      <c r="A277">
        <v>225</v>
      </c>
      <c r="B277" s="1" t="s">
        <v>69</v>
      </c>
      <c r="C277" s="5" t="s">
        <v>38</v>
      </c>
      <c r="D277" s="408">
        <v>26</v>
      </c>
      <c r="E277" s="5" t="s">
        <v>58</v>
      </c>
      <c r="F277" s="408">
        <v>65</v>
      </c>
      <c r="G277" s="408">
        <v>963</v>
      </c>
      <c r="H277" s="408">
        <v>5.4</v>
      </c>
      <c r="I277" s="408">
        <v>0.41699999999999998</v>
      </c>
      <c r="J277" s="408">
        <v>0.629</v>
      </c>
      <c r="K277" s="408">
        <v>0.10100000000000001</v>
      </c>
      <c r="L277" s="408">
        <v>4.7</v>
      </c>
      <c r="M277" s="408">
        <v>13.9</v>
      </c>
      <c r="N277" s="408">
        <v>9.1999999999999993</v>
      </c>
      <c r="O277" s="408">
        <v>2.7</v>
      </c>
      <c r="P277" s="408">
        <v>0.8</v>
      </c>
      <c r="Q277" s="408">
        <v>4</v>
      </c>
      <c r="R277" s="408">
        <v>12.3</v>
      </c>
      <c r="S277" s="408">
        <v>9.5</v>
      </c>
      <c r="T277" s="408">
        <v>-0.5</v>
      </c>
      <c r="U277" s="408">
        <v>1</v>
      </c>
      <c r="V277" s="408">
        <v>0.5</v>
      </c>
      <c r="W277" s="408">
        <v>2.5000000000000001E-2</v>
      </c>
      <c r="X277" s="408">
        <v>-4.5999999999999996</v>
      </c>
      <c r="Y277" s="408">
        <v>0.7</v>
      </c>
      <c r="Z277" s="408">
        <v>-3.9</v>
      </c>
      <c r="AA277" s="408">
        <v>-0.4</v>
      </c>
    </row>
    <row r="278" spans="1:27">
      <c r="A278">
        <v>226</v>
      </c>
      <c r="B278" s="1" t="s">
        <v>672</v>
      </c>
      <c r="C278" s="5" t="s">
        <v>26</v>
      </c>
      <c r="D278" s="408">
        <v>24</v>
      </c>
      <c r="E278" s="5" t="s">
        <v>92</v>
      </c>
      <c r="F278" s="408">
        <v>2</v>
      </c>
      <c r="G278" s="408">
        <v>2</v>
      </c>
      <c r="H278" s="408">
        <v>38.9</v>
      </c>
      <c r="I278" s="408"/>
      <c r="J278" s="408"/>
      <c r="K278" s="408"/>
      <c r="L278" s="408">
        <v>0</v>
      </c>
      <c r="M278" s="408">
        <v>56.4</v>
      </c>
      <c r="N278" s="408">
        <v>28.5</v>
      </c>
      <c r="O278" s="408">
        <v>100</v>
      </c>
      <c r="P278" s="408">
        <v>0</v>
      </c>
      <c r="Q278" s="408">
        <v>0</v>
      </c>
      <c r="R278" s="408"/>
      <c r="S278" s="408">
        <v>0</v>
      </c>
      <c r="T278" s="408">
        <v>0</v>
      </c>
      <c r="U278" s="408">
        <v>0</v>
      </c>
      <c r="V278" s="408">
        <v>0</v>
      </c>
      <c r="W278" s="408">
        <v>0.58599999999999997</v>
      </c>
      <c r="X278" s="408">
        <v>-2.2000000000000002</v>
      </c>
      <c r="Y278" s="408">
        <v>-3.3</v>
      </c>
      <c r="Z278" s="408">
        <v>-5.6</v>
      </c>
      <c r="AA278" s="408">
        <v>0</v>
      </c>
    </row>
    <row r="279" spans="1:27">
      <c r="A279">
        <v>227</v>
      </c>
      <c r="B279" s="1" t="s">
        <v>631</v>
      </c>
      <c r="C279" s="5" t="s">
        <v>38</v>
      </c>
      <c r="D279" s="408">
        <v>23</v>
      </c>
      <c r="E279" s="5" t="s">
        <v>128</v>
      </c>
      <c r="F279" s="408">
        <v>4</v>
      </c>
      <c r="G279" s="408">
        <v>7</v>
      </c>
      <c r="H279" s="408">
        <v>36</v>
      </c>
      <c r="I279" s="408">
        <v>0.6</v>
      </c>
      <c r="J279" s="408">
        <v>0</v>
      </c>
      <c r="K279" s="408">
        <v>0</v>
      </c>
      <c r="L279" s="408">
        <v>32.4</v>
      </c>
      <c r="M279" s="408">
        <v>16.899999999999999</v>
      </c>
      <c r="N279" s="408">
        <v>24.8</v>
      </c>
      <c r="O279" s="408">
        <v>0</v>
      </c>
      <c r="P279" s="408">
        <v>0</v>
      </c>
      <c r="Q279" s="408">
        <v>13.4</v>
      </c>
      <c r="R279" s="408">
        <v>16.7</v>
      </c>
      <c r="S279" s="408">
        <v>38.700000000000003</v>
      </c>
      <c r="T279" s="408">
        <v>0</v>
      </c>
      <c r="U279" s="408">
        <v>0</v>
      </c>
      <c r="V279" s="408">
        <v>0</v>
      </c>
      <c r="W279" s="408">
        <v>0.10299999999999999</v>
      </c>
      <c r="X279" s="408">
        <v>-3.2</v>
      </c>
      <c r="Y279" s="408">
        <v>-5.8</v>
      </c>
      <c r="Z279" s="408">
        <v>-9</v>
      </c>
      <c r="AA279" s="408">
        <v>0</v>
      </c>
    </row>
    <row r="280" spans="1:27">
      <c r="A280">
        <v>228</v>
      </c>
      <c r="B280" s="1" t="s">
        <v>384</v>
      </c>
      <c r="C280" s="5" t="s">
        <v>38</v>
      </c>
      <c r="D280" s="408">
        <v>28</v>
      </c>
      <c r="E280" s="5" t="s">
        <v>47</v>
      </c>
      <c r="F280" s="408">
        <v>65</v>
      </c>
      <c r="G280" s="408">
        <v>1783</v>
      </c>
      <c r="H280" s="408">
        <v>14.4</v>
      </c>
      <c r="I280" s="408">
        <v>0.56899999999999995</v>
      </c>
      <c r="J280" s="408">
        <v>0.38400000000000001</v>
      </c>
      <c r="K280" s="408">
        <v>0.161</v>
      </c>
      <c r="L280" s="408">
        <v>4.2</v>
      </c>
      <c r="M280" s="408">
        <v>21</v>
      </c>
      <c r="N280" s="408">
        <v>12.7</v>
      </c>
      <c r="O280" s="408">
        <v>4.2</v>
      </c>
      <c r="P280" s="408">
        <v>0.7</v>
      </c>
      <c r="Q280" s="408">
        <v>3.6</v>
      </c>
      <c r="R280" s="408">
        <v>9.6999999999999993</v>
      </c>
      <c r="S280" s="408">
        <v>19.5</v>
      </c>
      <c r="T280" s="408">
        <v>1.7</v>
      </c>
      <c r="U280" s="408">
        <v>2.6</v>
      </c>
      <c r="V280" s="408">
        <v>4.3</v>
      </c>
      <c r="W280" s="408">
        <v>0.11600000000000001</v>
      </c>
      <c r="X280" s="408">
        <v>-1</v>
      </c>
      <c r="Y280" s="408">
        <v>0.5</v>
      </c>
      <c r="Z280" s="408">
        <v>-0.5</v>
      </c>
      <c r="AA280" s="408">
        <v>0.7</v>
      </c>
    </row>
    <row r="281" spans="1:27">
      <c r="A281">
        <v>229</v>
      </c>
      <c r="B281" s="1" t="s">
        <v>490</v>
      </c>
      <c r="C281" s="5" t="s">
        <v>46</v>
      </c>
      <c r="D281" s="408">
        <v>34</v>
      </c>
      <c r="E281" s="5" t="s">
        <v>73</v>
      </c>
      <c r="F281" s="408">
        <v>59</v>
      </c>
      <c r="G281" s="408">
        <v>1507</v>
      </c>
      <c r="H281" s="408">
        <v>11.1</v>
      </c>
      <c r="I281" s="408">
        <v>0.53800000000000003</v>
      </c>
      <c r="J281" s="408">
        <v>0.34899999999999998</v>
      </c>
      <c r="K281" s="408">
        <v>0.29799999999999999</v>
      </c>
      <c r="L281" s="408">
        <v>4</v>
      </c>
      <c r="M281" s="408">
        <v>12.4</v>
      </c>
      <c r="N281" s="408">
        <v>8.5</v>
      </c>
      <c r="O281" s="408">
        <v>15.8</v>
      </c>
      <c r="P281" s="408">
        <v>1.6</v>
      </c>
      <c r="Q281" s="408">
        <v>1.9</v>
      </c>
      <c r="R281" s="408">
        <v>15.9</v>
      </c>
      <c r="S281" s="408">
        <v>11.3</v>
      </c>
      <c r="T281" s="408">
        <v>1.5</v>
      </c>
      <c r="U281" s="408">
        <v>1.6</v>
      </c>
      <c r="V281" s="408">
        <v>3.1</v>
      </c>
      <c r="W281" s="408">
        <v>9.9000000000000005E-2</v>
      </c>
      <c r="X281" s="408">
        <v>-0.6</v>
      </c>
      <c r="Y281" s="408">
        <v>1.1000000000000001</v>
      </c>
      <c r="Z281" s="408">
        <v>0.5</v>
      </c>
      <c r="AA281" s="408">
        <v>0.9</v>
      </c>
    </row>
    <row r="282" spans="1:27">
      <c r="A282">
        <v>230</v>
      </c>
      <c r="B282" s="1" t="s">
        <v>208</v>
      </c>
      <c r="C282" s="5" t="s">
        <v>38</v>
      </c>
      <c r="D282" s="408">
        <v>30</v>
      </c>
      <c r="E282" s="5" t="s">
        <v>357</v>
      </c>
      <c r="F282" s="408">
        <v>56</v>
      </c>
      <c r="G282" s="408">
        <v>1394</v>
      </c>
      <c r="H282" s="408">
        <v>14.5</v>
      </c>
      <c r="I282" s="408">
        <v>0.56000000000000005</v>
      </c>
      <c r="J282" s="408">
        <v>0.41399999999999998</v>
      </c>
      <c r="K282" s="408">
        <v>0.218</v>
      </c>
      <c r="L282" s="408">
        <v>7.2</v>
      </c>
      <c r="M282" s="408">
        <v>16.899999999999999</v>
      </c>
      <c r="N282" s="408">
        <v>12.1</v>
      </c>
      <c r="O282" s="408">
        <v>7.7</v>
      </c>
      <c r="P282" s="408">
        <v>1.8</v>
      </c>
      <c r="Q282" s="408">
        <v>1.2</v>
      </c>
      <c r="R282" s="408">
        <v>9.5</v>
      </c>
      <c r="S282" s="408">
        <v>18</v>
      </c>
      <c r="T282" s="408">
        <v>1.7</v>
      </c>
      <c r="U282" s="408">
        <v>1.2</v>
      </c>
      <c r="V282" s="408">
        <v>3</v>
      </c>
      <c r="W282" s="408">
        <v>0.10299999999999999</v>
      </c>
      <c r="X282" s="408">
        <v>0.2</v>
      </c>
      <c r="Y282" s="408">
        <v>-0.4</v>
      </c>
      <c r="Z282" s="408">
        <v>-0.2</v>
      </c>
      <c r="AA282" s="408">
        <v>0.6</v>
      </c>
    </row>
    <row r="283" spans="1:27">
      <c r="A283">
        <v>230</v>
      </c>
      <c r="B283" s="1" t="s">
        <v>208</v>
      </c>
      <c r="C283" s="5" t="s">
        <v>38</v>
      </c>
      <c r="D283" s="408">
        <v>30</v>
      </c>
      <c r="E283" s="5" t="s">
        <v>149</v>
      </c>
      <c r="F283" s="408">
        <v>46</v>
      </c>
      <c r="G283" s="408">
        <v>1175</v>
      </c>
      <c r="H283" s="408">
        <v>15.1</v>
      </c>
      <c r="I283" s="408">
        <v>0.56899999999999995</v>
      </c>
      <c r="J283" s="408">
        <v>0.42399999999999999</v>
      </c>
      <c r="K283" s="408">
        <v>0.224</v>
      </c>
      <c r="L283" s="408">
        <v>7.1</v>
      </c>
      <c r="M283" s="408">
        <v>17.100000000000001</v>
      </c>
      <c r="N283" s="408">
        <v>12.1</v>
      </c>
      <c r="O283" s="408">
        <v>6.8</v>
      </c>
      <c r="P283" s="408">
        <v>1.8</v>
      </c>
      <c r="Q283" s="408">
        <v>1.2</v>
      </c>
      <c r="R283" s="408">
        <v>8.9</v>
      </c>
      <c r="S283" s="408">
        <v>18</v>
      </c>
      <c r="T283" s="408">
        <v>1.6</v>
      </c>
      <c r="U283" s="408">
        <v>0.9</v>
      </c>
      <c r="V283" s="408">
        <v>2.6</v>
      </c>
      <c r="W283" s="408">
        <v>0.104</v>
      </c>
      <c r="X283" s="408">
        <v>0.4</v>
      </c>
      <c r="Y283" s="408">
        <v>-0.5</v>
      </c>
      <c r="Z283" s="408">
        <v>-0.1</v>
      </c>
      <c r="AA283" s="408">
        <v>0.6</v>
      </c>
    </row>
    <row r="284" spans="1:27">
      <c r="A284">
        <v>230</v>
      </c>
      <c r="B284" s="1" t="s">
        <v>208</v>
      </c>
      <c r="C284" s="5" t="s">
        <v>38</v>
      </c>
      <c r="D284" s="408">
        <v>30</v>
      </c>
      <c r="E284" s="5" t="s">
        <v>118</v>
      </c>
      <c r="F284" s="408">
        <v>10</v>
      </c>
      <c r="G284" s="408">
        <v>219</v>
      </c>
      <c r="H284" s="408">
        <v>11.5</v>
      </c>
      <c r="I284" s="408">
        <v>0.51100000000000001</v>
      </c>
      <c r="J284" s="408">
        <v>0.36</v>
      </c>
      <c r="K284" s="408">
        <v>0.187</v>
      </c>
      <c r="L284" s="408">
        <v>7.7</v>
      </c>
      <c r="M284" s="408">
        <v>15.9</v>
      </c>
      <c r="N284" s="408">
        <v>11.9</v>
      </c>
      <c r="O284" s="408">
        <v>12.7</v>
      </c>
      <c r="P284" s="408">
        <v>1.8</v>
      </c>
      <c r="Q284" s="408">
        <v>0.8</v>
      </c>
      <c r="R284" s="408">
        <v>12.9</v>
      </c>
      <c r="S284" s="408">
        <v>18.2</v>
      </c>
      <c r="T284" s="408">
        <v>0.1</v>
      </c>
      <c r="U284" s="408">
        <v>0.3</v>
      </c>
      <c r="V284" s="408">
        <v>0.4</v>
      </c>
      <c r="W284" s="408">
        <v>9.2999999999999999E-2</v>
      </c>
      <c r="X284" s="408">
        <v>-1.2</v>
      </c>
      <c r="Y284" s="408">
        <v>0.1</v>
      </c>
      <c r="Z284" s="408">
        <v>-1.2</v>
      </c>
      <c r="AA284" s="408">
        <v>0</v>
      </c>
    </row>
    <row r="285" spans="1:27">
      <c r="A285">
        <v>231</v>
      </c>
      <c r="B285" s="1" t="s">
        <v>344</v>
      </c>
      <c r="C285" s="5" t="s">
        <v>46</v>
      </c>
      <c r="D285" s="408">
        <v>30</v>
      </c>
      <c r="E285" s="5" t="s">
        <v>305</v>
      </c>
      <c r="F285" s="408">
        <v>70</v>
      </c>
      <c r="G285" s="408">
        <v>2186</v>
      </c>
      <c r="H285" s="408">
        <v>14</v>
      </c>
      <c r="I285" s="408">
        <v>0.627</v>
      </c>
      <c r="J285" s="408">
        <v>0.65800000000000003</v>
      </c>
      <c r="K285" s="408">
        <v>9.8000000000000004E-2</v>
      </c>
      <c r="L285" s="408">
        <v>1.1000000000000001</v>
      </c>
      <c r="M285" s="408">
        <v>13.9</v>
      </c>
      <c r="N285" s="408">
        <v>7.6</v>
      </c>
      <c r="O285" s="408">
        <v>21.2</v>
      </c>
      <c r="P285" s="408">
        <v>1.8</v>
      </c>
      <c r="Q285" s="408">
        <v>0.6</v>
      </c>
      <c r="R285" s="408">
        <v>17.7</v>
      </c>
      <c r="S285" s="408">
        <v>15.8</v>
      </c>
      <c r="T285" s="408">
        <v>3</v>
      </c>
      <c r="U285" s="408">
        <v>3.1</v>
      </c>
      <c r="V285" s="408">
        <v>6.1</v>
      </c>
      <c r="W285" s="408">
        <v>0.13300000000000001</v>
      </c>
      <c r="X285" s="408">
        <v>1.8</v>
      </c>
      <c r="Y285" s="408">
        <v>1</v>
      </c>
      <c r="Z285" s="408">
        <v>2.8</v>
      </c>
      <c r="AA285" s="408">
        <v>2.7</v>
      </c>
    </row>
    <row r="286" spans="1:27">
      <c r="A286">
        <v>232</v>
      </c>
      <c r="B286" s="1" t="s">
        <v>496</v>
      </c>
      <c r="C286" s="5" t="s">
        <v>46</v>
      </c>
      <c r="D286" s="408">
        <v>20</v>
      </c>
      <c r="E286" s="5" t="s">
        <v>78</v>
      </c>
      <c r="F286" s="408">
        <v>57</v>
      </c>
      <c r="G286" s="408">
        <v>1925</v>
      </c>
      <c r="H286" s="408">
        <v>13.8</v>
      </c>
      <c r="I286" s="408">
        <v>0.53500000000000003</v>
      </c>
      <c r="J286" s="408">
        <v>0.13400000000000001</v>
      </c>
      <c r="K286" s="408">
        <v>0.36699999999999999</v>
      </c>
      <c r="L286" s="408">
        <v>3.1</v>
      </c>
      <c r="M286" s="408">
        <v>13.8</v>
      </c>
      <c r="N286" s="408">
        <v>8.4</v>
      </c>
      <c r="O286" s="408">
        <v>17.2</v>
      </c>
      <c r="P286" s="408">
        <v>1.1000000000000001</v>
      </c>
      <c r="Q286" s="408">
        <v>1.8</v>
      </c>
      <c r="R286" s="408">
        <v>14</v>
      </c>
      <c r="S286" s="408">
        <v>22</v>
      </c>
      <c r="T286" s="408">
        <v>1</v>
      </c>
      <c r="U286" s="408">
        <v>1.8</v>
      </c>
      <c r="V286" s="408">
        <v>2.8</v>
      </c>
      <c r="W286" s="408">
        <v>7.0000000000000007E-2</v>
      </c>
      <c r="X286" s="408">
        <v>-1.6</v>
      </c>
      <c r="Y286" s="408">
        <v>0.3</v>
      </c>
      <c r="Z286" s="408">
        <v>-1.3</v>
      </c>
      <c r="AA286" s="408">
        <v>0.3</v>
      </c>
    </row>
    <row r="287" spans="1:27">
      <c r="A287">
        <v>233</v>
      </c>
      <c r="B287" s="1" t="s">
        <v>317</v>
      </c>
      <c r="C287" s="5" t="s">
        <v>20</v>
      </c>
      <c r="D287" s="408">
        <v>25</v>
      </c>
      <c r="E287" s="5" t="s">
        <v>87</v>
      </c>
      <c r="F287" s="408">
        <v>60</v>
      </c>
      <c r="G287" s="408">
        <v>1931</v>
      </c>
      <c r="H287" s="408">
        <v>25</v>
      </c>
      <c r="I287" s="408">
        <v>0.61</v>
      </c>
      <c r="J287" s="408">
        <v>0.374</v>
      </c>
      <c r="K287" s="408">
        <v>0.24</v>
      </c>
      <c r="L287" s="408">
        <v>1.9</v>
      </c>
      <c r="M287" s="408">
        <v>10.8</v>
      </c>
      <c r="N287" s="408">
        <v>6.4</v>
      </c>
      <c r="O287" s="408">
        <v>30.6</v>
      </c>
      <c r="P287" s="408">
        <v>1.7</v>
      </c>
      <c r="Q287" s="408">
        <v>0.7</v>
      </c>
      <c r="R287" s="408">
        <v>10.4</v>
      </c>
      <c r="S287" s="408">
        <v>31</v>
      </c>
      <c r="T287" s="408">
        <v>6.3</v>
      </c>
      <c r="U287" s="408">
        <v>2.8</v>
      </c>
      <c r="V287" s="408">
        <v>9</v>
      </c>
      <c r="W287" s="408">
        <v>0.22500000000000001</v>
      </c>
      <c r="X287" s="408">
        <v>6.9</v>
      </c>
      <c r="Y287" s="408">
        <v>-0.6</v>
      </c>
      <c r="Z287" s="408">
        <v>6.4</v>
      </c>
      <c r="AA287" s="408">
        <v>4.0999999999999996</v>
      </c>
    </row>
    <row r="288" spans="1:27">
      <c r="A288">
        <v>234</v>
      </c>
      <c r="B288" s="1" t="s">
        <v>522</v>
      </c>
      <c r="C288" s="5" t="s">
        <v>38</v>
      </c>
      <c r="D288" s="408">
        <v>20</v>
      </c>
      <c r="E288" s="5" t="s">
        <v>75</v>
      </c>
      <c r="F288" s="408">
        <v>24</v>
      </c>
      <c r="G288" s="408">
        <v>466</v>
      </c>
      <c r="H288" s="408">
        <v>8.6999999999999993</v>
      </c>
      <c r="I288" s="408">
        <v>0.443</v>
      </c>
      <c r="J288" s="408">
        <v>0.29499999999999998</v>
      </c>
      <c r="K288" s="408">
        <v>0.16400000000000001</v>
      </c>
      <c r="L288" s="408">
        <v>3.3</v>
      </c>
      <c r="M288" s="408">
        <v>17.3</v>
      </c>
      <c r="N288" s="408">
        <v>10.3</v>
      </c>
      <c r="O288" s="408">
        <v>4.5</v>
      </c>
      <c r="P288" s="408">
        <v>2.5</v>
      </c>
      <c r="Q288" s="408">
        <v>4.5999999999999996</v>
      </c>
      <c r="R288" s="408">
        <v>14.4</v>
      </c>
      <c r="S288" s="408">
        <v>14.4</v>
      </c>
      <c r="T288" s="408">
        <v>-0.6</v>
      </c>
      <c r="U288" s="408">
        <v>0.6</v>
      </c>
      <c r="V288" s="408">
        <v>0</v>
      </c>
      <c r="W288" s="408">
        <v>3.0000000000000001E-3</v>
      </c>
      <c r="X288" s="408">
        <v>-5.4</v>
      </c>
      <c r="Y288" s="408">
        <v>2.7</v>
      </c>
      <c r="Z288" s="408">
        <v>-2.8</v>
      </c>
      <c r="AA288" s="408">
        <v>-0.1</v>
      </c>
    </row>
    <row r="289" spans="1:27">
      <c r="A289">
        <v>235</v>
      </c>
      <c r="B289" s="1" t="s">
        <v>550</v>
      </c>
      <c r="C289" s="5" t="s">
        <v>46</v>
      </c>
      <c r="D289" s="408">
        <v>23</v>
      </c>
      <c r="E289" s="5" t="s">
        <v>75</v>
      </c>
      <c r="F289" s="408">
        <v>52</v>
      </c>
      <c r="G289" s="408">
        <v>754</v>
      </c>
      <c r="H289" s="408">
        <v>8.5</v>
      </c>
      <c r="I289" s="408">
        <v>0.49399999999999999</v>
      </c>
      <c r="J289" s="408">
        <v>0.17399999999999999</v>
      </c>
      <c r="K289" s="408">
        <v>0.21099999999999999</v>
      </c>
      <c r="L289" s="408">
        <v>3.7</v>
      </c>
      <c r="M289" s="408">
        <v>12.3</v>
      </c>
      <c r="N289" s="408">
        <v>8</v>
      </c>
      <c r="O289" s="408">
        <v>8.1</v>
      </c>
      <c r="P289" s="408">
        <v>1.8</v>
      </c>
      <c r="Q289" s="408">
        <v>0.8</v>
      </c>
      <c r="R289" s="408">
        <v>11.1</v>
      </c>
      <c r="S289" s="408">
        <v>11.6</v>
      </c>
      <c r="T289" s="408">
        <v>0.1</v>
      </c>
      <c r="U289" s="408">
        <v>0.5</v>
      </c>
      <c r="V289" s="408">
        <v>0.6</v>
      </c>
      <c r="W289" s="408">
        <v>3.9E-2</v>
      </c>
      <c r="X289" s="408">
        <v>-3.4</v>
      </c>
      <c r="Y289" s="408">
        <v>0.2</v>
      </c>
      <c r="Z289" s="408">
        <v>-3.2</v>
      </c>
      <c r="AA289" s="408">
        <v>-0.2</v>
      </c>
    </row>
    <row r="290" spans="1:27">
      <c r="A290">
        <v>236</v>
      </c>
      <c r="B290" s="1" t="s">
        <v>183</v>
      </c>
      <c r="C290" s="5" t="s">
        <v>20</v>
      </c>
      <c r="D290" s="408">
        <v>34</v>
      </c>
      <c r="E290" s="5" t="s">
        <v>21</v>
      </c>
      <c r="F290" s="408">
        <v>58</v>
      </c>
      <c r="G290" s="408">
        <v>1483</v>
      </c>
      <c r="H290" s="408">
        <v>11.2</v>
      </c>
      <c r="I290" s="408">
        <v>0.48699999999999999</v>
      </c>
      <c r="J290" s="408">
        <v>0.193</v>
      </c>
      <c r="K290" s="408">
        <v>0.16700000000000001</v>
      </c>
      <c r="L290" s="408">
        <v>1.5</v>
      </c>
      <c r="M290" s="408">
        <v>11.8</v>
      </c>
      <c r="N290" s="408">
        <v>6.7</v>
      </c>
      <c r="O290" s="408">
        <v>31.3</v>
      </c>
      <c r="P290" s="408">
        <v>1.2</v>
      </c>
      <c r="Q290" s="408">
        <v>0.2</v>
      </c>
      <c r="R290" s="408">
        <v>19.899999999999999</v>
      </c>
      <c r="S290" s="408">
        <v>16.5</v>
      </c>
      <c r="T290" s="408">
        <v>0.3</v>
      </c>
      <c r="U290" s="408">
        <v>0.7</v>
      </c>
      <c r="V290" s="408">
        <v>1.1000000000000001</v>
      </c>
      <c r="W290" s="408">
        <v>3.5000000000000003E-2</v>
      </c>
      <c r="X290" s="408">
        <v>-1.9</v>
      </c>
      <c r="Y290" s="408">
        <v>-1.5</v>
      </c>
      <c r="Z290" s="408">
        <v>-3.4</v>
      </c>
      <c r="AA290" s="408">
        <v>-0.5</v>
      </c>
    </row>
    <row r="291" spans="1:27">
      <c r="A291">
        <v>237</v>
      </c>
      <c r="B291" s="1" t="s">
        <v>623</v>
      </c>
      <c r="C291" s="5" t="s">
        <v>20</v>
      </c>
      <c r="D291" s="408">
        <v>23</v>
      </c>
      <c r="E291" s="5" t="s">
        <v>92</v>
      </c>
      <c r="F291" s="408">
        <v>12</v>
      </c>
      <c r="G291" s="408">
        <v>63</v>
      </c>
      <c r="H291" s="408">
        <v>-0.6</v>
      </c>
      <c r="I291" s="408">
        <v>0.28599999999999998</v>
      </c>
      <c r="J291" s="408">
        <v>0.42899999999999999</v>
      </c>
      <c r="K291" s="408">
        <v>0</v>
      </c>
      <c r="L291" s="408">
        <v>7.3</v>
      </c>
      <c r="M291" s="408">
        <v>12.5</v>
      </c>
      <c r="N291" s="408">
        <v>9.9</v>
      </c>
      <c r="O291" s="408">
        <v>10.6</v>
      </c>
      <c r="P291" s="408">
        <v>3.1</v>
      </c>
      <c r="Q291" s="408">
        <v>1.3</v>
      </c>
      <c r="R291" s="408">
        <v>41.7</v>
      </c>
      <c r="S291" s="408">
        <v>16.8</v>
      </c>
      <c r="T291" s="408">
        <v>-0.3</v>
      </c>
      <c r="U291" s="408">
        <v>0.1</v>
      </c>
      <c r="V291" s="408">
        <v>-0.2</v>
      </c>
      <c r="W291" s="408">
        <v>-0.16400000000000001</v>
      </c>
      <c r="X291" s="408">
        <v>-10</v>
      </c>
      <c r="Y291" s="408">
        <v>2.2000000000000002</v>
      </c>
      <c r="Z291" s="408">
        <v>-7.8</v>
      </c>
      <c r="AA291" s="408">
        <v>-0.1</v>
      </c>
    </row>
    <row r="292" spans="1:27">
      <c r="A292">
        <v>238</v>
      </c>
      <c r="B292" s="1" t="s">
        <v>459</v>
      </c>
      <c r="C292" s="5" t="s">
        <v>46</v>
      </c>
      <c r="D292" s="408">
        <v>20</v>
      </c>
      <c r="E292" s="5" t="s">
        <v>313</v>
      </c>
      <c r="F292" s="408">
        <v>68</v>
      </c>
      <c r="G292" s="408">
        <v>1640</v>
      </c>
      <c r="H292" s="408">
        <v>11.5</v>
      </c>
      <c r="I292" s="408">
        <v>0.48299999999999998</v>
      </c>
      <c r="J292" s="408">
        <v>0.251</v>
      </c>
      <c r="K292" s="408">
        <v>0.307</v>
      </c>
      <c r="L292" s="408">
        <v>5.2</v>
      </c>
      <c r="M292" s="408">
        <v>14.6</v>
      </c>
      <c r="N292" s="408">
        <v>9.8000000000000007</v>
      </c>
      <c r="O292" s="408">
        <v>9.1999999999999993</v>
      </c>
      <c r="P292" s="408">
        <v>1.8</v>
      </c>
      <c r="Q292" s="408">
        <v>1.5</v>
      </c>
      <c r="R292" s="408">
        <v>12.4</v>
      </c>
      <c r="S292" s="408">
        <v>25</v>
      </c>
      <c r="T292" s="408">
        <v>-1.5</v>
      </c>
      <c r="U292" s="408">
        <v>0.9</v>
      </c>
      <c r="V292" s="408">
        <v>-0.6</v>
      </c>
      <c r="W292" s="408">
        <v>-1.6E-2</v>
      </c>
      <c r="X292" s="408">
        <v>-3.2</v>
      </c>
      <c r="Y292" s="408">
        <v>-1.4</v>
      </c>
      <c r="Z292" s="408">
        <v>-4.5</v>
      </c>
      <c r="AA292" s="408">
        <v>-1.1000000000000001</v>
      </c>
    </row>
    <row r="293" spans="1:27">
      <c r="A293">
        <v>239</v>
      </c>
      <c r="B293" s="1" t="s">
        <v>452</v>
      </c>
      <c r="C293" s="5" t="s">
        <v>46</v>
      </c>
      <c r="D293" s="408">
        <v>22</v>
      </c>
      <c r="E293" s="5" t="s">
        <v>100</v>
      </c>
      <c r="F293" s="408">
        <v>58</v>
      </c>
      <c r="G293" s="408">
        <v>1219</v>
      </c>
      <c r="H293" s="408">
        <v>9.6999999999999993</v>
      </c>
      <c r="I293" s="408">
        <v>0.52500000000000002</v>
      </c>
      <c r="J293" s="408">
        <v>0.42199999999999999</v>
      </c>
      <c r="K293" s="408">
        <v>9.2999999999999999E-2</v>
      </c>
      <c r="L293" s="408">
        <v>2.1</v>
      </c>
      <c r="M293" s="408">
        <v>12.9</v>
      </c>
      <c r="N293" s="408">
        <v>7.3</v>
      </c>
      <c r="O293" s="408">
        <v>7.1</v>
      </c>
      <c r="P293" s="408">
        <v>1</v>
      </c>
      <c r="Q293" s="408">
        <v>0.8</v>
      </c>
      <c r="R293" s="408">
        <v>8.4</v>
      </c>
      <c r="S293" s="408">
        <v>14.4</v>
      </c>
      <c r="T293" s="408">
        <v>0.4</v>
      </c>
      <c r="U293" s="408">
        <v>0.3</v>
      </c>
      <c r="V293" s="408">
        <v>0.7</v>
      </c>
      <c r="W293" s="408">
        <v>2.9000000000000001E-2</v>
      </c>
      <c r="X293" s="408">
        <v>-2</v>
      </c>
      <c r="Y293" s="408">
        <v>-1.7</v>
      </c>
      <c r="Z293" s="408">
        <v>-3.6</v>
      </c>
      <c r="AA293" s="408">
        <v>-0.5</v>
      </c>
    </row>
    <row r="294" spans="1:27">
      <c r="A294">
        <v>240</v>
      </c>
      <c r="B294" s="1" t="s">
        <v>394</v>
      </c>
      <c r="C294" s="5" t="s">
        <v>20</v>
      </c>
      <c r="D294" s="408">
        <v>27</v>
      </c>
      <c r="E294" s="5" t="s">
        <v>157</v>
      </c>
      <c r="F294" s="408">
        <v>33</v>
      </c>
      <c r="G294" s="408">
        <v>894</v>
      </c>
      <c r="H294" s="408">
        <v>16.3</v>
      </c>
      <c r="I294" s="408">
        <v>0.54</v>
      </c>
      <c r="J294" s="408">
        <v>0.30499999999999999</v>
      </c>
      <c r="K294" s="408">
        <v>0.23200000000000001</v>
      </c>
      <c r="L294" s="408">
        <v>2.7</v>
      </c>
      <c r="M294" s="408">
        <v>9.1</v>
      </c>
      <c r="N294" s="408">
        <v>5.8</v>
      </c>
      <c r="O294" s="408">
        <v>33.5</v>
      </c>
      <c r="P294" s="408">
        <v>1.2</v>
      </c>
      <c r="Q294" s="408">
        <v>0.3</v>
      </c>
      <c r="R294" s="408">
        <v>15.5</v>
      </c>
      <c r="S294" s="408">
        <v>26.2</v>
      </c>
      <c r="T294" s="408">
        <v>1</v>
      </c>
      <c r="U294" s="408">
        <v>0.6</v>
      </c>
      <c r="V294" s="408">
        <v>1.6</v>
      </c>
      <c r="W294" s="408">
        <v>8.5999999999999993E-2</v>
      </c>
      <c r="X294" s="408">
        <v>1.2</v>
      </c>
      <c r="Y294" s="408">
        <v>-2.1</v>
      </c>
      <c r="Z294" s="408">
        <v>-1</v>
      </c>
      <c r="AA294" s="408">
        <v>0.2</v>
      </c>
    </row>
    <row r="295" spans="1:27">
      <c r="A295">
        <v>241</v>
      </c>
      <c r="B295" s="1" t="s">
        <v>354</v>
      </c>
      <c r="C295" s="5" t="s">
        <v>38</v>
      </c>
      <c r="D295" s="408">
        <v>33</v>
      </c>
      <c r="E295" s="5" t="s">
        <v>102</v>
      </c>
      <c r="F295" s="408">
        <v>70</v>
      </c>
      <c r="G295" s="408">
        <v>2598</v>
      </c>
      <c r="H295" s="408">
        <v>28.3</v>
      </c>
      <c r="I295" s="408">
        <v>0.62</v>
      </c>
      <c r="J295" s="408">
        <v>0.25700000000000001</v>
      </c>
      <c r="K295" s="408">
        <v>0.32100000000000001</v>
      </c>
      <c r="L295" s="408">
        <v>3.6</v>
      </c>
      <c r="M295" s="408">
        <v>22.2</v>
      </c>
      <c r="N295" s="408">
        <v>13</v>
      </c>
      <c r="O295" s="408">
        <v>43.9</v>
      </c>
      <c r="P295" s="408">
        <v>2</v>
      </c>
      <c r="Q295" s="408">
        <v>2.2999999999999998</v>
      </c>
      <c r="R295" s="408">
        <v>16.399999999999999</v>
      </c>
      <c r="S295" s="408">
        <v>31.4</v>
      </c>
      <c r="T295" s="408">
        <v>8.8000000000000007</v>
      </c>
      <c r="U295" s="408">
        <v>2.7</v>
      </c>
      <c r="V295" s="408">
        <v>11.5</v>
      </c>
      <c r="W295" s="408">
        <v>0.21299999999999999</v>
      </c>
      <c r="X295" s="408">
        <v>7.2</v>
      </c>
      <c r="Y295" s="408">
        <v>2.2000000000000002</v>
      </c>
      <c r="Z295" s="408">
        <v>9.4</v>
      </c>
      <c r="AA295" s="408">
        <v>7.5</v>
      </c>
    </row>
    <row r="296" spans="1:27">
      <c r="A296">
        <v>242</v>
      </c>
      <c r="B296" s="1" t="s">
        <v>434</v>
      </c>
      <c r="C296" s="5" t="s">
        <v>20</v>
      </c>
      <c r="D296" s="408">
        <v>27</v>
      </c>
      <c r="E296" s="5" t="s">
        <v>357</v>
      </c>
      <c r="F296" s="408">
        <v>36</v>
      </c>
      <c r="G296" s="408">
        <v>687</v>
      </c>
      <c r="H296" s="408">
        <v>13.9</v>
      </c>
      <c r="I296" s="408">
        <v>0.46899999999999997</v>
      </c>
      <c r="J296" s="408">
        <v>0.30499999999999999</v>
      </c>
      <c r="K296" s="408">
        <v>0.26200000000000001</v>
      </c>
      <c r="L296" s="408">
        <v>2</v>
      </c>
      <c r="M296" s="408">
        <v>12.3</v>
      </c>
      <c r="N296" s="408">
        <v>7</v>
      </c>
      <c r="O296" s="408">
        <v>29.4</v>
      </c>
      <c r="P296" s="408">
        <v>1.9</v>
      </c>
      <c r="Q296" s="408">
        <v>0.8</v>
      </c>
      <c r="R296" s="408">
        <v>12</v>
      </c>
      <c r="S296" s="408">
        <v>25.1</v>
      </c>
      <c r="T296" s="408">
        <v>-0.1</v>
      </c>
      <c r="U296" s="408">
        <v>0.3</v>
      </c>
      <c r="V296" s="408">
        <v>0.2</v>
      </c>
      <c r="W296" s="408">
        <v>1.6E-2</v>
      </c>
      <c r="X296" s="408">
        <v>-0.8</v>
      </c>
      <c r="Y296" s="408">
        <v>-1.9</v>
      </c>
      <c r="Z296" s="408">
        <v>-2.7</v>
      </c>
      <c r="AA296" s="408">
        <v>-0.1</v>
      </c>
    </row>
    <row r="297" spans="1:27">
      <c r="A297">
        <v>242</v>
      </c>
      <c r="B297" s="1" t="s">
        <v>434</v>
      </c>
      <c r="C297" s="5" t="s">
        <v>20</v>
      </c>
      <c r="D297" s="408">
        <v>27</v>
      </c>
      <c r="E297" s="5" t="s">
        <v>313</v>
      </c>
      <c r="F297" s="408">
        <v>32</v>
      </c>
      <c r="G297" s="408">
        <v>669</v>
      </c>
      <c r="H297" s="408">
        <v>14.2</v>
      </c>
      <c r="I297" s="408">
        <v>0.47599999999999998</v>
      </c>
      <c r="J297" s="408">
        <v>0.311</v>
      </c>
      <c r="K297" s="408">
        <v>0.26900000000000002</v>
      </c>
      <c r="L297" s="408">
        <v>1.9</v>
      </c>
      <c r="M297" s="408">
        <v>12.6</v>
      </c>
      <c r="N297" s="408">
        <v>7.1</v>
      </c>
      <c r="O297" s="408">
        <v>29</v>
      </c>
      <c r="P297" s="408">
        <v>1.9</v>
      </c>
      <c r="Q297" s="408">
        <v>0.8</v>
      </c>
      <c r="R297" s="408">
        <v>12.1</v>
      </c>
      <c r="S297" s="408">
        <v>25.1</v>
      </c>
      <c r="T297" s="408">
        <v>0</v>
      </c>
      <c r="U297" s="408">
        <v>0.3</v>
      </c>
      <c r="V297" s="408">
        <v>0.3</v>
      </c>
      <c r="W297" s="408">
        <v>0.02</v>
      </c>
      <c r="X297" s="408">
        <v>-0.6</v>
      </c>
      <c r="Y297" s="408">
        <v>-1.8</v>
      </c>
      <c r="Z297" s="408">
        <v>-2.4</v>
      </c>
      <c r="AA297" s="408">
        <v>-0.1</v>
      </c>
    </row>
    <row r="298" spans="1:27">
      <c r="A298">
        <v>242</v>
      </c>
      <c r="B298" s="1" t="s">
        <v>434</v>
      </c>
      <c r="C298" s="5" t="s">
        <v>20</v>
      </c>
      <c r="D298" s="408">
        <v>27</v>
      </c>
      <c r="E298" s="5" t="s">
        <v>112</v>
      </c>
      <c r="F298" s="408">
        <v>4</v>
      </c>
      <c r="G298" s="408">
        <v>18</v>
      </c>
      <c r="H298" s="408">
        <v>3.5</v>
      </c>
      <c r="I298" s="408">
        <v>0.222</v>
      </c>
      <c r="J298" s="408">
        <v>0.111</v>
      </c>
      <c r="K298" s="408">
        <v>0</v>
      </c>
      <c r="L298" s="408">
        <v>6.3</v>
      </c>
      <c r="M298" s="408">
        <v>0</v>
      </c>
      <c r="N298" s="408">
        <v>3</v>
      </c>
      <c r="O298" s="408">
        <v>44</v>
      </c>
      <c r="P298" s="408">
        <v>2.7</v>
      </c>
      <c r="Q298" s="408">
        <v>0</v>
      </c>
      <c r="R298" s="408">
        <v>10</v>
      </c>
      <c r="S298" s="408">
        <v>24.1</v>
      </c>
      <c r="T298" s="408">
        <v>-0.1</v>
      </c>
      <c r="U298" s="408">
        <v>0</v>
      </c>
      <c r="V298" s="408">
        <v>-0.1</v>
      </c>
      <c r="W298" s="408">
        <v>-0.15</v>
      </c>
      <c r="X298" s="408">
        <v>-7.7</v>
      </c>
      <c r="Y298" s="408">
        <v>-4.8</v>
      </c>
      <c r="Z298" s="408">
        <v>-12.5</v>
      </c>
      <c r="AA298" s="408">
        <v>0</v>
      </c>
    </row>
    <row r="299" spans="1:27">
      <c r="A299">
        <v>243</v>
      </c>
      <c r="B299" s="1" t="s">
        <v>566</v>
      </c>
      <c r="C299" s="5" t="s">
        <v>83</v>
      </c>
      <c r="D299" s="408">
        <v>33</v>
      </c>
      <c r="E299" s="5" t="s">
        <v>30</v>
      </c>
      <c r="F299" s="408">
        <v>33</v>
      </c>
      <c r="G299" s="408">
        <v>453</v>
      </c>
      <c r="H299" s="408">
        <v>19.7</v>
      </c>
      <c r="I299" s="408">
        <v>0.55800000000000005</v>
      </c>
      <c r="J299" s="408">
        <v>5.0000000000000001E-3</v>
      </c>
      <c r="K299" s="408">
        <v>0.155</v>
      </c>
      <c r="L299" s="408">
        <v>6.8</v>
      </c>
      <c r="M299" s="408">
        <v>25.4</v>
      </c>
      <c r="N299" s="408">
        <v>16.2</v>
      </c>
      <c r="O299" s="408">
        <v>10</v>
      </c>
      <c r="P299" s="408">
        <v>1.8</v>
      </c>
      <c r="Q299" s="408">
        <v>4.3</v>
      </c>
      <c r="R299" s="408">
        <v>8.4</v>
      </c>
      <c r="S299" s="408">
        <v>22.2</v>
      </c>
      <c r="T299" s="408">
        <v>0.7</v>
      </c>
      <c r="U299" s="408">
        <v>0.7</v>
      </c>
      <c r="V299" s="408">
        <v>1.4</v>
      </c>
      <c r="W299" s="408">
        <v>0.151</v>
      </c>
      <c r="X299" s="408">
        <v>-1.9</v>
      </c>
      <c r="Y299" s="408">
        <v>1.4</v>
      </c>
      <c r="Z299" s="408">
        <v>-0.5</v>
      </c>
      <c r="AA299" s="408">
        <v>0.2</v>
      </c>
    </row>
    <row r="300" spans="1:27">
      <c r="A300">
        <v>244</v>
      </c>
      <c r="B300" s="1" t="s">
        <v>62</v>
      </c>
      <c r="C300" s="5" t="s">
        <v>46</v>
      </c>
      <c r="D300" s="408">
        <v>37</v>
      </c>
      <c r="E300" s="5" t="s">
        <v>61</v>
      </c>
      <c r="F300" s="408">
        <v>19</v>
      </c>
      <c r="G300" s="408">
        <v>159</v>
      </c>
      <c r="H300" s="408">
        <v>6</v>
      </c>
      <c r="I300" s="408">
        <v>0.499</v>
      </c>
      <c r="J300" s="408">
        <v>0.25900000000000001</v>
      </c>
      <c r="K300" s="408">
        <v>0.25900000000000001</v>
      </c>
      <c r="L300" s="408">
        <v>1.4</v>
      </c>
      <c r="M300" s="408">
        <v>10</v>
      </c>
      <c r="N300" s="408">
        <v>5.7</v>
      </c>
      <c r="O300" s="408">
        <v>10.7</v>
      </c>
      <c r="P300" s="408">
        <v>0.6</v>
      </c>
      <c r="Q300" s="408">
        <v>0.5</v>
      </c>
      <c r="R300" s="408">
        <v>14.3</v>
      </c>
      <c r="S300" s="408">
        <v>9.6</v>
      </c>
      <c r="T300" s="408">
        <v>0</v>
      </c>
      <c r="U300" s="408">
        <v>0</v>
      </c>
      <c r="V300" s="408">
        <v>0.1</v>
      </c>
      <c r="W300" s="408">
        <v>2.3E-2</v>
      </c>
      <c r="X300" s="408">
        <v>-4</v>
      </c>
      <c r="Y300" s="408">
        <v>-2</v>
      </c>
      <c r="Z300" s="408">
        <v>-6</v>
      </c>
      <c r="AA300" s="408">
        <v>-0.2</v>
      </c>
    </row>
    <row r="301" spans="1:27">
      <c r="A301">
        <v>245</v>
      </c>
      <c r="B301" s="1" t="s">
        <v>1201</v>
      </c>
      <c r="C301" s="5" t="s">
        <v>20</v>
      </c>
      <c r="D301" s="408">
        <v>28</v>
      </c>
      <c r="E301" s="5" t="s">
        <v>41</v>
      </c>
      <c r="F301" s="408">
        <v>4</v>
      </c>
      <c r="G301" s="408">
        <v>63</v>
      </c>
      <c r="H301" s="408">
        <v>22.6</v>
      </c>
      <c r="I301" s="408">
        <v>0.59099999999999997</v>
      </c>
      <c r="J301" s="408">
        <v>0.47399999999999998</v>
      </c>
      <c r="K301" s="408">
        <v>0.158</v>
      </c>
      <c r="L301" s="408">
        <v>5.7</v>
      </c>
      <c r="M301" s="408">
        <v>15</v>
      </c>
      <c r="N301" s="408">
        <v>10.3</v>
      </c>
      <c r="O301" s="408">
        <v>52.3</v>
      </c>
      <c r="P301" s="408">
        <v>0</v>
      </c>
      <c r="Q301" s="408">
        <v>4.0999999999999996</v>
      </c>
      <c r="R301" s="408">
        <v>16.399999999999999</v>
      </c>
      <c r="S301" s="408">
        <v>17.5</v>
      </c>
      <c r="T301" s="408">
        <v>0.3</v>
      </c>
      <c r="U301" s="408">
        <v>0</v>
      </c>
      <c r="V301" s="408">
        <v>0.3</v>
      </c>
      <c r="W301" s="408">
        <v>0.221</v>
      </c>
      <c r="X301" s="408">
        <v>3.3</v>
      </c>
      <c r="Y301" s="408">
        <v>-2.6</v>
      </c>
      <c r="Z301" s="408">
        <v>0.8</v>
      </c>
      <c r="AA301" s="408">
        <v>0</v>
      </c>
    </row>
    <row r="302" spans="1:27">
      <c r="A302">
        <v>246</v>
      </c>
      <c r="B302" s="1" t="s">
        <v>466</v>
      </c>
      <c r="C302" s="5" t="s">
        <v>38</v>
      </c>
      <c r="D302" s="408">
        <v>30</v>
      </c>
      <c r="E302" s="5" t="s">
        <v>305</v>
      </c>
      <c r="F302" s="408">
        <v>62</v>
      </c>
      <c r="G302" s="408">
        <v>976</v>
      </c>
      <c r="H302" s="408">
        <v>13</v>
      </c>
      <c r="I302" s="408">
        <v>0.57399999999999995</v>
      </c>
      <c r="J302" s="408">
        <v>0.45</v>
      </c>
      <c r="K302" s="408">
        <v>0.182</v>
      </c>
      <c r="L302" s="408">
        <v>5.5</v>
      </c>
      <c r="M302" s="408">
        <v>19.3</v>
      </c>
      <c r="N302" s="408">
        <v>12.5</v>
      </c>
      <c r="O302" s="408">
        <v>5.8</v>
      </c>
      <c r="P302" s="408">
        <v>1.2</v>
      </c>
      <c r="Q302" s="408">
        <v>0.9</v>
      </c>
      <c r="R302" s="408">
        <v>6.8</v>
      </c>
      <c r="S302" s="408">
        <v>15.6</v>
      </c>
      <c r="T302" s="408">
        <v>1.4</v>
      </c>
      <c r="U302" s="408">
        <v>1.4</v>
      </c>
      <c r="V302" s="408">
        <v>2.8</v>
      </c>
      <c r="W302" s="408">
        <v>0.13900000000000001</v>
      </c>
      <c r="X302" s="408">
        <v>-0.6</v>
      </c>
      <c r="Y302" s="408">
        <v>-0.1</v>
      </c>
      <c r="Z302" s="408">
        <v>-0.7</v>
      </c>
      <c r="AA302" s="408">
        <v>0.3</v>
      </c>
    </row>
    <row r="303" spans="1:27">
      <c r="A303">
        <v>247</v>
      </c>
      <c r="B303" s="1" t="s">
        <v>119</v>
      </c>
      <c r="C303" s="5" t="s">
        <v>83</v>
      </c>
      <c r="D303" s="408">
        <v>30</v>
      </c>
      <c r="E303" s="5" t="s">
        <v>118</v>
      </c>
      <c r="F303" s="408">
        <v>62</v>
      </c>
      <c r="G303" s="408">
        <v>943</v>
      </c>
      <c r="H303" s="408">
        <v>14.8</v>
      </c>
      <c r="I303" s="408">
        <v>0.57699999999999996</v>
      </c>
      <c r="J303" s="408">
        <v>0.11700000000000001</v>
      </c>
      <c r="K303" s="408">
        <v>0.374</v>
      </c>
      <c r="L303" s="408">
        <v>12.6</v>
      </c>
      <c r="M303" s="408">
        <v>18.100000000000001</v>
      </c>
      <c r="N303" s="408">
        <v>15.5</v>
      </c>
      <c r="O303" s="408">
        <v>12.4</v>
      </c>
      <c r="P303" s="408">
        <v>2</v>
      </c>
      <c r="Q303" s="408">
        <v>3.4</v>
      </c>
      <c r="R303" s="408">
        <v>16.7</v>
      </c>
      <c r="S303" s="408">
        <v>13.1</v>
      </c>
      <c r="T303" s="408">
        <v>1.5</v>
      </c>
      <c r="U303" s="408">
        <v>1.6</v>
      </c>
      <c r="V303" s="408">
        <v>3.1</v>
      </c>
      <c r="W303" s="408">
        <v>0.158</v>
      </c>
      <c r="X303" s="408">
        <v>-0.3</v>
      </c>
      <c r="Y303" s="408">
        <v>3</v>
      </c>
      <c r="Z303" s="408">
        <v>2.7</v>
      </c>
      <c r="AA303" s="408">
        <v>1.1000000000000001</v>
      </c>
    </row>
    <row r="304" spans="1:27">
      <c r="A304">
        <v>248</v>
      </c>
      <c r="B304" s="1" t="s">
        <v>65</v>
      </c>
      <c r="C304" s="5" t="s">
        <v>38</v>
      </c>
      <c r="D304" s="408">
        <v>23</v>
      </c>
      <c r="E304" s="5" t="s">
        <v>357</v>
      </c>
      <c r="F304" s="408">
        <v>16</v>
      </c>
      <c r="G304" s="408">
        <v>73</v>
      </c>
      <c r="H304" s="408">
        <v>16.8</v>
      </c>
      <c r="I304" s="408">
        <v>0.48699999999999999</v>
      </c>
      <c r="J304" s="408">
        <v>3.1E-2</v>
      </c>
      <c r="K304" s="408">
        <v>6.3E-2</v>
      </c>
      <c r="L304" s="408">
        <v>10.8</v>
      </c>
      <c r="M304" s="408">
        <v>27.5</v>
      </c>
      <c r="N304" s="408">
        <v>19.3</v>
      </c>
      <c r="O304" s="408">
        <v>2.1</v>
      </c>
      <c r="P304" s="408">
        <v>5.4</v>
      </c>
      <c r="Q304" s="408">
        <v>3.6</v>
      </c>
      <c r="R304" s="408">
        <v>13.2</v>
      </c>
      <c r="S304" s="408">
        <v>23</v>
      </c>
      <c r="T304" s="408">
        <v>-0.1</v>
      </c>
      <c r="U304" s="408">
        <v>0.2</v>
      </c>
      <c r="V304" s="408">
        <v>0.1</v>
      </c>
      <c r="W304" s="408">
        <v>7.0000000000000007E-2</v>
      </c>
      <c r="X304" s="408">
        <v>-6.2</v>
      </c>
      <c r="Y304" s="408">
        <v>0.3</v>
      </c>
      <c r="Z304" s="408">
        <v>-6</v>
      </c>
      <c r="AA304" s="408">
        <v>-0.1</v>
      </c>
    </row>
    <row r="305" spans="1:27">
      <c r="A305">
        <v>248</v>
      </c>
      <c r="B305" s="1" t="s">
        <v>65</v>
      </c>
      <c r="C305" s="5" t="s">
        <v>38</v>
      </c>
      <c r="D305" s="408">
        <v>23</v>
      </c>
      <c r="E305" s="5" t="s">
        <v>64</v>
      </c>
      <c r="F305" s="408">
        <v>9</v>
      </c>
      <c r="G305" s="408">
        <v>38</v>
      </c>
      <c r="H305" s="408">
        <v>21.3</v>
      </c>
      <c r="I305" s="408">
        <v>0.67300000000000004</v>
      </c>
      <c r="J305" s="408">
        <v>9.0999999999999998E-2</v>
      </c>
      <c r="K305" s="408">
        <v>0.182</v>
      </c>
      <c r="L305" s="408">
        <v>5.9</v>
      </c>
      <c r="M305" s="408">
        <v>31.1</v>
      </c>
      <c r="N305" s="408">
        <v>18.7</v>
      </c>
      <c r="O305" s="408">
        <v>4</v>
      </c>
      <c r="P305" s="408">
        <v>7.7</v>
      </c>
      <c r="Q305" s="408">
        <v>4.4000000000000004</v>
      </c>
      <c r="R305" s="408">
        <v>25.2</v>
      </c>
      <c r="S305" s="408">
        <v>18.100000000000001</v>
      </c>
      <c r="T305" s="408">
        <v>0</v>
      </c>
      <c r="U305" s="408">
        <v>0.1</v>
      </c>
      <c r="V305" s="408">
        <v>0.1</v>
      </c>
      <c r="W305" s="408">
        <v>0.17299999999999999</v>
      </c>
      <c r="X305" s="408">
        <v>-2.7</v>
      </c>
      <c r="Y305" s="408">
        <v>6.6</v>
      </c>
      <c r="Z305" s="408">
        <v>3.9</v>
      </c>
      <c r="AA305" s="408">
        <v>0.1</v>
      </c>
    </row>
    <row r="306" spans="1:27">
      <c r="A306">
        <v>248</v>
      </c>
      <c r="B306" s="1" t="s">
        <v>65</v>
      </c>
      <c r="C306" s="5" t="s">
        <v>38</v>
      </c>
      <c r="D306" s="408">
        <v>23</v>
      </c>
      <c r="E306" s="5" t="s">
        <v>128</v>
      </c>
      <c r="F306" s="408">
        <v>7</v>
      </c>
      <c r="G306" s="408">
        <v>35</v>
      </c>
      <c r="H306" s="408">
        <v>11.9</v>
      </c>
      <c r="I306" s="408">
        <v>0.38100000000000001</v>
      </c>
      <c r="J306" s="408">
        <v>0</v>
      </c>
      <c r="K306" s="408">
        <v>0</v>
      </c>
      <c r="L306" s="408">
        <v>16.2</v>
      </c>
      <c r="M306" s="408">
        <v>23.6</v>
      </c>
      <c r="N306" s="408">
        <v>19.8</v>
      </c>
      <c r="O306" s="408">
        <v>0</v>
      </c>
      <c r="P306" s="408">
        <v>2.9</v>
      </c>
      <c r="Q306" s="408">
        <v>2.7</v>
      </c>
      <c r="R306" s="408">
        <v>4.5</v>
      </c>
      <c r="S306" s="408">
        <v>28.3</v>
      </c>
      <c r="T306" s="408">
        <v>-0.1</v>
      </c>
      <c r="U306" s="408">
        <v>0.1</v>
      </c>
      <c r="V306" s="408">
        <v>0</v>
      </c>
      <c r="W306" s="408">
        <v>-4.1000000000000002E-2</v>
      </c>
      <c r="X306" s="408">
        <v>-10.1</v>
      </c>
      <c r="Y306" s="408">
        <v>-6.6</v>
      </c>
      <c r="Z306" s="408">
        <v>-16.7</v>
      </c>
      <c r="AA306" s="408">
        <v>-0.1</v>
      </c>
    </row>
    <row r="307" spans="1:27">
      <c r="A307">
        <v>249</v>
      </c>
      <c r="B307" s="1" t="s">
        <v>581</v>
      </c>
      <c r="C307" s="5" t="s">
        <v>83</v>
      </c>
      <c r="D307" s="408">
        <v>22</v>
      </c>
      <c r="E307" s="5" t="s">
        <v>58</v>
      </c>
      <c r="F307" s="408">
        <v>29</v>
      </c>
      <c r="G307" s="408">
        <v>159</v>
      </c>
      <c r="H307" s="408">
        <v>16.600000000000001</v>
      </c>
      <c r="I307" s="408">
        <v>0.57499999999999996</v>
      </c>
      <c r="J307" s="408">
        <v>0</v>
      </c>
      <c r="K307" s="408">
        <v>0.51300000000000001</v>
      </c>
      <c r="L307" s="408">
        <v>10.9</v>
      </c>
      <c r="M307" s="408">
        <v>13.1</v>
      </c>
      <c r="N307" s="408">
        <v>12</v>
      </c>
      <c r="O307" s="408">
        <v>7.3</v>
      </c>
      <c r="P307" s="408">
        <v>1.9</v>
      </c>
      <c r="Q307" s="408">
        <v>4.5999999999999996</v>
      </c>
      <c r="R307" s="408">
        <v>5.9</v>
      </c>
      <c r="S307" s="408">
        <v>13.7</v>
      </c>
      <c r="T307" s="408">
        <v>0.4</v>
      </c>
      <c r="U307" s="408">
        <v>0.2</v>
      </c>
      <c r="V307" s="408">
        <v>0.6</v>
      </c>
      <c r="W307" s="408">
        <v>0.18099999999999999</v>
      </c>
      <c r="X307" s="408">
        <v>-0.8</v>
      </c>
      <c r="Y307" s="408">
        <v>1.4</v>
      </c>
      <c r="Z307" s="408">
        <v>0.5</v>
      </c>
      <c r="AA307" s="408">
        <v>0.1</v>
      </c>
    </row>
    <row r="308" spans="1:27">
      <c r="A308">
        <v>250</v>
      </c>
      <c r="B308" s="1" t="s">
        <v>444</v>
      </c>
      <c r="C308" s="5" t="s">
        <v>38</v>
      </c>
      <c r="D308" s="408">
        <v>30</v>
      </c>
      <c r="E308" s="5" t="s">
        <v>50</v>
      </c>
      <c r="F308" s="408">
        <v>63</v>
      </c>
      <c r="G308" s="408">
        <v>1659</v>
      </c>
      <c r="H308" s="408">
        <v>15.7</v>
      </c>
      <c r="I308" s="408">
        <v>0.57199999999999995</v>
      </c>
      <c r="J308" s="408">
        <v>0.317</v>
      </c>
      <c r="K308" s="408">
        <v>0.247</v>
      </c>
      <c r="L308" s="408">
        <v>3.4</v>
      </c>
      <c r="M308" s="408">
        <v>17.2</v>
      </c>
      <c r="N308" s="408">
        <v>10.3</v>
      </c>
      <c r="O308" s="408">
        <v>23</v>
      </c>
      <c r="P308" s="408">
        <v>1.9</v>
      </c>
      <c r="Q308" s="408">
        <v>2.1</v>
      </c>
      <c r="R308" s="408">
        <v>16.899999999999999</v>
      </c>
      <c r="S308" s="408">
        <v>19</v>
      </c>
      <c r="T308" s="408">
        <v>1.8</v>
      </c>
      <c r="U308" s="408">
        <v>2.2999999999999998</v>
      </c>
      <c r="V308" s="408">
        <v>4.0999999999999996</v>
      </c>
      <c r="W308" s="408">
        <v>0.11899999999999999</v>
      </c>
      <c r="X308" s="408">
        <v>0.1</v>
      </c>
      <c r="Y308" s="408">
        <v>1.7</v>
      </c>
      <c r="Z308" s="408">
        <v>1.7</v>
      </c>
      <c r="AA308" s="408">
        <v>1.6</v>
      </c>
    </row>
    <row r="309" spans="1:27">
      <c r="A309">
        <v>251</v>
      </c>
      <c r="B309" s="1" t="s">
        <v>169</v>
      </c>
      <c r="C309" s="5" t="s">
        <v>46</v>
      </c>
      <c r="D309" s="408">
        <v>36</v>
      </c>
      <c r="E309" s="5" t="s">
        <v>357</v>
      </c>
      <c r="F309" s="408">
        <v>43</v>
      </c>
      <c r="G309" s="408">
        <v>947</v>
      </c>
      <c r="H309" s="408">
        <v>8.1</v>
      </c>
      <c r="I309" s="408">
        <v>0.49099999999999999</v>
      </c>
      <c r="J309" s="408">
        <v>0.39100000000000001</v>
      </c>
      <c r="K309" s="408">
        <v>0.113</v>
      </c>
      <c r="L309" s="408">
        <v>1.4</v>
      </c>
      <c r="M309" s="408">
        <v>14.5</v>
      </c>
      <c r="N309" s="408">
        <v>8</v>
      </c>
      <c r="O309" s="408">
        <v>9.6999999999999993</v>
      </c>
      <c r="P309" s="408">
        <v>0.8</v>
      </c>
      <c r="Q309" s="408">
        <v>0.5</v>
      </c>
      <c r="R309" s="408">
        <v>11.8</v>
      </c>
      <c r="S309" s="408">
        <v>16</v>
      </c>
      <c r="T309" s="408">
        <v>-0.3</v>
      </c>
      <c r="U309" s="408">
        <v>1</v>
      </c>
      <c r="V309" s="408">
        <v>0.7</v>
      </c>
      <c r="W309" s="408">
        <v>3.5000000000000003E-2</v>
      </c>
      <c r="X309" s="408">
        <v>-3.5</v>
      </c>
      <c r="Y309" s="408">
        <v>-0.3</v>
      </c>
      <c r="Z309" s="408">
        <v>-3.8</v>
      </c>
      <c r="AA309" s="408">
        <v>-0.4</v>
      </c>
    </row>
    <row r="310" spans="1:27">
      <c r="A310">
        <v>251</v>
      </c>
      <c r="B310" s="1" t="s">
        <v>169</v>
      </c>
      <c r="C310" s="5" t="s">
        <v>46</v>
      </c>
      <c r="D310" s="408">
        <v>36</v>
      </c>
      <c r="E310" s="5" t="s">
        <v>305</v>
      </c>
      <c r="F310" s="408">
        <v>32</v>
      </c>
      <c r="G310" s="408">
        <v>700</v>
      </c>
      <c r="H310" s="408">
        <v>9</v>
      </c>
      <c r="I310" s="408">
        <v>0.49199999999999999</v>
      </c>
      <c r="J310" s="408">
        <v>0.372</v>
      </c>
      <c r="K310" s="408">
        <v>0.106</v>
      </c>
      <c r="L310" s="408">
        <v>2</v>
      </c>
      <c r="M310" s="408">
        <v>15.3</v>
      </c>
      <c r="N310" s="408">
        <v>8.6999999999999993</v>
      </c>
      <c r="O310" s="408">
        <v>9.9</v>
      </c>
      <c r="P310" s="408">
        <v>0.9</v>
      </c>
      <c r="Q310" s="408">
        <v>0.7</v>
      </c>
      <c r="R310" s="408">
        <v>11.6</v>
      </c>
      <c r="S310" s="408">
        <v>17.3</v>
      </c>
      <c r="T310" s="408">
        <v>-0.3</v>
      </c>
      <c r="U310" s="408">
        <v>0.8</v>
      </c>
      <c r="V310" s="408">
        <v>0.6</v>
      </c>
      <c r="W310" s="408">
        <v>3.9E-2</v>
      </c>
      <c r="X310" s="408">
        <v>-3.4</v>
      </c>
      <c r="Y310" s="408">
        <v>0</v>
      </c>
      <c r="Z310" s="408">
        <v>-3.4</v>
      </c>
      <c r="AA310" s="408">
        <v>-0.2</v>
      </c>
    </row>
    <row r="311" spans="1:27">
      <c r="A311">
        <v>251</v>
      </c>
      <c r="B311" s="1" t="s">
        <v>169</v>
      </c>
      <c r="C311" s="5" t="s">
        <v>46</v>
      </c>
      <c r="D311" s="408">
        <v>36</v>
      </c>
      <c r="E311" s="5" t="s">
        <v>92</v>
      </c>
      <c r="F311" s="408">
        <v>11</v>
      </c>
      <c r="G311" s="408">
        <v>247</v>
      </c>
      <c r="H311" s="408">
        <v>5.3</v>
      </c>
      <c r="I311" s="408">
        <v>0.48799999999999999</v>
      </c>
      <c r="J311" s="408">
        <v>0.46600000000000003</v>
      </c>
      <c r="K311" s="408">
        <v>0.13800000000000001</v>
      </c>
      <c r="L311" s="408">
        <v>0</v>
      </c>
      <c r="M311" s="408">
        <v>12.3</v>
      </c>
      <c r="N311" s="408">
        <v>6.2</v>
      </c>
      <c r="O311" s="408">
        <v>9</v>
      </c>
      <c r="P311" s="408">
        <v>0.6</v>
      </c>
      <c r="Q311" s="408">
        <v>0</v>
      </c>
      <c r="R311" s="408">
        <v>12.8</v>
      </c>
      <c r="S311" s="408">
        <v>12.6</v>
      </c>
      <c r="T311" s="408">
        <v>0</v>
      </c>
      <c r="U311" s="408">
        <v>0.2</v>
      </c>
      <c r="V311" s="408">
        <v>0.1</v>
      </c>
      <c r="W311" s="408">
        <v>2.4E-2</v>
      </c>
      <c r="X311" s="408">
        <v>-3.9</v>
      </c>
      <c r="Y311" s="408">
        <v>-1.1000000000000001</v>
      </c>
      <c r="Z311" s="408">
        <v>-5</v>
      </c>
      <c r="AA311" s="408">
        <v>-0.2</v>
      </c>
    </row>
    <row r="312" spans="1:27">
      <c r="A312">
        <v>252</v>
      </c>
      <c r="B312" s="1" t="s">
        <v>413</v>
      </c>
      <c r="C312" s="5" t="s">
        <v>46</v>
      </c>
      <c r="D312" s="408">
        <v>21</v>
      </c>
      <c r="E312" s="5" t="s">
        <v>157</v>
      </c>
      <c r="F312" s="408">
        <v>57</v>
      </c>
      <c r="G312" s="408">
        <v>1560</v>
      </c>
      <c r="H312" s="408">
        <v>8.6999999999999993</v>
      </c>
      <c r="I312" s="408">
        <v>0.48899999999999999</v>
      </c>
      <c r="J312" s="408">
        <v>0.42799999999999999</v>
      </c>
      <c r="K312" s="408">
        <v>0.27300000000000002</v>
      </c>
      <c r="L312" s="408">
        <v>1.7</v>
      </c>
      <c r="M312" s="408">
        <v>13.1</v>
      </c>
      <c r="N312" s="408">
        <v>7.2</v>
      </c>
      <c r="O312" s="408">
        <v>7.9</v>
      </c>
      <c r="P312" s="408">
        <v>2.2000000000000002</v>
      </c>
      <c r="Q312" s="408">
        <v>0.6</v>
      </c>
      <c r="R312" s="408">
        <v>11.1</v>
      </c>
      <c r="S312" s="408">
        <v>16.100000000000001</v>
      </c>
      <c r="T312" s="408">
        <v>-0.4</v>
      </c>
      <c r="U312" s="408">
        <v>1.8</v>
      </c>
      <c r="V312" s="408">
        <v>1.4</v>
      </c>
      <c r="W312" s="408">
        <v>4.3999999999999997E-2</v>
      </c>
      <c r="X312" s="408">
        <v>-2.6</v>
      </c>
      <c r="Y312" s="408">
        <v>0.7</v>
      </c>
      <c r="Z312" s="408">
        <v>-1.9</v>
      </c>
      <c r="AA312" s="408">
        <v>0</v>
      </c>
    </row>
    <row r="313" spans="1:27">
      <c r="A313">
        <v>253</v>
      </c>
      <c r="B313" s="1" t="s">
        <v>363</v>
      </c>
      <c r="C313" s="5" t="s">
        <v>20</v>
      </c>
      <c r="D313" s="408">
        <v>25</v>
      </c>
      <c r="E313" s="5" t="s">
        <v>50</v>
      </c>
      <c r="F313" s="408">
        <v>61</v>
      </c>
      <c r="G313" s="408">
        <v>1765</v>
      </c>
      <c r="H313" s="408">
        <v>13</v>
      </c>
      <c r="I313" s="408">
        <v>0.54400000000000004</v>
      </c>
      <c r="J313" s="408">
        <v>0.46200000000000002</v>
      </c>
      <c r="K313" s="408">
        <v>0.19700000000000001</v>
      </c>
      <c r="L313" s="408">
        <v>1.8</v>
      </c>
      <c r="M313" s="408">
        <v>11.6</v>
      </c>
      <c r="N313" s="408">
        <v>6.7</v>
      </c>
      <c r="O313" s="408">
        <v>12.4</v>
      </c>
      <c r="P313" s="408">
        <v>1.6</v>
      </c>
      <c r="Q313" s="408">
        <v>1.4</v>
      </c>
      <c r="R313" s="408">
        <v>9.4</v>
      </c>
      <c r="S313" s="408">
        <v>18.7</v>
      </c>
      <c r="T313" s="408">
        <v>1.6</v>
      </c>
      <c r="U313" s="408">
        <v>1.9</v>
      </c>
      <c r="V313" s="408">
        <v>3.5</v>
      </c>
      <c r="W313" s="408">
        <v>9.5000000000000001E-2</v>
      </c>
      <c r="X313" s="408">
        <v>-0.1</v>
      </c>
      <c r="Y313" s="408">
        <v>-0.1</v>
      </c>
      <c r="Z313" s="408">
        <v>-0.3</v>
      </c>
      <c r="AA313" s="408">
        <v>0.8</v>
      </c>
    </row>
    <row r="314" spans="1:27">
      <c r="A314">
        <v>254</v>
      </c>
      <c r="B314" s="1" t="s">
        <v>439</v>
      </c>
      <c r="C314" s="5" t="s">
        <v>46</v>
      </c>
      <c r="D314" s="408">
        <v>30</v>
      </c>
      <c r="E314" s="5" t="s">
        <v>64</v>
      </c>
      <c r="F314" s="408">
        <v>62</v>
      </c>
      <c r="G314" s="408">
        <v>1296</v>
      </c>
      <c r="H314" s="408">
        <v>9.5</v>
      </c>
      <c r="I314" s="408">
        <v>0.50800000000000001</v>
      </c>
      <c r="J314" s="408">
        <v>0.48</v>
      </c>
      <c r="K314" s="408">
        <v>0.16600000000000001</v>
      </c>
      <c r="L314" s="408">
        <v>1.9</v>
      </c>
      <c r="M314" s="408">
        <v>14</v>
      </c>
      <c r="N314" s="408">
        <v>8.1</v>
      </c>
      <c r="O314" s="408">
        <v>5.5</v>
      </c>
      <c r="P314" s="408">
        <v>2.5</v>
      </c>
      <c r="Q314" s="408">
        <v>3.8</v>
      </c>
      <c r="R314" s="408">
        <v>13.2</v>
      </c>
      <c r="S314" s="408">
        <v>13.2</v>
      </c>
      <c r="T314" s="408">
        <v>-0.3</v>
      </c>
      <c r="U314" s="408">
        <v>1.7</v>
      </c>
      <c r="V314" s="408">
        <v>1.4</v>
      </c>
      <c r="W314" s="408">
        <v>5.1999999999999998E-2</v>
      </c>
      <c r="X314" s="408">
        <v>-2.4</v>
      </c>
      <c r="Y314" s="408">
        <v>2.7</v>
      </c>
      <c r="Z314" s="408">
        <v>0.3</v>
      </c>
      <c r="AA314" s="408">
        <v>0.8</v>
      </c>
    </row>
    <row r="315" spans="1:27">
      <c r="A315">
        <v>255</v>
      </c>
      <c r="B315" s="1" t="s">
        <v>409</v>
      </c>
      <c r="C315" s="5" t="s">
        <v>83</v>
      </c>
      <c r="D315" s="408">
        <v>22</v>
      </c>
      <c r="E315" s="5" t="s">
        <v>61</v>
      </c>
      <c r="F315" s="408">
        <v>64</v>
      </c>
      <c r="G315" s="408">
        <v>2033</v>
      </c>
      <c r="H315" s="408">
        <v>24.1</v>
      </c>
      <c r="I315" s="408">
        <v>0.60399999999999998</v>
      </c>
      <c r="J315" s="408">
        <v>0.28199999999999997</v>
      </c>
      <c r="K315" s="408">
        <v>0.33900000000000002</v>
      </c>
      <c r="L315" s="408">
        <v>9.5</v>
      </c>
      <c r="M315" s="408">
        <v>28</v>
      </c>
      <c r="N315" s="408">
        <v>18.7</v>
      </c>
      <c r="O315" s="408">
        <v>29.4</v>
      </c>
      <c r="P315" s="408">
        <v>1.8</v>
      </c>
      <c r="Q315" s="408">
        <v>2</v>
      </c>
      <c r="R315" s="408">
        <v>16.3</v>
      </c>
      <c r="S315" s="408">
        <v>23.6</v>
      </c>
      <c r="T315" s="408">
        <v>6.3</v>
      </c>
      <c r="U315" s="408">
        <v>2.4</v>
      </c>
      <c r="V315" s="408">
        <v>8.6999999999999993</v>
      </c>
      <c r="W315" s="408">
        <v>0.20599999999999999</v>
      </c>
      <c r="X315" s="408">
        <v>4.5999999999999996</v>
      </c>
      <c r="Y315" s="408">
        <v>2.2000000000000002</v>
      </c>
      <c r="Z315" s="408">
        <v>6.8</v>
      </c>
      <c r="AA315" s="408">
        <v>4.5</v>
      </c>
    </row>
    <row r="316" spans="1:27">
      <c r="A316">
        <v>256</v>
      </c>
      <c r="B316" s="1" t="s">
        <v>637</v>
      </c>
      <c r="C316" s="5" t="s">
        <v>83</v>
      </c>
      <c r="D316" s="408">
        <v>22</v>
      </c>
      <c r="E316" s="5" t="s">
        <v>73</v>
      </c>
      <c r="F316" s="408">
        <v>5</v>
      </c>
      <c r="G316" s="408">
        <v>11</v>
      </c>
      <c r="H316" s="408">
        <v>-4.7</v>
      </c>
      <c r="I316" s="408"/>
      <c r="J316" s="408"/>
      <c r="K316" s="408"/>
      <c r="L316" s="408">
        <v>11.1</v>
      </c>
      <c r="M316" s="408">
        <v>0</v>
      </c>
      <c r="N316" s="408">
        <v>5.0999999999999996</v>
      </c>
      <c r="O316" s="408">
        <v>0</v>
      </c>
      <c r="P316" s="408">
        <v>0</v>
      </c>
      <c r="Q316" s="408">
        <v>7.2</v>
      </c>
      <c r="R316" s="408">
        <v>100</v>
      </c>
      <c r="S316" s="408">
        <v>4</v>
      </c>
      <c r="T316" s="408">
        <v>0</v>
      </c>
      <c r="U316" s="408">
        <v>0</v>
      </c>
      <c r="V316" s="408">
        <v>0</v>
      </c>
      <c r="W316" s="408">
        <v>-0.03</v>
      </c>
      <c r="X316" s="408">
        <v>-6.6</v>
      </c>
      <c r="Y316" s="408">
        <v>2.8</v>
      </c>
      <c r="Z316" s="408">
        <v>-3.8</v>
      </c>
      <c r="AA316" s="408">
        <v>0</v>
      </c>
    </row>
    <row r="317" spans="1:27">
      <c r="A317">
        <v>257</v>
      </c>
      <c r="B317" s="1" t="s">
        <v>380</v>
      </c>
      <c r="C317" s="5" t="s">
        <v>46</v>
      </c>
      <c r="D317" s="408">
        <v>20</v>
      </c>
      <c r="E317" s="5" t="s">
        <v>357</v>
      </c>
      <c r="F317" s="408">
        <v>17</v>
      </c>
      <c r="G317" s="408">
        <v>231</v>
      </c>
      <c r="H317" s="408">
        <v>9.1</v>
      </c>
      <c r="I317" s="408">
        <v>0.45700000000000002</v>
      </c>
      <c r="J317" s="408">
        <v>0.34</v>
      </c>
      <c r="K317" s="408">
        <v>0.42599999999999999</v>
      </c>
      <c r="L317" s="408">
        <v>9.1999999999999993</v>
      </c>
      <c r="M317" s="408">
        <v>6.8</v>
      </c>
      <c r="N317" s="408">
        <v>8</v>
      </c>
      <c r="O317" s="408">
        <v>4.8</v>
      </c>
      <c r="P317" s="408">
        <v>0.9</v>
      </c>
      <c r="Q317" s="408">
        <v>4.7</v>
      </c>
      <c r="R317" s="408">
        <v>9.6999999999999993</v>
      </c>
      <c r="S317" s="408">
        <v>11.9</v>
      </c>
      <c r="T317" s="408">
        <v>0.1</v>
      </c>
      <c r="U317" s="408">
        <v>0.2</v>
      </c>
      <c r="V317" s="408">
        <v>0.3</v>
      </c>
      <c r="W317" s="408">
        <v>6.0999999999999999E-2</v>
      </c>
      <c r="X317" s="408">
        <v>-3</v>
      </c>
      <c r="Y317" s="408">
        <v>1.1000000000000001</v>
      </c>
      <c r="Z317" s="408">
        <v>-1.9</v>
      </c>
      <c r="AA317" s="408">
        <v>0</v>
      </c>
    </row>
    <row r="318" spans="1:27">
      <c r="A318">
        <v>257</v>
      </c>
      <c r="B318" s="1" t="s">
        <v>380</v>
      </c>
      <c r="C318" s="5" t="s">
        <v>46</v>
      </c>
      <c r="D318" s="408">
        <v>20</v>
      </c>
      <c r="E318" s="5" t="s">
        <v>313</v>
      </c>
      <c r="F318" s="408">
        <v>6</v>
      </c>
      <c r="G318" s="408">
        <v>33</v>
      </c>
      <c r="H318" s="408">
        <v>18.3</v>
      </c>
      <c r="I318" s="408">
        <v>0.67800000000000005</v>
      </c>
      <c r="J318" s="408">
        <v>0.5</v>
      </c>
      <c r="K318" s="408">
        <v>1.5</v>
      </c>
      <c r="L318" s="408">
        <v>6.3</v>
      </c>
      <c r="M318" s="408">
        <v>6.6</v>
      </c>
      <c r="N318" s="408">
        <v>6.5</v>
      </c>
      <c r="O318" s="408">
        <v>12.3</v>
      </c>
      <c r="P318" s="408">
        <v>1.4</v>
      </c>
      <c r="Q318" s="408">
        <v>9.8000000000000007</v>
      </c>
      <c r="R318" s="408">
        <v>13.1</v>
      </c>
      <c r="S318" s="408">
        <v>9.8000000000000007</v>
      </c>
      <c r="T318" s="408">
        <v>0.1</v>
      </c>
      <c r="U318" s="408">
        <v>0</v>
      </c>
      <c r="V318" s="408">
        <v>0.1</v>
      </c>
      <c r="W318" s="408">
        <v>0.17499999999999999</v>
      </c>
      <c r="X318" s="408">
        <v>0.1</v>
      </c>
      <c r="Y318" s="408">
        <v>3.6</v>
      </c>
      <c r="Z318" s="408">
        <v>3.7</v>
      </c>
      <c r="AA318" s="408">
        <v>0</v>
      </c>
    </row>
    <row r="319" spans="1:27">
      <c r="A319">
        <v>257</v>
      </c>
      <c r="B319" s="1" t="s">
        <v>380</v>
      </c>
      <c r="C319" s="5" t="s">
        <v>46</v>
      </c>
      <c r="D319" s="408">
        <v>20</v>
      </c>
      <c r="E319" s="5" t="s">
        <v>50</v>
      </c>
      <c r="F319" s="408">
        <v>11</v>
      </c>
      <c r="G319" s="408">
        <v>198</v>
      </c>
      <c r="H319" s="408">
        <v>7.5</v>
      </c>
      <c r="I319" s="408">
        <v>0.42699999999999999</v>
      </c>
      <c r="J319" s="408">
        <v>0.32600000000000001</v>
      </c>
      <c r="K319" s="408">
        <v>0.32600000000000001</v>
      </c>
      <c r="L319" s="408">
        <v>9.6999999999999993</v>
      </c>
      <c r="M319" s="408">
        <v>6.9</v>
      </c>
      <c r="N319" s="408">
        <v>8.3000000000000007</v>
      </c>
      <c r="O319" s="408">
        <v>3.5</v>
      </c>
      <c r="P319" s="408">
        <v>0.8</v>
      </c>
      <c r="Q319" s="408">
        <v>3.9</v>
      </c>
      <c r="R319" s="408">
        <v>9.1999999999999993</v>
      </c>
      <c r="S319" s="408">
        <v>12.3</v>
      </c>
      <c r="T319" s="408">
        <v>0</v>
      </c>
      <c r="U319" s="408">
        <v>0.2</v>
      </c>
      <c r="V319" s="408">
        <v>0.2</v>
      </c>
      <c r="W319" s="408">
        <v>4.2000000000000003E-2</v>
      </c>
      <c r="X319" s="408">
        <v>-3.5</v>
      </c>
      <c r="Y319" s="408">
        <v>0.7</v>
      </c>
      <c r="Z319" s="408">
        <v>-2.9</v>
      </c>
      <c r="AA319" s="408">
        <v>0</v>
      </c>
    </row>
    <row r="320" spans="1:27">
      <c r="A320">
        <v>258</v>
      </c>
      <c r="B320" s="1" t="s">
        <v>303</v>
      </c>
      <c r="C320" s="5" t="s">
        <v>46</v>
      </c>
      <c r="D320" s="408">
        <v>24</v>
      </c>
      <c r="E320" s="5" t="s">
        <v>357</v>
      </c>
      <c r="F320" s="408">
        <v>10</v>
      </c>
      <c r="G320" s="408">
        <v>81</v>
      </c>
      <c r="H320" s="408">
        <v>12.1</v>
      </c>
      <c r="I320" s="408">
        <v>0.50800000000000001</v>
      </c>
      <c r="J320" s="408">
        <v>0.25</v>
      </c>
      <c r="K320" s="408">
        <v>0.28599999999999998</v>
      </c>
      <c r="L320" s="408">
        <v>9.4</v>
      </c>
      <c r="M320" s="408">
        <v>19.600000000000001</v>
      </c>
      <c r="N320" s="408">
        <v>14.4</v>
      </c>
      <c r="O320" s="408">
        <v>3.9</v>
      </c>
      <c r="P320" s="408">
        <v>1.2</v>
      </c>
      <c r="Q320" s="408">
        <v>0</v>
      </c>
      <c r="R320" s="408">
        <v>6</v>
      </c>
      <c r="S320" s="408">
        <v>18.7</v>
      </c>
      <c r="T320" s="408">
        <v>0.1</v>
      </c>
      <c r="U320" s="408">
        <v>0.1</v>
      </c>
      <c r="V320" s="408">
        <v>0.1</v>
      </c>
      <c r="W320" s="408">
        <v>8.4000000000000005E-2</v>
      </c>
      <c r="X320" s="408">
        <v>-3</v>
      </c>
      <c r="Y320" s="408">
        <v>-3</v>
      </c>
      <c r="Z320" s="408">
        <v>-6.1</v>
      </c>
      <c r="AA320" s="408">
        <v>-0.1</v>
      </c>
    </row>
    <row r="321" spans="1:27">
      <c r="A321">
        <v>258</v>
      </c>
      <c r="B321" s="1" t="s">
        <v>303</v>
      </c>
      <c r="C321" s="5" t="s">
        <v>46</v>
      </c>
      <c r="D321" s="408">
        <v>24</v>
      </c>
      <c r="E321" s="5" t="s">
        <v>112</v>
      </c>
      <c r="F321" s="408">
        <v>4</v>
      </c>
      <c r="G321" s="408">
        <v>19</v>
      </c>
      <c r="H321" s="408">
        <v>5.0999999999999996</v>
      </c>
      <c r="I321" s="408">
        <v>0.51200000000000001</v>
      </c>
      <c r="J321" s="408">
        <v>0.25</v>
      </c>
      <c r="K321" s="408">
        <v>0.5</v>
      </c>
      <c r="L321" s="408">
        <v>0</v>
      </c>
      <c r="M321" s="408">
        <v>16.7</v>
      </c>
      <c r="N321" s="408">
        <v>8.6</v>
      </c>
      <c r="O321" s="408">
        <v>0</v>
      </c>
      <c r="P321" s="408">
        <v>0</v>
      </c>
      <c r="Q321" s="408">
        <v>0</v>
      </c>
      <c r="R321" s="408">
        <v>0</v>
      </c>
      <c r="S321" s="408">
        <v>11.1</v>
      </c>
      <c r="T321" s="408">
        <v>0</v>
      </c>
      <c r="U321" s="408">
        <v>0</v>
      </c>
      <c r="V321" s="408">
        <v>0</v>
      </c>
      <c r="W321" s="408">
        <v>5.0999999999999997E-2</v>
      </c>
      <c r="X321" s="408">
        <v>-6.1</v>
      </c>
      <c r="Y321" s="408">
        <v>-4.9000000000000004</v>
      </c>
      <c r="Z321" s="408">
        <v>-11</v>
      </c>
      <c r="AA321" s="408">
        <v>0</v>
      </c>
    </row>
    <row r="322" spans="1:27">
      <c r="A322">
        <v>258</v>
      </c>
      <c r="B322" s="1" t="s">
        <v>303</v>
      </c>
      <c r="C322" s="5" t="s">
        <v>46</v>
      </c>
      <c r="D322" s="408">
        <v>24</v>
      </c>
      <c r="E322" s="5" t="s">
        <v>33</v>
      </c>
      <c r="F322" s="408">
        <v>6</v>
      </c>
      <c r="G322" s="408">
        <v>62</v>
      </c>
      <c r="H322" s="408">
        <v>14.2</v>
      </c>
      <c r="I322" s="408">
        <v>0.50700000000000001</v>
      </c>
      <c r="J322" s="408">
        <v>0.25</v>
      </c>
      <c r="K322" s="408">
        <v>0.25</v>
      </c>
      <c r="L322" s="408">
        <v>12.2</v>
      </c>
      <c r="M322" s="408">
        <v>20.5</v>
      </c>
      <c r="N322" s="408">
        <v>16.2</v>
      </c>
      <c r="O322" s="408">
        <v>5.0999999999999996</v>
      </c>
      <c r="P322" s="408">
        <v>1.6</v>
      </c>
      <c r="Q322" s="408">
        <v>0</v>
      </c>
      <c r="R322" s="408">
        <v>7</v>
      </c>
      <c r="S322" s="408">
        <v>21</v>
      </c>
      <c r="T322" s="408">
        <v>0.1</v>
      </c>
      <c r="U322" s="408">
        <v>0.1</v>
      </c>
      <c r="V322" s="408">
        <v>0.1</v>
      </c>
      <c r="W322" s="408">
        <v>9.4E-2</v>
      </c>
      <c r="X322" s="408">
        <v>-2.1</v>
      </c>
      <c r="Y322" s="408">
        <v>-2.4</v>
      </c>
      <c r="Z322" s="408">
        <v>-4.5</v>
      </c>
      <c r="AA322" s="408">
        <v>0</v>
      </c>
    </row>
    <row r="323" spans="1:27">
      <c r="A323">
        <v>259</v>
      </c>
      <c r="B323" s="1" t="s">
        <v>1</v>
      </c>
      <c r="C323" s="5" t="s">
        <v>20</v>
      </c>
      <c r="D323" s="408">
        <v>21</v>
      </c>
      <c r="E323" s="5" t="s">
        <v>56</v>
      </c>
      <c r="F323" s="408">
        <v>71</v>
      </c>
      <c r="G323" s="408">
        <v>1263</v>
      </c>
      <c r="H323" s="408">
        <v>13.9</v>
      </c>
      <c r="I323" s="408">
        <v>0.57599999999999996</v>
      </c>
      <c r="J323" s="408">
        <v>0.377</v>
      </c>
      <c r="K323" s="408">
        <v>0.22800000000000001</v>
      </c>
      <c r="L323" s="408">
        <v>1.3</v>
      </c>
      <c r="M323" s="408">
        <v>9.8000000000000007</v>
      </c>
      <c r="N323" s="408">
        <v>5.5</v>
      </c>
      <c r="O323" s="408">
        <v>19.899999999999999</v>
      </c>
      <c r="P323" s="408">
        <v>3.1</v>
      </c>
      <c r="Q323" s="408">
        <v>0.3</v>
      </c>
      <c r="R323" s="408">
        <v>13.4</v>
      </c>
      <c r="S323" s="408">
        <v>12.5</v>
      </c>
      <c r="T323" s="408">
        <v>2</v>
      </c>
      <c r="U323" s="408">
        <v>1</v>
      </c>
      <c r="V323" s="408">
        <v>3</v>
      </c>
      <c r="W323" s="408">
        <v>0.114</v>
      </c>
      <c r="X323" s="408">
        <v>0.9</v>
      </c>
      <c r="Y323" s="408">
        <v>-0.4</v>
      </c>
      <c r="Z323" s="408">
        <v>0.5</v>
      </c>
      <c r="AA323" s="408">
        <v>0.8</v>
      </c>
    </row>
    <row r="324" spans="1:27">
      <c r="A324">
        <v>260</v>
      </c>
      <c r="B324" s="1" t="s">
        <v>606</v>
      </c>
      <c r="C324" s="5" t="s">
        <v>83</v>
      </c>
      <c r="D324" s="408">
        <v>29</v>
      </c>
      <c r="E324" s="5" t="s">
        <v>64</v>
      </c>
      <c r="F324" s="408">
        <v>64</v>
      </c>
      <c r="G324" s="408">
        <v>2045</v>
      </c>
      <c r="H324" s="408">
        <v>20.2</v>
      </c>
      <c r="I324" s="408">
        <v>0.65400000000000003</v>
      </c>
      <c r="J324" s="408">
        <v>0</v>
      </c>
      <c r="K324" s="408">
        <v>0.52300000000000002</v>
      </c>
      <c r="L324" s="408">
        <v>14.8</v>
      </c>
      <c r="M324" s="408">
        <v>37.6</v>
      </c>
      <c r="N324" s="408">
        <v>26.4</v>
      </c>
      <c r="O324" s="408">
        <v>6.6</v>
      </c>
      <c r="P324" s="408">
        <v>0.9</v>
      </c>
      <c r="Q324" s="408">
        <v>2.6</v>
      </c>
      <c r="R324" s="408">
        <v>15.9</v>
      </c>
      <c r="S324" s="408">
        <v>14.8</v>
      </c>
      <c r="T324" s="408">
        <v>5.0999999999999996</v>
      </c>
      <c r="U324" s="408">
        <v>3.2</v>
      </c>
      <c r="V324" s="408">
        <v>8.3000000000000007</v>
      </c>
      <c r="W324" s="408">
        <v>0.19600000000000001</v>
      </c>
      <c r="X324" s="408">
        <v>0.4</v>
      </c>
      <c r="Y324" s="408">
        <v>1.9</v>
      </c>
      <c r="Z324" s="408">
        <v>2.2999999999999998</v>
      </c>
      <c r="AA324" s="408">
        <v>2.2000000000000002</v>
      </c>
    </row>
    <row r="325" spans="1:27">
      <c r="A325">
        <v>261</v>
      </c>
      <c r="B325" s="1" t="s">
        <v>461</v>
      </c>
      <c r="C325" s="5" t="s">
        <v>20</v>
      </c>
      <c r="D325" s="408">
        <v>26</v>
      </c>
      <c r="E325" s="5" t="s">
        <v>30</v>
      </c>
      <c r="F325" s="408">
        <v>71</v>
      </c>
      <c r="G325" s="408">
        <v>1939</v>
      </c>
      <c r="H325" s="408">
        <v>11.3</v>
      </c>
      <c r="I325" s="408">
        <v>0.51400000000000001</v>
      </c>
      <c r="J325" s="408">
        <v>0.316</v>
      </c>
      <c r="K325" s="408">
        <v>0.17299999999999999</v>
      </c>
      <c r="L325" s="408">
        <v>2.1</v>
      </c>
      <c r="M325" s="408">
        <v>11.2</v>
      </c>
      <c r="N325" s="408">
        <v>6.7</v>
      </c>
      <c r="O325" s="408">
        <v>15.6</v>
      </c>
      <c r="P325" s="408">
        <v>1.9</v>
      </c>
      <c r="Q325" s="408">
        <v>0.7</v>
      </c>
      <c r="R325" s="408">
        <v>11.6</v>
      </c>
      <c r="S325" s="408">
        <v>14.5</v>
      </c>
      <c r="T325" s="408">
        <v>1.3</v>
      </c>
      <c r="U325" s="408">
        <v>1.8</v>
      </c>
      <c r="V325" s="408">
        <v>3.1</v>
      </c>
      <c r="W325" s="408">
        <v>7.5999999999999998E-2</v>
      </c>
      <c r="X325" s="408">
        <v>-1</v>
      </c>
      <c r="Y325" s="408">
        <v>0.2</v>
      </c>
      <c r="Z325" s="408">
        <v>-0.8</v>
      </c>
      <c r="AA325" s="408">
        <v>0.6</v>
      </c>
    </row>
    <row r="326" spans="1:27">
      <c r="A326">
        <v>262</v>
      </c>
      <c r="B326" s="1" t="s">
        <v>414</v>
      </c>
      <c r="C326" s="5" t="s">
        <v>38</v>
      </c>
      <c r="D326" s="408">
        <v>24</v>
      </c>
      <c r="E326" s="5" t="s">
        <v>311</v>
      </c>
      <c r="F326" s="408">
        <v>68</v>
      </c>
      <c r="G326" s="408">
        <v>1575</v>
      </c>
      <c r="H326" s="408">
        <v>14.1</v>
      </c>
      <c r="I326" s="408">
        <v>0.53400000000000003</v>
      </c>
      <c r="J326" s="408">
        <v>0.38400000000000001</v>
      </c>
      <c r="K326" s="408">
        <v>0.27600000000000002</v>
      </c>
      <c r="L326" s="408">
        <v>2.8</v>
      </c>
      <c r="M326" s="408">
        <v>14.4</v>
      </c>
      <c r="N326" s="408">
        <v>8.4</v>
      </c>
      <c r="O326" s="408">
        <v>10.4</v>
      </c>
      <c r="P326" s="408">
        <v>1</v>
      </c>
      <c r="Q326" s="408">
        <v>1</v>
      </c>
      <c r="R326" s="408">
        <v>7.1</v>
      </c>
      <c r="S326" s="408">
        <v>20.6</v>
      </c>
      <c r="T326" s="408">
        <v>1.7</v>
      </c>
      <c r="U326" s="408">
        <v>1.1000000000000001</v>
      </c>
      <c r="V326" s="408">
        <v>2.8</v>
      </c>
      <c r="W326" s="408">
        <v>8.5000000000000006E-2</v>
      </c>
      <c r="X326" s="408">
        <v>-0.1</v>
      </c>
      <c r="Y326" s="408">
        <v>-1.3</v>
      </c>
      <c r="Z326" s="408">
        <v>-1.4</v>
      </c>
      <c r="AA326" s="408">
        <v>0.2</v>
      </c>
    </row>
    <row r="327" spans="1:27">
      <c r="A327">
        <v>263</v>
      </c>
      <c r="B327" s="1" t="s">
        <v>564</v>
      </c>
      <c r="C327" s="5" t="s">
        <v>83</v>
      </c>
      <c r="D327" s="408">
        <v>25</v>
      </c>
      <c r="E327" s="5" t="s">
        <v>21</v>
      </c>
      <c r="F327" s="408">
        <v>66</v>
      </c>
      <c r="G327" s="408">
        <v>1675</v>
      </c>
      <c r="H327" s="408">
        <v>24.2</v>
      </c>
      <c r="I327" s="408">
        <v>0.63300000000000001</v>
      </c>
      <c r="J327" s="408">
        <v>3.0000000000000001E-3</v>
      </c>
      <c r="K327" s="408">
        <v>0.23799999999999999</v>
      </c>
      <c r="L327" s="408">
        <v>16.7</v>
      </c>
      <c r="M327" s="408">
        <v>30.5</v>
      </c>
      <c r="N327" s="408">
        <v>23.7</v>
      </c>
      <c r="O327" s="408">
        <v>9.5</v>
      </c>
      <c r="P327" s="408">
        <v>1</v>
      </c>
      <c r="Q327" s="408">
        <v>1.8</v>
      </c>
      <c r="R327" s="408">
        <v>13.8</v>
      </c>
      <c r="S327" s="408">
        <v>22.1</v>
      </c>
      <c r="T327" s="408">
        <v>4.9000000000000004</v>
      </c>
      <c r="U327" s="408">
        <v>2</v>
      </c>
      <c r="V327" s="408">
        <v>6.9</v>
      </c>
      <c r="W327" s="408">
        <v>0.19900000000000001</v>
      </c>
      <c r="X327" s="408">
        <v>2.5</v>
      </c>
      <c r="Y327" s="408">
        <v>0.2</v>
      </c>
      <c r="Z327" s="408">
        <v>2.7</v>
      </c>
      <c r="AA327" s="408">
        <v>2</v>
      </c>
    </row>
    <row r="328" spans="1:27">
      <c r="A328">
        <v>264</v>
      </c>
      <c r="B328" s="1" t="s">
        <v>460</v>
      </c>
      <c r="C328" s="5" t="s">
        <v>26</v>
      </c>
      <c r="D328" s="408">
        <v>21</v>
      </c>
      <c r="E328" s="5" t="s">
        <v>157</v>
      </c>
      <c r="F328" s="408">
        <v>61</v>
      </c>
      <c r="G328" s="408">
        <v>1150</v>
      </c>
      <c r="H328" s="408">
        <v>10.9</v>
      </c>
      <c r="I328" s="408">
        <v>0.54500000000000004</v>
      </c>
      <c r="J328" s="408">
        <v>0.42499999999999999</v>
      </c>
      <c r="K328" s="408">
        <v>0.14099999999999999</v>
      </c>
      <c r="L328" s="408">
        <v>1.8</v>
      </c>
      <c r="M328" s="408">
        <v>11.3</v>
      </c>
      <c r="N328" s="408">
        <v>6.4</v>
      </c>
      <c r="O328" s="408">
        <v>11.7</v>
      </c>
      <c r="P328" s="408">
        <v>1.5</v>
      </c>
      <c r="Q328" s="408">
        <v>0.7</v>
      </c>
      <c r="R328" s="408">
        <v>13.1</v>
      </c>
      <c r="S328" s="408">
        <v>16.7</v>
      </c>
      <c r="T328" s="408">
        <v>0.5</v>
      </c>
      <c r="U328" s="408">
        <v>1</v>
      </c>
      <c r="V328" s="408">
        <v>1.5</v>
      </c>
      <c r="W328" s="408">
        <v>6.3E-2</v>
      </c>
      <c r="X328" s="408">
        <v>-1.8</v>
      </c>
      <c r="Y328" s="408">
        <v>-0.5</v>
      </c>
      <c r="Z328" s="408">
        <v>-2.2999999999999998</v>
      </c>
      <c r="AA328" s="408">
        <v>-0.1</v>
      </c>
    </row>
    <row r="329" spans="1:27">
      <c r="A329">
        <v>265</v>
      </c>
      <c r="B329" s="1" t="s">
        <v>576</v>
      </c>
      <c r="C329" s="5" t="s">
        <v>46</v>
      </c>
      <c r="D329" s="408">
        <v>24</v>
      </c>
      <c r="E329" s="5" t="s">
        <v>311</v>
      </c>
      <c r="F329" s="408">
        <v>63</v>
      </c>
      <c r="G329" s="408">
        <v>1592</v>
      </c>
      <c r="H329" s="408">
        <v>12.8</v>
      </c>
      <c r="I329" s="408">
        <v>0.53800000000000003</v>
      </c>
      <c r="J329" s="408">
        <v>4.0000000000000001E-3</v>
      </c>
      <c r="K329" s="408">
        <v>0.29399999999999998</v>
      </c>
      <c r="L329" s="408">
        <v>4.9000000000000004</v>
      </c>
      <c r="M329" s="408">
        <v>13.3</v>
      </c>
      <c r="N329" s="408">
        <v>8.9</v>
      </c>
      <c r="O329" s="408">
        <v>6.2</v>
      </c>
      <c r="P329" s="408">
        <v>1.3</v>
      </c>
      <c r="Q329" s="408">
        <v>1.5</v>
      </c>
      <c r="R329" s="408">
        <v>7.4</v>
      </c>
      <c r="S329" s="408">
        <v>16.2</v>
      </c>
      <c r="T329" s="408">
        <v>1.5</v>
      </c>
      <c r="U329" s="408">
        <v>1.4</v>
      </c>
      <c r="V329" s="408">
        <v>2.9</v>
      </c>
      <c r="W329" s="408">
        <v>8.6999999999999994E-2</v>
      </c>
      <c r="X329" s="408">
        <v>-2</v>
      </c>
      <c r="Y329" s="408">
        <v>0.3</v>
      </c>
      <c r="Z329" s="408">
        <v>-1.7</v>
      </c>
      <c r="AA329" s="408">
        <v>0.1</v>
      </c>
    </row>
    <row r="330" spans="1:27">
      <c r="A330">
        <v>266</v>
      </c>
      <c r="B330" s="1" t="s">
        <v>114</v>
      </c>
      <c r="C330" s="5" t="s">
        <v>26</v>
      </c>
      <c r="D330" s="408">
        <v>28</v>
      </c>
      <c r="E330" s="5" t="s">
        <v>357</v>
      </c>
      <c r="F330" s="408">
        <v>42</v>
      </c>
      <c r="G330" s="408">
        <v>406</v>
      </c>
      <c r="H330" s="408">
        <v>8</v>
      </c>
      <c r="I330" s="408">
        <v>0.45700000000000002</v>
      </c>
      <c r="J330" s="408">
        <v>0.50600000000000001</v>
      </c>
      <c r="K330" s="408">
        <v>0.216</v>
      </c>
      <c r="L330" s="408">
        <v>0.6</v>
      </c>
      <c r="M330" s="408">
        <v>16</v>
      </c>
      <c r="N330" s="408">
        <v>8.1999999999999993</v>
      </c>
      <c r="O330" s="408">
        <v>12</v>
      </c>
      <c r="P330" s="408">
        <v>0.9</v>
      </c>
      <c r="Q330" s="408">
        <v>0.4</v>
      </c>
      <c r="R330" s="408">
        <v>11.5</v>
      </c>
      <c r="S330" s="408">
        <v>23.7</v>
      </c>
      <c r="T330" s="408">
        <v>-0.5</v>
      </c>
      <c r="U330" s="408">
        <v>0.2</v>
      </c>
      <c r="V330" s="408">
        <v>-0.3</v>
      </c>
      <c r="W330" s="408">
        <v>-3.6999999999999998E-2</v>
      </c>
      <c r="X330" s="408">
        <v>-4.5999999999999996</v>
      </c>
      <c r="Y330" s="408">
        <v>-3.7</v>
      </c>
      <c r="Z330" s="408">
        <v>-8.3000000000000007</v>
      </c>
      <c r="AA330" s="408">
        <v>-0.6</v>
      </c>
    </row>
    <row r="331" spans="1:27">
      <c r="A331">
        <v>266</v>
      </c>
      <c r="B331" s="1" t="s">
        <v>114</v>
      </c>
      <c r="C331" s="5" t="s">
        <v>26</v>
      </c>
      <c r="D331" s="408">
        <v>28</v>
      </c>
      <c r="E331" s="5" t="s">
        <v>315</v>
      </c>
      <c r="F331" s="408">
        <v>16</v>
      </c>
      <c r="G331" s="408">
        <v>183</v>
      </c>
      <c r="H331" s="408">
        <v>5.2</v>
      </c>
      <c r="I331" s="408">
        <v>0.41899999999999998</v>
      </c>
      <c r="J331" s="408">
        <v>0.48799999999999999</v>
      </c>
      <c r="K331" s="408">
        <v>0.221</v>
      </c>
      <c r="L331" s="408">
        <v>0.6</v>
      </c>
      <c r="M331" s="408">
        <v>20</v>
      </c>
      <c r="N331" s="408">
        <v>10.199999999999999</v>
      </c>
      <c r="O331" s="408">
        <v>12.6</v>
      </c>
      <c r="P331" s="408">
        <v>0.5</v>
      </c>
      <c r="Q331" s="408">
        <v>0.4</v>
      </c>
      <c r="R331" s="408">
        <v>14.5</v>
      </c>
      <c r="S331" s="408">
        <v>26</v>
      </c>
      <c r="T331" s="408">
        <v>-0.5</v>
      </c>
      <c r="U331" s="408">
        <v>0.1</v>
      </c>
      <c r="V331" s="408">
        <v>-0.4</v>
      </c>
      <c r="W331" s="408">
        <v>-0.107</v>
      </c>
      <c r="X331" s="408">
        <v>-6.9</v>
      </c>
      <c r="Y331" s="408">
        <v>-3</v>
      </c>
      <c r="Z331" s="408">
        <v>-9.9</v>
      </c>
      <c r="AA331" s="408">
        <v>-0.4</v>
      </c>
    </row>
    <row r="332" spans="1:27">
      <c r="A332">
        <v>266</v>
      </c>
      <c r="B332" s="1" t="s">
        <v>114</v>
      </c>
      <c r="C332" s="5" t="s">
        <v>26</v>
      </c>
      <c r="D332" s="408">
        <v>28</v>
      </c>
      <c r="E332" s="5" t="s">
        <v>41</v>
      </c>
      <c r="F332" s="408">
        <v>23</v>
      </c>
      <c r="G332" s="408">
        <v>205</v>
      </c>
      <c r="H332" s="408">
        <v>11.3</v>
      </c>
      <c r="I332" s="408">
        <v>0.51500000000000001</v>
      </c>
      <c r="J332" s="408">
        <v>0.56100000000000005</v>
      </c>
      <c r="K332" s="408">
        <v>0.23200000000000001</v>
      </c>
      <c r="L332" s="408">
        <v>0.6</v>
      </c>
      <c r="M332" s="408">
        <v>13.8</v>
      </c>
      <c r="N332" s="408">
        <v>7.2</v>
      </c>
      <c r="O332" s="408">
        <v>11.1</v>
      </c>
      <c r="P332" s="408">
        <v>1.2</v>
      </c>
      <c r="Q332" s="408">
        <v>0.4</v>
      </c>
      <c r="R332" s="408">
        <v>9.1</v>
      </c>
      <c r="S332" s="408">
        <v>22</v>
      </c>
      <c r="T332" s="408">
        <v>0</v>
      </c>
      <c r="U332" s="408">
        <v>0.1</v>
      </c>
      <c r="V332" s="408">
        <v>0.2</v>
      </c>
      <c r="W332" s="408">
        <v>3.6999999999999998E-2</v>
      </c>
      <c r="X332" s="408">
        <v>-2</v>
      </c>
      <c r="Y332" s="408">
        <v>-4</v>
      </c>
      <c r="Z332" s="408">
        <v>-6</v>
      </c>
      <c r="AA332" s="408">
        <v>-0.2</v>
      </c>
    </row>
    <row r="333" spans="1:27">
      <c r="A333">
        <v>266</v>
      </c>
      <c r="B333" s="1" t="s">
        <v>114</v>
      </c>
      <c r="C333" s="5" t="s">
        <v>26</v>
      </c>
      <c r="D333" s="408">
        <v>28</v>
      </c>
      <c r="E333" s="5" t="s">
        <v>64</v>
      </c>
      <c r="F333" s="408">
        <v>3</v>
      </c>
      <c r="G333" s="408">
        <v>18</v>
      </c>
      <c r="H333" s="408">
        <v>-1.7</v>
      </c>
      <c r="I333" s="408">
        <v>0.25</v>
      </c>
      <c r="J333" s="408">
        <v>0.125</v>
      </c>
      <c r="K333" s="408">
        <v>0</v>
      </c>
      <c r="L333" s="408">
        <v>0</v>
      </c>
      <c r="M333" s="408">
        <v>0</v>
      </c>
      <c r="N333" s="408">
        <v>0</v>
      </c>
      <c r="O333" s="408">
        <v>15.4</v>
      </c>
      <c r="P333" s="408">
        <v>0</v>
      </c>
      <c r="Q333" s="408">
        <v>0</v>
      </c>
      <c r="R333" s="408">
        <v>0</v>
      </c>
      <c r="S333" s="408">
        <v>19.2</v>
      </c>
      <c r="T333" s="408">
        <v>-0.1</v>
      </c>
      <c r="U333" s="408">
        <v>0</v>
      </c>
      <c r="V333" s="408">
        <v>-0.1</v>
      </c>
      <c r="W333" s="408">
        <v>-0.17299999999999999</v>
      </c>
      <c r="X333" s="408">
        <v>-10.7</v>
      </c>
      <c r="Y333" s="408">
        <v>-7.9</v>
      </c>
      <c r="Z333" s="408">
        <v>-18.600000000000001</v>
      </c>
      <c r="AA333" s="408">
        <v>-0.1</v>
      </c>
    </row>
    <row r="334" spans="1:27">
      <c r="A334">
        <v>267</v>
      </c>
      <c r="B334" s="1" t="s">
        <v>495</v>
      </c>
      <c r="C334" s="5" t="s">
        <v>38</v>
      </c>
      <c r="D334" s="408">
        <v>26</v>
      </c>
      <c r="E334" s="5" t="s">
        <v>33</v>
      </c>
      <c r="F334" s="408">
        <v>60</v>
      </c>
      <c r="G334" s="408">
        <v>985</v>
      </c>
      <c r="H334" s="408">
        <v>12.5</v>
      </c>
      <c r="I334" s="408">
        <v>0.55200000000000005</v>
      </c>
      <c r="J334" s="408">
        <v>0.379</v>
      </c>
      <c r="K334" s="408">
        <v>0.186</v>
      </c>
      <c r="L334" s="408">
        <v>6.7</v>
      </c>
      <c r="M334" s="408">
        <v>13.6</v>
      </c>
      <c r="N334" s="408">
        <v>10</v>
      </c>
      <c r="O334" s="408">
        <v>6.2</v>
      </c>
      <c r="P334" s="408">
        <v>1.1000000000000001</v>
      </c>
      <c r="Q334" s="408">
        <v>3.3</v>
      </c>
      <c r="R334" s="408">
        <v>7.4</v>
      </c>
      <c r="S334" s="408">
        <v>13.6</v>
      </c>
      <c r="T334" s="408">
        <v>1.2</v>
      </c>
      <c r="U334" s="408">
        <v>0.9</v>
      </c>
      <c r="V334" s="408">
        <v>2.1</v>
      </c>
      <c r="W334" s="408">
        <v>0.10299999999999999</v>
      </c>
      <c r="X334" s="408">
        <v>-1.3</v>
      </c>
      <c r="Y334" s="408">
        <v>1.1000000000000001</v>
      </c>
      <c r="Z334" s="408">
        <v>-0.2</v>
      </c>
      <c r="AA334" s="408">
        <v>0.4</v>
      </c>
    </row>
    <row r="335" spans="1:27">
      <c r="A335">
        <v>268</v>
      </c>
      <c r="B335" s="1" t="s">
        <v>300</v>
      </c>
      <c r="C335" s="5" t="s">
        <v>26</v>
      </c>
      <c r="D335" s="408">
        <v>20</v>
      </c>
      <c r="E335" s="5" t="s">
        <v>118</v>
      </c>
      <c r="F335" s="408">
        <v>6</v>
      </c>
      <c r="G335" s="408">
        <v>32</v>
      </c>
      <c r="H335" s="408">
        <v>4.3</v>
      </c>
      <c r="I335" s="408">
        <v>0.34899999999999998</v>
      </c>
      <c r="J335" s="408">
        <v>0.66700000000000004</v>
      </c>
      <c r="K335" s="408">
        <v>0.16700000000000001</v>
      </c>
      <c r="L335" s="408">
        <v>7</v>
      </c>
      <c r="M335" s="408">
        <v>13.2</v>
      </c>
      <c r="N335" s="408">
        <v>10.199999999999999</v>
      </c>
      <c r="O335" s="408">
        <v>8.5</v>
      </c>
      <c r="P335" s="408">
        <v>1.5</v>
      </c>
      <c r="Q335" s="408">
        <v>0</v>
      </c>
      <c r="R335" s="408">
        <v>7.2</v>
      </c>
      <c r="S335" s="408">
        <v>18.600000000000001</v>
      </c>
      <c r="T335" s="408">
        <v>0</v>
      </c>
      <c r="U335" s="408">
        <v>0</v>
      </c>
      <c r="V335" s="408">
        <v>0</v>
      </c>
      <c r="W335" s="408">
        <v>-0.02</v>
      </c>
      <c r="X335" s="408">
        <v>-4.5</v>
      </c>
      <c r="Y335" s="408">
        <v>-2.5</v>
      </c>
      <c r="Z335" s="408">
        <v>-6.9</v>
      </c>
      <c r="AA335" s="408">
        <v>0</v>
      </c>
    </row>
    <row r="336" spans="1:27">
      <c r="A336">
        <v>269</v>
      </c>
      <c r="B336" s="1" t="s">
        <v>888</v>
      </c>
      <c r="C336" s="5" t="s">
        <v>38</v>
      </c>
      <c r="D336" s="408">
        <v>22</v>
      </c>
      <c r="E336" s="5" t="s">
        <v>21</v>
      </c>
      <c r="F336" s="408">
        <v>10</v>
      </c>
      <c r="G336" s="408">
        <v>120</v>
      </c>
      <c r="H336" s="408">
        <v>15</v>
      </c>
      <c r="I336" s="408">
        <v>0.44600000000000001</v>
      </c>
      <c r="J336" s="408">
        <v>0.64800000000000002</v>
      </c>
      <c r="K336" s="408">
        <v>3.6999999999999998E-2</v>
      </c>
      <c r="L336" s="408">
        <v>8.4</v>
      </c>
      <c r="M336" s="408">
        <v>18.399999999999999</v>
      </c>
      <c r="N336" s="408">
        <v>13.4</v>
      </c>
      <c r="O336" s="408">
        <v>8.6</v>
      </c>
      <c r="P336" s="408">
        <v>1.2</v>
      </c>
      <c r="Q336" s="408">
        <v>6.5</v>
      </c>
      <c r="R336" s="408">
        <v>3.5</v>
      </c>
      <c r="S336" s="408">
        <v>20.7</v>
      </c>
      <c r="T336" s="408">
        <v>0</v>
      </c>
      <c r="U336" s="408">
        <v>0.2</v>
      </c>
      <c r="V336" s="408">
        <v>0.2</v>
      </c>
      <c r="W336" s="408">
        <v>7.0999999999999994E-2</v>
      </c>
      <c r="X336" s="408">
        <v>-0.1</v>
      </c>
      <c r="Y336" s="408">
        <v>0.7</v>
      </c>
      <c r="Z336" s="408">
        <v>0.6</v>
      </c>
      <c r="AA336" s="408">
        <v>0.1</v>
      </c>
    </row>
    <row r="337" spans="1:27">
      <c r="A337">
        <v>270</v>
      </c>
      <c r="B337" s="1" t="s">
        <v>340</v>
      </c>
      <c r="C337" s="5" t="s">
        <v>26</v>
      </c>
      <c r="D337" s="408">
        <v>36</v>
      </c>
      <c r="E337" s="5" t="s">
        <v>102</v>
      </c>
      <c r="F337" s="408">
        <v>69</v>
      </c>
      <c r="G337" s="408">
        <v>1501</v>
      </c>
      <c r="H337" s="408">
        <v>13.5</v>
      </c>
      <c r="I337" s="408">
        <v>0.65200000000000002</v>
      </c>
      <c r="J337" s="408">
        <v>0.77900000000000003</v>
      </c>
      <c r="K337" s="408">
        <v>0.14799999999999999</v>
      </c>
      <c r="L337" s="408">
        <v>0.7</v>
      </c>
      <c r="M337" s="408">
        <v>10.6</v>
      </c>
      <c r="N337" s="408">
        <v>5.7</v>
      </c>
      <c r="O337" s="408">
        <v>8.1</v>
      </c>
      <c r="P337" s="408">
        <v>0.9</v>
      </c>
      <c r="Q337" s="408">
        <v>1.5</v>
      </c>
      <c r="R337" s="408">
        <v>9</v>
      </c>
      <c r="S337" s="408">
        <v>16.100000000000001</v>
      </c>
      <c r="T337" s="408">
        <v>2.8</v>
      </c>
      <c r="U337" s="408">
        <v>0.5</v>
      </c>
      <c r="V337" s="408">
        <v>3.3</v>
      </c>
      <c r="W337" s="408">
        <v>0.105</v>
      </c>
      <c r="X337" s="408">
        <v>2.2000000000000002</v>
      </c>
      <c r="Y337" s="408">
        <v>-2.2000000000000002</v>
      </c>
      <c r="Z337" s="408">
        <v>0</v>
      </c>
      <c r="AA337" s="408">
        <v>0.8</v>
      </c>
    </row>
    <row r="338" spans="1:27">
      <c r="A338">
        <v>271</v>
      </c>
      <c r="B338" s="1" t="s">
        <v>618</v>
      </c>
      <c r="C338" s="5" t="s">
        <v>83</v>
      </c>
      <c r="D338" s="408">
        <v>28</v>
      </c>
      <c r="E338" s="5" t="s">
        <v>100</v>
      </c>
      <c r="F338" s="408">
        <v>67</v>
      </c>
      <c r="G338" s="408">
        <v>1297</v>
      </c>
      <c r="H338" s="408">
        <v>16.8</v>
      </c>
      <c r="I338" s="408">
        <v>0.55500000000000005</v>
      </c>
      <c r="J338" s="408">
        <v>0</v>
      </c>
      <c r="K338" s="408">
        <v>0.19500000000000001</v>
      </c>
      <c r="L338" s="408">
        <v>11.6</v>
      </c>
      <c r="M338" s="408">
        <v>27.8</v>
      </c>
      <c r="N338" s="408">
        <v>19.399999999999999</v>
      </c>
      <c r="O338" s="408">
        <v>9.6</v>
      </c>
      <c r="P338" s="408">
        <v>1.6</v>
      </c>
      <c r="Q338" s="408">
        <v>2</v>
      </c>
      <c r="R338" s="408">
        <v>11.2</v>
      </c>
      <c r="S338" s="408">
        <v>15.2</v>
      </c>
      <c r="T338" s="408">
        <v>1.9</v>
      </c>
      <c r="U338" s="408">
        <v>1.3</v>
      </c>
      <c r="V338" s="408">
        <v>3.2</v>
      </c>
      <c r="W338" s="408">
        <v>0.11700000000000001</v>
      </c>
      <c r="X338" s="408">
        <v>-1.2</v>
      </c>
      <c r="Y338" s="408">
        <v>1</v>
      </c>
      <c r="Z338" s="408">
        <v>-0.3</v>
      </c>
      <c r="AA338" s="408">
        <v>0.6</v>
      </c>
    </row>
    <row r="339" spans="1:27">
      <c r="A339">
        <v>272</v>
      </c>
      <c r="B339" s="1" t="s">
        <v>345</v>
      </c>
      <c r="C339" s="5" t="s">
        <v>38</v>
      </c>
      <c r="D339" s="408">
        <v>22</v>
      </c>
      <c r="E339" s="5" t="s">
        <v>78</v>
      </c>
      <c r="F339" s="408">
        <v>68</v>
      </c>
      <c r="G339" s="408">
        <v>2059</v>
      </c>
      <c r="H339" s="408">
        <v>14.2</v>
      </c>
      <c r="I339" s="408">
        <v>0.54600000000000004</v>
      </c>
      <c r="J339" s="408">
        <v>0.41199999999999998</v>
      </c>
      <c r="K339" s="408">
        <v>0.19</v>
      </c>
      <c r="L339" s="408">
        <v>4.2</v>
      </c>
      <c r="M339" s="408">
        <v>17.600000000000001</v>
      </c>
      <c r="N339" s="408">
        <v>10.9</v>
      </c>
      <c r="O339" s="408">
        <v>9.1</v>
      </c>
      <c r="P339" s="408">
        <v>1</v>
      </c>
      <c r="Q339" s="408">
        <v>1.2</v>
      </c>
      <c r="R339" s="408">
        <v>10.6</v>
      </c>
      <c r="S339" s="408">
        <v>22.2</v>
      </c>
      <c r="T339" s="408">
        <v>1.4</v>
      </c>
      <c r="U339" s="408">
        <v>2</v>
      </c>
      <c r="V339" s="408">
        <v>3.4</v>
      </c>
      <c r="W339" s="408">
        <v>7.9000000000000001E-2</v>
      </c>
      <c r="X339" s="408">
        <v>-0.4</v>
      </c>
      <c r="Y339" s="408">
        <v>-1</v>
      </c>
      <c r="Z339" s="408">
        <v>-1.3</v>
      </c>
      <c r="AA339" s="408">
        <v>0.3</v>
      </c>
    </row>
    <row r="340" spans="1:27">
      <c r="A340">
        <v>273</v>
      </c>
      <c r="B340" s="1" t="s">
        <v>648</v>
      </c>
      <c r="C340" s="5" t="s">
        <v>46</v>
      </c>
      <c r="D340" s="408">
        <v>28</v>
      </c>
      <c r="E340" s="5" t="s">
        <v>21</v>
      </c>
      <c r="F340" s="408">
        <v>1</v>
      </c>
      <c r="G340" s="408">
        <v>2</v>
      </c>
      <c r="H340" s="408">
        <v>-41.1</v>
      </c>
      <c r="I340" s="408">
        <v>0</v>
      </c>
      <c r="J340" s="408">
        <v>0</v>
      </c>
      <c r="K340" s="408">
        <v>0</v>
      </c>
      <c r="L340" s="408">
        <v>0</v>
      </c>
      <c r="M340" s="408">
        <v>0</v>
      </c>
      <c r="N340" s="408">
        <v>0</v>
      </c>
      <c r="O340" s="408">
        <v>0</v>
      </c>
      <c r="P340" s="408">
        <v>0</v>
      </c>
      <c r="Q340" s="408">
        <v>0</v>
      </c>
      <c r="R340" s="408">
        <v>0</v>
      </c>
      <c r="S340" s="408">
        <v>43.6</v>
      </c>
      <c r="T340" s="408">
        <v>0</v>
      </c>
      <c r="U340" s="408">
        <v>0</v>
      </c>
      <c r="V340" s="408">
        <v>0</v>
      </c>
      <c r="W340" s="408">
        <v>-1.0569999999999999</v>
      </c>
      <c r="X340" s="408">
        <v>-36.5</v>
      </c>
      <c r="Y340" s="408">
        <v>-12.6</v>
      </c>
      <c r="Z340" s="408">
        <v>-49.1</v>
      </c>
      <c r="AA340" s="408">
        <v>0</v>
      </c>
    </row>
    <row r="341" spans="1:27">
      <c r="A341">
        <v>274</v>
      </c>
      <c r="B341" s="1" t="s">
        <v>557</v>
      </c>
      <c r="C341" s="5" t="s">
        <v>38</v>
      </c>
      <c r="D341" s="408">
        <v>21</v>
      </c>
      <c r="E341" s="5" t="s">
        <v>100</v>
      </c>
      <c r="F341" s="408">
        <v>54</v>
      </c>
      <c r="G341" s="408">
        <v>1078</v>
      </c>
      <c r="H341" s="408">
        <v>15.1</v>
      </c>
      <c r="I341" s="408">
        <v>0.52500000000000002</v>
      </c>
      <c r="J341" s="408">
        <v>9.4E-2</v>
      </c>
      <c r="K341" s="408">
        <v>0.27600000000000002</v>
      </c>
      <c r="L341" s="408">
        <v>8.6999999999999993</v>
      </c>
      <c r="M341" s="408">
        <v>17.8</v>
      </c>
      <c r="N341" s="408">
        <v>13</v>
      </c>
      <c r="O341" s="408">
        <v>8.4</v>
      </c>
      <c r="P341" s="408">
        <v>1.1000000000000001</v>
      </c>
      <c r="Q341" s="408">
        <v>3.9</v>
      </c>
      <c r="R341" s="408">
        <v>11.8</v>
      </c>
      <c r="S341" s="408">
        <v>20.9</v>
      </c>
      <c r="T341" s="408">
        <v>0.7</v>
      </c>
      <c r="U341" s="408">
        <v>0.8</v>
      </c>
      <c r="V341" s="408">
        <v>1.4</v>
      </c>
      <c r="W341" s="408">
        <v>6.4000000000000001E-2</v>
      </c>
      <c r="X341" s="408">
        <v>-2.4</v>
      </c>
      <c r="Y341" s="408">
        <v>-0.1</v>
      </c>
      <c r="Z341" s="408">
        <v>-2.4</v>
      </c>
      <c r="AA341" s="408">
        <v>-0.1</v>
      </c>
    </row>
    <row r="342" spans="1:27">
      <c r="A342">
        <v>275</v>
      </c>
      <c r="B342" s="1" t="s">
        <v>411</v>
      </c>
      <c r="C342" s="5" t="s">
        <v>26</v>
      </c>
      <c r="D342" s="408">
        <v>25</v>
      </c>
      <c r="E342" s="5" t="s">
        <v>311</v>
      </c>
      <c r="F342" s="408">
        <v>70</v>
      </c>
      <c r="G342" s="408">
        <v>1715</v>
      </c>
      <c r="H342" s="408">
        <v>17.2</v>
      </c>
      <c r="I342" s="408">
        <v>0.55400000000000005</v>
      </c>
      <c r="J342" s="408">
        <v>0.30199999999999999</v>
      </c>
      <c r="K342" s="408">
        <v>0.26100000000000001</v>
      </c>
      <c r="L342" s="408">
        <v>2.8</v>
      </c>
      <c r="M342" s="408">
        <v>15.7</v>
      </c>
      <c r="N342" s="408">
        <v>9.1</v>
      </c>
      <c r="O342" s="408">
        <v>15</v>
      </c>
      <c r="P342" s="408">
        <v>1.5</v>
      </c>
      <c r="Q342" s="408">
        <v>1.5</v>
      </c>
      <c r="R342" s="408">
        <v>8.8000000000000007</v>
      </c>
      <c r="S342" s="408">
        <v>23</v>
      </c>
      <c r="T342" s="408">
        <v>2.5</v>
      </c>
      <c r="U342" s="408">
        <v>1.6</v>
      </c>
      <c r="V342" s="408">
        <v>4.2</v>
      </c>
      <c r="W342" s="408">
        <v>0.11600000000000001</v>
      </c>
      <c r="X342" s="408">
        <v>1</v>
      </c>
      <c r="Y342" s="408">
        <v>-0.3</v>
      </c>
      <c r="Z342" s="408">
        <v>0.7</v>
      </c>
      <c r="AA342" s="408">
        <v>1.2</v>
      </c>
    </row>
    <row r="343" spans="1:27">
      <c r="A343">
        <v>276</v>
      </c>
      <c r="B343" s="1" t="s">
        <v>88</v>
      </c>
      <c r="C343" s="5" t="s">
        <v>20</v>
      </c>
      <c r="D343" s="408">
        <v>25</v>
      </c>
      <c r="E343" s="5" t="s">
        <v>87</v>
      </c>
      <c r="F343" s="408">
        <v>45</v>
      </c>
      <c r="G343" s="408">
        <v>554</v>
      </c>
      <c r="H343" s="408">
        <v>9.6999999999999993</v>
      </c>
      <c r="I343" s="408">
        <v>0.50800000000000001</v>
      </c>
      <c r="J343" s="408">
        <v>0.41</v>
      </c>
      <c r="K343" s="408">
        <v>0.17899999999999999</v>
      </c>
      <c r="L343" s="408">
        <v>1.6</v>
      </c>
      <c r="M343" s="408">
        <v>9.5</v>
      </c>
      <c r="N343" s="408">
        <v>5.6</v>
      </c>
      <c r="O343" s="408">
        <v>15.3</v>
      </c>
      <c r="P343" s="408">
        <v>1.9</v>
      </c>
      <c r="Q343" s="408">
        <v>0.3</v>
      </c>
      <c r="R343" s="408">
        <v>12.9</v>
      </c>
      <c r="S343" s="408">
        <v>15.6</v>
      </c>
      <c r="T343" s="408">
        <v>0.2</v>
      </c>
      <c r="U343" s="408">
        <v>0.8</v>
      </c>
      <c r="V343" s="408">
        <v>0.9</v>
      </c>
      <c r="W343" s="408">
        <v>8.2000000000000003E-2</v>
      </c>
      <c r="X343" s="408">
        <v>-2.7</v>
      </c>
      <c r="Y343" s="408">
        <v>0</v>
      </c>
      <c r="Z343" s="408">
        <v>-2.7</v>
      </c>
      <c r="AA343" s="408">
        <v>-0.1</v>
      </c>
    </row>
    <row r="344" spans="1:27">
      <c r="A344">
        <v>277</v>
      </c>
      <c r="B344" s="1" t="s">
        <v>562</v>
      </c>
      <c r="C344" s="5" t="s">
        <v>83</v>
      </c>
      <c r="D344" s="408">
        <v>26</v>
      </c>
      <c r="E344" s="5" t="s">
        <v>140</v>
      </c>
      <c r="F344" s="408">
        <v>49</v>
      </c>
      <c r="G344" s="408">
        <v>500</v>
      </c>
      <c r="H344" s="408">
        <v>16.8</v>
      </c>
      <c r="I344" s="408">
        <v>0.54300000000000004</v>
      </c>
      <c r="J344" s="408">
        <v>2.8000000000000001E-2</v>
      </c>
      <c r="K344" s="408">
        <v>0.24199999999999999</v>
      </c>
      <c r="L344" s="408">
        <v>13.3</v>
      </c>
      <c r="M344" s="408">
        <v>22.8</v>
      </c>
      <c r="N344" s="408">
        <v>18</v>
      </c>
      <c r="O344" s="408">
        <v>12.2</v>
      </c>
      <c r="P344" s="408">
        <v>0.9</v>
      </c>
      <c r="Q344" s="408">
        <v>0.5</v>
      </c>
      <c r="R344" s="408">
        <v>14</v>
      </c>
      <c r="S344" s="408">
        <v>20.5</v>
      </c>
      <c r="T344" s="408">
        <v>0.6</v>
      </c>
      <c r="U344" s="408">
        <v>0.7</v>
      </c>
      <c r="V344" s="408">
        <v>1.3</v>
      </c>
      <c r="W344" s="408">
        <v>0.128</v>
      </c>
      <c r="X344" s="408">
        <v>-1.4</v>
      </c>
      <c r="Y344" s="408">
        <v>0.1</v>
      </c>
      <c r="Z344" s="408">
        <v>-1.3</v>
      </c>
      <c r="AA344" s="408">
        <v>0.1</v>
      </c>
    </row>
    <row r="345" spans="1:27">
      <c r="A345">
        <v>278</v>
      </c>
      <c r="B345" s="1" t="s">
        <v>225</v>
      </c>
      <c r="C345" s="5" t="s">
        <v>26</v>
      </c>
      <c r="D345" s="408">
        <v>22</v>
      </c>
      <c r="E345" s="5" t="s">
        <v>43</v>
      </c>
      <c r="F345" s="408">
        <v>24</v>
      </c>
      <c r="G345" s="408">
        <v>656</v>
      </c>
      <c r="H345" s="408">
        <v>14.6</v>
      </c>
      <c r="I345" s="408">
        <v>0.499</v>
      </c>
      <c r="J345" s="408">
        <v>0.34599999999999997</v>
      </c>
      <c r="K345" s="408">
        <v>0.30099999999999999</v>
      </c>
      <c r="L345" s="408">
        <v>1.4</v>
      </c>
      <c r="M345" s="408">
        <v>14.5</v>
      </c>
      <c r="N345" s="408">
        <v>7.8</v>
      </c>
      <c r="O345" s="408">
        <v>18.5</v>
      </c>
      <c r="P345" s="408">
        <v>1.8</v>
      </c>
      <c r="Q345" s="408">
        <v>0.5</v>
      </c>
      <c r="R345" s="408">
        <v>9.6999999999999993</v>
      </c>
      <c r="S345" s="408">
        <v>29.6</v>
      </c>
      <c r="T345" s="408">
        <v>-0.1</v>
      </c>
      <c r="U345" s="408">
        <v>0.5</v>
      </c>
      <c r="V345" s="408">
        <v>0.4</v>
      </c>
      <c r="W345" s="408">
        <v>2.7E-2</v>
      </c>
      <c r="X345" s="408">
        <v>-0.7</v>
      </c>
      <c r="Y345" s="408">
        <v>-1.9</v>
      </c>
      <c r="Z345" s="408">
        <v>-2.6</v>
      </c>
      <c r="AA345" s="408">
        <v>-0.1</v>
      </c>
    </row>
    <row r="346" spans="1:27">
      <c r="A346">
        <v>279</v>
      </c>
      <c r="B346" s="1" t="s">
        <v>301</v>
      </c>
      <c r="C346" s="5" t="s">
        <v>46</v>
      </c>
      <c r="D346" s="408">
        <v>23</v>
      </c>
      <c r="E346" s="5" t="s">
        <v>96</v>
      </c>
      <c r="F346" s="408">
        <v>31</v>
      </c>
      <c r="G346" s="408">
        <v>153</v>
      </c>
      <c r="H346" s="408">
        <v>3.9</v>
      </c>
      <c r="I346" s="408">
        <v>0.33100000000000002</v>
      </c>
      <c r="J346" s="408">
        <v>0.432</v>
      </c>
      <c r="K346" s="408">
        <v>6.8000000000000005E-2</v>
      </c>
      <c r="L346" s="408">
        <v>2.9</v>
      </c>
      <c r="M346" s="408">
        <v>7</v>
      </c>
      <c r="N346" s="408">
        <v>5</v>
      </c>
      <c r="O346" s="408">
        <v>8.9</v>
      </c>
      <c r="P346" s="408">
        <v>1.9</v>
      </c>
      <c r="Q346" s="408">
        <v>2.1</v>
      </c>
      <c r="R346" s="408">
        <v>9.9</v>
      </c>
      <c r="S346" s="408">
        <v>14.5</v>
      </c>
      <c r="T346" s="408">
        <v>-0.3</v>
      </c>
      <c r="U346" s="408">
        <v>0.2</v>
      </c>
      <c r="V346" s="408">
        <v>-0.1</v>
      </c>
      <c r="W346" s="408">
        <v>-3.3000000000000002E-2</v>
      </c>
      <c r="X346" s="408">
        <v>-5.7</v>
      </c>
      <c r="Y346" s="408">
        <v>0.5</v>
      </c>
      <c r="Z346" s="408">
        <v>-5.3</v>
      </c>
      <c r="AA346" s="408">
        <v>-0.1</v>
      </c>
    </row>
    <row r="347" spans="1:27">
      <c r="A347">
        <v>280</v>
      </c>
      <c r="B347" s="1" t="s">
        <v>608</v>
      </c>
      <c r="C347" s="5" t="s">
        <v>38</v>
      </c>
      <c r="D347" s="408">
        <v>20</v>
      </c>
      <c r="E347" s="5" t="s">
        <v>30</v>
      </c>
      <c r="F347" s="408">
        <v>49</v>
      </c>
      <c r="G347" s="408">
        <v>424</v>
      </c>
      <c r="H347" s="408">
        <v>10.5</v>
      </c>
      <c r="I347" s="408">
        <v>0.55400000000000005</v>
      </c>
      <c r="J347" s="408">
        <v>0.32200000000000001</v>
      </c>
      <c r="K347" s="408">
        <v>9.9000000000000005E-2</v>
      </c>
      <c r="L347" s="408">
        <v>7</v>
      </c>
      <c r="M347" s="408">
        <v>13.2</v>
      </c>
      <c r="N347" s="408">
        <v>10.1</v>
      </c>
      <c r="O347" s="408">
        <v>2.6</v>
      </c>
      <c r="P347" s="408">
        <v>0.6</v>
      </c>
      <c r="Q347" s="408">
        <v>0.8</v>
      </c>
      <c r="R347" s="408">
        <v>7.3</v>
      </c>
      <c r="S347" s="408">
        <v>14.3</v>
      </c>
      <c r="T347" s="408">
        <v>0.5</v>
      </c>
      <c r="U347" s="408">
        <v>0.3</v>
      </c>
      <c r="V347" s="408">
        <v>0.7</v>
      </c>
      <c r="W347" s="408">
        <v>8.3000000000000004E-2</v>
      </c>
      <c r="X347" s="408">
        <v>-1.9</v>
      </c>
      <c r="Y347" s="408">
        <v>-2.8</v>
      </c>
      <c r="Z347" s="408">
        <v>-4.7</v>
      </c>
      <c r="AA347" s="408">
        <v>-0.3</v>
      </c>
    </row>
    <row r="348" spans="1:27">
      <c r="A348">
        <v>281</v>
      </c>
      <c r="B348" s="1" t="s">
        <v>388</v>
      </c>
      <c r="C348" s="5" t="s">
        <v>26</v>
      </c>
      <c r="D348" s="408">
        <v>32</v>
      </c>
      <c r="E348" s="5" t="s">
        <v>21</v>
      </c>
      <c r="F348" s="408">
        <v>68</v>
      </c>
      <c r="G348" s="408">
        <v>2110</v>
      </c>
      <c r="H348" s="408">
        <v>13.1</v>
      </c>
      <c r="I348" s="408">
        <v>0.56200000000000006</v>
      </c>
      <c r="J348" s="408">
        <v>0.37</v>
      </c>
      <c r="K348" s="408">
        <v>0.17499999999999999</v>
      </c>
      <c r="L348" s="408">
        <v>1.4</v>
      </c>
      <c r="M348" s="408">
        <v>9.3000000000000007</v>
      </c>
      <c r="N348" s="408">
        <v>5.4</v>
      </c>
      <c r="O348" s="408">
        <v>11.6</v>
      </c>
      <c r="P348" s="408">
        <v>1.8</v>
      </c>
      <c r="Q348" s="408">
        <v>0.6</v>
      </c>
      <c r="R348" s="408">
        <v>9.6999999999999993</v>
      </c>
      <c r="S348" s="408">
        <v>17</v>
      </c>
      <c r="T348" s="408">
        <v>2.5</v>
      </c>
      <c r="U348" s="408">
        <v>1.3</v>
      </c>
      <c r="V348" s="408">
        <v>3.7</v>
      </c>
      <c r="W348" s="408">
        <v>8.5000000000000006E-2</v>
      </c>
      <c r="X348" s="408">
        <v>0.9</v>
      </c>
      <c r="Y348" s="408">
        <v>-0.6</v>
      </c>
      <c r="Z348" s="408">
        <v>0.3</v>
      </c>
      <c r="AA348" s="408">
        <v>1.2</v>
      </c>
    </row>
    <row r="349" spans="1:27">
      <c r="A349">
        <v>282</v>
      </c>
      <c r="B349" s="1" t="s">
        <v>1208</v>
      </c>
      <c r="C349" s="5" t="s">
        <v>26</v>
      </c>
      <c r="D349" s="408">
        <v>25</v>
      </c>
      <c r="E349" s="5" t="s">
        <v>149</v>
      </c>
      <c r="F349" s="408">
        <v>3</v>
      </c>
      <c r="G349" s="408">
        <v>64</v>
      </c>
      <c r="H349" s="408">
        <v>17.100000000000001</v>
      </c>
      <c r="I349" s="408">
        <v>0.61799999999999999</v>
      </c>
      <c r="J349" s="408">
        <v>0.54200000000000004</v>
      </c>
      <c r="K349" s="408">
        <v>0.33300000000000002</v>
      </c>
      <c r="L349" s="408">
        <v>1.8</v>
      </c>
      <c r="M349" s="408">
        <v>12.4</v>
      </c>
      <c r="N349" s="408">
        <v>7.1</v>
      </c>
      <c r="O349" s="408">
        <v>10</v>
      </c>
      <c r="P349" s="408">
        <v>2.2999999999999998</v>
      </c>
      <c r="Q349" s="408">
        <v>0</v>
      </c>
      <c r="R349" s="408">
        <v>6.8</v>
      </c>
      <c r="S349" s="408">
        <v>20.2</v>
      </c>
      <c r="T349" s="408">
        <v>0.1</v>
      </c>
      <c r="U349" s="408">
        <v>0</v>
      </c>
      <c r="V349" s="408">
        <v>0.2</v>
      </c>
      <c r="W349" s="408">
        <v>0.14199999999999999</v>
      </c>
      <c r="X349" s="408">
        <v>1.9</v>
      </c>
      <c r="Y349" s="408">
        <v>-2.5</v>
      </c>
      <c r="Z349" s="408">
        <v>-0.6</v>
      </c>
      <c r="AA349" s="408">
        <v>0</v>
      </c>
    </row>
    <row r="350" spans="1:27">
      <c r="A350">
        <v>283</v>
      </c>
      <c r="B350" s="1" t="s">
        <v>1042</v>
      </c>
      <c r="C350" s="5" t="s">
        <v>20</v>
      </c>
      <c r="D350" s="408">
        <v>25</v>
      </c>
      <c r="E350" s="5" t="s">
        <v>112</v>
      </c>
      <c r="F350" s="408">
        <v>5</v>
      </c>
      <c r="G350" s="408">
        <v>35</v>
      </c>
      <c r="H350" s="408">
        <v>7</v>
      </c>
      <c r="I350" s="408">
        <v>0.49099999999999999</v>
      </c>
      <c r="J350" s="408">
        <v>6.3E-2</v>
      </c>
      <c r="K350" s="408">
        <v>0.188</v>
      </c>
      <c r="L350" s="408">
        <v>0</v>
      </c>
      <c r="M350" s="408">
        <v>6</v>
      </c>
      <c r="N350" s="408">
        <v>3.1</v>
      </c>
      <c r="O350" s="408">
        <v>21.3</v>
      </c>
      <c r="P350" s="408">
        <v>0</v>
      </c>
      <c r="Q350" s="408">
        <v>2.2999999999999998</v>
      </c>
      <c r="R350" s="408">
        <v>18.8</v>
      </c>
      <c r="S350" s="408">
        <v>26.4</v>
      </c>
      <c r="T350" s="408">
        <v>-0.1</v>
      </c>
      <c r="U350" s="408">
        <v>0</v>
      </c>
      <c r="V350" s="408">
        <v>-0.1</v>
      </c>
      <c r="W350" s="408">
        <v>-7.4999999999999997E-2</v>
      </c>
      <c r="X350" s="408">
        <v>-7.5</v>
      </c>
      <c r="Y350" s="408">
        <v>-4.4000000000000004</v>
      </c>
      <c r="Z350" s="408">
        <v>-11.8</v>
      </c>
      <c r="AA350" s="408">
        <v>-0.1</v>
      </c>
    </row>
    <row r="351" spans="1:27">
      <c r="A351">
        <v>284</v>
      </c>
      <c r="B351" s="1" t="s">
        <v>191</v>
      </c>
      <c r="C351" s="5" t="s">
        <v>83</v>
      </c>
      <c r="D351" s="408">
        <v>24</v>
      </c>
      <c r="E351" s="5" t="s">
        <v>313</v>
      </c>
      <c r="F351" s="408">
        <v>61</v>
      </c>
      <c r="G351" s="408">
        <v>1200</v>
      </c>
      <c r="H351" s="408">
        <v>18.600000000000001</v>
      </c>
      <c r="I351" s="408">
        <v>0.60699999999999998</v>
      </c>
      <c r="J351" s="408">
        <v>0</v>
      </c>
      <c r="K351" s="408">
        <v>0.64300000000000002</v>
      </c>
      <c r="L351" s="408">
        <v>12.8</v>
      </c>
      <c r="M351" s="408">
        <v>27.9</v>
      </c>
      <c r="N351" s="408">
        <v>20.2</v>
      </c>
      <c r="O351" s="408">
        <v>8.6</v>
      </c>
      <c r="P351" s="408">
        <v>1</v>
      </c>
      <c r="Q351" s="408">
        <v>3.8</v>
      </c>
      <c r="R351" s="408">
        <v>14.8</v>
      </c>
      <c r="S351" s="408">
        <v>16.2</v>
      </c>
      <c r="T351" s="408">
        <v>2.5</v>
      </c>
      <c r="U351" s="408">
        <v>1.1000000000000001</v>
      </c>
      <c r="V351" s="408">
        <v>3.6</v>
      </c>
      <c r="W351" s="408">
        <v>0.14499999999999999</v>
      </c>
      <c r="X351" s="408">
        <v>-0.9</v>
      </c>
      <c r="Y351" s="408">
        <v>1.4</v>
      </c>
      <c r="Z351" s="408">
        <v>0.5</v>
      </c>
      <c r="AA351" s="408">
        <v>0.8</v>
      </c>
    </row>
    <row r="352" spans="1:27">
      <c r="A352">
        <v>285</v>
      </c>
      <c r="B352" s="1" t="s">
        <v>373</v>
      </c>
      <c r="C352" s="5" t="s">
        <v>46</v>
      </c>
      <c r="D352" s="408">
        <v>26</v>
      </c>
      <c r="E352" s="5" t="s">
        <v>140</v>
      </c>
      <c r="F352" s="408">
        <v>9</v>
      </c>
      <c r="G352" s="408">
        <v>210</v>
      </c>
      <c r="H352" s="408">
        <v>25.9</v>
      </c>
      <c r="I352" s="408">
        <v>0.57199999999999995</v>
      </c>
      <c r="J352" s="408">
        <v>0.315</v>
      </c>
      <c r="K352" s="408">
        <v>0.34200000000000003</v>
      </c>
      <c r="L352" s="408">
        <v>3.2</v>
      </c>
      <c r="M352" s="408">
        <v>19</v>
      </c>
      <c r="N352" s="408">
        <v>11.1</v>
      </c>
      <c r="O352" s="408">
        <v>17.8</v>
      </c>
      <c r="P352" s="408">
        <v>4.3</v>
      </c>
      <c r="Q352" s="408">
        <v>3.6</v>
      </c>
      <c r="R352" s="408">
        <v>11.1</v>
      </c>
      <c r="S352" s="408">
        <v>30.6</v>
      </c>
      <c r="T352" s="408">
        <v>0.3</v>
      </c>
      <c r="U352" s="408">
        <v>0.5</v>
      </c>
      <c r="V352" s="408">
        <v>0.9</v>
      </c>
      <c r="W352" s="408">
        <v>0.19900000000000001</v>
      </c>
      <c r="X352" s="408">
        <v>2.7</v>
      </c>
      <c r="Y352" s="408">
        <v>3.4</v>
      </c>
      <c r="Z352" s="408">
        <v>6</v>
      </c>
      <c r="AA352" s="408">
        <v>0.4</v>
      </c>
    </row>
    <row r="353" spans="1:27">
      <c r="A353">
        <v>286</v>
      </c>
      <c r="B353" s="1" t="s">
        <v>535</v>
      </c>
      <c r="C353" s="5" t="s">
        <v>83</v>
      </c>
      <c r="D353" s="408">
        <v>25</v>
      </c>
      <c r="E353" s="5" t="s">
        <v>96</v>
      </c>
      <c r="F353" s="408">
        <v>27</v>
      </c>
      <c r="G353" s="408">
        <v>204</v>
      </c>
      <c r="H353" s="408">
        <v>17.5</v>
      </c>
      <c r="I353" s="408">
        <v>0.67</v>
      </c>
      <c r="J353" s="408">
        <v>0.33900000000000002</v>
      </c>
      <c r="K353" s="408">
        <v>0.161</v>
      </c>
      <c r="L353" s="408">
        <v>5.5</v>
      </c>
      <c r="M353" s="408">
        <v>23.8</v>
      </c>
      <c r="N353" s="408">
        <v>14.8</v>
      </c>
      <c r="O353" s="408">
        <v>10</v>
      </c>
      <c r="P353" s="408">
        <v>1.2</v>
      </c>
      <c r="Q353" s="408">
        <v>0</v>
      </c>
      <c r="R353" s="408">
        <v>9.5</v>
      </c>
      <c r="S353" s="408">
        <v>15.8</v>
      </c>
      <c r="T353" s="408">
        <v>0.6</v>
      </c>
      <c r="U353" s="408">
        <v>0.3</v>
      </c>
      <c r="V353" s="408">
        <v>0.9</v>
      </c>
      <c r="W353" s="408">
        <v>0.20200000000000001</v>
      </c>
      <c r="X353" s="408">
        <v>1.2</v>
      </c>
      <c r="Y353" s="408">
        <v>-0.4</v>
      </c>
      <c r="Z353" s="408">
        <v>0.8</v>
      </c>
      <c r="AA353" s="408">
        <v>0.1</v>
      </c>
    </row>
    <row r="354" spans="1:27">
      <c r="A354">
        <v>287</v>
      </c>
      <c r="B354" s="1" t="s">
        <v>556</v>
      </c>
      <c r="C354" s="5" t="s">
        <v>38</v>
      </c>
      <c r="D354" s="408">
        <v>28</v>
      </c>
      <c r="E354" s="5" t="s">
        <v>157</v>
      </c>
      <c r="F354" s="408">
        <v>8</v>
      </c>
      <c r="G354" s="408">
        <v>136</v>
      </c>
      <c r="H354" s="408">
        <v>9</v>
      </c>
      <c r="I354" s="408">
        <v>0.505</v>
      </c>
      <c r="J354" s="408">
        <v>8.3000000000000004E-2</v>
      </c>
      <c r="K354" s="408">
        <v>0.41699999999999998</v>
      </c>
      <c r="L354" s="408">
        <v>5.6</v>
      </c>
      <c r="M354" s="408">
        <v>21</v>
      </c>
      <c r="N354" s="408">
        <v>13.1</v>
      </c>
      <c r="O354" s="408">
        <v>5.3</v>
      </c>
      <c r="P354" s="408">
        <v>0.4</v>
      </c>
      <c r="Q354" s="408">
        <v>2</v>
      </c>
      <c r="R354" s="408">
        <v>14.1</v>
      </c>
      <c r="S354" s="408">
        <v>16.100000000000001</v>
      </c>
      <c r="T354" s="408">
        <v>0</v>
      </c>
      <c r="U354" s="408">
        <v>0.1</v>
      </c>
      <c r="V354" s="408">
        <v>0.1</v>
      </c>
      <c r="W354" s="408">
        <v>4.8000000000000001E-2</v>
      </c>
      <c r="X354" s="408">
        <v>-5.6</v>
      </c>
      <c r="Y354" s="408">
        <v>-0.4</v>
      </c>
      <c r="Z354" s="408">
        <v>-6</v>
      </c>
      <c r="AA354" s="408">
        <v>-0.1</v>
      </c>
    </row>
    <row r="355" spans="1:27">
      <c r="A355">
        <v>288</v>
      </c>
      <c r="B355" s="1" t="s">
        <v>416</v>
      </c>
      <c r="C355" s="5" t="s">
        <v>46</v>
      </c>
      <c r="D355" s="408">
        <v>23</v>
      </c>
      <c r="E355" s="5" t="s">
        <v>315</v>
      </c>
      <c r="F355" s="408">
        <v>61</v>
      </c>
      <c r="G355" s="408">
        <v>1586</v>
      </c>
      <c r="H355" s="408">
        <v>14.4</v>
      </c>
      <c r="I355" s="408">
        <v>0.53200000000000003</v>
      </c>
      <c r="J355" s="408">
        <v>0.33400000000000002</v>
      </c>
      <c r="K355" s="408">
        <v>0.27</v>
      </c>
      <c r="L355" s="408">
        <v>3.2</v>
      </c>
      <c r="M355" s="408">
        <v>12</v>
      </c>
      <c r="N355" s="408">
        <v>7.5</v>
      </c>
      <c r="O355" s="408">
        <v>25.2</v>
      </c>
      <c r="P355" s="408">
        <v>2.1</v>
      </c>
      <c r="Q355" s="408">
        <v>0.9</v>
      </c>
      <c r="R355" s="408">
        <v>16.399999999999999</v>
      </c>
      <c r="S355" s="408">
        <v>22.7</v>
      </c>
      <c r="T355" s="408">
        <v>0.6</v>
      </c>
      <c r="U355" s="408">
        <v>1.3</v>
      </c>
      <c r="V355" s="408">
        <v>1.9</v>
      </c>
      <c r="W355" s="408">
        <v>5.7000000000000002E-2</v>
      </c>
      <c r="X355" s="408">
        <v>-0.3</v>
      </c>
      <c r="Y355" s="408">
        <v>-0.2</v>
      </c>
      <c r="Z355" s="408">
        <v>-0.4</v>
      </c>
      <c r="AA355" s="408">
        <v>0.6</v>
      </c>
    </row>
    <row r="356" spans="1:27">
      <c r="A356">
        <v>289</v>
      </c>
      <c r="B356" s="1" t="s">
        <v>525</v>
      </c>
      <c r="C356" s="5" t="s">
        <v>26</v>
      </c>
      <c r="D356" s="408">
        <v>29</v>
      </c>
      <c r="E356" s="5" t="s">
        <v>357</v>
      </c>
      <c r="F356" s="408">
        <v>51</v>
      </c>
      <c r="G356" s="408">
        <v>671</v>
      </c>
      <c r="H356" s="408">
        <v>6.8</v>
      </c>
      <c r="I356" s="408">
        <v>0.50900000000000001</v>
      </c>
      <c r="J356" s="408">
        <v>0.51500000000000001</v>
      </c>
      <c r="K356" s="408">
        <v>5.1999999999999998E-2</v>
      </c>
      <c r="L356" s="408">
        <v>1.2</v>
      </c>
      <c r="M356" s="408">
        <v>10.4</v>
      </c>
      <c r="N356" s="408">
        <v>5.9</v>
      </c>
      <c r="O356" s="408">
        <v>8.3000000000000007</v>
      </c>
      <c r="P356" s="408">
        <v>2.7</v>
      </c>
      <c r="Q356" s="408">
        <v>1.6</v>
      </c>
      <c r="R356" s="408">
        <v>15.4</v>
      </c>
      <c r="S356" s="408">
        <v>7.8</v>
      </c>
      <c r="T356" s="408">
        <v>0</v>
      </c>
      <c r="U356" s="408">
        <v>0.7</v>
      </c>
      <c r="V356" s="408">
        <v>0.7</v>
      </c>
      <c r="W356" s="408">
        <v>4.9000000000000002E-2</v>
      </c>
      <c r="X356" s="408">
        <v>-2.8</v>
      </c>
      <c r="Y356" s="408">
        <v>1.2</v>
      </c>
      <c r="Z356" s="408">
        <v>-1.6</v>
      </c>
      <c r="AA356" s="408">
        <v>0.1</v>
      </c>
    </row>
    <row r="357" spans="1:27">
      <c r="A357">
        <v>289</v>
      </c>
      <c r="B357" s="1" t="s">
        <v>525</v>
      </c>
      <c r="C357" s="5" t="s">
        <v>26</v>
      </c>
      <c r="D357" s="408">
        <v>29</v>
      </c>
      <c r="E357" s="5" t="s">
        <v>41</v>
      </c>
      <c r="F357" s="408">
        <v>31</v>
      </c>
      <c r="G357" s="408">
        <v>480</v>
      </c>
      <c r="H357" s="408">
        <v>5</v>
      </c>
      <c r="I357" s="408">
        <v>0.42399999999999999</v>
      </c>
      <c r="J357" s="408">
        <v>0.55400000000000005</v>
      </c>
      <c r="K357" s="408">
        <v>7.6999999999999999E-2</v>
      </c>
      <c r="L357" s="408">
        <v>1.2</v>
      </c>
      <c r="M357" s="408">
        <v>10.8</v>
      </c>
      <c r="N357" s="408">
        <v>6</v>
      </c>
      <c r="O357" s="408">
        <v>7.4</v>
      </c>
      <c r="P357" s="408">
        <v>2.8</v>
      </c>
      <c r="Q357" s="408">
        <v>1.8</v>
      </c>
      <c r="R357" s="408">
        <v>16.2</v>
      </c>
      <c r="S357" s="408">
        <v>7.6</v>
      </c>
      <c r="T357" s="408">
        <v>-0.3</v>
      </c>
      <c r="U357" s="408">
        <v>0.5</v>
      </c>
      <c r="V357" s="408">
        <v>0.2</v>
      </c>
      <c r="W357" s="408">
        <v>2.3E-2</v>
      </c>
      <c r="X357" s="408">
        <v>-3.7</v>
      </c>
      <c r="Y357" s="408">
        <v>1.5</v>
      </c>
      <c r="Z357" s="408">
        <v>-2.2000000000000002</v>
      </c>
      <c r="AA357" s="408">
        <v>0</v>
      </c>
    </row>
    <row r="358" spans="1:27">
      <c r="A358">
        <v>289</v>
      </c>
      <c r="B358" s="1" t="s">
        <v>525</v>
      </c>
      <c r="C358" s="5" t="s">
        <v>26</v>
      </c>
      <c r="D358" s="408">
        <v>29</v>
      </c>
      <c r="E358" s="5" t="s">
        <v>112</v>
      </c>
      <c r="F358" s="408">
        <v>20</v>
      </c>
      <c r="G358" s="408">
        <v>191</v>
      </c>
      <c r="H358" s="408">
        <v>11.2</v>
      </c>
      <c r="I358" s="408">
        <v>0.68799999999999994</v>
      </c>
      <c r="J358" s="408">
        <v>0.438</v>
      </c>
      <c r="K358" s="408">
        <v>0</v>
      </c>
      <c r="L358" s="408">
        <v>1.2</v>
      </c>
      <c r="M358" s="408">
        <v>9.4</v>
      </c>
      <c r="N358" s="408">
        <v>5.4</v>
      </c>
      <c r="O358" s="408">
        <v>10.8</v>
      </c>
      <c r="P358" s="408">
        <v>2.5</v>
      </c>
      <c r="Q358" s="408">
        <v>1.3</v>
      </c>
      <c r="R358" s="408">
        <v>13.5</v>
      </c>
      <c r="S358" s="408">
        <v>8.4</v>
      </c>
      <c r="T358" s="408">
        <v>0.3</v>
      </c>
      <c r="U358" s="408">
        <v>0.2</v>
      </c>
      <c r="V358" s="408">
        <v>0.5</v>
      </c>
      <c r="W358" s="408">
        <v>0.114</v>
      </c>
      <c r="X358" s="408">
        <v>-0.6</v>
      </c>
      <c r="Y358" s="408">
        <v>0.6</v>
      </c>
      <c r="Z358" s="408">
        <v>0</v>
      </c>
      <c r="AA358" s="408">
        <v>0.1</v>
      </c>
    </row>
    <row r="359" spans="1:27">
      <c r="A359">
        <v>290</v>
      </c>
      <c r="B359" s="1" t="s">
        <v>292</v>
      </c>
      <c r="C359" s="5" t="s">
        <v>20</v>
      </c>
      <c r="D359" s="408">
        <v>27</v>
      </c>
      <c r="E359" s="5" t="s">
        <v>96</v>
      </c>
      <c r="F359" s="408">
        <v>63</v>
      </c>
      <c r="G359" s="408">
        <v>2296</v>
      </c>
      <c r="H359" s="408">
        <v>24.9</v>
      </c>
      <c r="I359" s="408">
        <v>0.59899999999999998</v>
      </c>
      <c r="J359" s="408">
        <v>0.44400000000000001</v>
      </c>
      <c r="K359" s="408">
        <v>0.38</v>
      </c>
      <c r="L359" s="408">
        <v>2.2999999999999998</v>
      </c>
      <c r="M359" s="408">
        <v>10.9</v>
      </c>
      <c r="N359" s="408">
        <v>6.7</v>
      </c>
      <c r="O359" s="408">
        <v>30.7</v>
      </c>
      <c r="P359" s="408">
        <v>1.4</v>
      </c>
      <c r="Q359" s="408">
        <v>0.9</v>
      </c>
      <c r="R359" s="408">
        <v>11.8</v>
      </c>
      <c r="S359" s="408">
        <v>30.5</v>
      </c>
      <c r="T359" s="408">
        <v>8.3000000000000007</v>
      </c>
      <c r="U359" s="408">
        <v>2.4</v>
      </c>
      <c r="V359" s="408">
        <v>10.7</v>
      </c>
      <c r="W359" s="408">
        <v>0.224</v>
      </c>
      <c r="X359" s="408">
        <v>7.4</v>
      </c>
      <c r="Y359" s="408">
        <v>-0.8</v>
      </c>
      <c r="Z359" s="408">
        <v>6.7</v>
      </c>
      <c r="AA359" s="408">
        <v>5</v>
      </c>
    </row>
    <row r="360" spans="1:27">
      <c r="A360">
        <v>291</v>
      </c>
      <c r="B360" s="1" t="s">
        <v>475</v>
      </c>
      <c r="C360" s="5" t="s">
        <v>20</v>
      </c>
      <c r="D360" s="408">
        <v>29</v>
      </c>
      <c r="E360" s="5" t="s">
        <v>315</v>
      </c>
      <c r="F360" s="408">
        <v>1</v>
      </c>
      <c r="G360" s="408">
        <v>25</v>
      </c>
      <c r="H360" s="408">
        <v>16</v>
      </c>
      <c r="I360" s="408">
        <v>0.59699999999999998</v>
      </c>
      <c r="J360" s="408">
        <v>0.16700000000000001</v>
      </c>
      <c r="K360" s="408">
        <v>0.58299999999999996</v>
      </c>
      <c r="L360" s="408">
        <v>0</v>
      </c>
      <c r="M360" s="408">
        <v>0</v>
      </c>
      <c r="N360" s="408">
        <v>0</v>
      </c>
      <c r="O360" s="408">
        <v>27.3</v>
      </c>
      <c r="P360" s="408">
        <v>0</v>
      </c>
      <c r="Q360" s="408">
        <v>0</v>
      </c>
      <c r="R360" s="408">
        <v>16.600000000000001</v>
      </c>
      <c r="S360" s="408">
        <v>31.2</v>
      </c>
      <c r="T360" s="408">
        <v>0.1</v>
      </c>
      <c r="U360" s="408">
        <v>0</v>
      </c>
      <c r="V360" s="408">
        <v>0</v>
      </c>
      <c r="W360" s="408">
        <v>8.8999999999999996E-2</v>
      </c>
      <c r="X360" s="408">
        <v>-3</v>
      </c>
      <c r="Y360" s="408">
        <v>-10.4</v>
      </c>
      <c r="Z360" s="408">
        <v>-13.3</v>
      </c>
      <c r="AA360" s="408">
        <v>-0.1</v>
      </c>
    </row>
    <row r="361" spans="1:27">
      <c r="A361">
        <v>292</v>
      </c>
      <c r="B361" s="1" t="s">
        <v>567</v>
      </c>
      <c r="C361" s="5" t="s">
        <v>20</v>
      </c>
      <c r="D361" s="408">
        <v>32</v>
      </c>
      <c r="E361" s="5" t="s">
        <v>73</v>
      </c>
      <c r="F361" s="408">
        <v>62</v>
      </c>
      <c r="G361" s="408">
        <v>980</v>
      </c>
      <c r="H361" s="408">
        <v>11.3</v>
      </c>
      <c r="I361" s="408">
        <v>0.53400000000000003</v>
      </c>
      <c r="J361" s="408">
        <v>0.01</v>
      </c>
      <c r="K361" s="408">
        <v>0.17799999999999999</v>
      </c>
      <c r="L361" s="408">
        <v>3.4</v>
      </c>
      <c r="M361" s="408">
        <v>8.9</v>
      </c>
      <c r="N361" s="408">
        <v>6.3</v>
      </c>
      <c r="O361" s="408">
        <v>16.600000000000001</v>
      </c>
      <c r="P361" s="408">
        <v>1.4</v>
      </c>
      <c r="Q361" s="408">
        <v>1.5</v>
      </c>
      <c r="R361" s="408">
        <v>13.7</v>
      </c>
      <c r="S361" s="408">
        <v>16.600000000000001</v>
      </c>
      <c r="T361" s="408">
        <v>0.8</v>
      </c>
      <c r="U361" s="408">
        <v>0.8</v>
      </c>
      <c r="V361" s="408">
        <v>1.6</v>
      </c>
      <c r="W361" s="408">
        <v>7.8E-2</v>
      </c>
      <c r="X361" s="408">
        <v>-2.7</v>
      </c>
      <c r="Y361" s="408">
        <v>-1</v>
      </c>
      <c r="Z361" s="408">
        <v>-3.6</v>
      </c>
      <c r="AA361" s="408">
        <v>-0.4</v>
      </c>
    </row>
    <row r="362" spans="1:27">
      <c r="A362">
        <v>293</v>
      </c>
      <c r="B362" s="1" t="s">
        <v>74</v>
      </c>
      <c r="C362" s="5" t="s">
        <v>83</v>
      </c>
      <c r="D362" s="408">
        <v>21</v>
      </c>
      <c r="E362" s="5" t="s">
        <v>73</v>
      </c>
      <c r="F362" s="408">
        <v>56</v>
      </c>
      <c r="G362" s="408">
        <v>670</v>
      </c>
      <c r="H362" s="408">
        <v>14.1</v>
      </c>
      <c r="I362" s="408">
        <v>0.58299999999999996</v>
      </c>
      <c r="J362" s="408">
        <v>1.4E-2</v>
      </c>
      <c r="K362" s="408">
        <v>0.443</v>
      </c>
      <c r="L362" s="408">
        <v>11.8</v>
      </c>
      <c r="M362" s="408">
        <v>14.8</v>
      </c>
      <c r="N362" s="408">
        <v>13.5</v>
      </c>
      <c r="O362" s="408">
        <v>5.8</v>
      </c>
      <c r="P362" s="408">
        <v>1.6</v>
      </c>
      <c r="Q362" s="408">
        <v>4.5</v>
      </c>
      <c r="R362" s="408">
        <v>12.5</v>
      </c>
      <c r="S362" s="408">
        <v>12.5</v>
      </c>
      <c r="T362" s="408">
        <v>1</v>
      </c>
      <c r="U362" s="408">
        <v>0.9</v>
      </c>
      <c r="V362" s="408">
        <v>2</v>
      </c>
      <c r="W362" s="408">
        <v>0.14099999999999999</v>
      </c>
      <c r="X362" s="408">
        <v>-1</v>
      </c>
      <c r="Y362" s="408">
        <v>1.6</v>
      </c>
      <c r="Z362" s="408">
        <v>0.7</v>
      </c>
      <c r="AA362" s="408">
        <v>0.5</v>
      </c>
    </row>
    <row r="363" spans="1:27">
      <c r="A363">
        <v>294</v>
      </c>
      <c r="B363" s="1" t="s">
        <v>215</v>
      </c>
      <c r="C363" s="5" t="s">
        <v>83</v>
      </c>
      <c r="D363" s="408">
        <v>29</v>
      </c>
      <c r="E363" s="5" t="s">
        <v>78</v>
      </c>
      <c r="F363" s="408">
        <v>62</v>
      </c>
      <c r="G363" s="408">
        <v>1419</v>
      </c>
      <c r="H363" s="408">
        <v>16.600000000000001</v>
      </c>
      <c r="I363" s="408">
        <v>0.55700000000000005</v>
      </c>
      <c r="J363" s="408">
        <v>0.42</v>
      </c>
      <c r="K363" s="408">
        <v>0.187</v>
      </c>
      <c r="L363" s="408">
        <v>5</v>
      </c>
      <c r="M363" s="408">
        <v>13.3</v>
      </c>
      <c r="N363" s="408">
        <v>9.1</v>
      </c>
      <c r="O363" s="408">
        <v>11.3</v>
      </c>
      <c r="P363" s="408">
        <v>0.9</v>
      </c>
      <c r="Q363" s="408">
        <v>5</v>
      </c>
      <c r="R363" s="408">
        <v>10.9</v>
      </c>
      <c r="S363" s="408">
        <v>24</v>
      </c>
      <c r="T363" s="408">
        <v>1.4</v>
      </c>
      <c r="U363" s="408">
        <v>1.6</v>
      </c>
      <c r="V363" s="408">
        <v>3</v>
      </c>
      <c r="W363" s="408">
        <v>0.10100000000000001</v>
      </c>
      <c r="X363" s="408">
        <v>0.3</v>
      </c>
      <c r="Y363" s="408">
        <v>0.3</v>
      </c>
      <c r="Z363" s="408">
        <v>0.6</v>
      </c>
      <c r="AA363" s="408">
        <v>0.9</v>
      </c>
    </row>
    <row r="364" spans="1:27">
      <c r="A364">
        <v>295</v>
      </c>
      <c r="B364" s="1" t="s">
        <v>560</v>
      </c>
      <c r="C364" s="5" t="s">
        <v>83</v>
      </c>
      <c r="D364" s="408">
        <v>29</v>
      </c>
      <c r="E364" s="5" t="s">
        <v>43</v>
      </c>
      <c r="F364" s="408">
        <v>61</v>
      </c>
      <c r="G364" s="408">
        <v>1625</v>
      </c>
      <c r="H364" s="408">
        <v>14.9</v>
      </c>
      <c r="I364" s="408">
        <v>0.55500000000000005</v>
      </c>
      <c r="J364" s="408">
        <v>1.9E-2</v>
      </c>
      <c r="K364" s="408">
        <v>0.14099999999999999</v>
      </c>
      <c r="L364" s="408">
        <v>8.3000000000000007</v>
      </c>
      <c r="M364" s="408">
        <v>10</v>
      </c>
      <c r="N364" s="408">
        <v>9.1</v>
      </c>
      <c r="O364" s="408">
        <v>12.3</v>
      </c>
      <c r="P364" s="408">
        <v>0.4</v>
      </c>
      <c r="Q364" s="408">
        <v>2.6</v>
      </c>
      <c r="R364" s="408">
        <v>13.3</v>
      </c>
      <c r="S364" s="408">
        <v>20.5</v>
      </c>
      <c r="T364" s="408">
        <v>1.3</v>
      </c>
      <c r="U364" s="408">
        <v>0.8</v>
      </c>
      <c r="V364" s="408">
        <v>2.1</v>
      </c>
      <c r="W364" s="408">
        <v>6.2E-2</v>
      </c>
      <c r="X364" s="408">
        <v>-1.5</v>
      </c>
      <c r="Y364" s="408">
        <v>-0.3</v>
      </c>
      <c r="Z364" s="408">
        <v>-1.8</v>
      </c>
      <c r="AA364" s="408">
        <v>0.1</v>
      </c>
    </row>
    <row r="365" spans="1:27">
      <c r="A365">
        <v>296</v>
      </c>
      <c r="B365" s="1" t="s">
        <v>333</v>
      </c>
      <c r="C365" s="5" t="s">
        <v>83</v>
      </c>
      <c r="D365" s="408">
        <v>29</v>
      </c>
      <c r="E365" s="5" t="s">
        <v>102</v>
      </c>
      <c r="F365" s="408">
        <v>49</v>
      </c>
      <c r="G365" s="408">
        <v>1367</v>
      </c>
      <c r="H365" s="408">
        <v>22.8</v>
      </c>
      <c r="I365" s="408">
        <v>0.61299999999999999</v>
      </c>
      <c r="J365" s="408">
        <v>0.438</v>
      </c>
      <c r="K365" s="408">
        <v>0.36799999999999999</v>
      </c>
      <c r="L365" s="408">
        <v>7.8</v>
      </c>
      <c r="M365" s="408">
        <v>29.1</v>
      </c>
      <c r="N365" s="408">
        <v>18.600000000000001</v>
      </c>
      <c r="O365" s="408">
        <v>9.5</v>
      </c>
      <c r="P365" s="408">
        <v>1.2</v>
      </c>
      <c r="Q365" s="408">
        <v>1.4</v>
      </c>
      <c r="R365" s="408">
        <v>9.4</v>
      </c>
      <c r="S365" s="408">
        <v>25.5</v>
      </c>
      <c r="T365" s="408">
        <v>4</v>
      </c>
      <c r="U365" s="408">
        <v>1.3</v>
      </c>
      <c r="V365" s="408">
        <v>5.3</v>
      </c>
      <c r="W365" s="408">
        <v>0.187</v>
      </c>
      <c r="X365" s="408">
        <v>2.7</v>
      </c>
      <c r="Y365" s="408">
        <v>-1.7</v>
      </c>
      <c r="Z365" s="408">
        <v>1</v>
      </c>
      <c r="AA365" s="408">
        <v>1.1000000000000001</v>
      </c>
    </row>
    <row r="366" spans="1:27">
      <c r="A366">
        <v>297</v>
      </c>
      <c r="B366" s="1" t="s">
        <v>294</v>
      </c>
      <c r="C366" s="5" t="s">
        <v>20</v>
      </c>
      <c r="D366" s="408">
        <v>31</v>
      </c>
      <c r="E366" s="5" t="s">
        <v>47</v>
      </c>
      <c r="F366" s="408">
        <v>66</v>
      </c>
      <c r="G366" s="408">
        <v>2114</v>
      </c>
      <c r="H366" s="408">
        <v>19.8</v>
      </c>
      <c r="I366" s="408">
        <v>0.59699999999999998</v>
      </c>
      <c r="J366" s="408">
        <v>0.622</v>
      </c>
      <c r="K366" s="408">
        <v>0.29799999999999999</v>
      </c>
      <c r="L366" s="408">
        <v>3.4</v>
      </c>
      <c r="M366" s="408">
        <v>16</v>
      </c>
      <c r="N366" s="408">
        <v>9.8000000000000007</v>
      </c>
      <c r="O366" s="408">
        <v>30.3</v>
      </c>
      <c r="P366" s="408">
        <v>1.8</v>
      </c>
      <c r="Q366" s="408">
        <v>0.4</v>
      </c>
      <c r="R366" s="408">
        <v>14.4</v>
      </c>
      <c r="S366" s="408">
        <v>21.9</v>
      </c>
      <c r="T366" s="408">
        <v>6.1</v>
      </c>
      <c r="U366" s="408">
        <v>2.8</v>
      </c>
      <c r="V366" s="408">
        <v>8.8000000000000007</v>
      </c>
      <c r="W366" s="408">
        <v>0.20100000000000001</v>
      </c>
      <c r="X366" s="408">
        <v>5.5</v>
      </c>
      <c r="Y366" s="408">
        <v>0.5</v>
      </c>
      <c r="Z366" s="408">
        <v>6</v>
      </c>
      <c r="AA366" s="408">
        <v>4.3</v>
      </c>
    </row>
    <row r="367" spans="1:27">
      <c r="A367">
        <v>298</v>
      </c>
      <c r="B367" s="1" t="s">
        <v>425</v>
      </c>
      <c r="C367" s="5" t="s">
        <v>46</v>
      </c>
      <c r="D367" s="408">
        <v>22</v>
      </c>
      <c r="E367" s="5" t="s">
        <v>118</v>
      </c>
      <c r="F367" s="408">
        <v>52</v>
      </c>
      <c r="G367" s="408">
        <v>807</v>
      </c>
      <c r="H367" s="408">
        <v>7.1</v>
      </c>
      <c r="I367" s="408">
        <v>0.51100000000000001</v>
      </c>
      <c r="J367" s="408">
        <v>0.59199999999999997</v>
      </c>
      <c r="K367" s="408">
        <v>0.217</v>
      </c>
      <c r="L367" s="408">
        <v>1.9</v>
      </c>
      <c r="M367" s="408">
        <v>7.6</v>
      </c>
      <c r="N367" s="408">
        <v>4.9000000000000004</v>
      </c>
      <c r="O367" s="408">
        <v>9.5</v>
      </c>
      <c r="P367" s="408">
        <v>0.7</v>
      </c>
      <c r="Q367" s="408">
        <v>0.5</v>
      </c>
      <c r="R367" s="408">
        <v>11.5</v>
      </c>
      <c r="S367" s="408">
        <v>17.600000000000001</v>
      </c>
      <c r="T367" s="408">
        <v>0.1</v>
      </c>
      <c r="U367" s="408">
        <v>0.6</v>
      </c>
      <c r="V367" s="408">
        <v>0.7</v>
      </c>
      <c r="W367" s="408">
        <v>4.2000000000000003E-2</v>
      </c>
      <c r="X367" s="408">
        <v>-2.2000000000000002</v>
      </c>
      <c r="Y367" s="408">
        <v>-2.6</v>
      </c>
      <c r="Z367" s="408">
        <v>-4.8</v>
      </c>
      <c r="AA367" s="408">
        <v>-0.6</v>
      </c>
    </row>
    <row r="368" spans="1:27">
      <c r="A368">
        <v>299</v>
      </c>
      <c r="B368" s="1" t="s">
        <v>649</v>
      </c>
      <c r="C368" s="5" t="s">
        <v>38</v>
      </c>
      <c r="D368" s="408">
        <v>21</v>
      </c>
      <c r="E368" s="5" t="s">
        <v>61</v>
      </c>
      <c r="F368" s="408">
        <v>1</v>
      </c>
      <c r="G368" s="408">
        <v>2</v>
      </c>
      <c r="H368" s="408">
        <v>0</v>
      </c>
      <c r="I368" s="408"/>
      <c r="J368" s="408"/>
      <c r="K368" s="408"/>
      <c r="L368" s="408">
        <v>0</v>
      </c>
      <c r="M368" s="408">
        <v>0</v>
      </c>
      <c r="N368" s="408">
        <v>0</v>
      </c>
      <c r="O368" s="408">
        <v>0</v>
      </c>
      <c r="P368" s="408">
        <v>0</v>
      </c>
      <c r="Q368" s="408">
        <v>0</v>
      </c>
      <c r="R368" s="408"/>
      <c r="S368" s="408">
        <v>0</v>
      </c>
      <c r="T368" s="408">
        <v>0</v>
      </c>
      <c r="U368" s="408">
        <v>0</v>
      </c>
      <c r="V368" s="408">
        <v>0</v>
      </c>
      <c r="W368" s="408">
        <v>-1.2999999999999999E-2</v>
      </c>
      <c r="X368" s="408">
        <v>-5.7</v>
      </c>
      <c r="Y368" s="408">
        <v>-0.8</v>
      </c>
      <c r="Z368" s="408">
        <v>-6.5</v>
      </c>
      <c r="AA368" s="408">
        <v>0</v>
      </c>
    </row>
    <row r="369" spans="1:27">
      <c r="A369">
        <v>300</v>
      </c>
      <c r="B369" s="1" t="s">
        <v>426</v>
      </c>
      <c r="C369" s="5" t="s">
        <v>38</v>
      </c>
      <c r="D369" s="408">
        <v>22</v>
      </c>
      <c r="E369" s="5" t="s">
        <v>61</v>
      </c>
      <c r="F369" s="408">
        <v>64</v>
      </c>
      <c r="G369" s="408">
        <v>1274</v>
      </c>
      <c r="H369" s="408">
        <v>17.899999999999999</v>
      </c>
      <c r="I369" s="408">
        <v>0.59099999999999997</v>
      </c>
      <c r="J369" s="408">
        <v>0.39400000000000002</v>
      </c>
      <c r="K369" s="408">
        <v>0.26600000000000001</v>
      </c>
      <c r="L369" s="408">
        <v>4.4000000000000004</v>
      </c>
      <c r="M369" s="408">
        <v>23.6</v>
      </c>
      <c r="N369" s="408">
        <v>14</v>
      </c>
      <c r="O369" s="408">
        <v>9.6999999999999993</v>
      </c>
      <c r="P369" s="408">
        <v>1.2</v>
      </c>
      <c r="Q369" s="408">
        <v>2</v>
      </c>
      <c r="R369" s="408">
        <v>9.1</v>
      </c>
      <c r="S369" s="408">
        <v>21.2</v>
      </c>
      <c r="T369" s="408">
        <v>2.4</v>
      </c>
      <c r="U369" s="408">
        <v>1.1000000000000001</v>
      </c>
      <c r="V369" s="408">
        <v>3.5</v>
      </c>
      <c r="W369" s="408">
        <v>0.13300000000000001</v>
      </c>
      <c r="X369" s="408">
        <v>0.6</v>
      </c>
      <c r="Y369" s="408">
        <v>-1.3</v>
      </c>
      <c r="Z369" s="408">
        <v>-0.8</v>
      </c>
      <c r="AA369" s="408">
        <v>0.4</v>
      </c>
    </row>
    <row r="370" spans="1:27">
      <c r="A370">
        <v>301</v>
      </c>
      <c r="B370" s="1" t="s">
        <v>527</v>
      </c>
      <c r="C370" s="5" t="s">
        <v>20</v>
      </c>
      <c r="D370" s="408">
        <v>27</v>
      </c>
      <c r="E370" s="5" t="s">
        <v>75</v>
      </c>
      <c r="F370" s="408">
        <v>57</v>
      </c>
      <c r="G370" s="408">
        <v>1083</v>
      </c>
      <c r="H370" s="408">
        <v>13.1</v>
      </c>
      <c r="I370" s="408">
        <v>0.53400000000000003</v>
      </c>
      <c r="J370" s="408">
        <v>0.315</v>
      </c>
      <c r="K370" s="408">
        <v>0.25900000000000001</v>
      </c>
      <c r="L370" s="408">
        <v>1.8</v>
      </c>
      <c r="M370" s="408">
        <v>12</v>
      </c>
      <c r="N370" s="408">
        <v>6.9</v>
      </c>
      <c r="O370" s="408">
        <v>28.3</v>
      </c>
      <c r="P370" s="408">
        <v>1.9</v>
      </c>
      <c r="Q370" s="408">
        <v>0.5</v>
      </c>
      <c r="R370" s="408">
        <v>18.100000000000001</v>
      </c>
      <c r="S370" s="408">
        <v>16.899999999999999</v>
      </c>
      <c r="T370" s="408">
        <v>0.9</v>
      </c>
      <c r="U370" s="408">
        <v>0.7</v>
      </c>
      <c r="V370" s="408">
        <v>1.5</v>
      </c>
      <c r="W370" s="408">
        <v>6.8000000000000005E-2</v>
      </c>
      <c r="X370" s="408">
        <v>-1.3</v>
      </c>
      <c r="Y370" s="408">
        <v>-1.2</v>
      </c>
      <c r="Z370" s="408">
        <v>-2.5</v>
      </c>
      <c r="AA370" s="408">
        <v>-0.1</v>
      </c>
    </row>
    <row r="371" spans="1:27">
      <c r="A371">
        <v>302</v>
      </c>
      <c r="B371" s="1" t="s">
        <v>297</v>
      </c>
      <c r="C371" s="5" t="s">
        <v>20</v>
      </c>
      <c r="D371" s="408">
        <v>28</v>
      </c>
      <c r="E371" s="5" t="s">
        <v>149</v>
      </c>
      <c r="F371" s="408">
        <v>13</v>
      </c>
      <c r="G371" s="408">
        <v>114</v>
      </c>
      <c r="H371" s="408">
        <v>16.600000000000001</v>
      </c>
      <c r="I371" s="408">
        <v>0.54900000000000004</v>
      </c>
      <c r="J371" s="408">
        <v>0.45500000000000002</v>
      </c>
      <c r="K371" s="408">
        <v>0.36399999999999999</v>
      </c>
      <c r="L371" s="408">
        <v>2</v>
      </c>
      <c r="M371" s="408">
        <v>8</v>
      </c>
      <c r="N371" s="408">
        <v>5</v>
      </c>
      <c r="O371" s="408">
        <v>44.8</v>
      </c>
      <c r="P371" s="408">
        <v>1.7</v>
      </c>
      <c r="Q371" s="408">
        <v>0</v>
      </c>
      <c r="R371" s="408">
        <v>13.6</v>
      </c>
      <c r="S371" s="408">
        <v>11.3</v>
      </c>
      <c r="T371" s="408">
        <v>0.4</v>
      </c>
      <c r="U371" s="408">
        <v>0</v>
      </c>
      <c r="V371" s="408">
        <v>0.4</v>
      </c>
      <c r="W371" s="408">
        <v>0.17399999999999999</v>
      </c>
      <c r="X371" s="408">
        <v>-0.1</v>
      </c>
      <c r="Y371" s="408">
        <v>-4.9000000000000004</v>
      </c>
      <c r="Z371" s="408">
        <v>-5</v>
      </c>
      <c r="AA371" s="408">
        <v>-0.1</v>
      </c>
    </row>
    <row r="372" spans="1:27">
      <c r="A372">
        <v>303</v>
      </c>
      <c r="B372" s="1" t="s">
        <v>587</v>
      </c>
      <c r="C372" s="5" t="s">
        <v>83</v>
      </c>
      <c r="D372" s="408">
        <v>31</v>
      </c>
      <c r="E372" s="5" t="s">
        <v>27</v>
      </c>
      <c r="F372" s="408">
        <v>67</v>
      </c>
      <c r="G372" s="408">
        <v>999</v>
      </c>
      <c r="H372" s="408">
        <v>12.6</v>
      </c>
      <c r="I372" s="408">
        <v>0.62</v>
      </c>
      <c r="J372" s="408">
        <v>5.0000000000000001E-3</v>
      </c>
      <c r="K372" s="408">
        <v>0.55800000000000005</v>
      </c>
      <c r="L372" s="408">
        <v>13.7</v>
      </c>
      <c r="M372" s="408">
        <v>17.3</v>
      </c>
      <c r="N372" s="408">
        <v>15.5</v>
      </c>
      <c r="O372" s="408">
        <v>6.2</v>
      </c>
      <c r="P372" s="408">
        <v>1.6</v>
      </c>
      <c r="Q372" s="408">
        <v>3.3</v>
      </c>
      <c r="R372" s="408">
        <v>25.1</v>
      </c>
      <c r="S372" s="408">
        <v>15.1</v>
      </c>
      <c r="T372" s="408">
        <v>0.9</v>
      </c>
      <c r="U372" s="408">
        <v>1.3</v>
      </c>
      <c r="V372" s="408">
        <v>2.2000000000000002</v>
      </c>
      <c r="W372" s="408">
        <v>0.104</v>
      </c>
      <c r="X372" s="408">
        <v>-1.9</v>
      </c>
      <c r="Y372" s="408">
        <v>1.7</v>
      </c>
      <c r="Z372" s="408">
        <v>-0.2</v>
      </c>
      <c r="AA372" s="408">
        <v>0.5</v>
      </c>
    </row>
    <row r="373" spans="1:27">
      <c r="A373">
        <v>304</v>
      </c>
      <c r="B373" s="1" t="s">
        <v>519</v>
      </c>
      <c r="C373" s="5" t="s">
        <v>83</v>
      </c>
      <c r="D373" s="408">
        <v>20</v>
      </c>
      <c r="E373" s="5" t="s">
        <v>41</v>
      </c>
      <c r="F373" s="408">
        <v>68</v>
      </c>
      <c r="G373" s="408">
        <v>1158</v>
      </c>
      <c r="H373" s="408">
        <v>10.8</v>
      </c>
      <c r="I373" s="408">
        <v>0.50900000000000001</v>
      </c>
      <c r="J373" s="408">
        <v>0.33300000000000002</v>
      </c>
      <c r="K373" s="408">
        <v>0.29199999999999998</v>
      </c>
      <c r="L373" s="408">
        <v>7.4</v>
      </c>
      <c r="M373" s="408">
        <v>14.7</v>
      </c>
      <c r="N373" s="408">
        <v>11</v>
      </c>
      <c r="O373" s="408">
        <v>5.0999999999999996</v>
      </c>
      <c r="P373" s="408">
        <v>1.6</v>
      </c>
      <c r="Q373" s="408">
        <v>3.8</v>
      </c>
      <c r="R373" s="408">
        <v>10.9</v>
      </c>
      <c r="S373" s="408">
        <v>14.4</v>
      </c>
      <c r="T373" s="408">
        <v>0.5</v>
      </c>
      <c r="U373" s="408">
        <v>1.1000000000000001</v>
      </c>
      <c r="V373" s="408">
        <v>1.6</v>
      </c>
      <c r="W373" s="408">
        <v>6.8000000000000005E-2</v>
      </c>
      <c r="X373" s="408">
        <v>-2.5</v>
      </c>
      <c r="Y373" s="408">
        <v>0.3</v>
      </c>
      <c r="Z373" s="408">
        <v>-2.2000000000000002</v>
      </c>
      <c r="AA373" s="408">
        <v>0</v>
      </c>
    </row>
    <row r="374" spans="1:27">
      <c r="A374">
        <v>305</v>
      </c>
      <c r="B374" s="1" t="s">
        <v>423</v>
      </c>
      <c r="C374" s="5" t="s">
        <v>83</v>
      </c>
      <c r="D374" s="408">
        <v>29</v>
      </c>
      <c r="E374" s="5" t="s">
        <v>357</v>
      </c>
      <c r="F374" s="408">
        <v>29</v>
      </c>
      <c r="G374" s="408">
        <v>241</v>
      </c>
      <c r="H374" s="408">
        <v>22.9</v>
      </c>
      <c r="I374" s="408">
        <v>0.59799999999999998</v>
      </c>
      <c r="J374" s="408">
        <v>0</v>
      </c>
      <c r="K374" s="408">
        <v>0.55000000000000004</v>
      </c>
      <c r="L374" s="408">
        <v>13.2</v>
      </c>
      <c r="M374" s="408">
        <v>27.9</v>
      </c>
      <c r="N374" s="408">
        <v>20.399999999999999</v>
      </c>
      <c r="O374" s="408">
        <v>11.7</v>
      </c>
      <c r="P374" s="408">
        <v>1.6</v>
      </c>
      <c r="Q374" s="408">
        <v>2.9</v>
      </c>
      <c r="R374" s="408">
        <v>17.600000000000001</v>
      </c>
      <c r="S374" s="408">
        <v>30</v>
      </c>
      <c r="T374" s="408">
        <v>0.4</v>
      </c>
      <c r="U374" s="408">
        <v>0.4</v>
      </c>
      <c r="V374" s="408">
        <v>0.8</v>
      </c>
      <c r="W374" s="408">
        <v>0.16</v>
      </c>
      <c r="X374" s="408">
        <v>-1.9</v>
      </c>
      <c r="Y374" s="408">
        <v>0</v>
      </c>
      <c r="Z374" s="408">
        <v>-2</v>
      </c>
      <c r="AA374" s="408">
        <v>0</v>
      </c>
    </row>
    <row r="375" spans="1:27">
      <c r="A375">
        <v>305</v>
      </c>
      <c r="B375" s="1" t="s">
        <v>423</v>
      </c>
      <c r="C375" s="5" t="s">
        <v>83</v>
      </c>
      <c r="D375" s="408">
        <v>29</v>
      </c>
      <c r="E375" s="5" t="s">
        <v>157</v>
      </c>
      <c r="F375" s="408">
        <v>19</v>
      </c>
      <c r="G375" s="408">
        <v>171</v>
      </c>
      <c r="H375" s="408">
        <v>21.6</v>
      </c>
      <c r="I375" s="408">
        <v>0.59699999999999998</v>
      </c>
      <c r="J375" s="408">
        <v>0</v>
      </c>
      <c r="K375" s="408">
        <v>0.56999999999999995</v>
      </c>
      <c r="L375" s="408">
        <v>9.5</v>
      </c>
      <c r="M375" s="408">
        <v>28.1</v>
      </c>
      <c r="N375" s="408">
        <v>18.5</v>
      </c>
      <c r="O375" s="408">
        <v>14.5</v>
      </c>
      <c r="P375" s="408">
        <v>1.2</v>
      </c>
      <c r="Q375" s="408">
        <v>3.1</v>
      </c>
      <c r="R375" s="408">
        <v>18.2</v>
      </c>
      <c r="S375" s="408">
        <v>31.3</v>
      </c>
      <c r="T375" s="408">
        <v>0.2</v>
      </c>
      <c r="U375" s="408">
        <v>0.3</v>
      </c>
      <c r="V375" s="408">
        <v>0.5</v>
      </c>
      <c r="W375" s="408">
        <v>0.13500000000000001</v>
      </c>
      <c r="X375" s="408">
        <v>-2.5</v>
      </c>
      <c r="Y375" s="408">
        <v>0.4</v>
      </c>
      <c r="Z375" s="408">
        <v>-2.1</v>
      </c>
      <c r="AA375" s="408">
        <v>0</v>
      </c>
    </row>
    <row r="376" spans="1:27">
      <c r="A376">
        <v>305</v>
      </c>
      <c r="B376" s="1" t="s">
        <v>423</v>
      </c>
      <c r="C376" s="5" t="s">
        <v>83</v>
      </c>
      <c r="D376" s="408">
        <v>29</v>
      </c>
      <c r="E376" s="5" t="s">
        <v>64</v>
      </c>
      <c r="F376" s="408">
        <v>10</v>
      </c>
      <c r="G376" s="408">
        <v>70</v>
      </c>
      <c r="H376" s="408">
        <v>26.2</v>
      </c>
      <c r="I376" s="408">
        <v>0.60099999999999998</v>
      </c>
      <c r="J376" s="408">
        <v>0</v>
      </c>
      <c r="K376" s="408">
        <v>0.5</v>
      </c>
      <c r="L376" s="408">
        <v>22.3</v>
      </c>
      <c r="M376" s="408">
        <v>27.6</v>
      </c>
      <c r="N376" s="408">
        <v>25</v>
      </c>
      <c r="O376" s="408">
        <v>4.5999999999999996</v>
      </c>
      <c r="P376" s="408">
        <v>2.8</v>
      </c>
      <c r="Q376" s="408">
        <v>2.4</v>
      </c>
      <c r="R376" s="408">
        <v>16.100000000000001</v>
      </c>
      <c r="S376" s="408">
        <v>26.9</v>
      </c>
      <c r="T376" s="408">
        <v>0.2</v>
      </c>
      <c r="U376" s="408">
        <v>0.1</v>
      </c>
      <c r="V376" s="408">
        <v>0.3</v>
      </c>
      <c r="W376" s="408">
        <v>0.22</v>
      </c>
      <c r="X376" s="408">
        <v>-0.5</v>
      </c>
      <c r="Y376" s="408">
        <v>-1.2</v>
      </c>
      <c r="Z376" s="408">
        <v>-1.7</v>
      </c>
      <c r="AA376" s="408">
        <v>0</v>
      </c>
    </row>
    <row r="377" spans="1:27">
      <c r="A377">
        <v>306</v>
      </c>
      <c r="B377" s="1" t="s">
        <v>316</v>
      </c>
      <c r="C377" s="5" t="s">
        <v>38</v>
      </c>
      <c r="D377" s="408">
        <v>20</v>
      </c>
      <c r="E377" s="5" t="s">
        <v>43</v>
      </c>
      <c r="F377" s="408">
        <v>60</v>
      </c>
      <c r="G377" s="408">
        <v>1825</v>
      </c>
      <c r="H377" s="408">
        <v>14.8</v>
      </c>
      <c r="I377" s="408">
        <v>0.54</v>
      </c>
      <c r="J377" s="408">
        <v>0.46500000000000002</v>
      </c>
      <c r="K377" s="408">
        <v>0.17299999999999999</v>
      </c>
      <c r="L377" s="408">
        <v>4.0999999999999996</v>
      </c>
      <c r="M377" s="408">
        <v>23.4</v>
      </c>
      <c r="N377" s="408">
        <v>13.4</v>
      </c>
      <c r="O377" s="408">
        <v>6.2</v>
      </c>
      <c r="P377" s="408">
        <v>0.9</v>
      </c>
      <c r="Q377" s="408">
        <v>1.7</v>
      </c>
      <c r="R377" s="408">
        <v>7.9</v>
      </c>
      <c r="S377" s="408">
        <v>21.4</v>
      </c>
      <c r="T377" s="408">
        <v>1.1000000000000001</v>
      </c>
      <c r="U377" s="408">
        <v>1.6</v>
      </c>
      <c r="V377" s="408">
        <v>2.7</v>
      </c>
      <c r="W377" s="408">
        <v>7.0999999999999994E-2</v>
      </c>
      <c r="X377" s="408">
        <v>-1</v>
      </c>
      <c r="Y377" s="408">
        <v>-1.2</v>
      </c>
      <c r="Z377" s="408">
        <v>-2.1</v>
      </c>
      <c r="AA377" s="408">
        <v>-0.1</v>
      </c>
    </row>
    <row r="378" spans="1:27">
      <c r="A378">
        <v>307</v>
      </c>
      <c r="B378" s="1" t="s">
        <v>533</v>
      </c>
      <c r="C378" s="5" t="s">
        <v>38</v>
      </c>
      <c r="D378" s="408">
        <v>23</v>
      </c>
      <c r="E378" s="5" t="s">
        <v>128</v>
      </c>
      <c r="F378" s="408">
        <v>65</v>
      </c>
      <c r="G378" s="408">
        <v>1424</v>
      </c>
      <c r="H378" s="408">
        <v>10.8</v>
      </c>
      <c r="I378" s="408">
        <v>0.52700000000000002</v>
      </c>
      <c r="J378" s="408">
        <v>0.19400000000000001</v>
      </c>
      <c r="K378" s="408">
        <v>0.24</v>
      </c>
      <c r="L378" s="408">
        <v>6.6</v>
      </c>
      <c r="M378" s="408">
        <v>15.3</v>
      </c>
      <c r="N378" s="408">
        <v>10.9</v>
      </c>
      <c r="O378" s="408">
        <v>7</v>
      </c>
      <c r="P378" s="408">
        <v>1.3</v>
      </c>
      <c r="Q378" s="408">
        <v>2.9</v>
      </c>
      <c r="R378" s="408">
        <v>13.8</v>
      </c>
      <c r="S378" s="408">
        <v>16.899999999999999</v>
      </c>
      <c r="T378" s="408">
        <v>0.3</v>
      </c>
      <c r="U378" s="408">
        <v>1.2</v>
      </c>
      <c r="V378" s="408">
        <v>1.5</v>
      </c>
      <c r="W378" s="408">
        <v>5.0999999999999997E-2</v>
      </c>
      <c r="X378" s="408">
        <v>-2.9</v>
      </c>
      <c r="Y378" s="408">
        <v>0.3</v>
      </c>
      <c r="Z378" s="408">
        <v>-2.6</v>
      </c>
      <c r="AA378" s="408">
        <v>-0.2</v>
      </c>
    </row>
    <row r="379" spans="1:27">
      <c r="A379">
        <v>308</v>
      </c>
      <c r="B379" s="1" t="s">
        <v>510</v>
      </c>
      <c r="C379" s="5" t="s">
        <v>20</v>
      </c>
      <c r="D379" s="408">
        <v>23</v>
      </c>
      <c r="E379" s="5" t="s">
        <v>100</v>
      </c>
      <c r="F379" s="408">
        <v>44</v>
      </c>
      <c r="G379" s="408">
        <v>826</v>
      </c>
      <c r="H379" s="408">
        <v>13.2</v>
      </c>
      <c r="I379" s="408">
        <v>0.48499999999999999</v>
      </c>
      <c r="J379" s="408">
        <v>0.215</v>
      </c>
      <c r="K379" s="408">
        <v>0.317</v>
      </c>
      <c r="L379" s="408">
        <v>3.4</v>
      </c>
      <c r="M379" s="408">
        <v>11.2</v>
      </c>
      <c r="N379" s="408">
        <v>7.2</v>
      </c>
      <c r="O379" s="408">
        <v>22.1</v>
      </c>
      <c r="P379" s="408">
        <v>2</v>
      </c>
      <c r="Q379" s="408">
        <v>0.8</v>
      </c>
      <c r="R379" s="408">
        <v>13.4</v>
      </c>
      <c r="S379" s="408">
        <v>22.3</v>
      </c>
      <c r="T379" s="408">
        <v>0.1</v>
      </c>
      <c r="U379" s="408">
        <v>0.4</v>
      </c>
      <c r="V379" s="408">
        <v>0.5</v>
      </c>
      <c r="W379" s="408">
        <v>2.7E-2</v>
      </c>
      <c r="X379" s="408">
        <v>-1.8</v>
      </c>
      <c r="Y379" s="408">
        <v>-1.6</v>
      </c>
      <c r="Z379" s="408">
        <v>-3.4</v>
      </c>
      <c r="AA379" s="408">
        <v>-0.3</v>
      </c>
    </row>
    <row r="380" spans="1:27">
      <c r="A380">
        <v>309</v>
      </c>
      <c r="B380" s="1" t="s">
        <v>640</v>
      </c>
      <c r="C380" s="5" t="s">
        <v>83</v>
      </c>
      <c r="D380" s="408">
        <v>25</v>
      </c>
      <c r="E380" s="5" t="s">
        <v>311</v>
      </c>
      <c r="F380" s="408">
        <v>3</v>
      </c>
      <c r="G380" s="408">
        <v>10</v>
      </c>
      <c r="H380" s="408">
        <v>-1.4</v>
      </c>
      <c r="I380" s="408">
        <v>0</v>
      </c>
      <c r="J380" s="408">
        <v>0</v>
      </c>
      <c r="K380" s="408">
        <v>0</v>
      </c>
      <c r="L380" s="408">
        <v>10.6</v>
      </c>
      <c r="M380" s="408">
        <v>55.9</v>
      </c>
      <c r="N380" s="408">
        <v>32.6</v>
      </c>
      <c r="O380" s="408">
        <v>0</v>
      </c>
      <c r="P380" s="408">
        <v>0</v>
      </c>
      <c r="Q380" s="408">
        <v>0</v>
      </c>
      <c r="R380" s="408">
        <v>0</v>
      </c>
      <c r="S380" s="408">
        <v>8.6999999999999993</v>
      </c>
      <c r="T380" s="408">
        <v>0</v>
      </c>
      <c r="U380" s="408">
        <v>0</v>
      </c>
      <c r="V380" s="408">
        <v>0</v>
      </c>
      <c r="W380" s="408">
        <v>-9.0999999999999998E-2</v>
      </c>
      <c r="X380" s="408">
        <v>-15.9</v>
      </c>
      <c r="Y380" s="408">
        <v>-5.5</v>
      </c>
      <c r="Z380" s="408">
        <v>-21.4</v>
      </c>
      <c r="AA380" s="408">
        <v>0</v>
      </c>
    </row>
    <row r="381" spans="1:27">
      <c r="A381">
        <v>310</v>
      </c>
      <c r="B381" s="1" t="s">
        <v>327</v>
      </c>
      <c r="C381" s="5" t="s">
        <v>46</v>
      </c>
      <c r="D381" s="408">
        <v>31</v>
      </c>
      <c r="E381" s="5" t="s">
        <v>33</v>
      </c>
      <c r="F381" s="408">
        <v>63</v>
      </c>
      <c r="G381" s="408">
        <v>2131</v>
      </c>
      <c r="H381" s="408">
        <v>11.5</v>
      </c>
      <c r="I381" s="408">
        <v>0.54100000000000004</v>
      </c>
      <c r="J381" s="408">
        <v>0.57699999999999996</v>
      </c>
      <c r="K381" s="408">
        <v>0.14499999999999999</v>
      </c>
      <c r="L381" s="408">
        <v>1.4</v>
      </c>
      <c r="M381" s="408">
        <v>9.1999999999999993</v>
      </c>
      <c r="N381" s="408">
        <v>5.2</v>
      </c>
      <c r="O381" s="408">
        <v>12.3</v>
      </c>
      <c r="P381" s="408">
        <v>1.8</v>
      </c>
      <c r="Q381" s="408">
        <v>0.7</v>
      </c>
      <c r="R381" s="408">
        <v>10.1</v>
      </c>
      <c r="S381" s="408">
        <v>17.600000000000001</v>
      </c>
      <c r="T381" s="408">
        <v>1</v>
      </c>
      <c r="U381" s="408">
        <v>1.6</v>
      </c>
      <c r="V381" s="408">
        <v>2.7</v>
      </c>
      <c r="W381" s="408">
        <v>6.0999999999999999E-2</v>
      </c>
      <c r="X381" s="408">
        <v>0.3</v>
      </c>
      <c r="Y381" s="408">
        <v>-0.1</v>
      </c>
      <c r="Z381" s="408">
        <v>0.2</v>
      </c>
      <c r="AA381" s="408">
        <v>1.2</v>
      </c>
    </row>
    <row r="382" spans="1:27">
      <c r="A382">
        <v>311</v>
      </c>
      <c r="B382" s="1" t="s">
        <v>438</v>
      </c>
      <c r="C382" s="5" t="s">
        <v>38</v>
      </c>
      <c r="D382" s="408">
        <v>31</v>
      </c>
      <c r="E382" s="5" t="s">
        <v>92</v>
      </c>
      <c r="F382" s="408">
        <v>53</v>
      </c>
      <c r="G382" s="408">
        <v>1399</v>
      </c>
      <c r="H382" s="408">
        <v>9.6999999999999993</v>
      </c>
      <c r="I382" s="408">
        <v>0.59599999999999997</v>
      </c>
      <c r="J382" s="408">
        <v>0.51200000000000001</v>
      </c>
      <c r="K382" s="408">
        <v>0.27900000000000003</v>
      </c>
      <c r="L382" s="408">
        <v>1.6</v>
      </c>
      <c r="M382" s="408">
        <v>11.9</v>
      </c>
      <c r="N382" s="408">
        <v>6.8</v>
      </c>
      <c r="O382" s="408">
        <v>5.2</v>
      </c>
      <c r="P382" s="408">
        <v>1.9</v>
      </c>
      <c r="Q382" s="408">
        <v>1.5</v>
      </c>
      <c r="R382" s="408">
        <v>15.5</v>
      </c>
      <c r="S382" s="408">
        <v>12.6</v>
      </c>
      <c r="T382" s="408">
        <v>0.7</v>
      </c>
      <c r="U382" s="408">
        <v>1.6</v>
      </c>
      <c r="V382" s="408">
        <v>2.2999999999999998</v>
      </c>
      <c r="W382" s="408">
        <v>7.9000000000000001E-2</v>
      </c>
      <c r="X382" s="408">
        <v>-1.4</v>
      </c>
      <c r="Y382" s="408">
        <v>1.2</v>
      </c>
      <c r="Z382" s="408">
        <v>-0.2</v>
      </c>
      <c r="AA382" s="408">
        <v>0.6</v>
      </c>
    </row>
    <row r="383" spans="1:27">
      <c r="A383">
        <v>312</v>
      </c>
      <c r="B383" s="1" t="s">
        <v>299</v>
      </c>
      <c r="C383" s="5" t="s">
        <v>38</v>
      </c>
      <c r="D383" s="408">
        <v>25</v>
      </c>
      <c r="E383" s="5" t="s">
        <v>118</v>
      </c>
      <c r="F383" s="408">
        <v>3</v>
      </c>
      <c r="G383" s="408">
        <v>18</v>
      </c>
      <c r="H383" s="408">
        <v>7.5</v>
      </c>
      <c r="I383" s="408">
        <v>0.50800000000000001</v>
      </c>
      <c r="J383" s="408">
        <v>1</v>
      </c>
      <c r="K383" s="408">
        <v>0.28599999999999998</v>
      </c>
      <c r="L383" s="408">
        <v>0</v>
      </c>
      <c r="M383" s="408">
        <v>11.7</v>
      </c>
      <c r="N383" s="408">
        <v>6</v>
      </c>
      <c r="O383" s="408">
        <v>0</v>
      </c>
      <c r="P383" s="408">
        <v>0</v>
      </c>
      <c r="Q383" s="408">
        <v>4.5999999999999996</v>
      </c>
      <c r="R383" s="408">
        <v>11.3</v>
      </c>
      <c r="S383" s="408">
        <v>21.2</v>
      </c>
      <c r="T383" s="408">
        <v>0</v>
      </c>
      <c r="U383" s="408">
        <v>0</v>
      </c>
      <c r="V383" s="408">
        <v>0</v>
      </c>
      <c r="W383" s="408">
        <v>0.02</v>
      </c>
      <c r="X383" s="408">
        <v>-4.3</v>
      </c>
      <c r="Y383" s="408">
        <v>-4.7</v>
      </c>
      <c r="Z383" s="408">
        <v>-9</v>
      </c>
      <c r="AA383" s="408">
        <v>0</v>
      </c>
    </row>
    <row r="384" spans="1:27">
      <c r="A384">
        <v>313</v>
      </c>
      <c r="B384" s="1" t="s">
        <v>98</v>
      </c>
      <c r="C384" s="5" t="s">
        <v>26</v>
      </c>
      <c r="D384" s="408">
        <v>22</v>
      </c>
      <c r="E384" s="5" t="s">
        <v>73</v>
      </c>
      <c r="F384" s="408">
        <v>52</v>
      </c>
      <c r="G384" s="408">
        <v>822</v>
      </c>
      <c r="H384" s="408">
        <v>7.9</v>
      </c>
      <c r="I384" s="408">
        <v>0.495</v>
      </c>
      <c r="J384" s="408">
        <v>0.36499999999999999</v>
      </c>
      <c r="K384" s="408">
        <v>0.14899999999999999</v>
      </c>
      <c r="L384" s="408">
        <v>2.2000000000000002</v>
      </c>
      <c r="M384" s="408">
        <v>7.3</v>
      </c>
      <c r="N384" s="408">
        <v>5</v>
      </c>
      <c r="O384" s="408">
        <v>10.8</v>
      </c>
      <c r="P384" s="408">
        <v>2.2999999999999998</v>
      </c>
      <c r="Q384" s="408">
        <v>0.9</v>
      </c>
      <c r="R384" s="408">
        <v>15</v>
      </c>
      <c r="S384" s="408">
        <v>12.1</v>
      </c>
      <c r="T384" s="408">
        <v>0</v>
      </c>
      <c r="U384" s="408">
        <v>0.8</v>
      </c>
      <c r="V384" s="408">
        <v>0.8</v>
      </c>
      <c r="W384" s="408">
        <v>4.5999999999999999E-2</v>
      </c>
      <c r="X384" s="408">
        <v>-2.4</v>
      </c>
      <c r="Y384" s="408">
        <v>-0.2</v>
      </c>
      <c r="Z384" s="408">
        <v>-2.6</v>
      </c>
      <c r="AA384" s="408">
        <v>-0.1</v>
      </c>
    </row>
    <row r="385" spans="1:27">
      <c r="A385">
        <v>314</v>
      </c>
      <c r="B385" s="1" t="s">
        <v>334</v>
      </c>
      <c r="C385" s="5" t="s">
        <v>26</v>
      </c>
      <c r="D385" s="408">
        <v>26</v>
      </c>
      <c r="E385" s="5" t="s">
        <v>96</v>
      </c>
      <c r="F385" s="408">
        <v>69</v>
      </c>
      <c r="G385" s="408">
        <v>2486</v>
      </c>
      <c r="H385" s="408">
        <v>17.399999999999999</v>
      </c>
      <c r="I385" s="408">
        <v>0.54700000000000004</v>
      </c>
      <c r="J385" s="408">
        <v>0.32100000000000001</v>
      </c>
      <c r="K385" s="408">
        <v>0.17399999999999999</v>
      </c>
      <c r="L385" s="408">
        <v>1.9</v>
      </c>
      <c r="M385" s="408">
        <v>9.9</v>
      </c>
      <c r="N385" s="408">
        <v>6</v>
      </c>
      <c r="O385" s="408">
        <v>15.2</v>
      </c>
      <c r="P385" s="408">
        <v>1.3</v>
      </c>
      <c r="Q385" s="408">
        <v>1</v>
      </c>
      <c r="R385" s="408">
        <v>8.5</v>
      </c>
      <c r="S385" s="408">
        <v>26.4</v>
      </c>
      <c r="T385" s="408">
        <v>3.7</v>
      </c>
      <c r="U385" s="408">
        <v>2.5</v>
      </c>
      <c r="V385" s="408">
        <v>6.2</v>
      </c>
      <c r="W385" s="408">
        <v>0.12</v>
      </c>
      <c r="X385" s="408">
        <v>1.7</v>
      </c>
      <c r="Y385" s="408">
        <v>-0.9</v>
      </c>
      <c r="Z385" s="408">
        <v>0.9</v>
      </c>
      <c r="AA385" s="408">
        <v>1.8</v>
      </c>
    </row>
    <row r="386" spans="1:27">
      <c r="A386">
        <v>315</v>
      </c>
      <c r="B386" s="1" t="s">
        <v>539</v>
      </c>
      <c r="C386" s="5" t="s">
        <v>20</v>
      </c>
      <c r="D386" s="408">
        <v>25</v>
      </c>
      <c r="E386" s="5" t="s">
        <v>118</v>
      </c>
      <c r="F386" s="408">
        <v>63</v>
      </c>
      <c r="G386" s="408">
        <v>1506</v>
      </c>
      <c r="H386" s="408">
        <v>12.5</v>
      </c>
      <c r="I386" s="408">
        <v>0.54800000000000004</v>
      </c>
      <c r="J386" s="408">
        <v>0.156</v>
      </c>
      <c r="K386" s="408">
        <v>9.0999999999999998E-2</v>
      </c>
      <c r="L386" s="408">
        <v>2.5</v>
      </c>
      <c r="M386" s="408">
        <v>11.4</v>
      </c>
      <c r="N386" s="408">
        <v>7.1</v>
      </c>
      <c r="O386" s="408">
        <v>24.8</v>
      </c>
      <c r="P386" s="408">
        <v>2.7</v>
      </c>
      <c r="Q386" s="408">
        <v>0.6</v>
      </c>
      <c r="R386" s="408">
        <v>20.7</v>
      </c>
      <c r="S386" s="408">
        <v>13.9</v>
      </c>
      <c r="T386" s="408">
        <v>1.1000000000000001</v>
      </c>
      <c r="U386" s="408">
        <v>2.1</v>
      </c>
      <c r="V386" s="408">
        <v>3.2</v>
      </c>
      <c r="W386" s="408">
        <v>0.10199999999999999</v>
      </c>
      <c r="X386" s="408">
        <v>-1.6</v>
      </c>
      <c r="Y386" s="408">
        <v>1</v>
      </c>
      <c r="Z386" s="408">
        <v>-0.7</v>
      </c>
      <c r="AA386" s="408">
        <v>0.5</v>
      </c>
    </row>
    <row r="387" spans="1:27">
      <c r="A387">
        <v>316</v>
      </c>
      <c r="B387" s="1" t="s">
        <v>840</v>
      </c>
      <c r="C387" s="5" t="s">
        <v>46</v>
      </c>
      <c r="D387" s="408">
        <v>24</v>
      </c>
      <c r="E387" s="5" t="s">
        <v>305</v>
      </c>
      <c r="F387" s="408">
        <v>4</v>
      </c>
      <c r="G387" s="408">
        <v>8</v>
      </c>
      <c r="H387" s="408">
        <v>-8.9</v>
      </c>
      <c r="I387" s="408">
        <v>0</v>
      </c>
      <c r="J387" s="408">
        <v>0.5</v>
      </c>
      <c r="K387" s="408">
        <v>0</v>
      </c>
      <c r="L387" s="408">
        <v>0</v>
      </c>
      <c r="M387" s="408">
        <v>14.1</v>
      </c>
      <c r="N387" s="408">
        <v>7.1</v>
      </c>
      <c r="O387" s="408">
        <v>0</v>
      </c>
      <c r="P387" s="408">
        <v>6.3</v>
      </c>
      <c r="Q387" s="408">
        <v>0</v>
      </c>
      <c r="R387" s="408">
        <v>33.299999999999997</v>
      </c>
      <c r="S387" s="408">
        <v>16.899999999999999</v>
      </c>
      <c r="T387" s="408">
        <v>-0.1</v>
      </c>
      <c r="U387" s="408">
        <v>0</v>
      </c>
      <c r="V387" s="408">
        <v>-0.1</v>
      </c>
      <c r="W387" s="408">
        <v>-0.33700000000000002</v>
      </c>
      <c r="X387" s="408">
        <v>-17.3</v>
      </c>
      <c r="Y387" s="408">
        <v>2.6</v>
      </c>
      <c r="Z387" s="408">
        <v>-14.8</v>
      </c>
      <c r="AA387" s="408">
        <v>0</v>
      </c>
    </row>
    <row r="388" spans="1:27">
      <c r="A388">
        <v>317</v>
      </c>
      <c r="B388" s="1" t="s">
        <v>71</v>
      </c>
      <c r="C388" s="5" t="s">
        <v>38</v>
      </c>
      <c r="D388" s="408">
        <v>22</v>
      </c>
      <c r="E388" s="5" t="s">
        <v>27</v>
      </c>
      <c r="F388" s="408">
        <v>19</v>
      </c>
      <c r="G388" s="408">
        <v>90</v>
      </c>
      <c r="H388" s="408">
        <v>15.9</v>
      </c>
      <c r="I388" s="408">
        <v>0.47799999999999998</v>
      </c>
      <c r="J388" s="408">
        <v>0.19</v>
      </c>
      <c r="K388" s="408">
        <v>0.33300000000000002</v>
      </c>
      <c r="L388" s="408">
        <v>8.9</v>
      </c>
      <c r="M388" s="408">
        <v>22.6</v>
      </c>
      <c r="N388" s="408">
        <v>15.7</v>
      </c>
      <c r="O388" s="408">
        <v>7.1</v>
      </c>
      <c r="P388" s="408">
        <v>0</v>
      </c>
      <c r="Q388" s="408">
        <v>4.8</v>
      </c>
      <c r="R388" s="408">
        <v>4</v>
      </c>
      <c r="S388" s="408">
        <v>24.6</v>
      </c>
      <c r="T388" s="408">
        <v>0.1</v>
      </c>
      <c r="U388" s="408">
        <v>0.1</v>
      </c>
      <c r="V388" s="408">
        <v>0.2</v>
      </c>
      <c r="W388" s="408">
        <v>8.3000000000000004E-2</v>
      </c>
      <c r="X388" s="408">
        <v>-3.8</v>
      </c>
      <c r="Y388" s="408">
        <v>-1.8</v>
      </c>
      <c r="Z388" s="408">
        <v>-5.6</v>
      </c>
      <c r="AA388" s="408">
        <v>-0.1</v>
      </c>
    </row>
    <row r="389" spans="1:27">
      <c r="A389">
        <v>318</v>
      </c>
      <c r="B389" s="1" t="s">
        <v>182</v>
      </c>
      <c r="C389" s="5" t="s">
        <v>46</v>
      </c>
      <c r="D389" s="408">
        <v>26</v>
      </c>
      <c r="E389" s="5" t="s">
        <v>357</v>
      </c>
      <c r="F389" s="408">
        <v>70</v>
      </c>
      <c r="G389" s="408">
        <v>1540</v>
      </c>
      <c r="H389" s="408">
        <v>10.4</v>
      </c>
      <c r="I389" s="408">
        <v>0.57699999999999996</v>
      </c>
      <c r="J389" s="408">
        <v>0.42799999999999999</v>
      </c>
      <c r="K389" s="408">
        <v>0.17199999999999999</v>
      </c>
      <c r="L389" s="408">
        <v>2.9</v>
      </c>
      <c r="M389" s="408">
        <v>9.8000000000000007</v>
      </c>
      <c r="N389" s="408">
        <v>6.4</v>
      </c>
      <c r="O389" s="408">
        <v>6.8</v>
      </c>
      <c r="P389" s="408">
        <v>0.5</v>
      </c>
      <c r="Q389" s="408">
        <v>0.8</v>
      </c>
      <c r="R389" s="408">
        <v>9</v>
      </c>
      <c r="S389" s="408">
        <v>14.6</v>
      </c>
      <c r="T389" s="408">
        <v>1.7</v>
      </c>
      <c r="U389" s="408">
        <v>0.5</v>
      </c>
      <c r="V389" s="408">
        <v>2.2000000000000002</v>
      </c>
      <c r="W389" s="408">
        <v>6.9000000000000006E-2</v>
      </c>
      <c r="X389" s="408">
        <v>-0.4</v>
      </c>
      <c r="Y389" s="408">
        <v>-1.6</v>
      </c>
      <c r="Z389" s="408">
        <v>-2</v>
      </c>
      <c r="AA389" s="408">
        <v>0</v>
      </c>
    </row>
    <row r="390" spans="1:27">
      <c r="A390">
        <v>318</v>
      </c>
      <c r="B390" s="1" t="s">
        <v>182</v>
      </c>
      <c r="C390" s="5" t="s">
        <v>46</v>
      </c>
      <c r="D390" s="408">
        <v>26</v>
      </c>
      <c r="E390" s="5" t="s">
        <v>21</v>
      </c>
      <c r="F390" s="408">
        <v>55</v>
      </c>
      <c r="G390" s="408">
        <v>1172</v>
      </c>
      <c r="H390" s="408">
        <v>9.9</v>
      </c>
      <c r="I390" s="408">
        <v>0.56200000000000006</v>
      </c>
      <c r="J390" s="408">
        <v>0.41799999999999998</v>
      </c>
      <c r="K390" s="408">
        <v>0.16200000000000001</v>
      </c>
      <c r="L390" s="408">
        <v>3.2</v>
      </c>
      <c r="M390" s="408">
        <v>9.5</v>
      </c>
      <c r="N390" s="408">
        <v>6.3</v>
      </c>
      <c r="O390" s="408">
        <v>6</v>
      </c>
      <c r="P390" s="408">
        <v>0.4</v>
      </c>
      <c r="Q390" s="408">
        <v>0.9</v>
      </c>
      <c r="R390" s="408">
        <v>8.8000000000000007</v>
      </c>
      <c r="S390" s="408">
        <v>14.3</v>
      </c>
      <c r="T390" s="408">
        <v>1.1000000000000001</v>
      </c>
      <c r="U390" s="408">
        <v>0.3</v>
      </c>
      <c r="V390" s="408">
        <v>1.4</v>
      </c>
      <c r="W390" s="408">
        <v>5.8999999999999997E-2</v>
      </c>
      <c r="X390" s="408">
        <v>-0.5</v>
      </c>
      <c r="Y390" s="408">
        <v>-1.8</v>
      </c>
      <c r="Z390" s="408">
        <v>-2.2999999999999998</v>
      </c>
      <c r="AA390" s="408">
        <v>-0.1</v>
      </c>
    </row>
    <row r="391" spans="1:27">
      <c r="A391">
        <v>318</v>
      </c>
      <c r="B391" s="1" t="s">
        <v>182</v>
      </c>
      <c r="C391" s="5" t="s">
        <v>46</v>
      </c>
      <c r="D391" s="408">
        <v>26</v>
      </c>
      <c r="E391" s="5" t="s">
        <v>33</v>
      </c>
      <c r="F391" s="408">
        <v>15</v>
      </c>
      <c r="G391" s="408">
        <v>368</v>
      </c>
      <c r="H391" s="408">
        <v>12.1</v>
      </c>
      <c r="I391" s="408">
        <v>0.625</v>
      </c>
      <c r="J391" s="408">
        <v>0.46100000000000002</v>
      </c>
      <c r="K391" s="408">
        <v>0.20599999999999999</v>
      </c>
      <c r="L391" s="408">
        <v>2.1</v>
      </c>
      <c r="M391" s="408">
        <v>11</v>
      </c>
      <c r="N391" s="408">
        <v>6.4</v>
      </c>
      <c r="O391" s="408">
        <v>9.5</v>
      </c>
      <c r="P391" s="408">
        <v>0.8</v>
      </c>
      <c r="Q391" s="408">
        <v>0.5</v>
      </c>
      <c r="R391" s="408">
        <v>9.6999999999999993</v>
      </c>
      <c r="S391" s="408">
        <v>15.2</v>
      </c>
      <c r="T391" s="408">
        <v>0.6</v>
      </c>
      <c r="U391" s="408">
        <v>0.2</v>
      </c>
      <c r="V391" s="408">
        <v>0.8</v>
      </c>
      <c r="W391" s="408">
        <v>0.10299999999999999</v>
      </c>
      <c r="X391" s="408">
        <v>0.1</v>
      </c>
      <c r="Y391" s="408">
        <v>-1.1000000000000001</v>
      </c>
      <c r="Z391" s="408">
        <v>-1.1000000000000001</v>
      </c>
      <c r="AA391" s="408">
        <v>0.1</v>
      </c>
    </row>
    <row r="392" spans="1:27">
      <c r="A392">
        <v>319</v>
      </c>
      <c r="B392" s="1" t="s">
        <v>94</v>
      </c>
      <c r="C392" s="5" t="s">
        <v>83</v>
      </c>
      <c r="D392" s="408">
        <v>30</v>
      </c>
      <c r="E392" s="5" t="s">
        <v>73</v>
      </c>
      <c r="F392" s="408">
        <v>55</v>
      </c>
      <c r="G392" s="408">
        <v>505</v>
      </c>
      <c r="H392" s="408">
        <v>21.6</v>
      </c>
      <c r="I392" s="408">
        <v>0.66300000000000003</v>
      </c>
      <c r="J392" s="408">
        <v>3.7999999999999999E-2</v>
      </c>
      <c r="K392" s="408">
        <v>0.27500000000000002</v>
      </c>
      <c r="L392" s="408">
        <v>8.9</v>
      </c>
      <c r="M392" s="408">
        <v>18.899999999999999</v>
      </c>
      <c r="N392" s="408">
        <v>14.3</v>
      </c>
      <c r="O392" s="408">
        <v>8.6</v>
      </c>
      <c r="P392" s="408">
        <v>1.7</v>
      </c>
      <c r="Q392" s="408">
        <v>8.1</v>
      </c>
      <c r="R392" s="408">
        <v>10.9</v>
      </c>
      <c r="S392" s="408">
        <v>17.5</v>
      </c>
      <c r="T392" s="408">
        <v>1.3</v>
      </c>
      <c r="U392" s="408">
        <v>1</v>
      </c>
      <c r="V392" s="408">
        <v>2.2999999999999998</v>
      </c>
      <c r="W392" s="408">
        <v>0.218</v>
      </c>
      <c r="X392" s="408">
        <v>0.2</v>
      </c>
      <c r="Y392" s="408">
        <v>3.2</v>
      </c>
      <c r="Z392" s="408">
        <v>3.4</v>
      </c>
      <c r="AA392" s="408">
        <v>0.7</v>
      </c>
    </row>
    <row r="393" spans="1:27">
      <c r="A393">
        <v>320</v>
      </c>
      <c r="B393" s="1" t="s">
        <v>747</v>
      </c>
      <c r="C393" s="5" t="s">
        <v>26</v>
      </c>
      <c r="D393" s="408">
        <v>26</v>
      </c>
      <c r="E393" s="5" t="s">
        <v>50</v>
      </c>
      <c r="F393" s="408">
        <v>10</v>
      </c>
      <c r="G393" s="408">
        <v>188</v>
      </c>
      <c r="H393" s="408">
        <v>11.5</v>
      </c>
      <c r="I393" s="408">
        <v>0.60799999999999998</v>
      </c>
      <c r="J393" s="408">
        <v>0.45700000000000002</v>
      </c>
      <c r="K393" s="408">
        <v>4.2999999999999997E-2</v>
      </c>
      <c r="L393" s="408">
        <v>3.6</v>
      </c>
      <c r="M393" s="408">
        <v>6</v>
      </c>
      <c r="N393" s="408">
        <v>4.8</v>
      </c>
      <c r="O393" s="408">
        <v>8</v>
      </c>
      <c r="P393" s="408">
        <v>1.1000000000000001</v>
      </c>
      <c r="Q393" s="408">
        <v>0.9</v>
      </c>
      <c r="R393" s="408">
        <v>6</v>
      </c>
      <c r="S393" s="408">
        <v>11.9</v>
      </c>
      <c r="T393" s="408">
        <v>0.3</v>
      </c>
      <c r="U393" s="408">
        <v>0.1</v>
      </c>
      <c r="V393" s="408">
        <v>0.4</v>
      </c>
      <c r="W393" s="408">
        <v>0.113</v>
      </c>
      <c r="X393" s="408">
        <v>-0.1</v>
      </c>
      <c r="Y393" s="408">
        <v>-1.1000000000000001</v>
      </c>
      <c r="Z393" s="408">
        <v>-1.2</v>
      </c>
      <c r="AA393" s="408">
        <v>0</v>
      </c>
    </row>
    <row r="394" spans="1:27">
      <c r="A394">
        <v>321</v>
      </c>
      <c r="B394" s="1" t="s">
        <v>1043</v>
      </c>
      <c r="C394" s="5" t="s">
        <v>26</v>
      </c>
      <c r="D394" s="408">
        <v>27</v>
      </c>
      <c r="E394" s="5" t="s">
        <v>30</v>
      </c>
      <c r="F394" s="408">
        <v>1</v>
      </c>
      <c r="G394" s="408">
        <v>1</v>
      </c>
      <c r="H394" s="408">
        <v>0</v>
      </c>
      <c r="I394" s="408"/>
      <c r="J394" s="408"/>
      <c r="K394" s="408"/>
      <c r="L394" s="408">
        <v>0</v>
      </c>
      <c r="M394" s="408">
        <v>0</v>
      </c>
      <c r="N394" s="408">
        <v>0</v>
      </c>
      <c r="O394" s="408">
        <v>0</v>
      </c>
      <c r="P394" s="408">
        <v>0</v>
      </c>
      <c r="Q394" s="408">
        <v>0</v>
      </c>
      <c r="R394" s="408"/>
      <c r="S394" s="408">
        <v>0</v>
      </c>
      <c r="T394" s="408">
        <v>0</v>
      </c>
      <c r="U394" s="408">
        <v>0</v>
      </c>
      <c r="V394" s="408">
        <v>0</v>
      </c>
      <c r="W394" s="408">
        <v>0</v>
      </c>
      <c r="X394" s="408">
        <v>-5.7</v>
      </c>
      <c r="Y394" s="408">
        <v>-0.1</v>
      </c>
      <c r="Z394" s="408">
        <v>-5.9</v>
      </c>
      <c r="AA394" s="408">
        <v>0</v>
      </c>
    </row>
    <row r="395" spans="1:27">
      <c r="A395">
        <v>322</v>
      </c>
      <c r="B395" s="1" t="s">
        <v>549</v>
      </c>
      <c r="C395" s="5" t="s">
        <v>46</v>
      </c>
      <c r="D395" s="408">
        <v>25</v>
      </c>
      <c r="E395" s="5" t="s">
        <v>47</v>
      </c>
      <c r="F395" s="408">
        <v>13</v>
      </c>
      <c r="G395" s="408">
        <v>49</v>
      </c>
      <c r="H395" s="408">
        <v>9.1999999999999993</v>
      </c>
      <c r="I395" s="408">
        <v>0.66300000000000003</v>
      </c>
      <c r="J395" s="408">
        <v>0.61499999999999999</v>
      </c>
      <c r="K395" s="408">
        <v>0.23100000000000001</v>
      </c>
      <c r="L395" s="408">
        <v>0</v>
      </c>
      <c r="M395" s="408">
        <v>13.5</v>
      </c>
      <c r="N395" s="408">
        <v>6.9</v>
      </c>
      <c r="O395" s="408">
        <v>2.9</v>
      </c>
      <c r="P395" s="408">
        <v>1</v>
      </c>
      <c r="Q395" s="408">
        <v>1.6</v>
      </c>
      <c r="R395" s="408">
        <v>17.3</v>
      </c>
      <c r="S395" s="408">
        <v>15.4</v>
      </c>
      <c r="T395" s="408">
        <v>0</v>
      </c>
      <c r="U395" s="408">
        <v>0.1</v>
      </c>
      <c r="V395" s="408">
        <v>0.1</v>
      </c>
      <c r="W395" s="408">
        <v>0.08</v>
      </c>
      <c r="X395" s="408">
        <v>-1.8</v>
      </c>
      <c r="Y395" s="408">
        <v>-1.3</v>
      </c>
      <c r="Z395" s="408">
        <v>-3.1</v>
      </c>
      <c r="AA395" s="408">
        <v>0</v>
      </c>
    </row>
    <row r="396" spans="1:27">
      <c r="A396">
        <v>323</v>
      </c>
      <c r="B396" s="1" t="s">
        <v>443</v>
      </c>
      <c r="C396" s="5" t="s">
        <v>26</v>
      </c>
      <c r="D396" s="408">
        <v>24</v>
      </c>
      <c r="E396" s="5" t="s">
        <v>128</v>
      </c>
      <c r="F396" s="408">
        <v>46</v>
      </c>
      <c r="G396" s="408">
        <v>848</v>
      </c>
      <c r="H396" s="408">
        <v>9.6</v>
      </c>
      <c r="I396" s="408">
        <v>0.53800000000000003</v>
      </c>
      <c r="J396" s="408">
        <v>0.439</v>
      </c>
      <c r="K396" s="408">
        <v>0.16500000000000001</v>
      </c>
      <c r="L396" s="408">
        <v>3.2</v>
      </c>
      <c r="M396" s="408">
        <v>11</v>
      </c>
      <c r="N396" s="408">
        <v>7</v>
      </c>
      <c r="O396" s="408">
        <v>8</v>
      </c>
      <c r="P396" s="408">
        <v>1.9</v>
      </c>
      <c r="Q396" s="408">
        <v>1.4</v>
      </c>
      <c r="R396" s="408">
        <v>14.6</v>
      </c>
      <c r="S396" s="408">
        <v>18.600000000000001</v>
      </c>
      <c r="T396" s="408">
        <v>-0.1</v>
      </c>
      <c r="U396" s="408">
        <v>0.7</v>
      </c>
      <c r="V396" s="408">
        <v>0.5</v>
      </c>
      <c r="W396" s="408">
        <v>2.9000000000000001E-2</v>
      </c>
      <c r="X396" s="408">
        <v>-2.2000000000000002</v>
      </c>
      <c r="Y396" s="408">
        <v>-1.1000000000000001</v>
      </c>
      <c r="Z396" s="408">
        <v>-3.3</v>
      </c>
      <c r="AA396" s="408">
        <v>-0.3</v>
      </c>
    </row>
    <row r="397" spans="1:27">
      <c r="A397">
        <v>324</v>
      </c>
      <c r="B397" s="1" t="s">
        <v>39</v>
      </c>
      <c r="C397" s="5" t="s">
        <v>38</v>
      </c>
      <c r="D397" s="408">
        <v>30</v>
      </c>
      <c r="E397" s="5" t="s">
        <v>33</v>
      </c>
      <c r="F397" s="408">
        <v>2</v>
      </c>
      <c r="G397" s="408">
        <v>6</v>
      </c>
      <c r="H397" s="408">
        <v>-12.6</v>
      </c>
      <c r="I397" s="408">
        <v>0</v>
      </c>
      <c r="J397" s="408">
        <v>1</v>
      </c>
      <c r="K397" s="408">
        <v>0</v>
      </c>
      <c r="L397" s="408">
        <v>0</v>
      </c>
      <c r="M397" s="408">
        <v>0</v>
      </c>
      <c r="N397" s="408">
        <v>0</v>
      </c>
      <c r="O397" s="408">
        <v>0</v>
      </c>
      <c r="P397" s="408">
        <v>0</v>
      </c>
      <c r="Q397" s="408">
        <v>0</v>
      </c>
      <c r="R397" s="408">
        <v>0</v>
      </c>
      <c r="S397" s="408">
        <v>7.6</v>
      </c>
      <c r="T397" s="408">
        <v>0</v>
      </c>
      <c r="U397" s="408">
        <v>0</v>
      </c>
      <c r="V397" s="408">
        <v>0</v>
      </c>
      <c r="W397" s="408">
        <v>-0.189</v>
      </c>
      <c r="X397" s="408">
        <v>-9.6999999999999993</v>
      </c>
      <c r="Y397" s="408">
        <v>-2.2999999999999998</v>
      </c>
      <c r="Z397" s="408">
        <v>-12</v>
      </c>
      <c r="AA397" s="408">
        <v>0</v>
      </c>
    </row>
    <row r="398" spans="1:27">
      <c r="A398">
        <v>325</v>
      </c>
      <c r="B398" s="1" t="s">
        <v>436</v>
      </c>
      <c r="C398" s="5" t="s">
        <v>26</v>
      </c>
      <c r="D398" s="408">
        <v>30</v>
      </c>
      <c r="E398" s="5" t="s">
        <v>27</v>
      </c>
      <c r="F398" s="408">
        <v>67</v>
      </c>
      <c r="G398" s="408">
        <v>1009</v>
      </c>
      <c r="H398" s="408">
        <v>12</v>
      </c>
      <c r="I398" s="408">
        <v>0.53800000000000003</v>
      </c>
      <c r="J398" s="408">
        <v>0.52600000000000002</v>
      </c>
      <c r="K398" s="408">
        <v>0.313</v>
      </c>
      <c r="L398" s="408">
        <v>1.7</v>
      </c>
      <c r="M398" s="408">
        <v>10.8</v>
      </c>
      <c r="N398" s="408">
        <v>6.3</v>
      </c>
      <c r="O398" s="408">
        <v>9.1999999999999993</v>
      </c>
      <c r="P398" s="408">
        <v>1.3</v>
      </c>
      <c r="Q398" s="408">
        <v>0.3</v>
      </c>
      <c r="R398" s="408">
        <v>7.9</v>
      </c>
      <c r="S398" s="408">
        <v>18.8</v>
      </c>
      <c r="T398" s="408">
        <v>1</v>
      </c>
      <c r="U398" s="408">
        <v>0.7</v>
      </c>
      <c r="V398" s="408">
        <v>1.7</v>
      </c>
      <c r="W398" s="408">
        <v>8.2000000000000003E-2</v>
      </c>
      <c r="X398" s="408">
        <v>-0.6</v>
      </c>
      <c r="Y398" s="408">
        <v>-2.2999999999999998</v>
      </c>
      <c r="Z398" s="408">
        <v>-2.9</v>
      </c>
      <c r="AA398" s="408">
        <v>-0.2</v>
      </c>
    </row>
    <row r="399" spans="1:27">
      <c r="A399">
        <v>326</v>
      </c>
      <c r="B399" s="1" t="s">
        <v>84</v>
      </c>
      <c r="C399" s="5" t="s">
        <v>83</v>
      </c>
      <c r="D399" s="408">
        <v>31</v>
      </c>
      <c r="E399" s="5" t="s">
        <v>33</v>
      </c>
      <c r="F399" s="408">
        <v>57</v>
      </c>
      <c r="G399" s="408">
        <v>668</v>
      </c>
      <c r="H399" s="408">
        <v>18.100000000000001</v>
      </c>
      <c r="I399" s="408">
        <v>0.65400000000000003</v>
      </c>
      <c r="J399" s="408">
        <v>2.4E-2</v>
      </c>
      <c r="K399" s="408">
        <v>0.46400000000000002</v>
      </c>
      <c r="L399" s="408">
        <v>12.7</v>
      </c>
      <c r="M399" s="408">
        <v>26.7</v>
      </c>
      <c r="N399" s="408">
        <v>19.5</v>
      </c>
      <c r="O399" s="408">
        <v>6.5</v>
      </c>
      <c r="P399" s="408">
        <v>1.6</v>
      </c>
      <c r="Q399" s="408">
        <v>8.5</v>
      </c>
      <c r="R399" s="408">
        <v>18.899999999999999</v>
      </c>
      <c r="S399" s="408">
        <v>12.6</v>
      </c>
      <c r="T399" s="408">
        <v>1.3</v>
      </c>
      <c r="U399" s="408">
        <v>1.3</v>
      </c>
      <c r="V399" s="408">
        <v>2.5</v>
      </c>
      <c r="W399" s="408">
        <v>0.182</v>
      </c>
      <c r="X399" s="408">
        <v>-2.1</v>
      </c>
      <c r="Y399" s="408">
        <v>5.5</v>
      </c>
      <c r="Z399" s="408">
        <v>3.4</v>
      </c>
      <c r="AA399" s="408">
        <v>0.9</v>
      </c>
    </row>
    <row r="400" spans="1:27">
      <c r="A400">
        <v>327</v>
      </c>
      <c r="B400" s="1" t="s">
        <v>116</v>
      </c>
      <c r="C400" s="5" t="s">
        <v>38</v>
      </c>
      <c r="D400" s="408">
        <v>23</v>
      </c>
      <c r="E400" s="5" t="s">
        <v>50</v>
      </c>
      <c r="F400" s="408">
        <v>20</v>
      </c>
      <c r="G400" s="408">
        <v>249</v>
      </c>
      <c r="H400" s="408">
        <v>10.6</v>
      </c>
      <c r="I400" s="408">
        <v>0.51300000000000001</v>
      </c>
      <c r="J400" s="408">
        <v>0.183</v>
      </c>
      <c r="K400" s="408">
        <v>0.22500000000000001</v>
      </c>
      <c r="L400" s="408">
        <v>7.3</v>
      </c>
      <c r="M400" s="408">
        <v>26.4</v>
      </c>
      <c r="N400" s="408">
        <v>16.8</v>
      </c>
      <c r="O400" s="408">
        <v>5.5</v>
      </c>
      <c r="P400" s="408">
        <v>1</v>
      </c>
      <c r="Q400" s="408">
        <v>3.1</v>
      </c>
      <c r="R400" s="408">
        <v>17</v>
      </c>
      <c r="S400" s="408">
        <v>17</v>
      </c>
      <c r="T400" s="408">
        <v>-0.1</v>
      </c>
      <c r="U400" s="408">
        <v>0.4</v>
      </c>
      <c r="V400" s="408">
        <v>0.3</v>
      </c>
      <c r="W400" s="408">
        <v>5.1999999999999998E-2</v>
      </c>
      <c r="X400" s="408">
        <v>-5.5</v>
      </c>
      <c r="Y400" s="408">
        <v>0.6</v>
      </c>
      <c r="Z400" s="408">
        <v>-5</v>
      </c>
      <c r="AA400" s="408">
        <v>-0.2</v>
      </c>
    </row>
    <row r="401" spans="1:27">
      <c r="A401">
        <v>328</v>
      </c>
      <c r="B401" s="1" t="s">
        <v>338</v>
      </c>
      <c r="C401" s="5" t="s">
        <v>46</v>
      </c>
      <c r="D401" s="408">
        <v>26</v>
      </c>
      <c r="E401" s="5" t="s">
        <v>41</v>
      </c>
      <c r="F401" s="408">
        <v>70</v>
      </c>
      <c r="G401" s="408">
        <v>2557</v>
      </c>
      <c r="H401" s="408">
        <v>17.100000000000001</v>
      </c>
      <c r="I401" s="408">
        <v>0.57999999999999996</v>
      </c>
      <c r="J401" s="408">
        <v>0.32500000000000001</v>
      </c>
      <c r="K401" s="408">
        <v>0.28399999999999997</v>
      </c>
      <c r="L401" s="408">
        <v>1.7</v>
      </c>
      <c r="M401" s="408">
        <v>15.2</v>
      </c>
      <c r="N401" s="408">
        <v>8.5</v>
      </c>
      <c r="O401" s="408">
        <v>17.600000000000001</v>
      </c>
      <c r="P401" s="408">
        <v>1.8</v>
      </c>
      <c r="Q401" s="408">
        <v>0.5</v>
      </c>
      <c r="R401" s="408">
        <v>11.9</v>
      </c>
      <c r="S401" s="408">
        <v>24.5</v>
      </c>
      <c r="T401" s="408">
        <v>3.9</v>
      </c>
      <c r="U401" s="408">
        <v>2</v>
      </c>
      <c r="V401" s="408">
        <v>5.9</v>
      </c>
      <c r="W401" s="408">
        <v>0.11</v>
      </c>
      <c r="X401" s="408">
        <v>1.5</v>
      </c>
      <c r="Y401" s="408">
        <v>-1.3</v>
      </c>
      <c r="Z401" s="408">
        <v>0.2</v>
      </c>
      <c r="AA401" s="408">
        <v>1.4</v>
      </c>
    </row>
    <row r="402" spans="1:27">
      <c r="A402">
        <v>329</v>
      </c>
      <c r="B402" s="1" t="s">
        <v>325</v>
      </c>
      <c r="C402" s="5" t="s">
        <v>46</v>
      </c>
      <c r="D402" s="408">
        <v>30</v>
      </c>
      <c r="E402" s="5" t="s">
        <v>47</v>
      </c>
      <c r="F402" s="408">
        <v>60</v>
      </c>
      <c r="G402" s="408">
        <v>1133</v>
      </c>
      <c r="H402" s="408">
        <v>15</v>
      </c>
      <c r="I402" s="408">
        <v>0.57399999999999995</v>
      </c>
      <c r="J402" s="408">
        <v>0.76500000000000001</v>
      </c>
      <c r="K402" s="408">
        <v>0.16400000000000001</v>
      </c>
      <c r="L402" s="408">
        <v>1.7</v>
      </c>
      <c r="M402" s="408">
        <v>10.6</v>
      </c>
      <c r="N402" s="408">
        <v>6.2</v>
      </c>
      <c r="O402" s="408">
        <v>5.5</v>
      </c>
      <c r="P402" s="408">
        <v>1.5</v>
      </c>
      <c r="Q402" s="408">
        <v>1.3</v>
      </c>
      <c r="R402" s="408">
        <v>5.0999999999999996</v>
      </c>
      <c r="S402" s="408">
        <v>22</v>
      </c>
      <c r="T402" s="408">
        <v>1.9</v>
      </c>
      <c r="U402" s="408">
        <v>1.3</v>
      </c>
      <c r="V402" s="408">
        <v>3.2</v>
      </c>
      <c r="W402" s="408">
        <v>0.13600000000000001</v>
      </c>
      <c r="X402" s="408">
        <v>2.8</v>
      </c>
      <c r="Y402" s="408">
        <v>-2.2000000000000002</v>
      </c>
      <c r="Z402" s="408">
        <v>0.6</v>
      </c>
      <c r="AA402" s="408">
        <v>0.8</v>
      </c>
    </row>
    <row r="403" spans="1:27">
      <c r="A403">
        <v>330</v>
      </c>
      <c r="B403" s="1" t="s">
        <v>372</v>
      </c>
      <c r="C403" s="5" t="s">
        <v>46</v>
      </c>
      <c r="D403" s="408">
        <v>27</v>
      </c>
      <c r="E403" s="5" t="s">
        <v>112</v>
      </c>
      <c r="F403" s="408">
        <v>70</v>
      </c>
      <c r="G403" s="408">
        <v>1654</v>
      </c>
      <c r="H403" s="408">
        <v>9.6</v>
      </c>
      <c r="I403" s="408">
        <v>0.63700000000000001</v>
      </c>
      <c r="J403" s="408">
        <v>0.751</v>
      </c>
      <c r="K403" s="408">
        <v>0.14499999999999999</v>
      </c>
      <c r="L403" s="408">
        <v>0.8</v>
      </c>
      <c r="M403" s="408">
        <v>7.9</v>
      </c>
      <c r="N403" s="408">
        <v>4.5</v>
      </c>
      <c r="O403" s="408">
        <v>7.5</v>
      </c>
      <c r="P403" s="408">
        <v>0.6</v>
      </c>
      <c r="Q403" s="408">
        <v>0.8</v>
      </c>
      <c r="R403" s="408">
        <v>10</v>
      </c>
      <c r="S403" s="408">
        <v>12.6</v>
      </c>
      <c r="T403" s="408">
        <v>2.1</v>
      </c>
      <c r="U403" s="408">
        <v>0.7</v>
      </c>
      <c r="V403" s="408">
        <v>2.8</v>
      </c>
      <c r="W403" s="408">
        <v>0.08</v>
      </c>
      <c r="X403" s="408">
        <v>0.8</v>
      </c>
      <c r="Y403" s="408">
        <v>-1.8</v>
      </c>
      <c r="Z403" s="408">
        <v>-0.9</v>
      </c>
      <c r="AA403" s="408">
        <v>0.4</v>
      </c>
    </row>
    <row r="404" spans="1:27">
      <c r="A404">
        <v>331</v>
      </c>
      <c r="B404" s="1" t="s">
        <v>642</v>
      </c>
      <c r="C404" s="5" t="s">
        <v>46</v>
      </c>
      <c r="D404" s="408">
        <v>24</v>
      </c>
      <c r="E404" s="5" t="s">
        <v>47</v>
      </c>
      <c r="F404" s="408">
        <v>14</v>
      </c>
      <c r="G404" s="408">
        <v>118</v>
      </c>
      <c r="H404" s="408">
        <v>10</v>
      </c>
      <c r="I404" s="408">
        <v>0.63800000000000001</v>
      </c>
      <c r="J404" s="408">
        <v>0.75</v>
      </c>
      <c r="K404" s="408">
        <v>0.14299999999999999</v>
      </c>
      <c r="L404" s="408">
        <v>3.9</v>
      </c>
      <c r="M404" s="408">
        <v>11.2</v>
      </c>
      <c r="N404" s="408">
        <v>7.6</v>
      </c>
      <c r="O404" s="408">
        <v>3.4</v>
      </c>
      <c r="P404" s="408">
        <v>0.4</v>
      </c>
      <c r="Q404" s="408">
        <v>1.4</v>
      </c>
      <c r="R404" s="408">
        <v>11.8</v>
      </c>
      <c r="S404" s="408">
        <v>12.5</v>
      </c>
      <c r="T404" s="408">
        <v>0.2</v>
      </c>
      <c r="U404" s="408">
        <v>0.1</v>
      </c>
      <c r="V404" s="408">
        <v>0.3</v>
      </c>
      <c r="W404" s="408">
        <v>0.107</v>
      </c>
      <c r="X404" s="408">
        <v>0</v>
      </c>
      <c r="Y404" s="408">
        <v>-1.5</v>
      </c>
      <c r="Z404" s="408">
        <v>-1.4</v>
      </c>
      <c r="AA404" s="408">
        <v>0</v>
      </c>
    </row>
    <row r="405" spans="1:27">
      <c r="A405">
        <v>332</v>
      </c>
      <c r="B405" s="1" t="s">
        <v>362</v>
      </c>
      <c r="C405" s="5" t="s">
        <v>20</v>
      </c>
      <c r="D405" s="408">
        <v>29</v>
      </c>
      <c r="E405" s="5" t="s">
        <v>140</v>
      </c>
      <c r="F405" s="408">
        <v>71</v>
      </c>
      <c r="G405" s="408">
        <v>1751</v>
      </c>
      <c r="H405" s="408">
        <v>12</v>
      </c>
      <c r="I405" s="408">
        <v>0.56000000000000005</v>
      </c>
      <c r="J405" s="408">
        <v>0.60299999999999998</v>
      </c>
      <c r="K405" s="408">
        <v>0.16900000000000001</v>
      </c>
      <c r="L405" s="408">
        <v>1.5</v>
      </c>
      <c r="M405" s="408">
        <v>7</v>
      </c>
      <c r="N405" s="408">
        <v>4.2</v>
      </c>
      <c r="O405" s="408">
        <v>16.2</v>
      </c>
      <c r="P405" s="408">
        <v>1.3</v>
      </c>
      <c r="Q405" s="408">
        <v>0.5</v>
      </c>
      <c r="R405" s="408">
        <v>12.7</v>
      </c>
      <c r="S405" s="408">
        <v>17.899999999999999</v>
      </c>
      <c r="T405" s="408">
        <v>1.6</v>
      </c>
      <c r="U405" s="408">
        <v>1.9</v>
      </c>
      <c r="V405" s="408">
        <v>3.6</v>
      </c>
      <c r="W405" s="408">
        <v>9.8000000000000004E-2</v>
      </c>
      <c r="X405" s="408">
        <v>0.8</v>
      </c>
      <c r="Y405" s="408">
        <v>-1.1000000000000001</v>
      </c>
      <c r="Z405" s="408">
        <v>-0.3</v>
      </c>
      <c r="AA405" s="408">
        <v>0.7</v>
      </c>
    </row>
    <row r="406" spans="1:27">
      <c r="A406">
        <v>333</v>
      </c>
      <c r="B406" s="1" t="s">
        <v>407</v>
      </c>
      <c r="C406" s="5" t="s">
        <v>38</v>
      </c>
      <c r="D406" s="408">
        <v>32</v>
      </c>
      <c r="E406" s="5" t="s">
        <v>61</v>
      </c>
      <c r="F406" s="408">
        <v>27</v>
      </c>
      <c r="G406" s="408">
        <v>763</v>
      </c>
      <c r="H406" s="408">
        <v>16.7</v>
      </c>
      <c r="I406" s="408">
        <v>0.53800000000000003</v>
      </c>
      <c r="J406" s="408">
        <v>0.28299999999999997</v>
      </c>
      <c r="K406" s="408">
        <v>0.34200000000000003</v>
      </c>
      <c r="L406" s="408">
        <v>5.8</v>
      </c>
      <c r="M406" s="408">
        <v>19.3</v>
      </c>
      <c r="N406" s="408">
        <v>12.5</v>
      </c>
      <c r="O406" s="408">
        <v>14.3</v>
      </c>
      <c r="P406" s="408">
        <v>1.9</v>
      </c>
      <c r="Q406" s="408">
        <v>3.5</v>
      </c>
      <c r="R406" s="408">
        <v>13.4</v>
      </c>
      <c r="S406" s="408">
        <v>23</v>
      </c>
      <c r="T406" s="408">
        <v>0.6</v>
      </c>
      <c r="U406" s="408">
        <v>0.8</v>
      </c>
      <c r="V406" s="408">
        <v>1.5</v>
      </c>
      <c r="W406" s="408">
        <v>9.2999999999999999E-2</v>
      </c>
      <c r="X406" s="408">
        <v>-0.6</v>
      </c>
      <c r="Y406" s="408">
        <v>0.9</v>
      </c>
      <c r="Z406" s="408">
        <v>0.3</v>
      </c>
      <c r="AA406" s="408">
        <v>0.4</v>
      </c>
    </row>
    <row r="407" spans="1:27">
      <c r="A407">
        <v>334</v>
      </c>
      <c r="B407" s="1" t="s">
        <v>330</v>
      </c>
      <c r="C407" s="5" t="s">
        <v>38</v>
      </c>
      <c r="D407" s="408">
        <v>26</v>
      </c>
      <c r="E407" s="5" t="s">
        <v>357</v>
      </c>
      <c r="F407" s="408">
        <v>44</v>
      </c>
      <c r="G407" s="408">
        <v>1181</v>
      </c>
      <c r="H407" s="408">
        <v>18.399999999999999</v>
      </c>
      <c r="I407" s="408">
        <v>0.57399999999999995</v>
      </c>
      <c r="J407" s="408">
        <v>0.53</v>
      </c>
      <c r="K407" s="408">
        <v>0.224</v>
      </c>
      <c r="L407" s="408">
        <v>4.2</v>
      </c>
      <c r="M407" s="408">
        <v>24.4</v>
      </c>
      <c r="N407" s="408">
        <v>14.2</v>
      </c>
      <c r="O407" s="408">
        <v>9</v>
      </c>
      <c r="P407" s="408">
        <v>1.4</v>
      </c>
      <c r="Q407" s="408">
        <v>2.2999999999999998</v>
      </c>
      <c r="R407" s="408">
        <v>8.4</v>
      </c>
      <c r="S407" s="408">
        <v>23.7</v>
      </c>
      <c r="T407" s="408">
        <v>1.5</v>
      </c>
      <c r="U407" s="408">
        <v>1.4</v>
      </c>
      <c r="V407" s="408">
        <v>2.9</v>
      </c>
      <c r="W407" s="408">
        <v>0.11899999999999999</v>
      </c>
      <c r="X407" s="408">
        <v>1.2</v>
      </c>
      <c r="Y407" s="408">
        <v>-0.7</v>
      </c>
      <c r="Z407" s="408">
        <v>0.5</v>
      </c>
      <c r="AA407" s="408">
        <v>0.7</v>
      </c>
    </row>
    <row r="408" spans="1:27">
      <c r="A408">
        <v>334</v>
      </c>
      <c r="B408" s="1" t="s">
        <v>330</v>
      </c>
      <c r="C408" s="5" t="s">
        <v>38</v>
      </c>
      <c r="D408" s="408">
        <v>26</v>
      </c>
      <c r="E408" s="5" t="s">
        <v>43</v>
      </c>
      <c r="F408" s="408">
        <v>25</v>
      </c>
      <c r="G408" s="408">
        <v>622</v>
      </c>
      <c r="H408" s="408">
        <v>22</v>
      </c>
      <c r="I408" s="408">
        <v>0.624</v>
      </c>
      <c r="J408" s="408">
        <v>0.53300000000000003</v>
      </c>
      <c r="K408" s="408">
        <v>0.26200000000000001</v>
      </c>
      <c r="L408" s="408">
        <v>3</v>
      </c>
      <c r="M408" s="408">
        <v>25.1</v>
      </c>
      <c r="N408" s="408">
        <v>13.7</v>
      </c>
      <c r="O408" s="408">
        <v>11</v>
      </c>
      <c r="P408" s="408">
        <v>1.2</v>
      </c>
      <c r="Q408" s="408">
        <v>1.8</v>
      </c>
      <c r="R408" s="408">
        <v>8.4</v>
      </c>
      <c r="S408" s="408">
        <v>25.8</v>
      </c>
      <c r="T408" s="408">
        <v>1.5</v>
      </c>
      <c r="U408" s="408">
        <v>0.6</v>
      </c>
      <c r="V408" s="408">
        <v>2.1</v>
      </c>
      <c r="W408" s="408">
        <v>0.16</v>
      </c>
      <c r="X408" s="408">
        <v>3.3</v>
      </c>
      <c r="Y408" s="408">
        <v>-1.3</v>
      </c>
      <c r="Z408" s="408">
        <v>1.9</v>
      </c>
      <c r="AA408" s="408">
        <v>0.6</v>
      </c>
    </row>
    <row r="409" spans="1:27">
      <c r="A409">
        <v>334</v>
      </c>
      <c r="B409" s="1" t="s">
        <v>330</v>
      </c>
      <c r="C409" s="5" t="s">
        <v>38</v>
      </c>
      <c r="D409" s="408">
        <v>26</v>
      </c>
      <c r="E409" s="5" t="s">
        <v>112</v>
      </c>
      <c r="F409" s="408">
        <v>19</v>
      </c>
      <c r="G409" s="408">
        <v>559</v>
      </c>
      <c r="H409" s="408">
        <v>14.3</v>
      </c>
      <c r="I409" s="408">
        <v>0.50800000000000001</v>
      </c>
      <c r="J409" s="408">
        <v>0.52600000000000002</v>
      </c>
      <c r="K409" s="408">
        <v>0.17499999999999999</v>
      </c>
      <c r="L409" s="408">
        <v>5.4</v>
      </c>
      <c r="M409" s="408">
        <v>23.7</v>
      </c>
      <c r="N409" s="408">
        <v>14.8</v>
      </c>
      <c r="O409" s="408">
        <v>6.9</v>
      </c>
      <c r="P409" s="408">
        <v>1.7</v>
      </c>
      <c r="Q409" s="408">
        <v>2.7</v>
      </c>
      <c r="R409" s="408">
        <v>8.4</v>
      </c>
      <c r="S409" s="408">
        <v>21.3</v>
      </c>
      <c r="T409" s="408">
        <v>0.1</v>
      </c>
      <c r="U409" s="408">
        <v>0.8</v>
      </c>
      <c r="V409" s="408">
        <v>0.8</v>
      </c>
      <c r="W409" s="408">
        <v>7.1999999999999995E-2</v>
      </c>
      <c r="X409" s="408">
        <v>-1.1000000000000001</v>
      </c>
      <c r="Y409" s="408">
        <v>0</v>
      </c>
      <c r="Z409" s="408">
        <v>-1.2</v>
      </c>
      <c r="AA409" s="408">
        <v>0.1</v>
      </c>
    </row>
    <row r="410" spans="1:27">
      <c r="A410">
        <v>335</v>
      </c>
      <c r="B410" s="1" t="s">
        <v>319</v>
      </c>
      <c r="C410" s="5" t="s">
        <v>26</v>
      </c>
      <c r="D410" s="408">
        <v>21</v>
      </c>
      <c r="E410" s="5" t="s">
        <v>305</v>
      </c>
      <c r="F410" s="408">
        <v>67</v>
      </c>
      <c r="G410" s="408">
        <v>2215</v>
      </c>
      <c r="H410" s="408">
        <v>16.399999999999999</v>
      </c>
      <c r="I410" s="408">
        <v>0.54600000000000004</v>
      </c>
      <c r="J410" s="408">
        <v>0.41399999999999998</v>
      </c>
      <c r="K410" s="408">
        <v>0.21</v>
      </c>
      <c r="L410" s="408">
        <v>2.1</v>
      </c>
      <c r="M410" s="408">
        <v>10.5</v>
      </c>
      <c r="N410" s="408">
        <v>6.3</v>
      </c>
      <c r="O410" s="408">
        <v>19.100000000000001</v>
      </c>
      <c r="P410" s="408">
        <v>2.2000000000000002</v>
      </c>
      <c r="Q410" s="408">
        <v>1</v>
      </c>
      <c r="R410" s="408">
        <v>13</v>
      </c>
      <c r="S410" s="408">
        <v>28.6</v>
      </c>
      <c r="T410" s="408">
        <v>1.1000000000000001</v>
      </c>
      <c r="U410" s="408">
        <v>3.2</v>
      </c>
      <c r="V410" s="408">
        <v>4.3</v>
      </c>
      <c r="W410" s="408">
        <v>9.2999999999999999E-2</v>
      </c>
      <c r="X410" s="408">
        <v>1.2</v>
      </c>
      <c r="Y410" s="408">
        <v>-0.1</v>
      </c>
      <c r="Z410" s="408">
        <v>1.1000000000000001</v>
      </c>
      <c r="AA410" s="408">
        <v>1.7</v>
      </c>
    </row>
    <row r="411" spans="1:27">
      <c r="A411">
        <v>336</v>
      </c>
      <c r="B411" s="1" t="s">
        <v>646</v>
      </c>
      <c r="C411" s="5" t="s">
        <v>26</v>
      </c>
      <c r="D411" s="408">
        <v>24</v>
      </c>
      <c r="E411" s="5" t="s">
        <v>305</v>
      </c>
      <c r="F411" s="408">
        <v>1</v>
      </c>
      <c r="G411" s="408">
        <v>1</v>
      </c>
      <c r="H411" s="408">
        <v>134.30000000000001</v>
      </c>
      <c r="I411" s="408">
        <v>1.5</v>
      </c>
      <c r="J411" s="408">
        <v>1</v>
      </c>
      <c r="K411" s="408">
        <v>0</v>
      </c>
      <c r="L411" s="408">
        <v>0</v>
      </c>
      <c r="M411" s="408">
        <v>0</v>
      </c>
      <c r="N411" s="408">
        <v>0</v>
      </c>
      <c r="O411" s="408">
        <v>0</v>
      </c>
      <c r="P411" s="408">
        <v>0</v>
      </c>
      <c r="Q411" s="408">
        <v>0</v>
      </c>
      <c r="R411" s="408">
        <v>0</v>
      </c>
      <c r="S411" s="408">
        <v>45.2</v>
      </c>
      <c r="T411" s="408">
        <v>0.1</v>
      </c>
      <c r="U411" s="408">
        <v>0</v>
      </c>
      <c r="V411" s="408">
        <v>0.1</v>
      </c>
      <c r="W411" s="408">
        <v>2.714</v>
      </c>
      <c r="X411" s="408">
        <v>68.900000000000006</v>
      </c>
      <c r="Y411" s="408">
        <v>-14.2</v>
      </c>
      <c r="Z411" s="408">
        <v>54.7</v>
      </c>
      <c r="AA411" s="408">
        <v>0</v>
      </c>
    </row>
    <row r="412" spans="1:27">
      <c r="A412">
        <v>337</v>
      </c>
      <c r="B412" s="1" t="s">
        <v>415</v>
      </c>
      <c r="C412" s="5" t="s">
        <v>26</v>
      </c>
      <c r="D412" s="408">
        <v>19</v>
      </c>
      <c r="E412" s="5" t="s">
        <v>311</v>
      </c>
      <c r="F412" s="408">
        <v>52</v>
      </c>
      <c r="G412" s="408">
        <v>633</v>
      </c>
      <c r="H412" s="408">
        <v>7.2</v>
      </c>
      <c r="I412" s="408">
        <v>0.43</v>
      </c>
      <c r="J412" s="408">
        <v>0.56599999999999995</v>
      </c>
      <c r="K412" s="408">
        <v>7.6999999999999999E-2</v>
      </c>
      <c r="L412" s="408">
        <v>1</v>
      </c>
      <c r="M412" s="408">
        <v>8.1</v>
      </c>
      <c r="N412" s="408">
        <v>4.5</v>
      </c>
      <c r="O412" s="408">
        <v>14.6</v>
      </c>
      <c r="P412" s="408">
        <v>1</v>
      </c>
      <c r="Q412" s="408">
        <v>0.7</v>
      </c>
      <c r="R412" s="408">
        <v>8.1</v>
      </c>
      <c r="S412" s="408">
        <v>22.9</v>
      </c>
      <c r="T412" s="408">
        <v>-0.8</v>
      </c>
      <c r="U412" s="408">
        <v>0.3</v>
      </c>
      <c r="V412" s="408">
        <v>-0.5</v>
      </c>
      <c r="W412" s="408">
        <v>-3.6999999999999998E-2</v>
      </c>
      <c r="X412" s="408">
        <v>-2.7</v>
      </c>
      <c r="Y412" s="408">
        <v>-3.4</v>
      </c>
      <c r="Z412" s="408">
        <v>-6.1</v>
      </c>
      <c r="AA412" s="408">
        <v>-0.7</v>
      </c>
    </row>
    <row r="413" spans="1:27">
      <c r="A413">
        <v>338</v>
      </c>
      <c r="B413" s="1" t="s">
        <v>199</v>
      </c>
      <c r="C413" s="5" t="s">
        <v>83</v>
      </c>
      <c r="D413" s="408">
        <v>27</v>
      </c>
      <c r="E413" s="5" t="s">
        <v>357</v>
      </c>
      <c r="F413" s="408">
        <v>39</v>
      </c>
      <c r="G413" s="408">
        <v>783</v>
      </c>
      <c r="H413" s="408">
        <v>20.5</v>
      </c>
      <c r="I413" s="408">
        <v>0.61599999999999999</v>
      </c>
      <c r="J413" s="408">
        <v>0</v>
      </c>
      <c r="K413" s="408">
        <v>0.28799999999999998</v>
      </c>
      <c r="L413" s="408">
        <v>11.3</v>
      </c>
      <c r="M413" s="408">
        <v>25.1</v>
      </c>
      <c r="N413" s="408">
        <v>18.100000000000001</v>
      </c>
      <c r="O413" s="408">
        <v>15.9</v>
      </c>
      <c r="P413" s="408">
        <v>1.8</v>
      </c>
      <c r="Q413" s="408">
        <v>1.7</v>
      </c>
      <c r="R413" s="408">
        <v>18.100000000000001</v>
      </c>
      <c r="S413" s="408">
        <v>21.4</v>
      </c>
      <c r="T413" s="408">
        <v>1.3</v>
      </c>
      <c r="U413" s="408">
        <v>1</v>
      </c>
      <c r="V413" s="408">
        <v>2.2999999999999998</v>
      </c>
      <c r="W413" s="408">
        <v>0.13900000000000001</v>
      </c>
      <c r="X413" s="408">
        <v>-0.1</v>
      </c>
      <c r="Y413" s="408">
        <v>1.4</v>
      </c>
      <c r="Z413" s="408">
        <v>1.2</v>
      </c>
      <c r="AA413" s="408">
        <v>0.6</v>
      </c>
    </row>
    <row r="414" spans="1:27">
      <c r="A414">
        <v>338</v>
      </c>
      <c r="B414" s="1" t="s">
        <v>199</v>
      </c>
      <c r="C414" s="5" t="s">
        <v>83</v>
      </c>
      <c r="D414" s="408">
        <v>27</v>
      </c>
      <c r="E414" s="5" t="s">
        <v>41</v>
      </c>
      <c r="F414" s="408">
        <v>5</v>
      </c>
      <c r="G414" s="408">
        <v>79</v>
      </c>
      <c r="H414" s="408">
        <v>11.2</v>
      </c>
      <c r="I414" s="408">
        <v>0.48899999999999999</v>
      </c>
      <c r="J414" s="408">
        <v>0</v>
      </c>
      <c r="K414" s="408">
        <v>0.121</v>
      </c>
      <c r="L414" s="408">
        <v>9</v>
      </c>
      <c r="M414" s="408">
        <v>28.4</v>
      </c>
      <c r="N414" s="408">
        <v>18.7</v>
      </c>
      <c r="O414" s="408">
        <v>10.4</v>
      </c>
      <c r="P414" s="408">
        <v>0</v>
      </c>
      <c r="Q414" s="408">
        <v>0</v>
      </c>
      <c r="R414" s="408">
        <v>14.7</v>
      </c>
      <c r="S414" s="408">
        <v>23.4</v>
      </c>
      <c r="T414" s="408">
        <v>-0.1</v>
      </c>
      <c r="U414" s="408">
        <v>0.1</v>
      </c>
      <c r="V414" s="408">
        <v>0</v>
      </c>
      <c r="W414" s="408">
        <v>-1.2E-2</v>
      </c>
      <c r="X414" s="408">
        <v>-6.1</v>
      </c>
      <c r="Y414" s="408">
        <v>-3.4</v>
      </c>
      <c r="Z414" s="408">
        <v>-9.5</v>
      </c>
      <c r="AA414" s="408">
        <v>-0.2</v>
      </c>
    </row>
    <row r="415" spans="1:27">
      <c r="A415">
        <v>338</v>
      </c>
      <c r="B415" s="1" t="s">
        <v>199</v>
      </c>
      <c r="C415" s="5" t="s">
        <v>83</v>
      </c>
      <c r="D415" s="408">
        <v>27</v>
      </c>
      <c r="E415" s="5" t="s">
        <v>313</v>
      </c>
      <c r="F415" s="408">
        <v>20</v>
      </c>
      <c r="G415" s="408">
        <v>465</v>
      </c>
      <c r="H415" s="408">
        <v>21</v>
      </c>
      <c r="I415" s="408">
        <v>0.64200000000000002</v>
      </c>
      <c r="J415" s="408">
        <v>0</v>
      </c>
      <c r="K415" s="408">
        <v>0.29699999999999999</v>
      </c>
      <c r="L415" s="408">
        <v>11.3</v>
      </c>
      <c r="M415" s="408">
        <v>25.9</v>
      </c>
      <c r="N415" s="408">
        <v>18.399999999999999</v>
      </c>
      <c r="O415" s="408">
        <v>18.2</v>
      </c>
      <c r="P415" s="408">
        <v>1.6</v>
      </c>
      <c r="Q415" s="408">
        <v>1</v>
      </c>
      <c r="R415" s="408">
        <v>18.600000000000001</v>
      </c>
      <c r="S415" s="408">
        <v>19.600000000000001</v>
      </c>
      <c r="T415" s="408">
        <v>1</v>
      </c>
      <c r="U415" s="408">
        <v>0.4</v>
      </c>
      <c r="V415" s="408">
        <v>1.4</v>
      </c>
      <c r="W415" s="408">
        <v>0.14099999999999999</v>
      </c>
      <c r="X415" s="408">
        <v>1.2</v>
      </c>
      <c r="Y415" s="408">
        <v>1</v>
      </c>
      <c r="Z415" s="408">
        <v>2.2000000000000002</v>
      </c>
      <c r="AA415" s="408">
        <v>0.5</v>
      </c>
    </row>
    <row r="416" spans="1:27">
      <c r="A416">
        <v>338</v>
      </c>
      <c r="B416" s="1" t="s">
        <v>199</v>
      </c>
      <c r="C416" s="5" t="s">
        <v>83</v>
      </c>
      <c r="D416" s="408">
        <v>27</v>
      </c>
      <c r="E416" s="5" t="s">
        <v>87</v>
      </c>
      <c r="F416" s="408">
        <v>14</v>
      </c>
      <c r="G416" s="408">
        <v>239</v>
      </c>
      <c r="H416" s="408">
        <v>22.8</v>
      </c>
      <c r="I416" s="408">
        <v>0.61399999999999999</v>
      </c>
      <c r="J416" s="408">
        <v>0</v>
      </c>
      <c r="K416" s="408">
        <v>0.33300000000000002</v>
      </c>
      <c r="L416" s="408">
        <v>12.1</v>
      </c>
      <c r="M416" s="408">
        <v>22.5</v>
      </c>
      <c r="N416" s="408">
        <v>17.399999999999999</v>
      </c>
      <c r="O416" s="408">
        <v>13.2</v>
      </c>
      <c r="P416" s="408">
        <v>2.7</v>
      </c>
      <c r="Q416" s="408">
        <v>3.5</v>
      </c>
      <c r="R416" s="408">
        <v>18.399999999999999</v>
      </c>
      <c r="S416" s="408">
        <v>24.4</v>
      </c>
      <c r="T416" s="408">
        <v>0.4</v>
      </c>
      <c r="U416" s="408">
        <v>0.6</v>
      </c>
      <c r="V416" s="408">
        <v>0.9</v>
      </c>
      <c r="W416" s="408">
        <v>0.186</v>
      </c>
      <c r="X416" s="408">
        <v>-0.7</v>
      </c>
      <c r="Y416" s="408">
        <v>3.6</v>
      </c>
      <c r="Z416" s="408">
        <v>2.9</v>
      </c>
      <c r="AA416" s="408">
        <v>0.3</v>
      </c>
    </row>
    <row r="417" spans="1:27">
      <c r="A417">
        <v>339</v>
      </c>
      <c r="B417" s="1" t="s">
        <v>622</v>
      </c>
      <c r="C417" s="5" t="s">
        <v>26</v>
      </c>
      <c r="D417" s="408">
        <v>24</v>
      </c>
      <c r="E417" s="5" t="s">
        <v>157</v>
      </c>
      <c r="F417" s="408">
        <v>2</v>
      </c>
      <c r="G417" s="408">
        <v>8</v>
      </c>
      <c r="H417" s="408">
        <v>-15.6</v>
      </c>
      <c r="I417" s="408">
        <v>0</v>
      </c>
      <c r="J417" s="408">
        <v>0</v>
      </c>
      <c r="K417" s="408">
        <v>0</v>
      </c>
      <c r="L417" s="408">
        <v>0</v>
      </c>
      <c r="M417" s="408">
        <v>28.6</v>
      </c>
      <c r="N417" s="408">
        <v>13.9</v>
      </c>
      <c r="O417" s="408">
        <v>0</v>
      </c>
      <c r="P417" s="408">
        <v>0</v>
      </c>
      <c r="Q417" s="408">
        <v>0</v>
      </c>
      <c r="R417" s="408">
        <v>66.7</v>
      </c>
      <c r="S417" s="408">
        <v>16.600000000000001</v>
      </c>
      <c r="T417" s="408">
        <v>-0.1</v>
      </c>
      <c r="U417" s="408">
        <v>0</v>
      </c>
      <c r="V417" s="408">
        <v>-0.1</v>
      </c>
      <c r="W417" s="408">
        <v>-0.44800000000000001</v>
      </c>
      <c r="X417" s="408">
        <v>-23.8</v>
      </c>
      <c r="Y417" s="408">
        <v>-2.2000000000000002</v>
      </c>
      <c r="Z417" s="408">
        <v>-26</v>
      </c>
      <c r="AA417" s="408">
        <v>0</v>
      </c>
    </row>
    <row r="418" spans="1:27">
      <c r="A418">
        <v>340</v>
      </c>
      <c r="B418" s="1" t="s">
        <v>807</v>
      </c>
      <c r="C418" s="5" t="s">
        <v>38</v>
      </c>
      <c r="D418" s="408">
        <v>22</v>
      </c>
      <c r="E418" s="5" t="s">
        <v>30</v>
      </c>
      <c r="F418" s="408">
        <v>2</v>
      </c>
      <c r="G418" s="408">
        <v>9</v>
      </c>
      <c r="H418" s="408">
        <v>-2.2999999999999998</v>
      </c>
      <c r="I418" s="408"/>
      <c r="J418" s="408"/>
      <c r="K418" s="408"/>
      <c r="L418" s="408">
        <v>0</v>
      </c>
      <c r="M418" s="408">
        <v>12.4</v>
      </c>
      <c r="N418" s="408">
        <v>6.3</v>
      </c>
      <c r="O418" s="408">
        <v>13.1</v>
      </c>
      <c r="P418" s="408">
        <v>0</v>
      </c>
      <c r="Q418" s="408">
        <v>0</v>
      </c>
      <c r="R418" s="408"/>
      <c r="S418" s="408">
        <v>0</v>
      </c>
      <c r="T418" s="408">
        <v>0</v>
      </c>
      <c r="U418" s="408">
        <v>0</v>
      </c>
      <c r="V418" s="408">
        <v>0</v>
      </c>
      <c r="W418" s="408">
        <v>7.2999999999999995E-2</v>
      </c>
      <c r="X418" s="408">
        <v>-5.2</v>
      </c>
      <c r="Y418" s="408">
        <v>0.2</v>
      </c>
      <c r="Z418" s="408">
        <v>-5</v>
      </c>
      <c r="AA418" s="408">
        <v>0</v>
      </c>
    </row>
    <row r="419" spans="1:27">
      <c r="A419">
        <v>341</v>
      </c>
      <c r="B419" s="1" t="s">
        <v>393</v>
      </c>
      <c r="C419" s="5" t="s">
        <v>26</v>
      </c>
      <c r="D419" s="408">
        <v>28</v>
      </c>
      <c r="E419" s="5" t="s">
        <v>112</v>
      </c>
      <c r="F419" s="408">
        <v>70</v>
      </c>
      <c r="G419" s="408">
        <v>2222</v>
      </c>
      <c r="H419" s="408">
        <v>11.4</v>
      </c>
      <c r="I419" s="408">
        <v>0.58199999999999996</v>
      </c>
      <c r="J419" s="408">
        <v>0.36</v>
      </c>
      <c r="K419" s="408">
        <v>8.5000000000000006E-2</v>
      </c>
      <c r="L419" s="408">
        <v>2.6</v>
      </c>
      <c r="M419" s="408">
        <v>7.4</v>
      </c>
      <c r="N419" s="408">
        <v>5.0999999999999996</v>
      </c>
      <c r="O419" s="408">
        <v>9.6</v>
      </c>
      <c r="P419" s="408">
        <v>1.4</v>
      </c>
      <c r="Q419" s="408">
        <v>0.4</v>
      </c>
      <c r="R419" s="408">
        <v>10.8</v>
      </c>
      <c r="S419" s="408">
        <v>16</v>
      </c>
      <c r="T419" s="408">
        <v>1.9</v>
      </c>
      <c r="U419" s="408">
        <v>1.2</v>
      </c>
      <c r="V419" s="408">
        <v>3.1</v>
      </c>
      <c r="W419" s="408">
        <v>6.8000000000000005E-2</v>
      </c>
      <c r="X419" s="408">
        <v>0.2</v>
      </c>
      <c r="Y419" s="408">
        <v>-1</v>
      </c>
      <c r="Z419" s="408">
        <v>-0.7</v>
      </c>
      <c r="AA419" s="408">
        <v>0.7</v>
      </c>
    </row>
    <row r="420" spans="1:27">
      <c r="A420">
        <v>342</v>
      </c>
      <c r="B420" s="1" t="s">
        <v>610</v>
      </c>
      <c r="C420" s="5" t="s">
        <v>38</v>
      </c>
      <c r="D420" s="408">
        <v>26</v>
      </c>
      <c r="E420" s="5" t="s">
        <v>157</v>
      </c>
      <c r="F420" s="408">
        <v>56</v>
      </c>
      <c r="G420" s="408">
        <v>645</v>
      </c>
      <c r="H420" s="408">
        <v>12.9</v>
      </c>
      <c r="I420" s="408">
        <v>0.51700000000000002</v>
      </c>
      <c r="J420" s="408">
        <v>0</v>
      </c>
      <c r="K420" s="408">
        <v>0.27</v>
      </c>
      <c r="L420" s="408">
        <v>10.7</v>
      </c>
      <c r="M420" s="408">
        <v>27.3</v>
      </c>
      <c r="N420" s="408">
        <v>18.8</v>
      </c>
      <c r="O420" s="408">
        <v>13.2</v>
      </c>
      <c r="P420" s="408">
        <v>1.6</v>
      </c>
      <c r="Q420" s="408">
        <v>5.0999999999999996</v>
      </c>
      <c r="R420" s="408">
        <v>23.7</v>
      </c>
      <c r="S420" s="408">
        <v>9</v>
      </c>
      <c r="T420" s="408">
        <v>0.5</v>
      </c>
      <c r="U420" s="408">
        <v>1.2</v>
      </c>
      <c r="V420" s="408">
        <v>1.7</v>
      </c>
      <c r="W420" s="408">
        <v>0.124</v>
      </c>
      <c r="X420" s="408">
        <v>-3.4</v>
      </c>
      <c r="Y420" s="408">
        <v>5.2</v>
      </c>
      <c r="Z420" s="408">
        <v>1.8</v>
      </c>
      <c r="AA420" s="408">
        <v>0.6</v>
      </c>
    </row>
    <row r="421" spans="1:27">
      <c r="A421">
        <v>343</v>
      </c>
      <c r="B421" s="1" t="s">
        <v>1064</v>
      </c>
      <c r="C421" s="5" t="s">
        <v>26</v>
      </c>
      <c r="D421" s="408">
        <v>22</v>
      </c>
      <c r="E421" s="5" t="s">
        <v>149</v>
      </c>
      <c r="F421" s="408">
        <v>6</v>
      </c>
      <c r="G421" s="408">
        <v>98</v>
      </c>
      <c r="H421" s="408">
        <v>6.9</v>
      </c>
      <c r="I421" s="408">
        <v>0.45200000000000001</v>
      </c>
      <c r="J421" s="408">
        <v>0.28999999999999998</v>
      </c>
      <c r="K421" s="408">
        <v>0</v>
      </c>
      <c r="L421" s="408">
        <v>2.2999999999999998</v>
      </c>
      <c r="M421" s="408">
        <v>16.2</v>
      </c>
      <c r="N421" s="408">
        <v>9.1999999999999993</v>
      </c>
      <c r="O421" s="408">
        <v>10.8</v>
      </c>
      <c r="P421" s="408">
        <v>1</v>
      </c>
      <c r="Q421" s="408">
        <v>0.9</v>
      </c>
      <c r="R421" s="408">
        <v>16.2</v>
      </c>
      <c r="S421" s="408">
        <v>16.5</v>
      </c>
      <c r="T421" s="408">
        <v>-0.1</v>
      </c>
      <c r="U421" s="408">
        <v>0</v>
      </c>
      <c r="V421" s="408">
        <v>-0.1</v>
      </c>
      <c r="W421" s="408">
        <v>-4.4999999999999998E-2</v>
      </c>
      <c r="X421" s="408">
        <v>-5.8</v>
      </c>
      <c r="Y421" s="408">
        <v>-1.1000000000000001</v>
      </c>
      <c r="Z421" s="408">
        <v>-6.9</v>
      </c>
      <c r="AA421" s="408">
        <v>-0.1</v>
      </c>
    </row>
    <row r="422" spans="1:27">
      <c r="A422">
        <v>344</v>
      </c>
      <c r="B422" s="1" t="s">
        <v>400</v>
      </c>
      <c r="C422" s="5" t="s">
        <v>38</v>
      </c>
      <c r="D422" s="408">
        <v>28</v>
      </c>
      <c r="E422" s="5" t="s">
        <v>87</v>
      </c>
      <c r="F422" s="408">
        <v>46</v>
      </c>
      <c r="G422" s="408">
        <v>1208</v>
      </c>
      <c r="H422" s="408">
        <v>13.9</v>
      </c>
      <c r="I422" s="408">
        <v>0.52300000000000002</v>
      </c>
      <c r="J422" s="408">
        <v>0.38600000000000001</v>
      </c>
      <c r="K422" s="408">
        <v>0.222</v>
      </c>
      <c r="L422" s="408">
        <v>3.9</v>
      </c>
      <c r="M422" s="408">
        <v>19.3</v>
      </c>
      <c r="N422" s="408">
        <v>11.7</v>
      </c>
      <c r="O422" s="408">
        <v>8.1999999999999993</v>
      </c>
      <c r="P422" s="408">
        <v>1.2</v>
      </c>
      <c r="Q422" s="408">
        <v>0.7</v>
      </c>
      <c r="R422" s="408">
        <v>8</v>
      </c>
      <c r="S422" s="408">
        <v>22.5</v>
      </c>
      <c r="T422" s="408">
        <v>0.6</v>
      </c>
      <c r="U422" s="408">
        <v>1.9</v>
      </c>
      <c r="V422" s="408">
        <v>2.6</v>
      </c>
      <c r="W422" s="408">
        <v>0.10100000000000001</v>
      </c>
      <c r="X422" s="408">
        <v>-1.5</v>
      </c>
      <c r="Y422" s="408">
        <v>-0.4</v>
      </c>
      <c r="Z422" s="408">
        <v>-1.8</v>
      </c>
      <c r="AA422" s="408">
        <v>0.1</v>
      </c>
    </row>
    <row r="423" spans="1:27">
      <c r="A423">
        <v>345</v>
      </c>
      <c r="B423" s="1" t="s">
        <v>446</v>
      </c>
      <c r="C423" s="5" t="s">
        <v>38</v>
      </c>
      <c r="D423" s="408">
        <v>28</v>
      </c>
      <c r="E423" s="5" t="s">
        <v>27</v>
      </c>
      <c r="F423" s="408">
        <v>61</v>
      </c>
      <c r="G423" s="408">
        <v>1656</v>
      </c>
      <c r="H423" s="408">
        <v>13.4</v>
      </c>
      <c r="I423" s="408">
        <v>0.57499999999999996</v>
      </c>
      <c r="J423" s="408">
        <v>0.29899999999999999</v>
      </c>
      <c r="K423" s="408">
        <v>0.19</v>
      </c>
      <c r="L423" s="408">
        <v>4.5</v>
      </c>
      <c r="M423" s="408">
        <v>19.600000000000001</v>
      </c>
      <c r="N423" s="408">
        <v>12.1</v>
      </c>
      <c r="O423" s="408">
        <v>10.4</v>
      </c>
      <c r="P423" s="408">
        <v>1.4</v>
      </c>
      <c r="Q423" s="408">
        <v>1.5</v>
      </c>
      <c r="R423" s="408">
        <v>14.7</v>
      </c>
      <c r="S423" s="408">
        <v>19.2</v>
      </c>
      <c r="T423" s="408">
        <v>1.2</v>
      </c>
      <c r="U423" s="408">
        <v>1.8</v>
      </c>
      <c r="V423" s="408">
        <v>3</v>
      </c>
      <c r="W423" s="408">
        <v>8.6999999999999994E-2</v>
      </c>
      <c r="X423" s="408">
        <v>-0.8</v>
      </c>
      <c r="Y423" s="408">
        <v>0.5</v>
      </c>
      <c r="Z423" s="408">
        <v>-0.3</v>
      </c>
      <c r="AA423" s="408">
        <v>0.7</v>
      </c>
    </row>
    <row r="424" spans="1:27">
      <c r="A424">
        <v>346</v>
      </c>
      <c r="B424" s="1" t="s">
        <v>650</v>
      </c>
      <c r="C424" s="5" t="s">
        <v>20</v>
      </c>
      <c r="D424" s="408">
        <v>22</v>
      </c>
      <c r="E424" s="5" t="s">
        <v>61</v>
      </c>
      <c r="F424" s="408">
        <v>3</v>
      </c>
      <c r="G424" s="408">
        <v>25</v>
      </c>
      <c r="H424" s="408">
        <v>27.1</v>
      </c>
      <c r="I424" s="408">
        <v>0.72699999999999998</v>
      </c>
      <c r="J424" s="408">
        <v>0.16700000000000001</v>
      </c>
      <c r="K424" s="408">
        <v>0.33300000000000002</v>
      </c>
      <c r="L424" s="408">
        <v>0</v>
      </c>
      <c r="M424" s="408">
        <v>9.1</v>
      </c>
      <c r="N424" s="408">
        <v>4.5</v>
      </c>
      <c r="O424" s="408">
        <v>41.2</v>
      </c>
      <c r="P424" s="408">
        <v>5.9</v>
      </c>
      <c r="Q424" s="408">
        <v>0</v>
      </c>
      <c r="R424" s="408">
        <v>12.7</v>
      </c>
      <c r="S424" s="408">
        <v>13.7</v>
      </c>
      <c r="T424" s="408">
        <v>0.1</v>
      </c>
      <c r="U424" s="408">
        <v>0</v>
      </c>
      <c r="V424" s="408">
        <v>0.2</v>
      </c>
      <c r="W424" s="408">
        <v>0.311</v>
      </c>
      <c r="X424" s="408">
        <v>3.6</v>
      </c>
      <c r="Y424" s="408">
        <v>-1.6</v>
      </c>
      <c r="Z424" s="408">
        <v>2</v>
      </c>
      <c r="AA424" s="408">
        <v>0</v>
      </c>
    </row>
    <row r="425" spans="1:27">
      <c r="A425">
        <v>347</v>
      </c>
      <c r="B425" s="1" t="s">
        <v>602</v>
      </c>
      <c r="C425" s="5" t="s">
        <v>38</v>
      </c>
      <c r="D425" s="408">
        <v>22</v>
      </c>
      <c r="E425" s="5" t="s">
        <v>33</v>
      </c>
      <c r="F425" s="408">
        <v>5</v>
      </c>
      <c r="G425" s="408">
        <v>30</v>
      </c>
      <c r="H425" s="408">
        <v>20.9</v>
      </c>
      <c r="I425" s="408">
        <v>0.56799999999999995</v>
      </c>
      <c r="J425" s="408">
        <v>0</v>
      </c>
      <c r="K425" s="408">
        <v>1</v>
      </c>
      <c r="L425" s="408">
        <v>7.2</v>
      </c>
      <c r="M425" s="408">
        <v>42.3</v>
      </c>
      <c r="N425" s="408">
        <v>24.2</v>
      </c>
      <c r="O425" s="408">
        <v>12</v>
      </c>
      <c r="P425" s="408">
        <v>0</v>
      </c>
      <c r="Q425" s="408">
        <v>6</v>
      </c>
      <c r="R425" s="408">
        <v>15.9</v>
      </c>
      <c r="S425" s="408">
        <v>28.5</v>
      </c>
      <c r="T425" s="408">
        <v>0</v>
      </c>
      <c r="U425" s="408">
        <v>0</v>
      </c>
      <c r="V425" s="408">
        <v>0</v>
      </c>
      <c r="W425" s="408">
        <v>7.1999999999999995E-2</v>
      </c>
      <c r="X425" s="408">
        <v>-6</v>
      </c>
      <c r="Y425" s="408">
        <v>1.3</v>
      </c>
      <c r="Z425" s="408">
        <v>-4.7</v>
      </c>
      <c r="AA425" s="408">
        <v>0</v>
      </c>
    </row>
    <row r="426" spans="1:27">
      <c r="A426">
        <v>348</v>
      </c>
      <c r="B426" s="1" t="s">
        <v>547</v>
      </c>
      <c r="C426" s="5" t="s">
        <v>83</v>
      </c>
      <c r="D426" s="408">
        <v>31</v>
      </c>
      <c r="E426" s="5" t="s">
        <v>315</v>
      </c>
      <c r="F426" s="408">
        <v>28</v>
      </c>
      <c r="G426" s="408">
        <v>339</v>
      </c>
      <c r="H426" s="408">
        <v>10.199999999999999</v>
      </c>
      <c r="I426" s="408">
        <v>0.58899999999999997</v>
      </c>
      <c r="J426" s="408">
        <v>0.21199999999999999</v>
      </c>
      <c r="K426" s="408">
        <v>0.29399999999999998</v>
      </c>
      <c r="L426" s="408">
        <v>8.6999999999999993</v>
      </c>
      <c r="M426" s="408">
        <v>18.8</v>
      </c>
      <c r="N426" s="408">
        <v>13.7</v>
      </c>
      <c r="O426" s="408">
        <v>3.6</v>
      </c>
      <c r="P426" s="408">
        <v>0.7</v>
      </c>
      <c r="Q426" s="408">
        <v>2.4</v>
      </c>
      <c r="R426" s="408">
        <v>24.4</v>
      </c>
      <c r="S426" s="408">
        <v>16.2</v>
      </c>
      <c r="T426" s="408">
        <v>-0.1</v>
      </c>
      <c r="U426" s="408">
        <v>0.3</v>
      </c>
      <c r="V426" s="408">
        <v>0.2</v>
      </c>
      <c r="W426" s="408">
        <v>2.8000000000000001E-2</v>
      </c>
      <c r="X426" s="408">
        <v>-4.7</v>
      </c>
      <c r="Y426" s="408">
        <v>-0.5</v>
      </c>
      <c r="Z426" s="408">
        <v>-5.3</v>
      </c>
      <c r="AA426" s="408">
        <v>-0.3</v>
      </c>
    </row>
    <row r="427" spans="1:27">
      <c r="A427">
        <v>349</v>
      </c>
      <c r="B427" s="1" t="s">
        <v>437</v>
      </c>
      <c r="C427" s="5" t="s">
        <v>20</v>
      </c>
      <c r="D427" s="408">
        <v>21</v>
      </c>
      <c r="E427" s="5" t="s">
        <v>357</v>
      </c>
      <c r="F427" s="408">
        <v>57</v>
      </c>
      <c r="G427" s="408">
        <v>1120</v>
      </c>
      <c r="H427" s="408">
        <v>11.6</v>
      </c>
      <c r="I427" s="408">
        <v>0.47799999999999998</v>
      </c>
      <c r="J427" s="408">
        <v>0.28899999999999998</v>
      </c>
      <c r="K427" s="408">
        <v>0.249</v>
      </c>
      <c r="L427" s="408">
        <v>2.4</v>
      </c>
      <c r="M427" s="408">
        <v>10.9</v>
      </c>
      <c r="N427" s="408">
        <v>6.7</v>
      </c>
      <c r="O427" s="408">
        <v>24.9</v>
      </c>
      <c r="P427" s="408">
        <v>1.6</v>
      </c>
      <c r="Q427" s="408">
        <v>0.7</v>
      </c>
      <c r="R427" s="408">
        <v>16.399999999999999</v>
      </c>
      <c r="S427" s="408">
        <v>24.6</v>
      </c>
      <c r="T427" s="408">
        <v>-0.6</v>
      </c>
      <c r="U427" s="408">
        <v>0.6</v>
      </c>
      <c r="V427" s="408">
        <v>0</v>
      </c>
      <c r="W427" s="408">
        <v>1E-3</v>
      </c>
      <c r="X427" s="408">
        <v>-2.4</v>
      </c>
      <c r="Y427" s="408">
        <v>-2.2000000000000002</v>
      </c>
      <c r="Z427" s="408">
        <v>-4.7</v>
      </c>
      <c r="AA427" s="408">
        <v>-0.8</v>
      </c>
    </row>
    <row r="428" spans="1:27">
      <c r="A428">
        <v>349</v>
      </c>
      <c r="B428" s="1" t="s">
        <v>437</v>
      </c>
      <c r="C428" s="5" t="s">
        <v>20</v>
      </c>
      <c r="D428" s="408">
        <v>21</v>
      </c>
      <c r="E428" s="5" t="s">
        <v>61</v>
      </c>
      <c r="F428" s="408">
        <v>42</v>
      </c>
      <c r="G428" s="408">
        <v>752</v>
      </c>
      <c r="H428" s="408">
        <v>12.3</v>
      </c>
      <c r="I428" s="408">
        <v>0.504</v>
      </c>
      <c r="J428" s="408">
        <v>0.317</v>
      </c>
      <c r="K428" s="408">
        <v>0.24199999999999999</v>
      </c>
      <c r="L428" s="408">
        <v>2.4</v>
      </c>
      <c r="M428" s="408">
        <v>11.7</v>
      </c>
      <c r="N428" s="408">
        <v>7.1</v>
      </c>
      <c r="O428" s="408">
        <v>24.1</v>
      </c>
      <c r="P428" s="408">
        <v>1.4</v>
      </c>
      <c r="Q428" s="408">
        <v>0.4</v>
      </c>
      <c r="R428" s="408">
        <v>16.8</v>
      </c>
      <c r="S428" s="408">
        <v>24.7</v>
      </c>
      <c r="T428" s="408">
        <v>-0.1</v>
      </c>
      <c r="U428" s="408">
        <v>0.4</v>
      </c>
      <c r="V428" s="408">
        <v>0.3</v>
      </c>
      <c r="W428" s="408">
        <v>1.9E-2</v>
      </c>
      <c r="X428" s="408">
        <v>-2.1</v>
      </c>
      <c r="Y428" s="408">
        <v>-2.8</v>
      </c>
      <c r="Z428" s="408">
        <v>-4.9000000000000004</v>
      </c>
      <c r="AA428" s="408">
        <v>-0.6</v>
      </c>
    </row>
    <row r="429" spans="1:27">
      <c r="A429">
        <v>349</v>
      </c>
      <c r="B429" s="1" t="s">
        <v>437</v>
      </c>
      <c r="C429" s="5" t="s">
        <v>20</v>
      </c>
      <c r="D429" s="408">
        <v>21</v>
      </c>
      <c r="E429" s="5" t="s">
        <v>21</v>
      </c>
      <c r="F429" s="408">
        <v>15</v>
      </c>
      <c r="G429" s="408">
        <v>368</v>
      </c>
      <c r="H429" s="408">
        <v>10.3</v>
      </c>
      <c r="I429" s="408">
        <v>0.42499999999999999</v>
      </c>
      <c r="J429" s="408">
        <v>0.23200000000000001</v>
      </c>
      <c r="K429" s="408">
        <v>0.26500000000000001</v>
      </c>
      <c r="L429" s="408">
        <v>2.4</v>
      </c>
      <c r="M429" s="408">
        <v>9.3000000000000007</v>
      </c>
      <c r="N429" s="408">
        <v>5.9</v>
      </c>
      <c r="O429" s="408">
        <v>26.7</v>
      </c>
      <c r="P429" s="408">
        <v>2.2000000000000002</v>
      </c>
      <c r="Q429" s="408">
        <v>1.2</v>
      </c>
      <c r="R429" s="408">
        <v>15.6</v>
      </c>
      <c r="S429" s="408">
        <v>24.3</v>
      </c>
      <c r="T429" s="408">
        <v>-0.6</v>
      </c>
      <c r="U429" s="408">
        <v>0.3</v>
      </c>
      <c r="V429" s="408">
        <v>-0.3</v>
      </c>
      <c r="W429" s="408">
        <v>-3.6999999999999998E-2</v>
      </c>
      <c r="X429" s="408">
        <v>-3.1</v>
      </c>
      <c r="Y429" s="408">
        <v>-1</v>
      </c>
      <c r="Z429" s="408">
        <v>-4.0999999999999996</v>
      </c>
      <c r="AA429" s="408">
        <v>-0.2</v>
      </c>
    </row>
    <row r="430" spans="1:27">
      <c r="A430">
        <v>350</v>
      </c>
      <c r="B430" s="1" t="s">
        <v>2</v>
      </c>
      <c r="C430" s="5" t="s">
        <v>1118</v>
      </c>
      <c r="D430" s="408">
        <v>25</v>
      </c>
      <c r="E430" s="5" t="s">
        <v>357</v>
      </c>
      <c r="F430" s="408">
        <v>35</v>
      </c>
      <c r="G430" s="408">
        <v>321</v>
      </c>
      <c r="H430" s="408">
        <v>10.1</v>
      </c>
      <c r="I430" s="408">
        <v>0.45500000000000002</v>
      </c>
      <c r="J430" s="408">
        <v>0.14599999999999999</v>
      </c>
      <c r="K430" s="408">
        <v>0.26200000000000001</v>
      </c>
      <c r="L430" s="408">
        <v>5.7</v>
      </c>
      <c r="M430" s="408">
        <v>12</v>
      </c>
      <c r="N430" s="408">
        <v>8.9</v>
      </c>
      <c r="O430" s="408">
        <v>3.7</v>
      </c>
      <c r="P430" s="408">
        <v>0.9</v>
      </c>
      <c r="Q430" s="408">
        <v>0.5</v>
      </c>
      <c r="R430" s="408">
        <v>4</v>
      </c>
      <c r="S430" s="408">
        <v>20.9</v>
      </c>
      <c r="T430" s="408">
        <v>0</v>
      </c>
      <c r="U430" s="408">
        <v>0.1</v>
      </c>
      <c r="V430" s="408">
        <v>0.1</v>
      </c>
      <c r="W430" s="408">
        <v>1.2999999999999999E-2</v>
      </c>
      <c r="X430" s="408">
        <v>-4</v>
      </c>
      <c r="Y430" s="408">
        <v>-4.3</v>
      </c>
      <c r="Z430" s="408">
        <v>-8.3000000000000007</v>
      </c>
      <c r="AA430" s="408">
        <v>-0.5</v>
      </c>
    </row>
    <row r="431" spans="1:27">
      <c r="A431">
        <v>350</v>
      </c>
      <c r="B431" s="1" t="s">
        <v>2</v>
      </c>
      <c r="C431" s="5" t="s">
        <v>46</v>
      </c>
      <c r="D431" s="408">
        <v>25</v>
      </c>
      <c r="E431" s="5" t="s">
        <v>56</v>
      </c>
      <c r="F431" s="408">
        <v>32</v>
      </c>
      <c r="G431" s="408">
        <v>301</v>
      </c>
      <c r="H431" s="408">
        <v>9.4</v>
      </c>
      <c r="I431" s="408">
        <v>0.44600000000000001</v>
      </c>
      <c r="J431" s="408">
        <v>0.157</v>
      </c>
      <c r="K431" s="408">
        <v>0.25600000000000001</v>
      </c>
      <c r="L431" s="408">
        <v>5.7</v>
      </c>
      <c r="M431" s="408">
        <v>11.7</v>
      </c>
      <c r="N431" s="408">
        <v>8.6999999999999993</v>
      </c>
      <c r="O431" s="408">
        <v>3.3</v>
      </c>
      <c r="P431" s="408">
        <v>0.8</v>
      </c>
      <c r="Q431" s="408">
        <v>0.6</v>
      </c>
      <c r="R431" s="408">
        <v>3.6</v>
      </c>
      <c r="S431" s="408">
        <v>20.5</v>
      </c>
      <c r="T431" s="408">
        <v>0</v>
      </c>
      <c r="U431" s="408">
        <v>0.1</v>
      </c>
      <c r="V431" s="408">
        <v>0</v>
      </c>
      <c r="W431" s="408">
        <v>6.0000000000000001E-3</v>
      </c>
      <c r="X431" s="408">
        <v>-4.0999999999999996</v>
      </c>
      <c r="Y431" s="408">
        <v>-4.3</v>
      </c>
      <c r="Z431" s="408">
        <v>-8.5</v>
      </c>
      <c r="AA431" s="408">
        <v>-0.5</v>
      </c>
    </row>
    <row r="432" spans="1:27">
      <c r="A432">
        <v>350</v>
      </c>
      <c r="B432" s="1" t="s">
        <v>2</v>
      </c>
      <c r="C432" s="5" t="s">
        <v>26</v>
      </c>
      <c r="D432" s="408">
        <v>25</v>
      </c>
      <c r="E432" s="5" t="s">
        <v>41</v>
      </c>
      <c r="F432" s="408">
        <v>3</v>
      </c>
      <c r="G432" s="408">
        <v>20</v>
      </c>
      <c r="H432" s="408">
        <v>20.7</v>
      </c>
      <c r="I432" s="408">
        <v>0.58099999999999996</v>
      </c>
      <c r="J432" s="408">
        <v>0</v>
      </c>
      <c r="K432" s="408">
        <v>0.33300000000000002</v>
      </c>
      <c r="L432" s="408">
        <v>5.9</v>
      </c>
      <c r="M432" s="408">
        <v>17.7</v>
      </c>
      <c r="N432" s="408">
        <v>11.8</v>
      </c>
      <c r="O432" s="408">
        <v>8.9</v>
      </c>
      <c r="P432" s="408">
        <v>2.5</v>
      </c>
      <c r="Q432" s="408">
        <v>0</v>
      </c>
      <c r="R432" s="408">
        <v>8.8000000000000007</v>
      </c>
      <c r="S432" s="408">
        <v>25.7</v>
      </c>
      <c r="T432" s="408">
        <v>0</v>
      </c>
      <c r="U432" s="408">
        <v>0</v>
      </c>
      <c r="V432" s="408">
        <v>0.1</v>
      </c>
      <c r="W432" s="408">
        <v>0.122</v>
      </c>
      <c r="X432" s="408">
        <v>-2</v>
      </c>
      <c r="Y432" s="408">
        <v>-3.1</v>
      </c>
      <c r="Z432" s="408">
        <v>-5.0999999999999996</v>
      </c>
      <c r="AA432" s="408">
        <v>0</v>
      </c>
    </row>
    <row r="433" spans="1:27">
      <c r="A433">
        <v>351</v>
      </c>
      <c r="B433" s="1" t="s">
        <v>794</v>
      </c>
      <c r="C433" s="5" t="s">
        <v>26</v>
      </c>
      <c r="D433" s="408">
        <v>25</v>
      </c>
      <c r="E433" s="5" t="s">
        <v>41</v>
      </c>
      <c r="F433" s="408">
        <v>6</v>
      </c>
      <c r="G433" s="408">
        <v>21</v>
      </c>
      <c r="H433" s="408">
        <v>-2.1</v>
      </c>
      <c r="I433" s="408">
        <v>0.218</v>
      </c>
      <c r="J433" s="408">
        <v>0.33300000000000002</v>
      </c>
      <c r="K433" s="408">
        <v>0.33300000000000002</v>
      </c>
      <c r="L433" s="408">
        <v>5.7</v>
      </c>
      <c r="M433" s="408">
        <v>0</v>
      </c>
      <c r="N433" s="408">
        <v>2.8</v>
      </c>
      <c r="O433" s="408">
        <v>25</v>
      </c>
      <c r="P433" s="408">
        <v>2.4</v>
      </c>
      <c r="Q433" s="408">
        <v>0</v>
      </c>
      <c r="R433" s="408">
        <v>22.5</v>
      </c>
      <c r="S433" s="408">
        <v>19.2</v>
      </c>
      <c r="T433" s="408">
        <v>-0.1</v>
      </c>
      <c r="U433" s="408">
        <v>0</v>
      </c>
      <c r="V433" s="408">
        <v>-0.1</v>
      </c>
      <c r="W433" s="408">
        <v>-0.19500000000000001</v>
      </c>
      <c r="X433" s="408">
        <v>-9.4</v>
      </c>
      <c r="Y433" s="408">
        <v>-4.3</v>
      </c>
      <c r="Z433" s="408">
        <v>-13.7</v>
      </c>
      <c r="AA433" s="408">
        <v>-0.1</v>
      </c>
    </row>
    <row r="434" spans="1:27">
      <c r="A434">
        <v>352</v>
      </c>
      <c r="B434" s="1" t="s">
        <v>558</v>
      </c>
      <c r="C434" s="5" t="s">
        <v>20</v>
      </c>
      <c r="D434" s="408">
        <v>21</v>
      </c>
      <c r="E434" s="5" t="s">
        <v>140</v>
      </c>
      <c r="F434" s="408">
        <v>70</v>
      </c>
      <c r="G434" s="408">
        <v>1436</v>
      </c>
      <c r="H434" s="408">
        <v>14.8</v>
      </c>
      <c r="I434" s="408">
        <v>0.48299999999999998</v>
      </c>
      <c r="J434" s="408">
        <v>5.2999999999999999E-2</v>
      </c>
      <c r="K434" s="408">
        <v>0.216</v>
      </c>
      <c r="L434" s="408">
        <v>7.2</v>
      </c>
      <c r="M434" s="408">
        <v>22.4</v>
      </c>
      <c r="N434" s="408">
        <v>14.8</v>
      </c>
      <c r="O434" s="408">
        <v>21</v>
      </c>
      <c r="P434" s="408">
        <v>2.7</v>
      </c>
      <c r="Q434" s="408">
        <v>1.5</v>
      </c>
      <c r="R434" s="408">
        <v>17.2</v>
      </c>
      <c r="S434" s="408">
        <v>21.2</v>
      </c>
      <c r="T434" s="408">
        <v>-0.4</v>
      </c>
      <c r="U434" s="408">
        <v>2.9</v>
      </c>
      <c r="V434" s="408">
        <v>2.5</v>
      </c>
      <c r="W434" s="408">
        <v>8.4000000000000005E-2</v>
      </c>
      <c r="X434" s="408">
        <v>-2.5</v>
      </c>
      <c r="Y434" s="408">
        <v>3.5</v>
      </c>
      <c r="Z434" s="408">
        <v>1</v>
      </c>
      <c r="AA434" s="408">
        <v>1.1000000000000001</v>
      </c>
    </row>
    <row r="435" spans="1:27">
      <c r="A435">
        <v>353</v>
      </c>
      <c r="B435" s="1" t="s">
        <v>347</v>
      </c>
      <c r="C435" s="5" t="s">
        <v>20</v>
      </c>
      <c r="D435" s="408">
        <v>20</v>
      </c>
      <c r="E435" s="5" t="s">
        <v>61</v>
      </c>
      <c r="F435" s="408">
        <v>70</v>
      </c>
      <c r="G435" s="408">
        <v>2153</v>
      </c>
      <c r="H435" s="408">
        <v>16.2</v>
      </c>
      <c r="I435" s="408">
        <v>0.58199999999999996</v>
      </c>
      <c r="J435" s="408">
        <v>0.40699999999999997</v>
      </c>
      <c r="K435" s="408">
        <v>0.24</v>
      </c>
      <c r="L435" s="408">
        <v>3.6</v>
      </c>
      <c r="M435" s="408">
        <v>9.8000000000000007</v>
      </c>
      <c r="N435" s="408">
        <v>6.7</v>
      </c>
      <c r="O435" s="408">
        <v>16</v>
      </c>
      <c r="P435" s="408">
        <v>1.5</v>
      </c>
      <c r="Q435" s="408">
        <v>0.7</v>
      </c>
      <c r="R435" s="408">
        <v>13</v>
      </c>
      <c r="S435" s="408">
        <v>22.9</v>
      </c>
      <c r="T435" s="408">
        <v>3.7</v>
      </c>
      <c r="U435" s="408">
        <v>1</v>
      </c>
      <c r="V435" s="408">
        <v>4.7</v>
      </c>
      <c r="W435" s="408">
        <v>0.105</v>
      </c>
      <c r="X435" s="408">
        <v>1.9</v>
      </c>
      <c r="Y435" s="408">
        <v>-2.2000000000000002</v>
      </c>
      <c r="Z435" s="408">
        <v>-0.3</v>
      </c>
      <c r="AA435" s="408">
        <v>0.9</v>
      </c>
    </row>
    <row r="436" spans="1:27">
      <c r="A436">
        <v>354</v>
      </c>
      <c r="B436" s="1" t="s">
        <v>492</v>
      </c>
      <c r="C436" s="5" t="s">
        <v>83</v>
      </c>
      <c r="D436" s="408">
        <v>26</v>
      </c>
      <c r="E436" s="5" t="s">
        <v>149</v>
      </c>
      <c r="F436" s="408">
        <v>41</v>
      </c>
      <c r="G436" s="408">
        <v>745</v>
      </c>
      <c r="H436" s="408">
        <v>14.9</v>
      </c>
      <c r="I436" s="408">
        <v>0.60699999999999998</v>
      </c>
      <c r="J436" s="408">
        <v>0.47699999999999998</v>
      </c>
      <c r="K436" s="408">
        <v>0.22</v>
      </c>
      <c r="L436" s="408">
        <v>6.8</v>
      </c>
      <c r="M436" s="408">
        <v>18.5</v>
      </c>
      <c r="N436" s="408">
        <v>12.6</v>
      </c>
      <c r="O436" s="408">
        <v>6.9</v>
      </c>
      <c r="P436" s="408">
        <v>1.7</v>
      </c>
      <c r="Q436" s="408">
        <v>2.4</v>
      </c>
      <c r="R436" s="408">
        <v>11.7</v>
      </c>
      <c r="S436" s="408">
        <v>15.6</v>
      </c>
      <c r="T436" s="408">
        <v>1.1000000000000001</v>
      </c>
      <c r="U436" s="408">
        <v>0.7</v>
      </c>
      <c r="V436" s="408">
        <v>1.8</v>
      </c>
      <c r="W436" s="408">
        <v>0.11700000000000001</v>
      </c>
      <c r="X436" s="408">
        <v>0</v>
      </c>
      <c r="Y436" s="408">
        <v>0.3</v>
      </c>
      <c r="Z436" s="408">
        <v>0.3</v>
      </c>
      <c r="AA436" s="408">
        <v>0.4</v>
      </c>
    </row>
    <row r="437" spans="1:27">
      <c r="A437">
        <v>355</v>
      </c>
      <c r="B437" s="1" t="s">
        <v>615</v>
      </c>
      <c r="C437" s="5" t="s">
        <v>46</v>
      </c>
      <c r="D437" s="408">
        <v>24</v>
      </c>
      <c r="E437" s="5" t="s">
        <v>87</v>
      </c>
      <c r="F437" s="408">
        <v>36</v>
      </c>
      <c r="G437" s="408">
        <v>370</v>
      </c>
      <c r="H437" s="408">
        <v>6.5</v>
      </c>
      <c r="I437" s="408">
        <v>0.48499999999999999</v>
      </c>
      <c r="J437" s="408">
        <v>0.505</v>
      </c>
      <c r="K437" s="408">
        <v>0.32</v>
      </c>
      <c r="L437" s="408">
        <v>2.7</v>
      </c>
      <c r="M437" s="408">
        <v>12.5</v>
      </c>
      <c r="N437" s="408">
        <v>7.7</v>
      </c>
      <c r="O437" s="408">
        <v>7.8</v>
      </c>
      <c r="P437" s="408">
        <v>1.2</v>
      </c>
      <c r="Q437" s="408">
        <v>1.4</v>
      </c>
      <c r="R437" s="408">
        <v>17</v>
      </c>
      <c r="S437" s="408">
        <v>17.100000000000001</v>
      </c>
      <c r="T437" s="408">
        <v>-0.4</v>
      </c>
      <c r="U437" s="408">
        <v>0.5</v>
      </c>
      <c r="V437" s="408">
        <v>0.1</v>
      </c>
      <c r="W437" s="408">
        <v>1.9E-2</v>
      </c>
      <c r="X437" s="408">
        <v>-4.7</v>
      </c>
      <c r="Y437" s="408">
        <v>0.1</v>
      </c>
      <c r="Z437" s="408">
        <v>-4.7</v>
      </c>
      <c r="AA437" s="408">
        <v>-0.3</v>
      </c>
    </row>
    <row r="438" spans="1:27">
      <c r="A438">
        <v>356</v>
      </c>
      <c r="B438" s="1" t="s">
        <v>579</v>
      </c>
      <c r="C438" s="5" t="s">
        <v>83</v>
      </c>
      <c r="D438" s="408">
        <v>25</v>
      </c>
      <c r="E438" s="5" t="s">
        <v>357</v>
      </c>
      <c r="F438" s="408">
        <v>55</v>
      </c>
      <c r="G438" s="408">
        <v>1237</v>
      </c>
      <c r="H438" s="408">
        <v>20.5</v>
      </c>
      <c r="I438" s="408">
        <v>0.623</v>
      </c>
      <c r="J438" s="408">
        <v>2.1999999999999999E-2</v>
      </c>
      <c r="K438" s="408">
        <v>0.33900000000000002</v>
      </c>
      <c r="L438" s="408">
        <v>12.2</v>
      </c>
      <c r="M438" s="408">
        <v>21.4</v>
      </c>
      <c r="N438" s="408">
        <v>16.899999999999999</v>
      </c>
      <c r="O438" s="408">
        <v>8.9</v>
      </c>
      <c r="P438" s="408">
        <v>2.9</v>
      </c>
      <c r="Q438" s="408">
        <v>2.1</v>
      </c>
      <c r="R438" s="408">
        <v>10.3</v>
      </c>
      <c r="S438" s="408">
        <v>15.8</v>
      </c>
      <c r="T438" s="408">
        <v>3.3</v>
      </c>
      <c r="U438" s="408">
        <v>2</v>
      </c>
      <c r="V438" s="408">
        <v>5.2</v>
      </c>
      <c r="W438" s="408">
        <v>0.20200000000000001</v>
      </c>
      <c r="X438" s="408">
        <v>1.2</v>
      </c>
      <c r="Y438" s="408">
        <v>2.4</v>
      </c>
      <c r="Z438" s="408">
        <v>3.6</v>
      </c>
      <c r="AA438" s="408">
        <v>1.7</v>
      </c>
    </row>
    <row r="439" spans="1:27">
      <c r="A439">
        <v>356</v>
      </c>
      <c r="B439" s="1" t="s">
        <v>579</v>
      </c>
      <c r="C439" s="5" t="s">
        <v>83</v>
      </c>
      <c r="D439" s="408">
        <v>25</v>
      </c>
      <c r="E439" s="5" t="s">
        <v>78</v>
      </c>
      <c r="F439" s="408">
        <v>42</v>
      </c>
      <c r="G439" s="408">
        <v>922</v>
      </c>
      <c r="H439" s="408">
        <v>19.399999999999999</v>
      </c>
      <c r="I439" s="408">
        <v>0.61799999999999999</v>
      </c>
      <c r="J439" s="408">
        <v>1.6E-2</v>
      </c>
      <c r="K439" s="408">
        <v>0.34399999999999997</v>
      </c>
      <c r="L439" s="408">
        <v>12.5</v>
      </c>
      <c r="M439" s="408">
        <v>20.3</v>
      </c>
      <c r="N439" s="408">
        <v>16.399999999999999</v>
      </c>
      <c r="O439" s="408">
        <v>9.1</v>
      </c>
      <c r="P439" s="408">
        <v>3</v>
      </c>
      <c r="Q439" s="408">
        <v>1.8</v>
      </c>
      <c r="R439" s="408">
        <v>12.3</v>
      </c>
      <c r="S439" s="408">
        <v>15.2</v>
      </c>
      <c r="T439" s="408">
        <v>2.1</v>
      </c>
      <c r="U439" s="408">
        <v>1.5</v>
      </c>
      <c r="V439" s="408">
        <v>3.6</v>
      </c>
      <c r="W439" s="408">
        <v>0.189</v>
      </c>
      <c r="X439" s="408">
        <v>0.9</v>
      </c>
      <c r="Y439" s="408">
        <v>2.6</v>
      </c>
      <c r="Z439" s="408">
        <v>3.6</v>
      </c>
      <c r="AA439" s="408">
        <v>1.3</v>
      </c>
    </row>
    <row r="440" spans="1:27">
      <c r="A440">
        <v>356</v>
      </c>
      <c r="B440" s="1" t="s">
        <v>579</v>
      </c>
      <c r="C440" s="5" t="s">
        <v>83</v>
      </c>
      <c r="D440" s="408">
        <v>25</v>
      </c>
      <c r="E440" s="5" t="s">
        <v>102</v>
      </c>
      <c r="F440" s="408">
        <v>13</v>
      </c>
      <c r="G440" s="408">
        <v>315</v>
      </c>
      <c r="H440" s="408">
        <v>23.7</v>
      </c>
      <c r="I440" s="408">
        <v>0.63500000000000001</v>
      </c>
      <c r="J440" s="408">
        <v>3.7999999999999999E-2</v>
      </c>
      <c r="K440" s="408">
        <v>0.32700000000000001</v>
      </c>
      <c r="L440" s="408">
        <v>11.5</v>
      </c>
      <c r="M440" s="408">
        <v>24.8</v>
      </c>
      <c r="N440" s="408">
        <v>18.3</v>
      </c>
      <c r="O440" s="408">
        <v>8.5</v>
      </c>
      <c r="P440" s="408">
        <v>2.6</v>
      </c>
      <c r="Q440" s="408">
        <v>3.2</v>
      </c>
      <c r="R440" s="408">
        <v>4.8</v>
      </c>
      <c r="S440" s="408">
        <v>17.600000000000001</v>
      </c>
      <c r="T440" s="408">
        <v>1.1000000000000001</v>
      </c>
      <c r="U440" s="408">
        <v>0.4</v>
      </c>
      <c r="V440" s="408">
        <v>1.6</v>
      </c>
      <c r="W440" s="408">
        <v>0.24099999999999999</v>
      </c>
      <c r="X440" s="408">
        <v>2.1</v>
      </c>
      <c r="Y440" s="408">
        <v>1.6</v>
      </c>
      <c r="Z440" s="408">
        <v>3.7</v>
      </c>
      <c r="AA440" s="408">
        <v>0.5</v>
      </c>
    </row>
    <row r="441" spans="1:27">
      <c r="A441">
        <v>357</v>
      </c>
      <c r="B441" s="1" t="s">
        <v>201</v>
      </c>
      <c r="C441" s="5" t="s">
        <v>20</v>
      </c>
      <c r="D441" s="408">
        <v>26</v>
      </c>
      <c r="E441" s="5" t="s">
        <v>96</v>
      </c>
      <c r="F441" s="408">
        <v>63</v>
      </c>
      <c r="G441" s="408">
        <v>1320</v>
      </c>
      <c r="H441" s="408">
        <v>15.1</v>
      </c>
      <c r="I441" s="408">
        <v>0.55700000000000005</v>
      </c>
      <c r="J441" s="408">
        <v>0.40300000000000002</v>
      </c>
      <c r="K441" s="408">
        <v>0.27100000000000002</v>
      </c>
      <c r="L441" s="408">
        <v>1.8</v>
      </c>
      <c r="M441" s="408">
        <v>9.8000000000000007</v>
      </c>
      <c r="N441" s="408">
        <v>5.8</v>
      </c>
      <c r="O441" s="408">
        <v>15.4</v>
      </c>
      <c r="P441" s="408">
        <v>2.7</v>
      </c>
      <c r="Q441" s="408">
        <v>0.9</v>
      </c>
      <c r="R441" s="408">
        <v>13.2</v>
      </c>
      <c r="S441" s="408">
        <v>19.600000000000001</v>
      </c>
      <c r="T441" s="408">
        <v>1.4</v>
      </c>
      <c r="U441" s="408">
        <v>1.8</v>
      </c>
      <c r="V441" s="408">
        <v>3.2</v>
      </c>
      <c r="W441" s="408">
        <v>0.11700000000000001</v>
      </c>
      <c r="X441" s="408">
        <v>0.2</v>
      </c>
      <c r="Y441" s="408">
        <v>0.6</v>
      </c>
      <c r="Z441" s="408">
        <v>0.8</v>
      </c>
      <c r="AA441" s="408">
        <v>0.9</v>
      </c>
    </row>
    <row r="442" spans="1:27">
      <c r="A442">
        <v>358</v>
      </c>
      <c r="B442" s="1" t="s">
        <v>127</v>
      </c>
      <c r="C442" s="5" t="s">
        <v>20</v>
      </c>
      <c r="D442" s="408">
        <v>35</v>
      </c>
      <c r="E442" s="5" t="s">
        <v>357</v>
      </c>
      <c r="F442" s="408">
        <v>50</v>
      </c>
      <c r="G442" s="408">
        <v>1013</v>
      </c>
      <c r="H442" s="408">
        <v>8.1999999999999993</v>
      </c>
      <c r="I442" s="408">
        <v>0.48899999999999999</v>
      </c>
      <c r="J442" s="408">
        <v>0.50800000000000001</v>
      </c>
      <c r="K442" s="408">
        <v>8.2000000000000003E-2</v>
      </c>
      <c r="L442" s="408">
        <v>1.4</v>
      </c>
      <c r="M442" s="408">
        <v>9.6</v>
      </c>
      <c r="N442" s="408">
        <v>5.6</v>
      </c>
      <c r="O442" s="408">
        <v>23.1</v>
      </c>
      <c r="P442" s="408">
        <v>1.3</v>
      </c>
      <c r="Q442" s="408">
        <v>0.3</v>
      </c>
      <c r="R442" s="408">
        <v>21</v>
      </c>
      <c r="S442" s="408">
        <v>13.7</v>
      </c>
      <c r="T442" s="408">
        <v>-0.1</v>
      </c>
      <c r="U442" s="408">
        <v>0.6</v>
      </c>
      <c r="V442" s="408">
        <v>0.5</v>
      </c>
      <c r="W442" s="408">
        <v>2.5000000000000001E-2</v>
      </c>
      <c r="X442" s="408">
        <v>-2.6</v>
      </c>
      <c r="Y442" s="408">
        <v>-1.6</v>
      </c>
      <c r="Z442" s="408">
        <v>-4.2</v>
      </c>
      <c r="AA442" s="408">
        <v>-0.6</v>
      </c>
    </row>
    <row r="443" spans="1:27">
      <c r="A443">
        <v>358</v>
      </c>
      <c r="B443" s="1" t="s">
        <v>127</v>
      </c>
      <c r="C443" s="5" t="s">
        <v>20</v>
      </c>
      <c r="D443" s="408">
        <v>35</v>
      </c>
      <c r="E443" s="5" t="s">
        <v>112</v>
      </c>
      <c r="F443" s="408">
        <v>43</v>
      </c>
      <c r="G443" s="408">
        <v>897</v>
      </c>
      <c r="H443" s="408">
        <v>8.9</v>
      </c>
      <c r="I443" s="408">
        <v>0.52</v>
      </c>
      <c r="J443" s="408">
        <v>0.53700000000000003</v>
      </c>
      <c r="K443" s="408">
        <v>8.3000000000000004E-2</v>
      </c>
      <c r="L443" s="408">
        <v>1.4</v>
      </c>
      <c r="M443" s="408">
        <v>10</v>
      </c>
      <c r="N443" s="408">
        <v>5.8</v>
      </c>
      <c r="O443" s="408">
        <v>22.4</v>
      </c>
      <c r="P443" s="408">
        <v>1.2</v>
      </c>
      <c r="Q443" s="408">
        <v>0.3</v>
      </c>
      <c r="R443" s="408">
        <v>20.9</v>
      </c>
      <c r="S443" s="408">
        <v>13</v>
      </c>
      <c r="T443" s="408">
        <v>0.3</v>
      </c>
      <c r="U443" s="408">
        <v>0.5</v>
      </c>
      <c r="V443" s="408">
        <v>0.8</v>
      </c>
      <c r="W443" s="408">
        <v>4.2000000000000003E-2</v>
      </c>
      <c r="X443" s="408">
        <v>-1.9</v>
      </c>
      <c r="Y443" s="408">
        <v>-1.5</v>
      </c>
      <c r="Z443" s="408">
        <v>-3.5</v>
      </c>
      <c r="AA443" s="408">
        <v>-0.3</v>
      </c>
    </row>
    <row r="444" spans="1:27">
      <c r="A444">
        <v>358</v>
      </c>
      <c r="B444" s="1" t="s">
        <v>127</v>
      </c>
      <c r="C444" s="5" t="s">
        <v>20</v>
      </c>
      <c r="D444" s="408">
        <v>35</v>
      </c>
      <c r="E444" s="5" t="s">
        <v>157</v>
      </c>
      <c r="F444" s="408">
        <v>7</v>
      </c>
      <c r="G444" s="408">
        <v>116</v>
      </c>
      <c r="H444" s="408">
        <v>2.6</v>
      </c>
      <c r="I444" s="408">
        <v>0.32200000000000001</v>
      </c>
      <c r="J444" s="408">
        <v>0.35899999999999999</v>
      </c>
      <c r="K444" s="408">
        <v>7.6999999999999999E-2</v>
      </c>
      <c r="L444" s="408">
        <v>1.9</v>
      </c>
      <c r="M444" s="408">
        <v>5.9</v>
      </c>
      <c r="N444" s="408">
        <v>3.8</v>
      </c>
      <c r="O444" s="408">
        <v>28</v>
      </c>
      <c r="P444" s="408">
        <v>1.7</v>
      </c>
      <c r="Q444" s="408">
        <v>0.8</v>
      </c>
      <c r="R444" s="408">
        <v>21.4</v>
      </c>
      <c r="S444" s="408">
        <v>19.600000000000001</v>
      </c>
      <c r="T444" s="408">
        <v>-0.4</v>
      </c>
      <c r="U444" s="408">
        <v>0.1</v>
      </c>
      <c r="V444" s="408">
        <v>-0.3</v>
      </c>
      <c r="W444" s="408">
        <v>-0.111</v>
      </c>
      <c r="X444" s="408">
        <v>-7.5</v>
      </c>
      <c r="Y444" s="408">
        <v>-2.2000000000000002</v>
      </c>
      <c r="Z444" s="408">
        <v>-9.6999999999999993</v>
      </c>
      <c r="AA444" s="408">
        <v>-0.2</v>
      </c>
    </row>
    <row r="445" spans="1:27">
      <c r="A445">
        <v>359</v>
      </c>
      <c r="B445" s="1" t="s">
        <v>121</v>
      </c>
      <c r="C445" s="5" t="s">
        <v>20</v>
      </c>
      <c r="D445" s="408">
        <v>25</v>
      </c>
      <c r="E445" s="5" t="s">
        <v>305</v>
      </c>
      <c r="F445" s="408">
        <v>39</v>
      </c>
      <c r="G445" s="408">
        <v>478</v>
      </c>
      <c r="H445" s="408">
        <v>12.4</v>
      </c>
      <c r="I445" s="408">
        <v>0.55400000000000005</v>
      </c>
      <c r="J445" s="408">
        <v>0.313</v>
      </c>
      <c r="K445" s="408">
        <v>0.224</v>
      </c>
      <c r="L445" s="408">
        <v>1.7</v>
      </c>
      <c r="M445" s="408">
        <v>9.5</v>
      </c>
      <c r="N445" s="408">
        <v>5.6</v>
      </c>
      <c r="O445" s="408">
        <v>23.4</v>
      </c>
      <c r="P445" s="408">
        <v>1.2</v>
      </c>
      <c r="Q445" s="408">
        <v>0.7</v>
      </c>
      <c r="R445" s="408">
        <v>16.5</v>
      </c>
      <c r="S445" s="408">
        <v>18.3</v>
      </c>
      <c r="T445" s="408">
        <v>0.4</v>
      </c>
      <c r="U445" s="408">
        <v>0.5</v>
      </c>
      <c r="V445" s="408">
        <v>0.9</v>
      </c>
      <c r="W445" s="408">
        <v>9.5000000000000001E-2</v>
      </c>
      <c r="X445" s="408">
        <v>-1.8</v>
      </c>
      <c r="Y445" s="408">
        <v>-1.2</v>
      </c>
      <c r="Z445" s="408">
        <v>-3</v>
      </c>
      <c r="AA445" s="408">
        <v>-0.1</v>
      </c>
    </row>
    <row r="446" spans="1:27">
      <c r="A446">
        <v>360</v>
      </c>
      <c r="B446" s="1" t="s">
        <v>723</v>
      </c>
      <c r="C446" s="5" t="s">
        <v>38</v>
      </c>
      <c r="D446" s="408">
        <v>24</v>
      </c>
      <c r="E446" s="5" t="s">
        <v>305</v>
      </c>
      <c r="F446" s="408">
        <v>5</v>
      </c>
      <c r="G446" s="408">
        <v>12</v>
      </c>
      <c r="H446" s="408">
        <v>12.2</v>
      </c>
      <c r="I446" s="408">
        <v>0.5</v>
      </c>
      <c r="J446" s="408">
        <v>0.25</v>
      </c>
      <c r="K446" s="408">
        <v>0</v>
      </c>
      <c r="L446" s="408">
        <v>0</v>
      </c>
      <c r="M446" s="408">
        <v>9.4</v>
      </c>
      <c r="N446" s="408">
        <v>4.7</v>
      </c>
      <c r="O446" s="408">
        <v>27</v>
      </c>
      <c r="P446" s="408">
        <v>8.4</v>
      </c>
      <c r="Q446" s="408">
        <v>0</v>
      </c>
      <c r="R446" s="408">
        <v>33.299999999999997</v>
      </c>
      <c r="S446" s="408">
        <v>22.6</v>
      </c>
      <c r="T446" s="408">
        <v>0</v>
      </c>
      <c r="U446" s="408">
        <v>0</v>
      </c>
      <c r="V446" s="408">
        <v>0</v>
      </c>
      <c r="W446" s="408">
        <v>-8.9999999999999993E-3</v>
      </c>
      <c r="X446" s="408">
        <v>-5.8</v>
      </c>
      <c r="Y446" s="408">
        <v>4</v>
      </c>
      <c r="Z446" s="408">
        <v>-1.8</v>
      </c>
      <c r="AA446" s="408">
        <v>0</v>
      </c>
    </row>
    <row r="447" spans="1:27">
      <c r="A447">
        <v>361</v>
      </c>
      <c r="B447" s="1" t="s">
        <v>592</v>
      </c>
      <c r="C447" s="5" t="s">
        <v>83</v>
      </c>
      <c r="D447" s="408">
        <v>32</v>
      </c>
      <c r="E447" s="5" t="s">
        <v>21</v>
      </c>
      <c r="F447" s="408">
        <v>7</v>
      </c>
      <c r="G447" s="408">
        <v>40</v>
      </c>
      <c r="H447" s="408">
        <v>15.6</v>
      </c>
      <c r="I447" s="408">
        <v>0.51</v>
      </c>
      <c r="J447" s="408">
        <v>0</v>
      </c>
      <c r="K447" s="408">
        <v>0.4</v>
      </c>
      <c r="L447" s="408">
        <v>16.8</v>
      </c>
      <c r="M447" s="408">
        <v>22</v>
      </c>
      <c r="N447" s="408">
        <v>19.399999999999999</v>
      </c>
      <c r="O447" s="408">
        <v>14</v>
      </c>
      <c r="P447" s="408">
        <v>2.5</v>
      </c>
      <c r="Q447" s="408">
        <v>4.4000000000000004</v>
      </c>
      <c r="R447" s="408">
        <v>25.4</v>
      </c>
      <c r="S447" s="408">
        <v>17.2</v>
      </c>
      <c r="T447" s="408">
        <v>0</v>
      </c>
      <c r="U447" s="408">
        <v>0.1</v>
      </c>
      <c r="V447" s="408">
        <v>0.1</v>
      </c>
      <c r="W447" s="408">
        <v>7.3999999999999996E-2</v>
      </c>
      <c r="X447" s="408">
        <v>-2.2000000000000002</v>
      </c>
      <c r="Y447" s="408">
        <v>3.5</v>
      </c>
      <c r="Z447" s="408">
        <v>1.3</v>
      </c>
      <c r="AA447" s="408">
        <v>0</v>
      </c>
    </row>
    <row r="448" spans="1:27">
      <c r="A448">
        <v>362</v>
      </c>
      <c r="B448" s="1" t="s">
        <v>107</v>
      </c>
      <c r="C448" s="5" t="s">
        <v>83</v>
      </c>
      <c r="D448" s="408">
        <v>23</v>
      </c>
      <c r="E448" s="5" t="s">
        <v>33</v>
      </c>
      <c r="F448" s="408">
        <v>25</v>
      </c>
      <c r="G448" s="408">
        <v>362</v>
      </c>
      <c r="H448" s="408">
        <v>15.7</v>
      </c>
      <c r="I448" s="408">
        <v>0.53800000000000003</v>
      </c>
      <c r="J448" s="408">
        <v>1.0999999999999999E-2</v>
      </c>
      <c r="K448" s="408">
        <v>0.29899999999999999</v>
      </c>
      <c r="L448" s="408">
        <v>12</v>
      </c>
      <c r="M448" s="408">
        <v>27.1</v>
      </c>
      <c r="N448" s="408">
        <v>19.3</v>
      </c>
      <c r="O448" s="408">
        <v>5.4</v>
      </c>
      <c r="P448" s="408">
        <v>3.2</v>
      </c>
      <c r="Q448" s="408">
        <v>4.2</v>
      </c>
      <c r="R448" s="408">
        <v>16.899999999999999</v>
      </c>
      <c r="S448" s="408">
        <v>14.9</v>
      </c>
      <c r="T448" s="408">
        <v>0.3</v>
      </c>
      <c r="U448" s="408">
        <v>0.7</v>
      </c>
      <c r="V448" s="408">
        <v>1</v>
      </c>
      <c r="W448" s="408">
        <v>0.128</v>
      </c>
      <c r="X448" s="408">
        <v>-3.6</v>
      </c>
      <c r="Y448" s="408">
        <v>4</v>
      </c>
      <c r="Z448" s="408">
        <v>0.4</v>
      </c>
      <c r="AA448" s="408">
        <v>0.2</v>
      </c>
    </row>
    <row r="449" spans="1:27">
      <c r="A449">
        <v>363</v>
      </c>
      <c r="B449" s="1" t="s">
        <v>90</v>
      </c>
      <c r="C449" s="5" t="s">
        <v>83</v>
      </c>
      <c r="D449" s="408">
        <v>25</v>
      </c>
      <c r="E449" s="5" t="s">
        <v>47</v>
      </c>
      <c r="F449" s="408">
        <v>42</v>
      </c>
      <c r="G449" s="408">
        <v>347</v>
      </c>
      <c r="H449" s="408">
        <v>17.3</v>
      </c>
      <c r="I449" s="408">
        <v>0.67</v>
      </c>
      <c r="J449" s="408">
        <v>0.23899999999999999</v>
      </c>
      <c r="K449" s="408">
        <v>0.35799999999999998</v>
      </c>
      <c r="L449" s="408">
        <v>4.9000000000000004</v>
      </c>
      <c r="M449" s="408">
        <v>19.600000000000001</v>
      </c>
      <c r="N449" s="408">
        <v>12.4</v>
      </c>
      <c r="O449" s="408">
        <v>6.7</v>
      </c>
      <c r="P449" s="408">
        <v>2.7</v>
      </c>
      <c r="Q449" s="408">
        <v>7.8</v>
      </c>
      <c r="R449" s="408">
        <v>15.3</v>
      </c>
      <c r="S449" s="408">
        <v>11.5</v>
      </c>
      <c r="T449" s="408">
        <v>0.6</v>
      </c>
      <c r="U449" s="408">
        <v>0.8</v>
      </c>
      <c r="V449" s="408">
        <v>1.4</v>
      </c>
      <c r="W449" s="408">
        <v>0.192</v>
      </c>
      <c r="X449" s="408">
        <v>-0.8</v>
      </c>
      <c r="Y449" s="408">
        <v>5.9</v>
      </c>
      <c r="Z449" s="408">
        <v>5.2</v>
      </c>
      <c r="AA449" s="408">
        <v>0.6</v>
      </c>
    </row>
    <row r="450" spans="1:27">
      <c r="A450">
        <v>364</v>
      </c>
      <c r="B450" s="1" t="s">
        <v>385</v>
      </c>
      <c r="C450" s="5" t="s">
        <v>83</v>
      </c>
      <c r="D450" s="408">
        <v>39</v>
      </c>
      <c r="E450" s="5" t="s">
        <v>33</v>
      </c>
      <c r="F450" s="408">
        <v>69</v>
      </c>
      <c r="G450" s="408">
        <v>1716</v>
      </c>
      <c r="H450" s="408">
        <v>17.2</v>
      </c>
      <c r="I450" s="408">
        <v>0.58399999999999996</v>
      </c>
      <c r="J450" s="408">
        <v>0.42799999999999999</v>
      </c>
      <c r="K450" s="408">
        <v>0.14899999999999999</v>
      </c>
      <c r="L450" s="408">
        <v>1.4</v>
      </c>
      <c r="M450" s="408">
        <v>24.9</v>
      </c>
      <c r="N450" s="408">
        <v>12.8</v>
      </c>
      <c r="O450" s="408">
        <v>10.5</v>
      </c>
      <c r="P450" s="408">
        <v>1.2</v>
      </c>
      <c r="Q450" s="408">
        <v>2</v>
      </c>
      <c r="R450" s="408">
        <v>6</v>
      </c>
      <c r="S450" s="408">
        <v>20.6</v>
      </c>
      <c r="T450" s="408">
        <v>2.7</v>
      </c>
      <c r="U450" s="408">
        <v>2</v>
      </c>
      <c r="V450" s="408">
        <v>4.7</v>
      </c>
      <c r="W450" s="408">
        <v>0.13</v>
      </c>
      <c r="X450" s="408">
        <v>0.5</v>
      </c>
      <c r="Y450" s="408">
        <v>0.4</v>
      </c>
      <c r="Z450" s="408">
        <v>0.8</v>
      </c>
      <c r="AA450" s="408">
        <v>1.2</v>
      </c>
    </row>
    <row r="451" spans="1:27">
      <c r="A451">
        <v>365</v>
      </c>
      <c r="B451" s="1" t="s">
        <v>487</v>
      </c>
      <c r="C451" s="5" t="s">
        <v>20</v>
      </c>
      <c r="D451" s="408">
        <v>19</v>
      </c>
      <c r="E451" s="5" t="s">
        <v>21</v>
      </c>
      <c r="F451" s="408">
        <v>68</v>
      </c>
      <c r="G451" s="408">
        <v>1418</v>
      </c>
      <c r="H451" s="408">
        <v>7</v>
      </c>
      <c r="I451" s="408">
        <v>0.435</v>
      </c>
      <c r="J451" s="408">
        <v>0.307</v>
      </c>
      <c r="K451" s="408">
        <v>0.16500000000000001</v>
      </c>
      <c r="L451" s="408">
        <v>2.2999999999999998</v>
      </c>
      <c r="M451" s="408">
        <v>9</v>
      </c>
      <c r="N451" s="408">
        <v>5.7</v>
      </c>
      <c r="O451" s="408">
        <v>20.6</v>
      </c>
      <c r="P451" s="408">
        <v>2</v>
      </c>
      <c r="Q451" s="408">
        <v>0.9</v>
      </c>
      <c r="R451" s="408">
        <v>20.6</v>
      </c>
      <c r="S451" s="408">
        <v>16.899999999999999</v>
      </c>
      <c r="T451" s="408">
        <v>-1.7</v>
      </c>
      <c r="U451" s="408">
        <v>1</v>
      </c>
      <c r="V451" s="408">
        <v>-0.7</v>
      </c>
      <c r="W451" s="408">
        <v>-2.4E-2</v>
      </c>
      <c r="X451" s="408">
        <v>-3.6</v>
      </c>
      <c r="Y451" s="408">
        <v>-0.4</v>
      </c>
      <c r="Z451" s="408">
        <v>-4</v>
      </c>
      <c r="AA451" s="408">
        <v>-0.7</v>
      </c>
    </row>
    <row r="452" spans="1:27">
      <c r="A452">
        <v>366</v>
      </c>
      <c r="B452" s="1" t="s">
        <v>231</v>
      </c>
      <c r="C452" s="5" t="s">
        <v>83</v>
      </c>
      <c r="D452" s="408">
        <v>23</v>
      </c>
      <c r="E452" s="5" t="s">
        <v>96</v>
      </c>
      <c r="F452" s="408">
        <v>67</v>
      </c>
      <c r="G452" s="408">
        <v>1744</v>
      </c>
      <c r="H452" s="408">
        <v>17.899999999999999</v>
      </c>
      <c r="I452" s="408">
        <v>0.51500000000000001</v>
      </c>
      <c r="J452" s="408">
        <v>8.9999999999999993E-3</v>
      </c>
      <c r="K452" s="408">
        <v>0.29599999999999999</v>
      </c>
      <c r="L452" s="408">
        <v>9.4</v>
      </c>
      <c r="M452" s="408">
        <v>26.5</v>
      </c>
      <c r="N452" s="408">
        <v>18.100000000000001</v>
      </c>
      <c r="O452" s="408">
        <v>12</v>
      </c>
      <c r="P452" s="408">
        <v>1.4</v>
      </c>
      <c r="Q452" s="408">
        <v>4</v>
      </c>
      <c r="R452" s="408">
        <v>14.9</v>
      </c>
      <c r="S452" s="408">
        <v>27.1</v>
      </c>
      <c r="T452" s="408">
        <v>-0.1</v>
      </c>
      <c r="U452" s="408">
        <v>3.2</v>
      </c>
      <c r="V452" s="408">
        <v>3.1</v>
      </c>
      <c r="W452" s="408">
        <v>8.5999999999999993E-2</v>
      </c>
      <c r="X452" s="408">
        <v>-3.3</v>
      </c>
      <c r="Y452" s="408">
        <v>2.6</v>
      </c>
      <c r="Z452" s="408">
        <v>-0.8</v>
      </c>
      <c r="AA452" s="408">
        <v>0.6</v>
      </c>
    </row>
    <row r="453" spans="1:27">
      <c r="A453">
        <v>367</v>
      </c>
      <c r="B453" s="1" t="s">
        <v>177</v>
      </c>
      <c r="C453" s="5" t="s">
        <v>26</v>
      </c>
      <c r="D453" s="408">
        <v>25</v>
      </c>
      <c r="E453" s="5" t="s">
        <v>43</v>
      </c>
      <c r="F453" s="408">
        <v>58</v>
      </c>
      <c r="G453" s="408">
        <v>1313</v>
      </c>
      <c r="H453" s="408">
        <v>13.1</v>
      </c>
      <c r="I453" s="408">
        <v>0.58199999999999996</v>
      </c>
      <c r="J453" s="408">
        <v>0.11700000000000001</v>
      </c>
      <c r="K453" s="408">
        <v>0.57899999999999996</v>
      </c>
      <c r="L453" s="408">
        <v>5.3</v>
      </c>
      <c r="M453" s="408">
        <v>16.2</v>
      </c>
      <c r="N453" s="408">
        <v>10.6</v>
      </c>
      <c r="O453" s="408">
        <v>8.6</v>
      </c>
      <c r="P453" s="408">
        <v>1.8</v>
      </c>
      <c r="Q453" s="408">
        <v>1.8</v>
      </c>
      <c r="R453" s="408">
        <v>13.2</v>
      </c>
      <c r="S453" s="408">
        <v>14.4</v>
      </c>
      <c r="T453" s="408">
        <v>1.4</v>
      </c>
      <c r="U453" s="408">
        <v>1.2</v>
      </c>
      <c r="V453" s="408">
        <v>2.7</v>
      </c>
      <c r="W453" s="408">
        <v>9.8000000000000004E-2</v>
      </c>
      <c r="X453" s="408">
        <v>-2</v>
      </c>
      <c r="Y453" s="408">
        <v>1.3</v>
      </c>
      <c r="Z453" s="408">
        <v>-0.8</v>
      </c>
      <c r="AA453" s="408">
        <v>0.4</v>
      </c>
    </row>
    <row r="454" spans="1:27">
      <c r="A454">
        <v>368</v>
      </c>
      <c r="B454" s="1" t="s">
        <v>123</v>
      </c>
      <c r="C454" s="5" t="s">
        <v>38</v>
      </c>
      <c r="D454" s="408">
        <v>24</v>
      </c>
      <c r="E454" s="5" t="s">
        <v>311</v>
      </c>
      <c r="F454" s="408">
        <v>36</v>
      </c>
      <c r="G454" s="408">
        <v>379</v>
      </c>
      <c r="H454" s="408">
        <v>11.9</v>
      </c>
      <c r="I454" s="408">
        <v>0.47</v>
      </c>
      <c r="J454" s="408">
        <v>0.251</v>
      </c>
      <c r="K454" s="408">
        <v>0.14599999999999999</v>
      </c>
      <c r="L454" s="408">
        <v>8.1</v>
      </c>
      <c r="M454" s="408">
        <v>19.2</v>
      </c>
      <c r="N454" s="408">
        <v>13.5</v>
      </c>
      <c r="O454" s="408">
        <v>5.9</v>
      </c>
      <c r="P454" s="408">
        <v>1</v>
      </c>
      <c r="Q454" s="408">
        <v>1.3</v>
      </c>
      <c r="R454" s="408">
        <v>7.6</v>
      </c>
      <c r="S454" s="408">
        <v>22.6</v>
      </c>
      <c r="T454" s="408">
        <v>-0.1</v>
      </c>
      <c r="U454" s="408">
        <v>0.3</v>
      </c>
      <c r="V454" s="408">
        <v>0.3</v>
      </c>
      <c r="W454" s="408">
        <v>3.4000000000000002E-2</v>
      </c>
      <c r="X454" s="408">
        <v>-3.4</v>
      </c>
      <c r="Y454" s="408">
        <v>-2.2999999999999998</v>
      </c>
      <c r="Z454" s="408">
        <v>-5.7</v>
      </c>
      <c r="AA454" s="408">
        <v>-0.4</v>
      </c>
    </row>
    <row r="455" spans="1:27">
      <c r="A455">
        <v>369</v>
      </c>
      <c r="B455" s="1" t="s">
        <v>512</v>
      </c>
      <c r="C455" s="5" t="s">
        <v>46</v>
      </c>
      <c r="D455" s="408">
        <v>24</v>
      </c>
      <c r="E455" s="5" t="s">
        <v>305</v>
      </c>
      <c r="F455" s="408">
        <v>57</v>
      </c>
      <c r="G455" s="408">
        <v>895</v>
      </c>
      <c r="H455" s="408">
        <v>11</v>
      </c>
      <c r="I455" s="408">
        <v>0.52300000000000002</v>
      </c>
      <c r="J455" s="408">
        <v>0.42</v>
      </c>
      <c r="K455" s="408">
        <v>0.29399999999999998</v>
      </c>
      <c r="L455" s="408">
        <v>3.1</v>
      </c>
      <c r="M455" s="408">
        <v>20.399999999999999</v>
      </c>
      <c r="N455" s="408">
        <v>11.8</v>
      </c>
      <c r="O455" s="408">
        <v>12.8</v>
      </c>
      <c r="P455" s="408">
        <v>1.7</v>
      </c>
      <c r="Q455" s="408">
        <v>1.1000000000000001</v>
      </c>
      <c r="R455" s="408">
        <v>14.7</v>
      </c>
      <c r="S455" s="408">
        <v>15.4</v>
      </c>
      <c r="T455" s="408">
        <v>0.3</v>
      </c>
      <c r="U455" s="408">
        <v>1.4</v>
      </c>
      <c r="V455" s="408">
        <v>1.7</v>
      </c>
      <c r="W455" s="408">
        <v>9.2999999999999999E-2</v>
      </c>
      <c r="X455" s="408">
        <v>-2.5</v>
      </c>
      <c r="Y455" s="408">
        <v>1.6</v>
      </c>
      <c r="Z455" s="408">
        <v>-0.9</v>
      </c>
      <c r="AA455" s="408">
        <v>0.2</v>
      </c>
    </row>
    <row r="456" spans="1:27">
      <c r="A456">
        <v>370</v>
      </c>
      <c r="B456" s="1" t="s">
        <v>568</v>
      </c>
      <c r="C456" s="5" t="s">
        <v>83</v>
      </c>
      <c r="D456" s="408">
        <v>27</v>
      </c>
      <c r="E456" s="5" t="s">
        <v>21</v>
      </c>
      <c r="F456" s="408">
        <v>69</v>
      </c>
      <c r="G456" s="408">
        <v>1198</v>
      </c>
      <c r="H456" s="408">
        <v>19.8</v>
      </c>
      <c r="I456" s="408">
        <v>0.63100000000000001</v>
      </c>
      <c r="J456" s="408">
        <v>3.4000000000000002E-2</v>
      </c>
      <c r="K456" s="408">
        <v>0.35299999999999998</v>
      </c>
      <c r="L456" s="408">
        <v>8.9</v>
      </c>
      <c r="M456" s="408">
        <v>28</v>
      </c>
      <c r="N456" s="408">
        <v>18.5</v>
      </c>
      <c r="O456" s="408">
        <v>17.100000000000001</v>
      </c>
      <c r="P456" s="408">
        <v>1.4</v>
      </c>
      <c r="Q456" s="408">
        <v>6</v>
      </c>
      <c r="R456" s="408">
        <v>19.3</v>
      </c>
      <c r="S456" s="408">
        <v>17</v>
      </c>
      <c r="T456" s="408">
        <v>2.2000000000000002</v>
      </c>
      <c r="U456" s="408">
        <v>1.9</v>
      </c>
      <c r="V456" s="408">
        <v>4.0999999999999996</v>
      </c>
      <c r="W456" s="408">
        <v>0.16600000000000001</v>
      </c>
      <c r="X456" s="408">
        <v>0.1</v>
      </c>
      <c r="Y456" s="408">
        <v>4.4000000000000004</v>
      </c>
      <c r="Z456" s="408">
        <v>4.4000000000000004</v>
      </c>
      <c r="AA456" s="408">
        <v>1.9</v>
      </c>
    </row>
    <row r="457" spans="1:27">
      <c r="A457">
        <v>371</v>
      </c>
      <c r="B457" s="1" t="s">
        <v>488</v>
      </c>
      <c r="C457" s="5" t="s">
        <v>38</v>
      </c>
      <c r="D457" s="408">
        <v>23</v>
      </c>
      <c r="E457" s="5" t="s">
        <v>87</v>
      </c>
      <c r="F457" s="408">
        <v>61</v>
      </c>
      <c r="G457" s="408">
        <v>876</v>
      </c>
      <c r="H457" s="408">
        <v>3.9</v>
      </c>
      <c r="I457" s="408">
        <v>0.44500000000000001</v>
      </c>
      <c r="J457" s="408">
        <v>0.73199999999999998</v>
      </c>
      <c r="K457" s="408">
        <v>0.22500000000000001</v>
      </c>
      <c r="L457" s="408">
        <v>3.8</v>
      </c>
      <c r="M457" s="408">
        <v>10.7</v>
      </c>
      <c r="N457" s="408">
        <v>7.3</v>
      </c>
      <c r="O457" s="408">
        <v>2.5</v>
      </c>
      <c r="P457" s="408">
        <v>1</v>
      </c>
      <c r="Q457" s="408">
        <v>0.2</v>
      </c>
      <c r="R457" s="408">
        <v>10.3</v>
      </c>
      <c r="S457" s="408">
        <v>8.9</v>
      </c>
      <c r="T457" s="408">
        <v>-0.3</v>
      </c>
      <c r="U457" s="408">
        <v>1</v>
      </c>
      <c r="V457" s="408">
        <v>0.8</v>
      </c>
      <c r="W457" s="408">
        <v>4.2999999999999997E-2</v>
      </c>
      <c r="X457" s="408">
        <v>-3.8</v>
      </c>
      <c r="Y457" s="408">
        <v>0.2</v>
      </c>
      <c r="Z457" s="408">
        <v>-3.6</v>
      </c>
      <c r="AA457" s="408">
        <v>-0.3</v>
      </c>
    </row>
    <row r="458" spans="1:27">
      <c r="A458">
        <v>372</v>
      </c>
      <c r="B458" s="1" t="s">
        <v>838</v>
      </c>
      <c r="C458" s="5" t="s">
        <v>83</v>
      </c>
      <c r="D458" s="408">
        <v>35</v>
      </c>
      <c r="E458" s="5" t="s">
        <v>112</v>
      </c>
      <c r="F458" s="408">
        <v>16</v>
      </c>
      <c r="G458" s="408">
        <v>262</v>
      </c>
      <c r="H458" s="408">
        <v>18.3</v>
      </c>
      <c r="I458" s="408">
        <v>0.57699999999999996</v>
      </c>
      <c r="J458" s="408">
        <v>0</v>
      </c>
      <c r="K458" s="408">
        <v>0.25700000000000001</v>
      </c>
      <c r="L458" s="408">
        <v>13.7</v>
      </c>
      <c r="M458" s="408">
        <v>21.8</v>
      </c>
      <c r="N458" s="408">
        <v>17.899999999999999</v>
      </c>
      <c r="O458" s="408">
        <v>2.1</v>
      </c>
      <c r="P458" s="408">
        <v>0.9</v>
      </c>
      <c r="Q458" s="408">
        <v>6.4</v>
      </c>
      <c r="R458" s="408">
        <v>6.8</v>
      </c>
      <c r="S458" s="408">
        <v>14.6</v>
      </c>
      <c r="T458" s="408">
        <v>0.5</v>
      </c>
      <c r="U458" s="408">
        <v>0.4</v>
      </c>
      <c r="V458" s="408">
        <v>0.9</v>
      </c>
      <c r="W458" s="408">
        <v>0.16700000000000001</v>
      </c>
      <c r="X458" s="408">
        <v>-2</v>
      </c>
      <c r="Y458" s="408">
        <v>0.9</v>
      </c>
      <c r="Z458" s="408">
        <v>-1.2</v>
      </c>
      <c r="AA458" s="408">
        <v>0.1</v>
      </c>
    </row>
    <row r="459" spans="1:27">
      <c r="A459">
        <v>373</v>
      </c>
      <c r="B459" s="1" t="s">
        <v>147</v>
      </c>
      <c r="C459" s="5" t="s">
        <v>83</v>
      </c>
      <c r="D459" s="408">
        <v>22</v>
      </c>
      <c r="E459" s="5" t="s">
        <v>357</v>
      </c>
      <c r="F459" s="408">
        <v>27</v>
      </c>
      <c r="G459" s="408">
        <v>336</v>
      </c>
      <c r="H459" s="408">
        <v>14.3</v>
      </c>
      <c r="I459" s="408">
        <v>0.56799999999999995</v>
      </c>
      <c r="J459" s="408">
        <v>2.3E-2</v>
      </c>
      <c r="K459" s="408">
        <v>0.22500000000000001</v>
      </c>
      <c r="L459" s="408">
        <v>6.3</v>
      </c>
      <c r="M459" s="408">
        <v>19.2</v>
      </c>
      <c r="N459" s="408">
        <v>12.7</v>
      </c>
      <c r="O459" s="408">
        <v>6.2</v>
      </c>
      <c r="P459" s="408">
        <v>0.4</v>
      </c>
      <c r="Q459" s="408">
        <v>3.8</v>
      </c>
      <c r="R459" s="408">
        <v>12.9</v>
      </c>
      <c r="S459" s="408">
        <v>20.9</v>
      </c>
      <c r="T459" s="408">
        <v>0.2</v>
      </c>
      <c r="U459" s="408">
        <v>0.3</v>
      </c>
      <c r="V459" s="408">
        <v>0.5</v>
      </c>
      <c r="W459" s="408">
        <v>7.0000000000000007E-2</v>
      </c>
      <c r="X459" s="408">
        <v>-4.2</v>
      </c>
      <c r="Y459" s="408">
        <v>-0.5</v>
      </c>
      <c r="Z459" s="408">
        <v>-4.7</v>
      </c>
      <c r="AA459" s="408">
        <v>-0.2</v>
      </c>
    </row>
    <row r="460" spans="1:27">
      <c r="A460">
        <v>373</v>
      </c>
      <c r="B460" s="1" t="s">
        <v>147</v>
      </c>
      <c r="C460" s="5" t="s">
        <v>83</v>
      </c>
      <c r="D460" s="408">
        <v>22</v>
      </c>
      <c r="E460" s="5" t="s">
        <v>118</v>
      </c>
      <c r="F460" s="408">
        <v>2</v>
      </c>
      <c r="G460" s="408">
        <v>25</v>
      </c>
      <c r="H460" s="408">
        <v>8.9</v>
      </c>
      <c r="I460" s="408">
        <v>0.46500000000000002</v>
      </c>
      <c r="J460" s="408">
        <v>0</v>
      </c>
      <c r="K460" s="408">
        <v>0.44400000000000001</v>
      </c>
      <c r="L460" s="408">
        <v>18</v>
      </c>
      <c r="M460" s="408">
        <v>21.1</v>
      </c>
      <c r="N460" s="408">
        <v>19.600000000000001</v>
      </c>
      <c r="O460" s="408">
        <v>6</v>
      </c>
      <c r="P460" s="408">
        <v>0</v>
      </c>
      <c r="Q460" s="408">
        <v>6.7</v>
      </c>
      <c r="R460" s="408">
        <v>21.8</v>
      </c>
      <c r="S460" s="408">
        <v>23.6</v>
      </c>
      <c r="T460" s="408">
        <v>0</v>
      </c>
      <c r="U460" s="408">
        <v>0</v>
      </c>
      <c r="V460" s="408">
        <v>0</v>
      </c>
      <c r="W460" s="408">
        <v>-1E-3</v>
      </c>
      <c r="X460" s="408">
        <v>-7.5</v>
      </c>
      <c r="Y460" s="408">
        <v>0.3</v>
      </c>
      <c r="Z460" s="408">
        <v>-7.1</v>
      </c>
      <c r="AA460" s="408">
        <v>0</v>
      </c>
    </row>
    <row r="461" spans="1:27">
      <c r="A461">
        <v>373</v>
      </c>
      <c r="B461" s="1" t="s">
        <v>147</v>
      </c>
      <c r="C461" s="5" t="s">
        <v>83</v>
      </c>
      <c r="D461" s="408">
        <v>22</v>
      </c>
      <c r="E461" s="5" t="s">
        <v>315</v>
      </c>
      <c r="F461" s="408">
        <v>25</v>
      </c>
      <c r="G461" s="408">
        <v>311</v>
      </c>
      <c r="H461" s="408">
        <v>14.7</v>
      </c>
      <c r="I461" s="408">
        <v>0.57599999999999996</v>
      </c>
      <c r="J461" s="408">
        <v>2.5000000000000001E-2</v>
      </c>
      <c r="K461" s="408">
        <v>0.20799999999999999</v>
      </c>
      <c r="L461" s="408">
        <v>5.4</v>
      </c>
      <c r="M461" s="408">
        <v>19.100000000000001</v>
      </c>
      <c r="N461" s="408">
        <v>12.1</v>
      </c>
      <c r="O461" s="408">
        <v>6.2</v>
      </c>
      <c r="P461" s="408">
        <v>0.5</v>
      </c>
      <c r="Q461" s="408">
        <v>3.6</v>
      </c>
      <c r="R461" s="408">
        <v>12.1</v>
      </c>
      <c r="S461" s="408">
        <v>20.7</v>
      </c>
      <c r="T461" s="408">
        <v>0.2</v>
      </c>
      <c r="U461" s="408">
        <v>0.3</v>
      </c>
      <c r="V461" s="408">
        <v>0.5</v>
      </c>
      <c r="W461" s="408">
        <v>7.5999999999999998E-2</v>
      </c>
      <c r="X461" s="408">
        <v>-4</v>
      </c>
      <c r="Y461" s="408">
        <v>-0.6</v>
      </c>
      <c r="Z461" s="408">
        <v>-4.5</v>
      </c>
      <c r="AA461" s="408">
        <v>-0.2</v>
      </c>
    </row>
    <row r="462" spans="1:27">
      <c r="A462">
        <v>374</v>
      </c>
      <c r="B462" s="1" t="s">
        <v>323</v>
      </c>
      <c r="C462" s="5" t="s">
        <v>26</v>
      </c>
      <c r="D462" s="408">
        <v>25</v>
      </c>
      <c r="E462" s="5" t="s">
        <v>30</v>
      </c>
      <c r="F462" s="408">
        <v>65</v>
      </c>
      <c r="G462" s="408">
        <v>2217</v>
      </c>
      <c r="H462" s="408">
        <v>22.6</v>
      </c>
      <c r="I462" s="408">
        <v>0.57099999999999995</v>
      </c>
      <c r="J462" s="408">
        <v>0.318</v>
      </c>
      <c r="K462" s="408">
        <v>0.27400000000000002</v>
      </c>
      <c r="L462" s="408">
        <v>2.1</v>
      </c>
      <c r="M462" s="408">
        <v>15.1</v>
      </c>
      <c r="N462" s="408">
        <v>8.6999999999999993</v>
      </c>
      <c r="O462" s="408">
        <v>20.5</v>
      </c>
      <c r="P462" s="408">
        <v>3.3</v>
      </c>
      <c r="Q462" s="408">
        <v>2</v>
      </c>
      <c r="R462" s="408">
        <v>12.6</v>
      </c>
      <c r="S462" s="408">
        <v>30.6</v>
      </c>
      <c r="T462" s="408">
        <v>3.3</v>
      </c>
      <c r="U462" s="408">
        <v>3.4</v>
      </c>
      <c r="V462" s="408">
        <v>6.7</v>
      </c>
      <c r="W462" s="408">
        <v>0.14399999999999999</v>
      </c>
      <c r="X462" s="408">
        <v>3.1</v>
      </c>
      <c r="Y462" s="408">
        <v>1</v>
      </c>
      <c r="Z462" s="408">
        <v>4.0999999999999996</v>
      </c>
      <c r="AA462" s="408">
        <v>3.4</v>
      </c>
    </row>
    <row r="463" spans="1:27">
      <c r="A463">
        <v>375</v>
      </c>
      <c r="B463" s="1" t="s">
        <v>433</v>
      </c>
      <c r="C463" s="5" t="s">
        <v>38</v>
      </c>
      <c r="D463" s="408">
        <v>26</v>
      </c>
      <c r="E463" s="5" t="s">
        <v>50</v>
      </c>
      <c r="F463" s="408">
        <v>65</v>
      </c>
      <c r="G463" s="408">
        <v>1536</v>
      </c>
      <c r="H463" s="408">
        <v>17</v>
      </c>
      <c r="I463" s="408">
        <v>0.60699999999999998</v>
      </c>
      <c r="J463" s="408">
        <v>0.437</v>
      </c>
      <c r="K463" s="408">
        <v>0.27400000000000002</v>
      </c>
      <c r="L463" s="408">
        <v>5.7</v>
      </c>
      <c r="M463" s="408">
        <v>21.4</v>
      </c>
      <c r="N463" s="408">
        <v>13.5</v>
      </c>
      <c r="O463" s="408">
        <v>17.3</v>
      </c>
      <c r="P463" s="408">
        <v>1.7</v>
      </c>
      <c r="Q463" s="408">
        <v>1.9</v>
      </c>
      <c r="R463" s="408">
        <v>17.600000000000001</v>
      </c>
      <c r="S463" s="408">
        <v>21.3</v>
      </c>
      <c r="T463" s="408">
        <v>2.1</v>
      </c>
      <c r="U463" s="408">
        <v>2.2000000000000002</v>
      </c>
      <c r="V463" s="408">
        <v>4.3</v>
      </c>
      <c r="W463" s="408">
        <v>0.13400000000000001</v>
      </c>
      <c r="X463" s="408">
        <v>1.1000000000000001</v>
      </c>
      <c r="Y463" s="408">
        <v>1.3</v>
      </c>
      <c r="Z463" s="408">
        <v>2.2999999999999998</v>
      </c>
      <c r="AA463" s="408">
        <v>1.7</v>
      </c>
    </row>
    <row r="464" spans="1:27">
      <c r="A464">
        <v>376</v>
      </c>
      <c r="B464" s="1" t="s">
        <v>478</v>
      </c>
      <c r="C464" s="5" t="s">
        <v>46</v>
      </c>
      <c r="D464" s="408">
        <v>22</v>
      </c>
      <c r="E464" s="5" t="s">
        <v>102</v>
      </c>
      <c r="F464" s="408">
        <v>54</v>
      </c>
      <c r="G464" s="408">
        <v>569</v>
      </c>
      <c r="H464" s="408">
        <v>10.6</v>
      </c>
      <c r="I464" s="408">
        <v>0.59899999999999998</v>
      </c>
      <c r="J464" s="408">
        <v>0.43</v>
      </c>
      <c r="K464" s="408">
        <v>0.221</v>
      </c>
      <c r="L464" s="408">
        <v>2.8</v>
      </c>
      <c r="M464" s="408">
        <v>17.2</v>
      </c>
      <c r="N464" s="408">
        <v>10.1</v>
      </c>
      <c r="O464" s="408">
        <v>6.8</v>
      </c>
      <c r="P464" s="408">
        <v>1.5</v>
      </c>
      <c r="Q464" s="408">
        <v>0.4</v>
      </c>
      <c r="R464" s="408">
        <v>14.2</v>
      </c>
      <c r="S464" s="408">
        <v>14.8</v>
      </c>
      <c r="T464" s="408">
        <v>0.4</v>
      </c>
      <c r="U464" s="408">
        <v>0.4</v>
      </c>
      <c r="V464" s="408">
        <v>0.7</v>
      </c>
      <c r="W464" s="408">
        <v>6.3E-2</v>
      </c>
      <c r="X464" s="408">
        <v>-1.9</v>
      </c>
      <c r="Y464" s="408">
        <v>-1.6</v>
      </c>
      <c r="Z464" s="408">
        <v>-3.5</v>
      </c>
      <c r="AA464" s="408">
        <v>-0.2</v>
      </c>
    </row>
    <row r="465" spans="1:27">
      <c r="A465">
        <v>377</v>
      </c>
      <c r="B465" s="1" t="s">
        <v>389</v>
      </c>
      <c r="C465" s="5" t="s">
        <v>46</v>
      </c>
      <c r="D465" s="408">
        <v>22</v>
      </c>
      <c r="E465" s="5" t="s">
        <v>27</v>
      </c>
      <c r="F465" s="408">
        <v>69</v>
      </c>
      <c r="G465" s="408">
        <v>1896</v>
      </c>
      <c r="H465" s="408">
        <v>12.3</v>
      </c>
      <c r="I465" s="408">
        <v>0.55100000000000005</v>
      </c>
      <c r="J465" s="408">
        <v>0.46500000000000002</v>
      </c>
      <c r="K465" s="408">
        <v>0.29499999999999998</v>
      </c>
      <c r="L465" s="408">
        <v>2.9</v>
      </c>
      <c r="M465" s="408">
        <v>15.6</v>
      </c>
      <c r="N465" s="408">
        <v>9.3000000000000007</v>
      </c>
      <c r="O465" s="408">
        <v>5.9</v>
      </c>
      <c r="P465" s="408">
        <v>1.7</v>
      </c>
      <c r="Q465" s="408">
        <v>1.2</v>
      </c>
      <c r="R465" s="408">
        <v>9.1999999999999993</v>
      </c>
      <c r="S465" s="408">
        <v>18.899999999999999</v>
      </c>
      <c r="T465" s="408">
        <v>1.7</v>
      </c>
      <c r="U465" s="408">
        <v>2</v>
      </c>
      <c r="V465" s="408">
        <v>3.6</v>
      </c>
      <c r="W465" s="408">
        <v>9.1999999999999998E-2</v>
      </c>
      <c r="X465" s="408">
        <v>-0.5</v>
      </c>
      <c r="Y465" s="408">
        <v>-0.5</v>
      </c>
      <c r="Z465" s="408">
        <v>-1</v>
      </c>
      <c r="AA465" s="408">
        <v>0.5</v>
      </c>
    </row>
    <row r="466" spans="1:27">
      <c r="A466">
        <v>378</v>
      </c>
      <c r="B466" s="1" t="s">
        <v>138</v>
      </c>
      <c r="C466" s="5" t="s">
        <v>83</v>
      </c>
      <c r="D466" s="408">
        <v>33</v>
      </c>
      <c r="E466" s="5" t="s">
        <v>73</v>
      </c>
      <c r="F466" s="408">
        <v>60</v>
      </c>
      <c r="G466" s="408">
        <v>876</v>
      </c>
      <c r="H466" s="408">
        <v>17.600000000000001</v>
      </c>
      <c r="I466" s="408">
        <v>0.622</v>
      </c>
      <c r="J466" s="408">
        <v>4.0000000000000001E-3</v>
      </c>
      <c r="K466" s="408">
        <v>0.36299999999999999</v>
      </c>
      <c r="L466" s="408">
        <v>11</v>
      </c>
      <c r="M466" s="408">
        <v>25.2</v>
      </c>
      <c r="N466" s="408">
        <v>18.7</v>
      </c>
      <c r="O466" s="408">
        <v>15.6</v>
      </c>
      <c r="P466" s="408">
        <v>1.9</v>
      </c>
      <c r="Q466" s="408">
        <v>1.2</v>
      </c>
      <c r="R466" s="408">
        <v>18</v>
      </c>
      <c r="S466" s="408">
        <v>17</v>
      </c>
      <c r="T466" s="408">
        <v>1.9</v>
      </c>
      <c r="U466" s="408">
        <v>1.4</v>
      </c>
      <c r="V466" s="408">
        <v>3.3</v>
      </c>
      <c r="W466" s="408">
        <v>0.18</v>
      </c>
      <c r="X466" s="408">
        <v>0.1</v>
      </c>
      <c r="Y466" s="408">
        <v>1.3</v>
      </c>
      <c r="Z466" s="408">
        <v>1.4</v>
      </c>
      <c r="AA466" s="408">
        <v>0.8</v>
      </c>
    </row>
    <row r="467" spans="1:27">
      <c r="A467">
        <v>379</v>
      </c>
      <c r="B467" s="1" t="s">
        <v>651</v>
      </c>
      <c r="C467" s="5" t="s">
        <v>20</v>
      </c>
      <c r="D467" s="408">
        <v>24</v>
      </c>
      <c r="E467" s="5" t="s">
        <v>311</v>
      </c>
      <c r="F467" s="408">
        <v>1</v>
      </c>
      <c r="G467" s="408">
        <v>3</v>
      </c>
      <c r="H467" s="408">
        <v>-19.3</v>
      </c>
      <c r="I467" s="408">
        <v>0</v>
      </c>
      <c r="J467" s="408">
        <v>0</v>
      </c>
      <c r="K467" s="408">
        <v>0</v>
      </c>
      <c r="L467" s="408">
        <v>0</v>
      </c>
      <c r="M467" s="408">
        <v>74.5</v>
      </c>
      <c r="N467" s="408">
        <v>36.200000000000003</v>
      </c>
      <c r="O467" s="408">
        <v>0</v>
      </c>
      <c r="P467" s="408">
        <v>0</v>
      </c>
      <c r="Q467" s="408">
        <v>0</v>
      </c>
      <c r="R467" s="408">
        <v>0</v>
      </c>
      <c r="S467" s="408">
        <v>29</v>
      </c>
      <c r="T467" s="408">
        <v>0</v>
      </c>
      <c r="U467" s="408">
        <v>0</v>
      </c>
      <c r="V467" s="408">
        <v>0</v>
      </c>
      <c r="W467" s="408">
        <v>-0.625</v>
      </c>
      <c r="X467" s="408">
        <v>-34.5</v>
      </c>
      <c r="Y467" s="408">
        <v>-11.2</v>
      </c>
      <c r="Z467" s="408">
        <v>-45.8</v>
      </c>
      <c r="AA467" s="408">
        <v>0</v>
      </c>
    </row>
    <row r="468" spans="1:27">
      <c r="A468">
        <v>380</v>
      </c>
      <c r="B468" s="1" t="s">
        <v>627</v>
      </c>
      <c r="C468" s="5" t="s">
        <v>83</v>
      </c>
      <c r="D468" s="408">
        <v>20</v>
      </c>
      <c r="E468" s="5" t="s">
        <v>100</v>
      </c>
      <c r="F468" s="408">
        <v>16</v>
      </c>
      <c r="G468" s="408">
        <v>118</v>
      </c>
      <c r="H468" s="408">
        <v>10.7</v>
      </c>
      <c r="I468" s="408">
        <v>0.41499999999999998</v>
      </c>
      <c r="J468" s="408">
        <v>0</v>
      </c>
      <c r="K468" s="408">
        <v>0</v>
      </c>
      <c r="L468" s="408">
        <v>11.1</v>
      </c>
      <c r="M468" s="408">
        <v>24.2</v>
      </c>
      <c r="N468" s="408">
        <v>17.399999999999999</v>
      </c>
      <c r="O468" s="408">
        <v>11.5</v>
      </c>
      <c r="P468" s="408">
        <v>0.9</v>
      </c>
      <c r="Q468" s="408">
        <v>4.8</v>
      </c>
      <c r="R468" s="408">
        <v>16.3</v>
      </c>
      <c r="S468" s="408">
        <v>18.600000000000001</v>
      </c>
      <c r="T468" s="408">
        <v>-0.2</v>
      </c>
      <c r="U468" s="408">
        <v>0.1</v>
      </c>
      <c r="V468" s="408">
        <v>-0.1</v>
      </c>
      <c r="W468" s="408">
        <v>-2.3E-2</v>
      </c>
      <c r="X468" s="408">
        <v>-6.3</v>
      </c>
      <c r="Y468" s="408">
        <v>1.2</v>
      </c>
      <c r="Z468" s="408">
        <v>-5.0999999999999996</v>
      </c>
      <c r="AA468" s="408">
        <v>-0.1</v>
      </c>
    </row>
    <row r="469" spans="1:27">
      <c r="A469">
        <v>381</v>
      </c>
      <c r="B469" s="1" t="s">
        <v>42</v>
      </c>
      <c r="C469" s="5" t="s">
        <v>38</v>
      </c>
      <c r="D469" s="408">
        <v>22</v>
      </c>
      <c r="E469" s="5" t="s">
        <v>41</v>
      </c>
      <c r="F469" s="408">
        <v>19</v>
      </c>
      <c r="G469" s="408">
        <v>404</v>
      </c>
      <c r="H469" s="408">
        <v>17.7</v>
      </c>
      <c r="I469" s="408">
        <v>0.58099999999999996</v>
      </c>
      <c r="J469" s="408">
        <v>0.24099999999999999</v>
      </c>
      <c r="K469" s="408">
        <v>0.21199999999999999</v>
      </c>
      <c r="L469" s="408">
        <v>5.9</v>
      </c>
      <c r="M469" s="408">
        <v>17.5</v>
      </c>
      <c r="N469" s="408">
        <v>11.7</v>
      </c>
      <c r="O469" s="408">
        <v>12</v>
      </c>
      <c r="P469" s="408">
        <v>1.4</v>
      </c>
      <c r="Q469" s="408">
        <v>1.3</v>
      </c>
      <c r="R469" s="408">
        <v>11.9</v>
      </c>
      <c r="S469" s="408">
        <v>23.7</v>
      </c>
      <c r="T469" s="408">
        <v>0.5</v>
      </c>
      <c r="U469" s="408">
        <v>0.3</v>
      </c>
      <c r="V469" s="408">
        <v>0.8</v>
      </c>
      <c r="W469" s="408">
        <v>9.8000000000000004E-2</v>
      </c>
      <c r="X469" s="408">
        <v>-0.2</v>
      </c>
      <c r="Y469" s="408">
        <v>-1.9</v>
      </c>
      <c r="Z469" s="408">
        <v>-2.1</v>
      </c>
      <c r="AA469" s="408">
        <v>0</v>
      </c>
    </row>
    <row r="470" spans="1:27">
      <c r="A470">
        <v>382</v>
      </c>
      <c r="B470" s="1" t="s">
        <v>189</v>
      </c>
      <c r="C470" s="5" t="s">
        <v>20</v>
      </c>
      <c r="D470" s="408">
        <v>35</v>
      </c>
      <c r="E470" s="5" t="s">
        <v>140</v>
      </c>
      <c r="F470" s="408">
        <v>44</v>
      </c>
      <c r="G470" s="408">
        <v>891</v>
      </c>
      <c r="H470" s="408">
        <v>14.4</v>
      </c>
      <c r="I470" s="408">
        <v>0.51300000000000001</v>
      </c>
      <c r="J470" s="408">
        <v>8.7999999999999995E-2</v>
      </c>
      <c r="K470" s="408">
        <v>0.188</v>
      </c>
      <c r="L470" s="408">
        <v>0.6</v>
      </c>
      <c r="M470" s="408">
        <v>9.4</v>
      </c>
      <c r="N470" s="408">
        <v>5</v>
      </c>
      <c r="O470" s="408">
        <v>30.9</v>
      </c>
      <c r="P470" s="408">
        <v>1.5</v>
      </c>
      <c r="Q470" s="408">
        <v>0.1</v>
      </c>
      <c r="R470" s="408">
        <v>13.8</v>
      </c>
      <c r="S470" s="408">
        <v>21.4</v>
      </c>
      <c r="T470" s="408">
        <v>0.5</v>
      </c>
      <c r="U470" s="408">
        <v>1</v>
      </c>
      <c r="V470" s="408">
        <v>1.6</v>
      </c>
      <c r="W470" s="408">
        <v>8.5000000000000006E-2</v>
      </c>
      <c r="X470" s="408">
        <v>-1.7</v>
      </c>
      <c r="Y470" s="408">
        <v>-1.5</v>
      </c>
      <c r="Z470" s="408">
        <v>-3.1</v>
      </c>
      <c r="AA470" s="408">
        <v>-0.3</v>
      </c>
    </row>
    <row r="471" spans="1:27">
      <c r="A471">
        <v>383</v>
      </c>
      <c r="B471" s="1" t="s">
        <v>404</v>
      </c>
      <c r="C471" s="5" t="s">
        <v>46</v>
      </c>
      <c r="D471" s="408">
        <v>29</v>
      </c>
      <c r="E471" s="5" t="s">
        <v>128</v>
      </c>
      <c r="F471" s="408">
        <v>33</v>
      </c>
      <c r="G471" s="408">
        <v>638</v>
      </c>
      <c r="H471" s="408">
        <v>13.7</v>
      </c>
      <c r="I471" s="408">
        <v>0.58699999999999997</v>
      </c>
      <c r="J471" s="408">
        <v>0.52600000000000002</v>
      </c>
      <c r="K471" s="408">
        <v>0.127</v>
      </c>
      <c r="L471" s="408">
        <v>2.2999999999999998</v>
      </c>
      <c r="M471" s="408">
        <v>12.8</v>
      </c>
      <c r="N471" s="408">
        <v>7.4</v>
      </c>
      <c r="O471" s="408">
        <v>16.2</v>
      </c>
      <c r="P471" s="408">
        <v>1.4</v>
      </c>
      <c r="Q471" s="408">
        <v>1.6</v>
      </c>
      <c r="R471" s="408">
        <v>13.5</v>
      </c>
      <c r="S471" s="408">
        <v>18.399999999999999</v>
      </c>
      <c r="T471" s="408">
        <v>0.6</v>
      </c>
      <c r="U471" s="408">
        <v>0.4</v>
      </c>
      <c r="V471" s="408">
        <v>1.1000000000000001</v>
      </c>
      <c r="W471" s="408">
        <v>8.1000000000000003E-2</v>
      </c>
      <c r="X471" s="408">
        <v>0.3</v>
      </c>
      <c r="Y471" s="408">
        <v>-1.3</v>
      </c>
      <c r="Z471" s="408">
        <v>-1</v>
      </c>
      <c r="AA471" s="408">
        <v>0.2</v>
      </c>
    </row>
    <row r="472" spans="1:27">
      <c r="A472">
        <v>384</v>
      </c>
      <c r="B472" s="1" t="s">
        <v>484</v>
      </c>
      <c r="C472" s="5" t="s">
        <v>38</v>
      </c>
      <c r="D472" s="408">
        <v>28</v>
      </c>
      <c r="E472" s="5" t="s">
        <v>58</v>
      </c>
      <c r="F472" s="408">
        <v>72</v>
      </c>
      <c r="G472" s="408">
        <v>1141</v>
      </c>
      <c r="H472" s="408">
        <v>9.3000000000000007</v>
      </c>
      <c r="I472" s="408">
        <v>0.53700000000000003</v>
      </c>
      <c r="J472" s="408">
        <v>0.63900000000000001</v>
      </c>
      <c r="K472" s="408">
        <v>0.17199999999999999</v>
      </c>
      <c r="L472" s="408">
        <v>2.7</v>
      </c>
      <c r="M472" s="408">
        <v>14.7</v>
      </c>
      <c r="N472" s="408">
        <v>8.5</v>
      </c>
      <c r="O472" s="408">
        <v>6</v>
      </c>
      <c r="P472" s="408">
        <v>1.8</v>
      </c>
      <c r="Q472" s="408">
        <v>1.7</v>
      </c>
      <c r="R472" s="408">
        <v>11.1</v>
      </c>
      <c r="S472" s="408">
        <v>10.9</v>
      </c>
      <c r="T472" s="408">
        <v>0.8</v>
      </c>
      <c r="U472" s="408">
        <v>1.3</v>
      </c>
      <c r="V472" s="408">
        <v>2.1</v>
      </c>
      <c r="W472" s="408">
        <v>8.5999999999999993E-2</v>
      </c>
      <c r="X472" s="408">
        <v>-2</v>
      </c>
      <c r="Y472" s="408">
        <v>0.3</v>
      </c>
      <c r="Z472" s="408">
        <v>-1.8</v>
      </c>
      <c r="AA472" s="408">
        <v>0.1</v>
      </c>
    </row>
    <row r="473" spans="1:27">
      <c r="A473">
        <v>385</v>
      </c>
      <c r="B473" s="1" t="s">
        <v>529</v>
      </c>
      <c r="C473" s="5" t="s">
        <v>26</v>
      </c>
      <c r="D473" s="408">
        <v>26</v>
      </c>
      <c r="E473" s="5" t="s">
        <v>140</v>
      </c>
      <c r="F473" s="408">
        <v>58</v>
      </c>
      <c r="G473" s="408">
        <v>538</v>
      </c>
      <c r="H473" s="408">
        <v>7.7</v>
      </c>
      <c r="I473" s="408">
        <v>0.503</v>
      </c>
      <c r="J473" s="408">
        <v>0.44</v>
      </c>
      <c r="K473" s="408">
        <v>0.31900000000000001</v>
      </c>
      <c r="L473" s="408">
        <v>1.2</v>
      </c>
      <c r="M473" s="408">
        <v>12.3</v>
      </c>
      <c r="N473" s="408">
        <v>6.8</v>
      </c>
      <c r="O473" s="408">
        <v>9.3000000000000007</v>
      </c>
      <c r="P473" s="408">
        <v>2.2999999999999998</v>
      </c>
      <c r="Q473" s="408">
        <v>1.1000000000000001</v>
      </c>
      <c r="R473" s="408">
        <v>16.399999999999999</v>
      </c>
      <c r="S473" s="408">
        <v>13.1</v>
      </c>
      <c r="T473" s="408">
        <v>-0.2</v>
      </c>
      <c r="U473" s="408">
        <v>0.9</v>
      </c>
      <c r="V473" s="408">
        <v>0.6</v>
      </c>
      <c r="W473" s="408">
        <v>5.6000000000000001E-2</v>
      </c>
      <c r="X473" s="408">
        <v>-3.6</v>
      </c>
      <c r="Y473" s="408">
        <v>1.4</v>
      </c>
      <c r="Z473" s="408">
        <v>-2.2000000000000002</v>
      </c>
      <c r="AA473" s="408">
        <v>0</v>
      </c>
    </row>
    <row r="474" spans="1:27">
      <c r="A474">
        <v>386</v>
      </c>
      <c r="B474" s="1" t="s">
        <v>240</v>
      </c>
      <c r="C474" s="5" t="s">
        <v>20</v>
      </c>
      <c r="D474" s="408">
        <v>32</v>
      </c>
      <c r="E474" s="5" t="s">
        <v>92</v>
      </c>
      <c r="F474" s="408">
        <v>52</v>
      </c>
      <c r="G474" s="408">
        <v>1661</v>
      </c>
      <c r="H474" s="408">
        <v>24.6</v>
      </c>
      <c r="I474" s="408">
        <v>0.60599999999999998</v>
      </c>
      <c r="J474" s="408">
        <v>0.46100000000000002</v>
      </c>
      <c r="K474" s="408">
        <v>0.29299999999999998</v>
      </c>
      <c r="L474" s="408">
        <v>2.2999999999999998</v>
      </c>
      <c r="M474" s="408">
        <v>17.3</v>
      </c>
      <c r="N474" s="408">
        <v>9.9</v>
      </c>
      <c r="O474" s="408">
        <v>40.799999999999997</v>
      </c>
      <c r="P474" s="408">
        <v>2.7</v>
      </c>
      <c r="Q474" s="408">
        <v>0.7</v>
      </c>
      <c r="R474" s="408">
        <v>12.9</v>
      </c>
      <c r="S474" s="408">
        <v>24.4</v>
      </c>
      <c r="T474" s="408">
        <v>6.8</v>
      </c>
      <c r="U474" s="408">
        <v>2.4</v>
      </c>
      <c r="V474" s="408">
        <v>9.1999999999999993</v>
      </c>
      <c r="W474" s="408">
        <v>0.26500000000000001</v>
      </c>
      <c r="X474" s="408">
        <v>6.1</v>
      </c>
      <c r="Y474" s="408">
        <v>1.1000000000000001</v>
      </c>
      <c r="Z474" s="408">
        <v>7.2</v>
      </c>
      <c r="AA474" s="408">
        <v>3.9</v>
      </c>
    </row>
    <row r="475" spans="1:27">
      <c r="A475">
        <v>387</v>
      </c>
      <c r="B475" s="1" t="s">
        <v>378</v>
      </c>
      <c r="C475" s="5" t="s">
        <v>38</v>
      </c>
      <c r="D475" s="408">
        <v>26</v>
      </c>
      <c r="E475" s="5" t="s">
        <v>75</v>
      </c>
      <c r="F475" s="408">
        <v>5</v>
      </c>
      <c r="G475" s="408">
        <v>43</v>
      </c>
      <c r="H475" s="408">
        <v>18.8</v>
      </c>
      <c r="I475" s="408">
        <v>0.83099999999999996</v>
      </c>
      <c r="J475" s="408">
        <v>0.3</v>
      </c>
      <c r="K475" s="408">
        <v>0.6</v>
      </c>
      <c r="L475" s="408">
        <v>5.2</v>
      </c>
      <c r="M475" s="408">
        <v>18.2</v>
      </c>
      <c r="N475" s="408">
        <v>11.7</v>
      </c>
      <c r="O475" s="408">
        <v>0</v>
      </c>
      <c r="P475" s="408">
        <v>2.2999999999999998</v>
      </c>
      <c r="Q475" s="408">
        <v>0</v>
      </c>
      <c r="R475" s="408">
        <v>13.7</v>
      </c>
      <c r="S475" s="408">
        <v>15</v>
      </c>
      <c r="T475" s="408">
        <v>0.1</v>
      </c>
      <c r="U475" s="408">
        <v>0</v>
      </c>
      <c r="V475" s="408">
        <v>0.2</v>
      </c>
      <c r="W475" s="408">
        <v>0.2</v>
      </c>
      <c r="X475" s="408">
        <v>0.2</v>
      </c>
      <c r="Y475" s="408">
        <v>-4.3</v>
      </c>
      <c r="Z475" s="408">
        <v>-4.0999999999999996</v>
      </c>
      <c r="AA475" s="408">
        <v>0</v>
      </c>
    </row>
    <row r="476" spans="1:27">
      <c r="A476">
        <v>388</v>
      </c>
      <c r="B476" s="1" t="s">
        <v>771</v>
      </c>
      <c r="C476" s="5" t="s">
        <v>20</v>
      </c>
      <c r="D476" s="408">
        <v>23</v>
      </c>
      <c r="E476" s="5" t="s">
        <v>43</v>
      </c>
      <c r="F476" s="408">
        <v>13</v>
      </c>
      <c r="G476" s="408">
        <v>271</v>
      </c>
      <c r="H476" s="408">
        <v>14.9</v>
      </c>
      <c r="I476" s="408">
        <v>0.48599999999999999</v>
      </c>
      <c r="J476" s="408">
        <v>0.41499999999999998</v>
      </c>
      <c r="K476" s="408">
        <v>6.6000000000000003E-2</v>
      </c>
      <c r="L476" s="408">
        <v>3.1</v>
      </c>
      <c r="M476" s="408">
        <v>9.4</v>
      </c>
      <c r="N476" s="408">
        <v>6.1</v>
      </c>
      <c r="O476" s="408">
        <v>29.3</v>
      </c>
      <c r="P476" s="408">
        <v>2.7</v>
      </c>
      <c r="Q476" s="408">
        <v>1.9</v>
      </c>
      <c r="R476" s="408">
        <v>12.1</v>
      </c>
      <c r="S476" s="408">
        <v>20</v>
      </c>
      <c r="T476" s="408">
        <v>0.1</v>
      </c>
      <c r="U476" s="408">
        <v>0.3</v>
      </c>
      <c r="V476" s="408">
        <v>0.4</v>
      </c>
      <c r="W476" s="408">
        <v>7.0000000000000007E-2</v>
      </c>
      <c r="X476" s="408">
        <v>-0.3</v>
      </c>
      <c r="Y476" s="408">
        <v>-0.3</v>
      </c>
      <c r="Z476" s="408">
        <v>-0.6</v>
      </c>
      <c r="AA476" s="408">
        <v>0.1</v>
      </c>
    </row>
    <row r="477" spans="1:27">
      <c r="A477">
        <v>389</v>
      </c>
      <c r="B477" s="1" t="s">
        <v>219</v>
      </c>
      <c r="C477" s="5" t="s">
        <v>20</v>
      </c>
      <c r="D477" s="408">
        <v>23</v>
      </c>
      <c r="E477" s="5" t="s">
        <v>357</v>
      </c>
      <c r="F477" s="408">
        <v>59</v>
      </c>
      <c r="G477" s="408">
        <v>1716</v>
      </c>
      <c r="H477" s="408">
        <v>17.2</v>
      </c>
      <c r="I477" s="408">
        <v>0.54800000000000004</v>
      </c>
      <c r="J477" s="408">
        <v>0.13800000000000001</v>
      </c>
      <c r="K477" s="408">
        <v>0.255</v>
      </c>
      <c r="L477" s="408">
        <v>4</v>
      </c>
      <c r="M477" s="408">
        <v>13</v>
      </c>
      <c r="N477" s="408">
        <v>8.4</v>
      </c>
      <c r="O477" s="408">
        <v>35</v>
      </c>
      <c r="P477" s="408">
        <v>2.2000000000000002</v>
      </c>
      <c r="Q477" s="408">
        <v>1</v>
      </c>
      <c r="R477" s="408">
        <v>18.5</v>
      </c>
      <c r="S477" s="408">
        <v>22</v>
      </c>
      <c r="T477" s="408">
        <v>1.7</v>
      </c>
      <c r="U477" s="408">
        <v>1.3</v>
      </c>
      <c r="V477" s="408">
        <v>3</v>
      </c>
      <c r="W477" s="408">
        <v>8.3000000000000004E-2</v>
      </c>
      <c r="X477" s="408">
        <v>0.5</v>
      </c>
      <c r="Y477" s="408">
        <v>-0.1</v>
      </c>
      <c r="Z477" s="408">
        <v>0.5</v>
      </c>
      <c r="AA477" s="408">
        <v>1.1000000000000001</v>
      </c>
    </row>
    <row r="478" spans="1:27">
      <c r="A478">
        <v>389</v>
      </c>
      <c r="B478" s="1" t="s">
        <v>219</v>
      </c>
      <c r="C478" s="5" t="s">
        <v>20</v>
      </c>
      <c r="D478" s="408">
        <v>23</v>
      </c>
      <c r="E478" s="5" t="s">
        <v>75</v>
      </c>
      <c r="F478" s="408">
        <v>44</v>
      </c>
      <c r="G478" s="408">
        <v>1257</v>
      </c>
      <c r="H478" s="408">
        <v>18.100000000000001</v>
      </c>
      <c r="I478" s="408">
        <v>0.56399999999999995</v>
      </c>
      <c r="J478" s="408">
        <v>0.14599999999999999</v>
      </c>
      <c r="K478" s="408">
        <v>0.249</v>
      </c>
      <c r="L478" s="408">
        <v>4.2</v>
      </c>
      <c r="M478" s="408">
        <v>11.3</v>
      </c>
      <c r="N478" s="408">
        <v>7.7</v>
      </c>
      <c r="O478" s="408">
        <v>35.1</v>
      </c>
      <c r="P478" s="408">
        <v>2.5</v>
      </c>
      <c r="Q478" s="408">
        <v>1</v>
      </c>
      <c r="R478" s="408">
        <v>18.3</v>
      </c>
      <c r="S478" s="408">
        <v>21.8</v>
      </c>
      <c r="T478" s="408">
        <v>1.7</v>
      </c>
      <c r="U478" s="408">
        <v>1</v>
      </c>
      <c r="V478" s="408">
        <v>2.7</v>
      </c>
      <c r="W478" s="408">
        <v>0.10199999999999999</v>
      </c>
      <c r="X478" s="408">
        <v>1.1000000000000001</v>
      </c>
      <c r="Y478" s="408">
        <v>0</v>
      </c>
      <c r="Z478" s="408">
        <v>1.1000000000000001</v>
      </c>
      <c r="AA478" s="408">
        <v>1</v>
      </c>
    </row>
    <row r="479" spans="1:27">
      <c r="A479">
        <v>389</v>
      </c>
      <c r="B479" s="1" t="s">
        <v>219</v>
      </c>
      <c r="C479" s="5" t="s">
        <v>20</v>
      </c>
      <c r="D479" s="408">
        <v>23</v>
      </c>
      <c r="E479" s="5" t="s">
        <v>313</v>
      </c>
      <c r="F479" s="408">
        <v>15</v>
      </c>
      <c r="G479" s="408">
        <v>459</v>
      </c>
      <c r="H479" s="408">
        <v>14.6</v>
      </c>
      <c r="I479" s="408">
        <v>0.50700000000000001</v>
      </c>
      <c r="J479" s="408">
        <v>0.11799999999999999</v>
      </c>
      <c r="K479" s="408">
        <v>0.27</v>
      </c>
      <c r="L479" s="408">
        <v>3.4</v>
      </c>
      <c r="M479" s="408">
        <v>17.7</v>
      </c>
      <c r="N479" s="408">
        <v>10.4</v>
      </c>
      <c r="O479" s="408">
        <v>34.9</v>
      </c>
      <c r="P479" s="408">
        <v>1.6</v>
      </c>
      <c r="Q479" s="408">
        <v>0.9</v>
      </c>
      <c r="R479" s="408">
        <v>19.100000000000001</v>
      </c>
      <c r="S479" s="408">
        <v>22.7</v>
      </c>
      <c r="T479" s="408">
        <v>0</v>
      </c>
      <c r="U479" s="408">
        <v>0.2</v>
      </c>
      <c r="V479" s="408">
        <v>0.3</v>
      </c>
      <c r="W479" s="408">
        <v>0.03</v>
      </c>
      <c r="X479" s="408">
        <v>-1.1000000000000001</v>
      </c>
      <c r="Y479" s="408">
        <v>-0.1</v>
      </c>
      <c r="Z479" s="408">
        <v>-1.2</v>
      </c>
      <c r="AA479" s="408">
        <v>0.1</v>
      </c>
    </row>
    <row r="480" spans="1:27">
      <c r="A480">
        <v>390</v>
      </c>
      <c r="B480" s="1" t="s">
        <v>546</v>
      </c>
      <c r="C480" s="5" t="s">
        <v>20</v>
      </c>
      <c r="D480" s="408">
        <v>25</v>
      </c>
      <c r="E480" s="5" t="s">
        <v>357</v>
      </c>
      <c r="F480" s="408">
        <v>18</v>
      </c>
      <c r="G480" s="408">
        <v>146</v>
      </c>
      <c r="H480" s="408">
        <v>7.8</v>
      </c>
      <c r="I480" s="408">
        <v>0.41399999999999998</v>
      </c>
      <c r="J480" s="408">
        <v>0.31900000000000001</v>
      </c>
      <c r="K480" s="408">
        <v>6.4000000000000001E-2</v>
      </c>
      <c r="L480" s="408">
        <v>6.2</v>
      </c>
      <c r="M480" s="408">
        <v>12</v>
      </c>
      <c r="N480" s="408">
        <v>9.1</v>
      </c>
      <c r="O480" s="408">
        <v>12.8</v>
      </c>
      <c r="P480" s="408">
        <v>1</v>
      </c>
      <c r="Q480" s="408">
        <v>1.7</v>
      </c>
      <c r="R480" s="408">
        <v>5.8</v>
      </c>
      <c r="S480" s="408">
        <v>15.6</v>
      </c>
      <c r="T480" s="408">
        <v>0</v>
      </c>
      <c r="U480" s="408">
        <v>0.1</v>
      </c>
      <c r="V480" s="408">
        <v>0.1</v>
      </c>
      <c r="W480" s="408">
        <v>2.3E-2</v>
      </c>
      <c r="X480" s="408">
        <v>-3.4</v>
      </c>
      <c r="Y480" s="408">
        <v>-1.6</v>
      </c>
      <c r="Z480" s="408">
        <v>-5</v>
      </c>
      <c r="AA480" s="408">
        <v>-0.1</v>
      </c>
    </row>
    <row r="481" spans="1:27">
      <c r="A481">
        <v>390</v>
      </c>
      <c r="B481" s="1" t="s">
        <v>546</v>
      </c>
      <c r="C481" s="5" t="s">
        <v>20</v>
      </c>
      <c r="D481" s="408">
        <v>25</v>
      </c>
      <c r="E481" s="5" t="s">
        <v>41</v>
      </c>
      <c r="F481" s="408">
        <v>12</v>
      </c>
      <c r="G481" s="408">
        <v>106</v>
      </c>
      <c r="H481" s="408">
        <v>7.6</v>
      </c>
      <c r="I481" s="408">
        <v>0.437</v>
      </c>
      <c r="J481" s="408">
        <v>0.36399999999999999</v>
      </c>
      <c r="K481" s="408">
        <v>9.0999999999999998E-2</v>
      </c>
      <c r="L481" s="408">
        <v>4.5</v>
      </c>
      <c r="M481" s="408">
        <v>14.5</v>
      </c>
      <c r="N481" s="408">
        <v>9.5</v>
      </c>
      <c r="O481" s="408">
        <v>12.3</v>
      </c>
      <c r="P481" s="408">
        <v>1.4</v>
      </c>
      <c r="Q481" s="408">
        <v>0.8</v>
      </c>
      <c r="R481" s="408">
        <v>8</v>
      </c>
      <c r="S481" s="408">
        <v>16</v>
      </c>
      <c r="T481" s="408">
        <v>0</v>
      </c>
      <c r="U481" s="408">
        <v>0.1</v>
      </c>
      <c r="V481" s="408">
        <v>0</v>
      </c>
      <c r="W481" s="408">
        <v>1.9E-2</v>
      </c>
      <c r="X481" s="408">
        <v>-3.5</v>
      </c>
      <c r="Y481" s="408">
        <v>-1.9</v>
      </c>
      <c r="Z481" s="408">
        <v>-5.4</v>
      </c>
      <c r="AA481" s="408">
        <v>-0.1</v>
      </c>
    </row>
    <row r="482" spans="1:27">
      <c r="A482">
        <v>390</v>
      </c>
      <c r="B482" s="1" t="s">
        <v>546</v>
      </c>
      <c r="C482" s="5" t="s">
        <v>20</v>
      </c>
      <c r="D482" s="408">
        <v>25</v>
      </c>
      <c r="E482" s="5" t="s">
        <v>78</v>
      </c>
      <c r="F482" s="408">
        <v>6</v>
      </c>
      <c r="G482" s="408">
        <v>40</v>
      </c>
      <c r="H482" s="408">
        <v>8.3000000000000007</v>
      </c>
      <c r="I482" s="408">
        <v>0.35699999999999998</v>
      </c>
      <c r="J482" s="408">
        <v>0.214</v>
      </c>
      <c r="K482" s="408">
        <v>0</v>
      </c>
      <c r="L482" s="408">
        <v>10.6</v>
      </c>
      <c r="M482" s="408">
        <v>5.3</v>
      </c>
      <c r="N482" s="408">
        <v>8</v>
      </c>
      <c r="O482" s="408">
        <v>13.9</v>
      </c>
      <c r="P482" s="408">
        <v>0</v>
      </c>
      <c r="Q482" s="408">
        <v>4.0999999999999996</v>
      </c>
      <c r="R482" s="408">
        <v>0</v>
      </c>
      <c r="S482" s="408">
        <v>14.8</v>
      </c>
      <c r="T482" s="408">
        <v>0</v>
      </c>
      <c r="U482" s="408">
        <v>0</v>
      </c>
      <c r="V482" s="408">
        <v>0</v>
      </c>
      <c r="W482" s="408">
        <v>3.5000000000000003E-2</v>
      </c>
      <c r="X482" s="408">
        <v>-3.3</v>
      </c>
      <c r="Y482" s="408">
        <v>-0.7</v>
      </c>
      <c r="Z482" s="408">
        <v>-4</v>
      </c>
      <c r="AA482" s="408">
        <v>0</v>
      </c>
    </row>
    <row r="483" spans="1:27">
      <c r="A483">
        <v>391</v>
      </c>
      <c r="B483" s="1" t="s">
        <v>638</v>
      </c>
      <c r="C483" s="5" t="s">
        <v>20</v>
      </c>
      <c r="D483" s="408">
        <v>23</v>
      </c>
      <c r="E483" s="5" t="s">
        <v>102</v>
      </c>
      <c r="F483" s="408">
        <v>9</v>
      </c>
      <c r="G483" s="408">
        <v>25</v>
      </c>
      <c r="H483" s="408">
        <v>3</v>
      </c>
      <c r="I483" s="408">
        <v>0.33300000000000002</v>
      </c>
      <c r="J483" s="408">
        <v>0.33300000000000002</v>
      </c>
      <c r="K483" s="408">
        <v>0</v>
      </c>
      <c r="L483" s="408">
        <v>0</v>
      </c>
      <c r="M483" s="408">
        <v>4.4000000000000004</v>
      </c>
      <c r="N483" s="408">
        <v>2.2000000000000002</v>
      </c>
      <c r="O483" s="408">
        <v>25.1</v>
      </c>
      <c r="P483" s="408">
        <v>0</v>
      </c>
      <c r="Q483" s="408">
        <v>0</v>
      </c>
      <c r="R483" s="408">
        <v>25</v>
      </c>
      <c r="S483" s="408">
        <v>7.1</v>
      </c>
      <c r="T483" s="408">
        <v>0</v>
      </c>
      <c r="U483" s="408">
        <v>0</v>
      </c>
      <c r="V483" s="408">
        <v>0</v>
      </c>
      <c r="W483" s="408">
        <v>-1.0999999999999999E-2</v>
      </c>
      <c r="X483" s="408">
        <v>-6.3</v>
      </c>
      <c r="Y483" s="408">
        <v>-5.3</v>
      </c>
      <c r="Z483" s="408">
        <v>-11.6</v>
      </c>
      <c r="AA483" s="408">
        <v>-0.1</v>
      </c>
    </row>
    <row r="484" spans="1:27">
      <c r="A484">
        <v>392</v>
      </c>
      <c r="B484" s="1" t="s">
        <v>641</v>
      </c>
      <c r="C484" s="5" t="s">
        <v>38</v>
      </c>
      <c r="D484" s="408">
        <v>22</v>
      </c>
      <c r="E484" s="5" t="s">
        <v>313</v>
      </c>
      <c r="F484" s="408">
        <v>12</v>
      </c>
      <c r="G484" s="408">
        <v>98</v>
      </c>
      <c r="H484" s="408">
        <v>6.5</v>
      </c>
      <c r="I484" s="408">
        <v>0.36</v>
      </c>
      <c r="J484" s="408">
        <v>0.84399999999999997</v>
      </c>
      <c r="K484" s="408">
        <v>9.4E-2</v>
      </c>
      <c r="L484" s="408">
        <v>4.3</v>
      </c>
      <c r="M484" s="408">
        <v>17.899999999999999</v>
      </c>
      <c r="N484" s="408">
        <v>10.9</v>
      </c>
      <c r="O484" s="408">
        <v>11.4</v>
      </c>
      <c r="P484" s="408">
        <v>0</v>
      </c>
      <c r="Q484" s="408">
        <v>1.6</v>
      </c>
      <c r="R484" s="408">
        <v>2.9</v>
      </c>
      <c r="S484" s="408">
        <v>14.8</v>
      </c>
      <c r="T484" s="408">
        <v>-0.1</v>
      </c>
      <c r="U484" s="408">
        <v>0</v>
      </c>
      <c r="V484" s="408">
        <v>-0.1</v>
      </c>
      <c r="W484" s="408">
        <v>-2.7E-2</v>
      </c>
      <c r="X484" s="408">
        <v>-3.1</v>
      </c>
      <c r="Y484" s="408">
        <v>-2.5</v>
      </c>
      <c r="Z484" s="408">
        <v>-5.6</v>
      </c>
      <c r="AA484" s="408">
        <v>-0.1</v>
      </c>
    </row>
    <row r="485" spans="1:27">
      <c r="A485">
        <v>393</v>
      </c>
      <c r="B485" s="1" t="s">
        <v>724</v>
      </c>
      <c r="C485" s="5" t="s">
        <v>83</v>
      </c>
      <c r="D485" s="408">
        <v>25</v>
      </c>
      <c r="E485" s="5" t="s">
        <v>41</v>
      </c>
      <c r="F485" s="408">
        <v>7</v>
      </c>
      <c r="G485" s="408">
        <v>45</v>
      </c>
      <c r="H485" s="408">
        <v>13.1</v>
      </c>
      <c r="I485" s="408">
        <v>0.69699999999999995</v>
      </c>
      <c r="J485" s="408">
        <v>0</v>
      </c>
      <c r="K485" s="408">
        <v>5.3330000000000002</v>
      </c>
      <c r="L485" s="408">
        <v>10.6</v>
      </c>
      <c r="M485" s="408">
        <v>31.4</v>
      </c>
      <c r="N485" s="408">
        <v>21</v>
      </c>
      <c r="O485" s="408">
        <v>5.6</v>
      </c>
      <c r="P485" s="408">
        <v>0</v>
      </c>
      <c r="Q485" s="408">
        <v>1.9</v>
      </c>
      <c r="R485" s="408">
        <v>23</v>
      </c>
      <c r="S485" s="408">
        <v>13.2</v>
      </c>
      <c r="T485" s="408">
        <v>0.1</v>
      </c>
      <c r="U485" s="408">
        <v>0</v>
      </c>
      <c r="V485" s="408">
        <v>0.2</v>
      </c>
      <c r="W485" s="408">
        <v>0.16500000000000001</v>
      </c>
      <c r="X485" s="408">
        <v>-3.5</v>
      </c>
      <c r="Y485" s="408">
        <v>-1.8</v>
      </c>
      <c r="Z485" s="408">
        <v>-5.2</v>
      </c>
      <c r="AA485" s="408">
        <v>0</v>
      </c>
    </row>
    <row r="486" spans="1:27">
      <c r="A486">
        <v>394</v>
      </c>
      <c r="B486" s="1" t="s">
        <v>621</v>
      </c>
      <c r="C486" s="5" t="s">
        <v>83</v>
      </c>
      <c r="D486" s="408">
        <v>27</v>
      </c>
      <c r="E486" s="5" t="s">
        <v>61</v>
      </c>
      <c r="F486" s="408">
        <v>63</v>
      </c>
      <c r="G486" s="408">
        <v>1283</v>
      </c>
      <c r="H486" s="408">
        <v>16.7</v>
      </c>
      <c r="I486" s="408">
        <v>0.57499999999999996</v>
      </c>
      <c r="J486" s="408">
        <v>3.0000000000000001E-3</v>
      </c>
      <c r="K486" s="408">
        <v>0.47899999999999998</v>
      </c>
      <c r="L486" s="408">
        <v>10.4</v>
      </c>
      <c r="M486" s="408">
        <v>21.5</v>
      </c>
      <c r="N486" s="408">
        <v>15.9</v>
      </c>
      <c r="O486" s="408">
        <v>14.4</v>
      </c>
      <c r="P486" s="408">
        <v>1.7</v>
      </c>
      <c r="Q486" s="408">
        <v>4.5</v>
      </c>
      <c r="R486" s="408">
        <v>18.600000000000001</v>
      </c>
      <c r="S486" s="408">
        <v>16.7</v>
      </c>
      <c r="T486" s="408">
        <v>1.4</v>
      </c>
      <c r="U486" s="408">
        <v>1.6</v>
      </c>
      <c r="V486" s="408">
        <v>3</v>
      </c>
      <c r="W486" s="408">
        <v>0.113</v>
      </c>
      <c r="X486" s="408">
        <v>-1.1000000000000001</v>
      </c>
      <c r="Y486" s="408">
        <v>2.6</v>
      </c>
      <c r="Z486" s="408">
        <v>1.5</v>
      </c>
      <c r="AA486" s="408">
        <v>1.1000000000000001</v>
      </c>
    </row>
    <row r="487" spans="1:27">
      <c r="A487">
        <v>395</v>
      </c>
      <c r="B487" s="1" t="s">
        <v>619</v>
      </c>
      <c r="C487" s="5" t="s">
        <v>83</v>
      </c>
      <c r="D487" s="408">
        <v>29</v>
      </c>
      <c r="E487" s="5" t="s">
        <v>149</v>
      </c>
      <c r="F487" s="408">
        <v>46</v>
      </c>
      <c r="G487" s="408">
        <v>765</v>
      </c>
      <c r="H487" s="408">
        <v>10.8</v>
      </c>
      <c r="I487" s="408">
        <v>0.57299999999999995</v>
      </c>
      <c r="J487" s="408">
        <v>0</v>
      </c>
      <c r="K487" s="408">
        <v>0.31</v>
      </c>
      <c r="L487" s="408">
        <v>9.1</v>
      </c>
      <c r="M487" s="408">
        <v>18.100000000000001</v>
      </c>
      <c r="N487" s="408">
        <v>13.6</v>
      </c>
      <c r="O487" s="408">
        <v>7.3</v>
      </c>
      <c r="P487" s="408">
        <v>1</v>
      </c>
      <c r="Q487" s="408">
        <v>3.2</v>
      </c>
      <c r="R487" s="408">
        <v>23.5</v>
      </c>
      <c r="S487" s="408">
        <v>13.2</v>
      </c>
      <c r="T487" s="408">
        <v>0.1</v>
      </c>
      <c r="U487" s="408">
        <v>0.6</v>
      </c>
      <c r="V487" s="408">
        <v>0.7</v>
      </c>
      <c r="W487" s="408">
        <v>4.2000000000000003E-2</v>
      </c>
      <c r="X487" s="408">
        <v>-3.8</v>
      </c>
      <c r="Y487" s="408">
        <v>1.4</v>
      </c>
      <c r="Z487" s="408">
        <v>-2.4</v>
      </c>
      <c r="AA487" s="408">
        <v>-0.1</v>
      </c>
    </row>
    <row r="488" spans="1:27">
      <c r="A488">
        <v>396</v>
      </c>
      <c r="B488" s="1" t="s">
        <v>583</v>
      </c>
      <c r="C488" s="5" t="s">
        <v>83</v>
      </c>
      <c r="D488" s="408">
        <v>22</v>
      </c>
      <c r="E488" s="5" t="s">
        <v>47</v>
      </c>
      <c r="F488" s="408">
        <v>70</v>
      </c>
      <c r="G488" s="408">
        <v>1286</v>
      </c>
      <c r="H488" s="408">
        <v>17</v>
      </c>
      <c r="I488" s="408">
        <v>0.65</v>
      </c>
      <c r="J488" s="408">
        <v>6.0000000000000001E-3</v>
      </c>
      <c r="K488" s="408">
        <v>0.27500000000000002</v>
      </c>
      <c r="L488" s="408">
        <v>12.2</v>
      </c>
      <c r="M488" s="408">
        <v>16.100000000000001</v>
      </c>
      <c r="N488" s="408">
        <v>14.2</v>
      </c>
      <c r="O488" s="408">
        <v>5.6</v>
      </c>
      <c r="P488" s="408">
        <v>1.1000000000000001</v>
      </c>
      <c r="Q488" s="408">
        <v>5.7</v>
      </c>
      <c r="R488" s="408">
        <v>16.100000000000001</v>
      </c>
      <c r="S488" s="408">
        <v>14.5</v>
      </c>
      <c r="T488" s="408">
        <v>2.6</v>
      </c>
      <c r="U488" s="408">
        <v>2.1</v>
      </c>
      <c r="V488" s="408">
        <v>4.7</v>
      </c>
      <c r="W488" s="408">
        <v>0.17399999999999999</v>
      </c>
      <c r="X488" s="408">
        <v>0.2</v>
      </c>
      <c r="Y488" s="408">
        <v>3.1</v>
      </c>
      <c r="Z488" s="408">
        <v>3.4</v>
      </c>
      <c r="AA488" s="408">
        <v>1.7</v>
      </c>
    </row>
    <row r="489" spans="1:27">
      <c r="A489">
        <v>397</v>
      </c>
      <c r="B489" s="1" t="s">
        <v>66</v>
      </c>
      <c r="C489" s="5" t="s">
        <v>46</v>
      </c>
      <c r="D489" s="408">
        <v>29</v>
      </c>
      <c r="E489" s="5" t="s">
        <v>43</v>
      </c>
      <c r="F489" s="408">
        <v>23</v>
      </c>
      <c r="G489" s="408">
        <v>196</v>
      </c>
      <c r="H489" s="408">
        <v>4</v>
      </c>
      <c r="I489" s="408">
        <v>0.39800000000000002</v>
      </c>
      <c r="J489" s="408">
        <v>0.44900000000000001</v>
      </c>
      <c r="K489" s="408">
        <v>0.34699999999999998</v>
      </c>
      <c r="L489" s="408">
        <v>4.2</v>
      </c>
      <c r="M489" s="408">
        <v>10.7</v>
      </c>
      <c r="N489" s="408">
        <v>7.4</v>
      </c>
      <c r="O489" s="408">
        <v>6.3</v>
      </c>
      <c r="P489" s="408">
        <v>2</v>
      </c>
      <c r="Q489" s="408">
        <v>0.9</v>
      </c>
      <c r="R489" s="408">
        <v>16.3</v>
      </c>
      <c r="S489" s="408">
        <v>15</v>
      </c>
      <c r="T489" s="408">
        <v>-0.3</v>
      </c>
      <c r="U489" s="408">
        <v>0.2</v>
      </c>
      <c r="V489" s="408">
        <v>-0.2</v>
      </c>
      <c r="W489" s="408">
        <v>-4.4999999999999998E-2</v>
      </c>
      <c r="X489" s="408">
        <v>-6.1</v>
      </c>
      <c r="Y489" s="408">
        <v>-0.5</v>
      </c>
      <c r="Z489" s="408">
        <v>-6.6</v>
      </c>
      <c r="AA489" s="408">
        <v>-0.2</v>
      </c>
    </row>
    <row r="490" spans="1:27">
      <c r="A490">
        <v>398</v>
      </c>
      <c r="B490" s="1" t="s">
        <v>386</v>
      </c>
      <c r="C490" s="5" t="s">
        <v>46</v>
      </c>
      <c r="D490" s="408">
        <v>24</v>
      </c>
      <c r="E490" s="5" t="s">
        <v>27</v>
      </c>
      <c r="F490" s="408">
        <v>66</v>
      </c>
      <c r="G490" s="408">
        <v>2122</v>
      </c>
      <c r="H490" s="408">
        <v>18.2</v>
      </c>
      <c r="I490" s="408">
        <v>0.59599999999999997</v>
      </c>
      <c r="J490" s="408">
        <v>0.34799999999999998</v>
      </c>
      <c r="K490" s="408">
        <v>0.152</v>
      </c>
      <c r="L490" s="408">
        <v>4.7</v>
      </c>
      <c r="M490" s="408">
        <v>18.2</v>
      </c>
      <c r="N490" s="408">
        <v>11.5</v>
      </c>
      <c r="O490" s="408">
        <v>9.8000000000000007</v>
      </c>
      <c r="P490" s="408">
        <v>2.5</v>
      </c>
      <c r="Q490" s="408">
        <v>1.3</v>
      </c>
      <c r="R490" s="408">
        <v>6.9</v>
      </c>
      <c r="S490" s="408">
        <v>18.3</v>
      </c>
      <c r="T490" s="408">
        <v>4.4000000000000004</v>
      </c>
      <c r="U490" s="408">
        <v>2.8</v>
      </c>
      <c r="V490" s="408">
        <v>7.2</v>
      </c>
      <c r="W490" s="408">
        <v>0.16200000000000001</v>
      </c>
      <c r="X490" s="408">
        <v>2.2999999999999998</v>
      </c>
      <c r="Y490" s="408">
        <v>1.3</v>
      </c>
      <c r="Z490" s="408">
        <v>3.6</v>
      </c>
      <c r="AA490" s="408">
        <v>3</v>
      </c>
    </row>
    <row r="491" spans="1:27">
      <c r="A491">
        <v>399</v>
      </c>
      <c r="B491" s="1" t="s">
        <v>447</v>
      </c>
      <c r="C491" s="5" t="s">
        <v>38</v>
      </c>
      <c r="D491" s="408">
        <v>22</v>
      </c>
      <c r="E491" s="5" t="s">
        <v>43</v>
      </c>
      <c r="F491" s="408">
        <v>61</v>
      </c>
      <c r="G491" s="408">
        <v>1363</v>
      </c>
      <c r="H491" s="408">
        <v>20.399999999999999</v>
      </c>
      <c r="I491" s="408">
        <v>0.55000000000000004</v>
      </c>
      <c r="J491" s="408">
        <v>0.27900000000000003</v>
      </c>
      <c r="K491" s="408">
        <v>0.21099999999999999</v>
      </c>
      <c r="L491" s="408">
        <v>10.4</v>
      </c>
      <c r="M491" s="408">
        <v>22.2</v>
      </c>
      <c r="N491" s="408">
        <v>16.100000000000001</v>
      </c>
      <c r="O491" s="408">
        <v>14.1</v>
      </c>
      <c r="P491" s="408">
        <v>1.5</v>
      </c>
      <c r="Q491" s="408">
        <v>1</v>
      </c>
      <c r="R491" s="408">
        <v>9.6</v>
      </c>
      <c r="S491" s="408">
        <v>26.1</v>
      </c>
      <c r="T491" s="408">
        <v>2.1</v>
      </c>
      <c r="U491" s="408">
        <v>1.3</v>
      </c>
      <c r="V491" s="408">
        <v>3.4</v>
      </c>
      <c r="W491" s="408">
        <v>0.11799999999999999</v>
      </c>
      <c r="X491" s="408">
        <v>1.6</v>
      </c>
      <c r="Y491" s="408">
        <v>-0.7</v>
      </c>
      <c r="Z491" s="408">
        <v>1</v>
      </c>
      <c r="AA491" s="408">
        <v>1</v>
      </c>
    </row>
    <row r="492" spans="1:27">
      <c r="A492">
        <v>400</v>
      </c>
      <c r="B492" s="1" t="s">
        <v>360</v>
      </c>
      <c r="C492" s="5" t="s">
        <v>38</v>
      </c>
      <c r="D492" s="408">
        <v>22</v>
      </c>
      <c r="E492" s="5" t="s">
        <v>21</v>
      </c>
      <c r="F492" s="408">
        <v>48</v>
      </c>
      <c r="G492" s="408">
        <v>1553</v>
      </c>
      <c r="H492" s="408">
        <v>20.399999999999999</v>
      </c>
      <c r="I492" s="408">
        <v>0.53900000000000003</v>
      </c>
      <c r="J492" s="408">
        <v>0.25800000000000001</v>
      </c>
      <c r="K492" s="408">
        <v>0.309</v>
      </c>
      <c r="L492" s="408">
        <v>4.5</v>
      </c>
      <c r="M492" s="408">
        <v>18</v>
      </c>
      <c r="N492" s="408">
        <v>11.3</v>
      </c>
      <c r="O492" s="408">
        <v>6.3</v>
      </c>
      <c r="P492" s="408">
        <v>1.1000000000000001</v>
      </c>
      <c r="Q492" s="408">
        <v>6.5</v>
      </c>
      <c r="R492" s="408">
        <v>8.4</v>
      </c>
      <c r="S492" s="408">
        <v>31</v>
      </c>
      <c r="T492" s="408">
        <v>1.5</v>
      </c>
      <c r="U492" s="408">
        <v>1.9</v>
      </c>
      <c r="V492" s="408">
        <v>3.4</v>
      </c>
      <c r="W492" s="408">
        <v>0.104</v>
      </c>
      <c r="X492" s="408">
        <v>-0.4</v>
      </c>
      <c r="Y492" s="408">
        <v>-0.1</v>
      </c>
      <c r="Z492" s="408">
        <v>-0.4</v>
      </c>
      <c r="AA492" s="408">
        <v>0.6</v>
      </c>
    </row>
    <row r="493" spans="1:27">
      <c r="A493">
        <v>401</v>
      </c>
      <c r="B493" s="1" t="s">
        <v>526</v>
      </c>
      <c r="C493" s="5" t="s">
        <v>83</v>
      </c>
      <c r="D493" s="408">
        <v>26</v>
      </c>
      <c r="E493" s="5" t="s">
        <v>33</v>
      </c>
      <c r="F493" s="408">
        <v>69</v>
      </c>
      <c r="G493" s="408">
        <v>1443</v>
      </c>
      <c r="H493" s="408">
        <v>19</v>
      </c>
      <c r="I493" s="408">
        <v>0.66</v>
      </c>
      <c r="J493" s="408">
        <v>0.155</v>
      </c>
      <c r="K493" s="408">
        <v>0.42799999999999999</v>
      </c>
      <c r="L493" s="408">
        <v>8.9</v>
      </c>
      <c r="M493" s="408">
        <v>21.2</v>
      </c>
      <c r="N493" s="408">
        <v>14.9</v>
      </c>
      <c r="O493" s="408">
        <v>7.8</v>
      </c>
      <c r="P493" s="408">
        <v>2</v>
      </c>
      <c r="Q493" s="408">
        <v>1.6</v>
      </c>
      <c r="R493" s="408">
        <v>10.1</v>
      </c>
      <c r="S493" s="408">
        <v>15.6</v>
      </c>
      <c r="T493" s="408">
        <v>4</v>
      </c>
      <c r="U493" s="408">
        <v>1.8</v>
      </c>
      <c r="V493" s="408">
        <v>5.8</v>
      </c>
      <c r="W493" s="408">
        <v>0.19400000000000001</v>
      </c>
      <c r="X493" s="408">
        <v>1.1000000000000001</v>
      </c>
      <c r="Y493" s="408">
        <v>1.5</v>
      </c>
      <c r="Z493" s="408">
        <v>2.6</v>
      </c>
      <c r="AA493" s="408">
        <v>1.7</v>
      </c>
    </row>
    <row r="494" spans="1:27">
      <c r="A494">
        <v>402</v>
      </c>
      <c r="B494" s="1" t="s">
        <v>422</v>
      </c>
      <c r="C494" s="5" t="s">
        <v>26</v>
      </c>
      <c r="D494" s="408">
        <v>24</v>
      </c>
      <c r="E494" s="5" t="s">
        <v>47</v>
      </c>
      <c r="F494" s="408">
        <v>59</v>
      </c>
      <c r="G494" s="408">
        <v>945</v>
      </c>
      <c r="H494" s="408">
        <v>8.5</v>
      </c>
      <c r="I494" s="408">
        <v>0.49399999999999999</v>
      </c>
      <c r="J494" s="408">
        <v>0.47699999999999998</v>
      </c>
      <c r="K494" s="408">
        <v>0.11899999999999999</v>
      </c>
      <c r="L494" s="408">
        <v>1.3</v>
      </c>
      <c r="M494" s="408">
        <v>10.5</v>
      </c>
      <c r="N494" s="408">
        <v>6</v>
      </c>
      <c r="O494" s="408">
        <v>11.9</v>
      </c>
      <c r="P494" s="408">
        <v>1.7</v>
      </c>
      <c r="Q494" s="408">
        <v>1.2</v>
      </c>
      <c r="R494" s="408">
        <v>14.1</v>
      </c>
      <c r="S494" s="408">
        <v>18.600000000000001</v>
      </c>
      <c r="T494" s="408">
        <v>-0.5</v>
      </c>
      <c r="U494" s="408">
        <v>1.1000000000000001</v>
      </c>
      <c r="V494" s="408">
        <v>0.7</v>
      </c>
      <c r="W494" s="408">
        <v>3.3000000000000002E-2</v>
      </c>
      <c r="X494" s="408">
        <v>-2.4</v>
      </c>
      <c r="Y494" s="408">
        <v>-0.3</v>
      </c>
      <c r="Z494" s="408">
        <v>-2.6</v>
      </c>
      <c r="AA494" s="408">
        <v>-0.2</v>
      </c>
    </row>
    <row r="495" spans="1:27">
      <c r="A495">
        <v>403</v>
      </c>
      <c r="B495" s="1" t="s">
        <v>634</v>
      </c>
      <c r="C495" s="5" t="s">
        <v>38</v>
      </c>
      <c r="D495" s="408">
        <v>24</v>
      </c>
      <c r="E495" s="5" t="s">
        <v>30</v>
      </c>
      <c r="F495" s="408">
        <v>24</v>
      </c>
      <c r="G495" s="408">
        <v>101</v>
      </c>
      <c r="H495" s="408">
        <v>8.4</v>
      </c>
      <c r="I495" s="408">
        <v>0.52</v>
      </c>
      <c r="J495" s="408">
        <v>0.44</v>
      </c>
      <c r="K495" s="408">
        <v>0</v>
      </c>
      <c r="L495" s="408">
        <v>7.9</v>
      </c>
      <c r="M495" s="408">
        <v>11.1</v>
      </c>
      <c r="N495" s="408">
        <v>9.5</v>
      </c>
      <c r="O495" s="408">
        <v>2.7</v>
      </c>
      <c r="P495" s="408">
        <v>1.5</v>
      </c>
      <c r="Q495" s="408">
        <v>0.9</v>
      </c>
      <c r="R495" s="408">
        <v>7.4</v>
      </c>
      <c r="S495" s="408">
        <v>11.9</v>
      </c>
      <c r="T495" s="408">
        <v>0.1</v>
      </c>
      <c r="U495" s="408">
        <v>0.1</v>
      </c>
      <c r="V495" s="408">
        <v>0.2</v>
      </c>
      <c r="W495" s="408">
        <v>7.8E-2</v>
      </c>
      <c r="X495" s="408">
        <v>-1.8</v>
      </c>
      <c r="Y495" s="408">
        <v>-1.7</v>
      </c>
      <c r="Z495" s="408">
        <v>-3.5</v>
      </c>
      <c r="AA495" s="408">
        <v>0</v>
      </c>
    </row>
    <row r="496" spans="1:27">
      <c r="A496">
        <v>404</v>
      </c>
      <c r="B496" s="1" t="s">
        <v>633</v>
      </c>
      <c r="C496" s="5" t="s">
        <v>20</v>
      </c>
      <c r="D496" s="408">
        <v>28</v>
      </c>
      <c r="E496" s="5" t="s">
        <v>118</v>
      </c>
      <c r="F496" s="408">
        <v>3</v>
      </c>
      <c r="G496" s="408">
        <v>6</v>
      </c>
      <c r="H496" s="408">
        <v>-2.2999999999999998</v>
      </c>
      <c r="I496" s="408">
        <v>0.5</v>
      </c>
      <c r="J496" s="408">
        <v>0.5</v>
      </c>
      <c r="K496" s="408">
        <v>0</v>
      </c>
      <c r="L496" s="408">
        <v>0</v>
      </c>
      <c r="M496" s="408">
        <v>0</v>
      </c>
      <c r="N496" s="408">
        <v>0</v>
      </c>
      <c r="O496" s="408">
        <v>0</v>
      </c>
      <c r="P496" s="408">
        <v>0</v>
      </c>
      <c r="Q496" s="408">
        <v>0</v>
      </c>
      <c r="R496" s="408">
        <v>33.299999999999997</v>
      </c>
      <c r="S496" s="408">
        <v>21.4</v>
      </c>
      <c r="T496" s="408">
        <v>0</v>
      </c>
      <c r="U496" s="408">
        <v>0</v>
      </c>
      <c r="V496" s="408">
        <v>0</v>
      </c>
      <c r="W496" s="408">
        <v>-0.216</v>
      </c>
      <c r="X496" s="408">
        <v>-10.5</v>
      </c>
      <c r="Y496" s="408">
        <v>-5</v>
      </c>
      <c r="Z496" s="408">
        <v>-15.5</v>
      </c>
      <c r="AA496" s="408">
        <v>0</v>
      </c>
    </row>
    <row r="497" spans="1:27">
      <c r="A497">
        <v>405</v>
      </c>
      <c r="B497" s="1" t="s">
        <v>1163</v>
      </c>
      <c r="C497" s="5" t="s">
        <v>26</v>
      </c>
      <c r="D497" s="408">
        <v>23</v>
      </c>
      <c r="E497" s="5" t="s">
        <v>75</v>
      </c>
      <c r="F497" s="408">
        <v>5</v>
      </c>
      <c r="G497" s="408">
        <v>57</v>
      </c>
      <c r="H497" s="408">
        <v>4.2</v>
      </c>
      <c r="I497" s="408">
        <v>0.52200000000000002</v>
      </c>
      <c r="J497" s="408">
        <v>0.625</v>
      </c>
      <c r="K497" s="408">
        <v>0.313</v>
      </c>
      <c r="L497" s="408">
        <v>0</v>
      </c>
      <c r="M497" s="408">
        <v>5.9</v>
      </c>
      <c r="N497" s="408">
        <v>2.9</v>
      </c>
      <c r="O497" s="408">
        <v>2.5</v>
      </c>
      <c r="P497" s="408">
        <v>0.9</v>
      </c>
      <c r="Q497" s="408">
        <v>2.8</v>
      </c>
      <c r="R497" s="408">
        <v>21.6</v>
      </c>
      <c r="S497" s="408">
        <v>17.899999999999999</v>
      </c>
      <c r="T497" s="408">
        <v>-0.1</v>
      </c>
      <c r="U497" s="408">
        <v>0</v>
      </c>
      <c r="V497" s="408">
        <v>-0.1</v>
      </c>
      <c r="W497" s="408">
        <v>-6.3E-2</v>
      </c>
      <c r="X497" s="408">
        <v>-5.8</v>
      </c>
      <c r="Y497" s="408">
        <v>-2.1</v>
      </c>
      <c r="Z497" s="408">
        <v>-7.9</v>
      </c>
      <c r="AA497" s="408">
        <v>-0.1</v>
      </c>
    </row>
    <row r="498" spans="1:27">
      <c r="A498">
        <v>406</v>
      </c>
      <c r="B498" s="1" t="s">
        <v>521</v>
      </c>
      <c r="C498" s="5" t="s">
        <v>83</v>
      </c>
      <c r="D498" s="408">
        <v>22</v>
      </c>
      <c r="E498" s="5" t="s">
        <v>92</v>
      </c>
      <c r="F498" s="408">
        <v>14</v>
      </c>
      <c r="G498" s="408">
        <v>75</v>
      </c>
      <c r="H498" s="408">
        <v>0</v>
      </c>
      <c r="I498" s="408">
        <v>0.29899999999999999</v>
      </c>
      <c r="J498" s="408">
        <v>0.625</v>
      </c>
      <c r="K498" s="408">
        <v>0.41699999999999998</v>
      </c>
      <c r="L498" s="408">
        <v>3.1</v>
      </c>
      <c r="M498" s="408">
        <v>16.600000000000001</v>
      </c>
      <c r="N498" s="408">
        <v>9.9</v>
      </c>
      <c r="O498" s="408">
        <v>1.8</v>
      </c>
      <c r="P498" s="408">
        <v>1.3</v>
      </c>
      <c r="Q498" s="408">
        <v>6.8</v>
      </c>
      <c r="R498" s="408">
        <v>15</v>
      </c>
      <c r="S498" s="408">
        <v>19.600000000000001</v>
      </c>
      <c r="T498" s="408">
        <v>-0.3</v>
      </c>
      <c r="U498" s="408">
        <v>0.1</v>
      </c>
      <c r="V498" s="408">
        <v>-0.2</v>
      </c>
      <c r="W498" s="408">
        <v>-0.127</v>
      </c>
      <c r="X498" s="408">
        <v>-10.7</v>
      </c>
      <c r="Y498" s="408">
        <v>0.7</v>
      </c>
      <c r="Z498" s="408">
        <v>-10</v>
      </c>
      <c r="AA498" s="408">
        <v>-0.2</v>
      </c>
    </row>
    <row r="499" spans="1:27">
      <c r="A499">
        <v>407</v>
      </c>
      <c r="B499" s="1" t="s">
        <v>630</v>
      </c>
      <c r="C499" s="5" t="s">
        <v>38</v>
      </c>
      <c r="D499" s="408">
        <v>20</v>
      </c>
      <c r="E499" s="5" t="s">
        <v>128</v>
      </c>
      <c r="F499" s="408">
        <v>28</v>
      </c>
      <c r="G499" s="408">
        <v>331</v>
      </c>
      <c r="H499" s="408">
        <v>16.3</v>
      </c>
      <c r="I499" s="408">
        <v>0.622</v>
      </c>
      <c r="J499" s="408">
        <v>0</v>
      </c>
      <c r="K499" s="408">
        <v>0.23400000000000001</v>
      </c>
      <c r="L499" s="408">
        <v>12</v>
      </c>
      <c r="M499" s="408">
        <v>21.8</v>
      </c>
      <c r="N499" s="408">
        <v>16.8</v>
      </c>
      <c r="O499" s="408">
        <v>11.3</v>
      </c>
      <c r="P499" s="408">
        <v>1.2</v>
      </c>
      <c r="Q499" s="408">
        <v>1.7</v>
      </c>
      <c r="R499" s="408">
        <v>20</v>
      </c>
      <c r="S499" s="408">
        <v>17.7</v>
      </c>
      <c r="T499" s="408">
        <v>0.4</v>
      </c>
      <c r="U499" s="408">
        <v>0.3</v>
      </c>
      <c r="V499" s="408">
        <v>0.7</v>
      </c>
      <c r="W499" s="408">
        <v>0.108</v>
      </c>
      <c r="X499" s="408">
        <v>-1.6</v>
      </c>
      <c r="Y499" s="408">
        <v>0</v>
      </c>
      <c r="Z499" s="408">
        <v>-1.6</v>
      </c>
      <c r="AA499" s="408">
        <v>0</v>
      </c>
    </row>
    <row r="500" spans="1:27">
      <c r="A500">
        <v>408</v>
      </c>
      <c r="B500" s="1" t="s">
        <v>221</v>
      </c>
      <c r="C500" s="5" t="s">
        <v>83</v>
      </c>
      <c r="D500" s="408">
        <v>23</v>
      </c>
      <c r="E500" s="5" t="s">
        <v>78</v>
      </c>
      <c r="F500" s="408">
        <v>70</v>
      </c>
      <c r="G500" s="408">
        <v>1836</v>
      </c>
      <c r="H500" s="408">
        <v>20.3</v>
      </c>
      <c r="I500" s="408">
        <v>0.60899999999999999</v>
      </c>
      <c r="J500" s="408">
        <v>5.5E-2</v>
      </c>
      <c r="K500" s="408">
        <v>0.44</v>
      </c>
      <c r="L500" s="408">
        <v>9</v>
      </c>
      <c r="M500" s="408">
        <v>22.9</v>
      </c>
      <c r="N500" s="408">
        <v>15.9</v>
      </c>
      <c r="O500" s="408">
        <v>15.8</v>
      </c>
      <c r="P500" s="408">
        <v>1</v>
      </c>
      <c r="Q500" s="408">
        <v>1.9</v>
      </c>
      <c r="R500" s="408">
        <v>16</v>
      </c>
      <c r="S500" s="408">
        <v>25.1</v>
      </c>
      <c r="T500" s="408">
        <v>3.5</v>
      </c>
      <c r="U500" s="408">
        <v>2.2000000000000002</v>
      </c>
      <c r="V500" s="408">
        <v>5.7</v>
      </c>
      <c r="W500" s="408">
        <v>0.14799999999999999</v>
      </c>
      <c r="X500" s="408">
        <v>0.6</v>
      </c>
      <c r="Y500" s="408">
        <v>0.7</v>
      </c>
      <c r="Z500" s="408">
        <v>1.3</v>
      </c>
      <c r="AA500" s="408">
        <v>1.5</v>
      </c>
    </row>
    <row r="501" spans="1:27">
      <c r="A501">
        <v>409</v>
      </c>
      <c r="B501" s="1" t="s">
        <v>469</v>
      </c>
      <c r="C501" s="5" t="s">
        <v>38</v>
      </c>
      <c r="D501" s="408">
        <v>36</v>
      </c>
      <c r="E501" s="5" t="s">
        <v>100</v>
      </c>
      <c r="F501" s="408">
        <v>59</v>
      </c>
      <c r="G501" s="408">
        <v>1508</v>
      </c>
      <c r="H501" s="408">
        <v>17.3</v>
      </c>
      <c r="I501" s="408">
        <v>0.52900000000000003</v>
      </c>
      <c r="J501" s="408">
        <v>0.193</v>
      </c>
      <c r="K501" s="408">
        <v>0.14000000000000001</v>
      </c>
      <c r="L501" s="408">
        <v>7</v>
      </c>
      <c r="M501" s="408">
        <v>23.7</v>
      </c>
      <c r="N501" s="408">
        <v>15</v>
      </c>
      <c r="O501" s="408">
        <v>14.8</v>
      </c>
      <c r="P501" s="408">
        <v>1.4</v>
      </c>
      <c r="Q501" s="408">
        <v>0.6</v>
      </c>
      <c r="R501" s="408">
        <v>12.5</v>
      </c>
      <c r="S501" s="408">
        <v>27.6</v>
      </c>
      <c r="T501" s="408">
        <v>0.3</v>
      </c>
      <c r="U501" s="408">
        <v>1</v>
      </c>
      <c r="V501" s="408">
        <v>1.4</v>
      </c>
      <c r="W501" s="408">
        <v>4.2999999999999997E-2</v>
      </c>
      <c r="X501" s="408">
        <v>-0.6</v>
      </c>
      <c r="Y501" s="408">
        <v>-1.4</v>
      </c>
      <c r="Z501" s="408">
        <v>-2</v>
      </c>
      <c r="AA501" s="408">
        <v>0</v>
      </c>
    </row>
    <row r="502" spans="1:27">
      <c r="A502">
        <v>410</v>
      </c>
      <c r="B502" s="1" t="s">
        <v>1091</v>
      </c>
      <c r="C502" s="5" t="s">
        <v>26</v>
      </c>
      <c r="D502" s="408">
        <v>23</v>
      </c>
      <c r="E502" s="5" t="s">
        <v>128</v>
      </c>
      <c r="F502" s="408">
        <v>5</v>
      </c>
      <c r="G502" s="408">
        <v>118</v>
      </c>
      <c r="H502" s="408">
        <v>0.9</v>
      </c>
      <c r="I502" s="408">
        <v>0.315</v>
      </c>
      <c r="J502" s="408">
        <v>0.33300000000000002</v>
      </c>
      <c r="K502" s="408">
        <v>0.214</v>
      </c>
      <c r="L502" s="408">
        <v>0</v>
      </c>
      <c r="M502" s="408">
        <v>5</v>
      </c>
      <c r="N502" s="408">
        <v>2.5</v>
      </c>
      <c r="O502" s="408">
        <v>23.3</v>
      </c>
      <c r="P502" s="408">
        <v>2.6</v>
      </c>
      <c r="Q502" s="408">
        <v>2.4</v>
      </c>
      <c r="R502" s="408">
        <v>19.3</v>
      </c>
      <c r="S502" s="408">
        <v>21.8</v>
      </c>
      <c r="T502" s="408">
        <v>-0.5</v>
      </c>
      <c r="U502" s="408">
        <v>0.1</v>
      </c>
      <c r="V502" s="408">
        <v>-0.4</v>
      </c>
      <c r="W502" s="408">
        <v>-0.16700000000000001</v>
      </c>
      <c r="X502" s="408">
        <v>-8.8000000000000007</v>
      </c>
      <c r="Y502" s="408">
        <v>-1.8</v>
      </c>
      <c r="Z502" s="408">
        <v>-10.6</v>
      </c>
      <c r="AA502" s="408">
        <v>-0.3</v>
      </c>
    </row>
    <row r="503" spans="1:27">
      <c r="A503">
        <v>411</v>
      </c>
      <c r="B503" s="1" t="s">
        <v>238</v>
      </c>
      <c r="C503" s="5" t="s">
        <v>26</v>
      </c>
      <c r="D503" s="408">
        <v>33</v>
      </c>
      <c r="E503" s="5" t="s">
        <v>118</v>
      </c>
      <c r="F503" s="408">
        <v>58</v>
      </c>
      <c r="G503" s="408">
        <v>1800</v>
      </c>
      <c r="H503" s="408">
        <v>15.1</v>
      </c>
      <c r="I503" s="408">
        <v>0.60599999999999998</v>
      </c>
      <c r="J503" s="408">
        <v>0.52900000000000003</v>
      </c>
      <c r="K503" s="408">
        <v>0.25600000000000001</v>
      </c>
      <c r="L503" s="408">
        <v>0.6</v>
      </c>
      <c r="M503" s="408">
        <v>8.3000000000000007</v>
      </c>
      <c r="N503" s="408">
        <v>4.5999999999999996</v>
      </c>
      <c r="O503" s="408">
        <v>15.1</v>
      </c>
      <c r="P503" s="408">
        <v>0.9</v>
      </c>
      <c r="Q503" s="408">
        <v>0.2</v>
      </c>
      <c r="R503" s="408">
        <v>9.8000000000000007</v>
      </c>
      <c r="S503" s="408">
        <v>21.1</v>
      </c>
      <c r="T503" s="408">
        <v>3.8</v>
      </c>
      <c r="U503" s="408">
        <v>1.4</v>
      </c>
      <c r="V503" s="408">
        <v>5.2</v>
      </c>
      <c r="W503" s="408">
        <v>0.13800000000000001</v>
      </c>
      <c r="X503" s="408">
        <v>2.2999999999999998</v>
      </c>
      <c r="Y503" s="408">
        <v>-2.6</v>
      </c>
      <c r="Z503" s="408">
        <v>-0.2</v>
      </c>
      <c r="AA503" s="408">
        <v>0.8</v>
      </c>
    </row>
    <row r="504" spans="1:27">
      <c r="A504">
        <v>412</v>
      </c>
      <c r="B504" s="1" t="s">
        <v>673</v>
      </c>
      <c r="C504" s="5" t="s">
        <v>26</v>
      </c>
      <c r="D504" s="408">
        <v>22</v>
      </c>
      <c r="E504" s="5" t="s">
        <v>313</v>
      </c>
      <c r="F504" s="408">
        <v>12</v>
      </c>
      <c r="G504" s="408">
        <v>111</v>
      </c>
      <c r="H504" s="408">
        <v>6.7</v>
      </c>
      <c r="I504" s="408">
        <v>0.42599999999999999</v>
      </c>
      <c r="J504" s="408">
        <v>0.432</v>
      </c>
      <c r="K504" s="408">
        <v>0.108</v>
      </c>
      <c r="L504" s="408">
        <v>0.9</v>
      </c>
      <c r="M504" s="408">
        <v>17.8</v>
      </c>
      <c r="N504" s="408">
        <v>9.1999999999999993</v>
      </c>
      <c r="O504" s="408">
        <v>9.1</v>
      </c>
      <c r="P504" s="408">
        <v>1.3</v>
      </c>
      <c r="Q504" s="408">
        <v>0.7</v>
      </c>
      <c r="R504" s="408">
        <v>7.2</v>
      </c>
      <c r="S504" s="408">
        <v>15.9</v>
      </c>
      <c r="T504" s="408">
        <v>-0.1</v>
      </c>
      <c r="U504" s="408">
        <v>0.1</v>
      </c>
      <c r="V504" s="408">
        <v>0</v>
      </c>
      <c r="W504" s="408">
        <v>-1.9E-2</v>
      </c>
      <c r="X504" s="408">
        <v>-4.7</v>
      </c>
      <c r="Y504" s="408">
        <v>-1.8</v>
      </c>
      <c r="Z504" s="408">
        <v>-6.5</v>
      </c>
      <c r="AA504" s="408">
        <v>-0.1</v>
      </c>
    </row>
    <row r="505" spans="1:27">
      <c r="A505">
        <v>413</v>
      </c>
      <c r="B505" s="1" t="s">
        <v>134</v>
      </c>
      <c r="C505" s="5" t="s">
        <v>83</v>
      </c>
      <c r="D505" s="408">
        <v>27</v>
      </c>
      <c r="E505" s="5" t="s">
        <v>357</v>
      </c>
      <c r="F505" s="408">
        <v>42</v>
      </c>
      <c r="G505" s="408">
        <v>428</v>
      </c>
      <c r="H505" s="408">
        <v>19.100000000000001</v>
      </c>
      <c r="I505" s="408">
        <v>0.67100000000000004</v>
      </c>
      <c r="J505" s="408">
        <v>1.7000000000000001E-2</v>
      </c>
      <c r="K505" s="408">
        <v>0.45500000000000002</v>
      </c>
      <c r="L505" s="408">
        <v>9.1</v>
      </c>
      <c r="M505" s="408">
        <v>21.6</v>
      </c>
      <c r="N505" s="408">
        <v>15.5</v>
      </c>
      <c r="O505" s="408">
        <v>3.6</v>
      </c>
      <c r="P505" s="408">
        <v>1</v>
      </c>
      <c r="Q505" s="408">
        <v>4.3</v>
      </c>
      <c r="R505" s="408">
        <v>11.6</v>
      </c>
      <c r="S505" s="408">
        <v>16.600000000000001</v>
      </c>
      <c r="T505" s="408">
        <v>1</v>
      </c>
      <c r="U505" s="408">
        <v>0.5</v>
      </c>
      <c r="V505" s="408">
        <v>1.6</v>
      </c>
      <c r="W505" s="408">
        <v>0.17599999999999999</v>
      </c>
      <c r="X505" s="408">
        <v>-0.9</v>
      </c>
      <c r="Y505" s="408">
        <v>0.1</v>
      </c>
      <c r="Z505" s="408">
        <v>-0.8</v>
      </c>
      <c r="AA505" s="408">
        <v>0.1</v>
      </c>
    </row>
    <row r="506" spans="1:27">
      <c r="A506">
        <v>413</v>
      </c>
      <c r="B506" s="1" t="s">
        <v>134</v>
      </c>
      <c r="C506" s="5" t="s">
        <v>83</v>
      </c>
      <c r="D506" s="408">
        <v>27</v>
      </c>
      <c r="E506" s="5" t="s">
        <v>64</v>
      </c>
      <c r="F506" s="408">
        <v>39</v>
      </c>
      <c r="G506" s="408">
        <v>419</v>
      </c>
      <c r="H506" s="408">
        <v>19.3</v>
      </c>
      <c r="I506" s="408">
        <v>0.66900000000000004</v>
      </c>
      <c r="J506" s="408">
        <v>1.7000000000000001E-2</v>
      </c>
      <c r="K506" s="408">
        <v>0.45800000000000002</v>
      </c>
      <c r="L506" s="408">
        <v>9.3000000000000007</v>
      </c>
      <c r="M506" s="408">
        <v>21.8</v>
      </c>
      <c r="N506" s="408">
        <v>15.7</v>
      </c>
      <c r="O506" s="408">
        <v>3.3</v>
      </c>
      <c r="P506" s="408">
        <v>1</v>
      </c>
      <c r="Q506" s="408">
        <v>4.4000000000000004</v>
      </c>
      <c r="R506" s="408">
        <v>11.6</v>
      </c>
      <c r="S506" s="408">
        <v>16.8</v>
      </c>
      <c r="T506" s="408">
        <v>1</v>
      </c>
      <c r="U506" s="408">
        <v>0.5</v>
      </c>
      <c r="V506" s="408">
        <v>1.5</v>
      </c>
      <c r="W506" s="408">
        <v>0.17599999999999999</v>
      </c>
      <c r="X506" s="408">
        <v>-0.9</v>
      </c>
      <c r="Y506" s="408">
        <v>0.2</v>
      </c>
      <c r="Z506" s="408">
        <v>-0.7</v>
      </c>
      <c r="AA506" s="408">
        <v>0.1</v>
      </c>
    </row>
    <row r="507" spans="1:27">
      <c r="A507">
        <v>413</v>
      </c>
      <c r="B507" s="1" t="s">
        <v>134</v>
      </c>
      <c r="C507" s="5" t="s">
        <v>83</v>
      </c>
      <c r="D507" s="408">
        <v>27</v>
      </c>
      <c r="E507" s="5" t="s">
        <v>157</v>
      </c>
      <c r="F507" s="408">
        <v>3</v>
      </c>
      <c r="G507" s="408">
        <v>9</v>
      </c>
      <c r="H507" s="408">
        <v>8.6999999999999993</v>
      </c>
      <c r="I507" s="408">
        <v>1</v>
      </c>
      <c r="J507" s="408">
        <v>0</v>
      </c>
      <c r="K507" s="408">
        <v>0</v>
      </c>
      <c r="L507" s="408">
        <v>0</v>
      </c>
      <c r="M507" s="408">
        <v>12.7</v>
      </c>
      <c r="N507" s="408">
        <v>6.2</v>
      </c>
      <c r="O507" s="408">
        <v>16.100000000000001</v>
      </c>
      <c r="P507" s="408">
        <v>0</v>
      </c>
      <c r="Q507" s="408">
        <v>0</v>
      </c>
      <c r="R507" s="408">
        <v>0</v>
      </c>
      <c r="S507" s="408">
        <v>4.9000000000000004</v>
      </c>
      <c r="T507" s="408">
        <v>0</v>
      </c>
      <c r="U507" s="408">
        <v>0</v>
      </c>
      <c r="V507" s="408">
        <v>0</v>
      </c>
      <c r="W507" s="408">
        <v>0.184</v>
      </c>
      <c r="X507" s="408">
        <v>-0.3</v>
      </c>
      <c r="Y507" s="408">
        <v>-2.2000000000000002</v>
      </c>
      <c r="Z507" s="408">
        <v>-2.5</v>
      </c>
      <c r="AA507" s="408">
        <v>0</v>
      </c>
    </row>
    <row r="508" spans="1:27">
      <c r="A508">
        <v>414</v>
      </c>
      <c r="B508" s="1" t="s">
        <v>364</v>
      </c>
      <c r="C508" s="5" t="s">
        <v>46</v>
      </c>
      <c r="D508" s="408">
        <v>24</v>
      </c>
      <c r="E508" s="5" t="s">
        <v>50</v>
      </c>
      <c r="F508" s="408">
        <v>70</v>
      </c>
      <c r="G508" s="408">
        <v>2335</v>
      </c>
      <c r="H508" s="408">
        <v>13.4</v>
      </c>
      <c r="I508" s="408">
        <v>0.55700000000000005</v>
      </c>
      <c r="J508" s="408">
        <v>0.39400000000000002</v>
      </c>
      <c r="K508" s="408">
        <v>0.159</v>
      </c>
      <c r="L508" s="408">
        <v>3</v>
      </c>
      <c r="M508" s="408">
        <v>8.6</v>
      </c>
      <c r="N508" s="408">
        <v>5.8</v>
      </c>
      <c r="O508" s="408">
        <v>13</v>
      </c>
      <c r="P508" s="408">
        <v>2.2999999999999998</v>
      </c>
      <c r="Q508" s="408">
        <v>2.2999999999999998</v>
      </c>
      <c r="R508" s="408">
        <v>13.6</v>
      </c>
      <c r="S508" s="408">
        <v>18.3</v>
      </c>
      <c r="T508" s="408">
        <v>1.6</v>
      </c>
      <c r="U508" s="408">
        <v>2.9</v>
      </c>
      <c r="V508" s="408">
        <v>4.5</v>
      </c>
      <c r="W508" s="408">
        <v>9.1999999999999998E-2</v>
      </c>
      <c r="X508" s="408">
        <v>0</v>
      </c>
      <c r="Y508" s="408">
        <v>1.3</v>
      </c>
      <c r="Z508" s="408">
        <v>1.3</v>
      </c>
      <c r="AA508" s="408">
        <v>1.9</v>
      </c>
    </row>
    <row r="509" spans="1:27">
      <c r="A509">
        <v>415</v>
      </c>
      <c r="B509" s="1" t="s">
        <v>500</v>
      </c>
      <c r="C509" s="5" t="s">
        <v>26</v>
      </c>
      <c r="D509" s="408">
        <v>22</v>
      </c>
      <c r="E509" s="5" t="s">
        <v>357</v>
      </c>
      <c r="F509" s="408">
        <v>26</v>
      </c>
      <c r="G509" s="408">
        <v>324</v>
      </c>
      <c r="H509" s="408">
        <v>5.9</v>
      </c>
      <c r="I509" s="408">
        <v>0.44600000000000001</v>
      </c>
      <c r="J509" s="408">
        <v>0.44400000000000001</v>
      </c>
      <c r="K509" s="408">
        <v>0.24399999999999999</v>
      </c>
      <c r="L509" s="408">
        <v>1.7</v>
      </c>
      <c r="M509" s="408">
        <v>10.6</v>
      </c>
      <c r="N509" s="408">
        <v>6</v>
      </c>
      <c r="O509" s="408">
        <v>5.6</v>
      </c>
      <c r="P509" s="408">
        <v>1.6</v>
      </c>
      <c r="Q509" s="408">
        <v>0.3</v>
      </c>
      <c r="R509" s="408">
        <v>9.1</v>
      </c>
      <c r="S509" s="408">
        <v>15.2</v>
      </c>
      <c r="T509" s="408">
        <v>-0.2</v>
      </c>
      <c r="U509" s="408">
        <v>0.1</v>
      </c>
      <c r="V509" s="408">
        <v>-0.1</v>
      </c>
      <c r="W509" s="408">
        <v>-2.1000000000000001E-2</v>
      </c>
      <c r="X509" s="408">
        <v>-4.2</v>
      </c>
      <c r="Y509" s="408">
        <v>-2.2999999999999998</v>
      </c>
      <c r="Z509" s="408">
        <v>-6.5</v>
      </c>
      <c r="AA509" s="408">
        <v>-0.4</v>
      </c>
    </row>
    <row r="510" spans="1:27">
      <c r="A510">
        <v>415</v>
      </c>
      <c r="B510" s="1" t="s">
        <v>500</v>
      </c>
      <c r="C510" s="5" t="s">
        <v>26</v>
      </c>
      <c r="D510" s="408">
        <v>22</v>
      </c>
      <c r="E510" s="5" t="s">
        <v>100</v>
      </c>
      <c r="F510" s="408">
        <v>25</v>
      </c>
      <c r="G510" s="408">
        <v>319</v>
      </c>
      <c r="H510" s="408">
        <v>5.8</v>
      </c>
      <c r="I510" s="408">
        <v>0.44500000000000001</v>
      </c>
      <c r="J510" s="408">
        <v>0.443</v>
      </c>
      <c r="K510" s="408">
        <v>0.25</v>
      </c>
      <c r="L510" s="408">
        <v>1.7</v>
      </c>
      <c r="M510" s="408">
        <v>10.4</v>
      </c>
      <c r="N510" s="408">
        <v>5.9</v>
      </c>
      <c r="O510" s="408">
        <v>5.7</v>
      </c>
      <c r="P510" s="408">
        <v>1.6</v>
      </c>
      <c r="Q510" s="408">
        <v>0.3</v>
      </c>
      <c r="R510" s="408">
        <v>9.3000000000000007</v>
      </c>
      <c r="S510" s="408">
        <v>15.2</v>
      </c>
      <c r="T510" s="408">
        <v>-0.2</v>
      </c>
      <c r="U510" s="408">
        <v>0.1</v>
      </c>
      <c r="V510" s="408">
        <v>-0.1</v>
      </c>
      <c r="W510" s="408">
        <v>-2.1999999999999999E-2</v>
      </c>
      <c r="X510" s="408">
        <v>-4.2</v>
      </c>
      <c r="Y510" s="408">
        <v>-2.2000000000000002</v>
      </c>
      <c r="Z510" s="408">
        <v>-6.4</v>
      </c>
      <c r="AA510" s="408">
        <v>-0.3</v>
      </c>
    </row>
    <row r="511" spans="1:27">
      <c r="A511">
        <v>415</v>
      </c>
      <c r="B511" s="1" t="s">
        <v>500</v>
      </c>
      <c r="C511" s="5" t="s">
        <v>26</v>
      </c>
      <c r="D511" s="408">
        <v>22</v>
      </c>
      <c r="E511" s="5" t="s">
        <v>47</v>
      </c>
      <c r="F511" s="408">
        <v>1</v>
      </c>
      <c r="G511" s="408">
        <v>5</v>
      </c>
      <c r="H511" s="408">
        <v>10.5</v>
      </c>
      <c r="I511" s="408">
        <v>0.5</v>
      </c>
      <c r="J511" s="408">
        <v>0.5</v>
      </c>
      <c r="K511" s="408">
        <v>0</v>
      </c>
      <c r="L511" s="408">
        <v>0</v>
      </c>
      <c r="M511" s="408">
        <v>22</v>
      </c>
      <c r="N511" s="408">
        <v>11.2</v>
      </c>
      <c r="O511" s="408">
        <v>0</v>
      </c>
      <c r="P511" s="408">
        <v>0</v>
      </c>
      <c r="Q511" s="408">
        <v>0</v>
      </c>
      <c r="R511" s="408">
        <v>0</v>
      </c>
      <c r="S511" s="408">
        <v>17.399999999999999</v>
      </c>
      <c r="T511" s="408">
        <v>0</v>
      </c>
      <c r="U511" s="408">
        <v>0</v>
      </c>
      <c r="V511" s="408">
        <v>0</v>
      </c>
      <c r="W511" s="408">
        <v>4.8000000000000001E-2</v>
      </c>
      <c r="X511" s="408">
        <v>-5.0999999999999996</v>
      </c>
      <c r="Y511" s="408">
        <v>-6.3</v>
      </c>
      <c r="Z511" s="408">
        <v>-11.4</v>
      </c>
      <c r="AA511" s="408">
        <v>0</v>
      </c>
    </row>
    <row r="512" spans="1:27">
      <c r="A512">
        <v>416</v>
      </c>
      <c r="B512" s="1" t="s">
        <v>324</v>
      </c>
      <c r="C512" s="5" t="s">
        <v>26</v>
      </c>
      <c r="D512" s="408">
        <v>25</v>
      </c>
      <c r="E512" s="5" t="s">
        <v>64</v>
      </c>
      <c r="F512" s="408">
        <v>49</v>
      </c>
      <c r="G512" s="408">
        <v>1647</v>
      </c>
      <c r="H512" s="408">
        <v>13</v>
      </c>
      <c r="I512" s="408">
        <v>0.53900000000000003</v>
      </c>
      <c r="J512" s="408">
        <v>0.44900000000000001</v>
      </c>
      <c r="K512" s="408">
        <v>0.191</v>
      </c>
      <c r="L512" s="408">
        <v>1.5</v>
      </c>
      <c r="M512" s="408">
        <v>6.8</v>
      </c>
      <c r="N512" s="408">
        <v>4.2</v>
      </c>
      <c r="O512" s="408">
        <v>16.8</v>
      </c>
      <c r="P512" s="408">
        <v>1.7</v>
      </c>
      <c r="Q512" s="408">
        <v>0.7</v>
      </c>
      <c r="R512" s="408">
        <v>11.1</v>
      </c>
      <c r="S512" s="408">
        <v>21</v>
      </c>
      <c r="T512" s="408">
        <v>1.3</v>
      </c>
      <c r="U512" s="408">
        <v>1</v>
      </c>
      <c r="V512" s="408">
        <v>2.2999999999999998</v>
      </c>
      <c r="W512" s="408">
        <v>6.6000000000000003E-2</v>
      </c>
      <c r="X512" s="408">
        <v>1</v>
      </c>
      <c r="Y512" s="408">
        <v>-1.4</v>
      </c>
      <c r="Z512" s="408">
        <v>-0.4</v>
      </c>
      <c r="AA512" s="408">
        <v>0.7</v>
      </c>
    </row>
    <row r="513" spans="1:27">
      <c r="A513">
        <v>417</v>
      </c>
      <c r="B513" s="1" t="s">
        <v>531</v>
      </c>
      <c r="C513" s="5" t="s">
        <v>26</v>
      </c>
      <c r="D513" s="408">
        <v>26</v>
      </c>
      <c r="E513" s="5" t="s">
        <v>58</v>
      </c>
      <c r="F513" s="408">
        <v>39</v>
      </c>
      <c r="G513" s="408">
        <v>1037</v>
      </c>
      <c r="H513" s="408">
        <v>10.9</v>
      </c>
      <c r="I513" s="408">
        <v>0.54300000000000004</v>
      </c>
      <c r="J513" s="408">
        <v>0.222</v>
      </c>
      <c r="K513" s="408">
        <v>0.23499999999999999</v>
      </c>
      <c r="L513" s="408">
        <v>7.8</v>
      </c>
      <c r="M513" s="408">
        <v>12.3</v>
      </c>
      <c r="N513" s="408">
        <v>10</v>
      </c>
      <c r="O513" s="408">
        <v>6</v>
      </c>
      <c r="P513" s="408">
        <v>2.2000000000000002</v>
      </c>
      <c r="Q513" s="408">
        <v>3.1</v>
      </c>
      <c r="R513" s="408">
        <v>14.4</v>
      </c>
      <c r="S513" s="408">
        <v>8.6999999999999993</v>
      </c>
      <c r="T513" s="408">
        <v>0.8</v>
      </c>
      <c r="U513" s="408">
        <v>1.3</v>
      </c>
      <c r="V513" s="408">
        <v>2.2000000000000002</v>
      </c>
      <c r="W513" s="408">
        <v>0.1</v>
      </c>
      <c r="X513" s="408">
        <v>-1.3</v>
      </c>
      <c r="Y513" s="408">
        <v>2.8</v>
      </c>
      <c r="Z513" s="408">
        <v>1.5</v>
      </c>
      <c r="AA513" s="408">
        <v>0.9</v>
      </c>
    </row>
    <row r="514" spans="1:27">
      <c r="A514">
        <v>418</v>
      </c>
      <c r="B514" s="1" t="s">
        <v>712</v>
      </c>
      <c r="C514" s="5" t="s">
        <v>46</v>
      </c>
      <c r="D514" s="408">
        <v>24</v>
      </c>
      <c r="E514" s="5" t="s">
        <v>30</v>
      </c>
      <c r="F514" s="408">
        <v>12</v>
      </c>
      <c r="G514" s="408">
        <v>165</v>
      </c>
      <c r="H514" s="408">
        <v>7.6</v>
      </c>
      <c r="I514" s="408">
        <v>0.42699999999999999</v>
      </c>
      <c r="J514" s="408">
        <v>0.3</v>
      </c>
      <c r="K514" s="408">
        <v>0.125</v>
      </c>
      <c r="L514" s="408">
        <v>3.5</v>
      </c>
      <c r="M514" s="408">
        <v>5.4</v>
      </c>
      <c r="N514" s="408">
        <v>4.4000000000000004</v>
      </c>
      <c r="O514" s="408">
        <v>8.8000000000000007</v>
      </c>
      <c r="P514" s="408">
        <v>1.8</v>
      </c>
      <c r="Q514" s="408">
        <v>0.5</v>
      </c>
      <c r="R514" s="408">
        <v>4.5</v>
      </c>
      <c r="S514" s="408">
        <v>11.9</v>
      </c>
      <c r="T514" s="408">
        <v>0</v>
      </c>
      <c r="U514" s="408">
        <v>0.1</v>
      </c>
      <c r="V514" s="408">
        <v>0.1</v>
      </c>
      <c r="W514" s="408">
        <v>3.6999999999999998E-2</v>
      </c>
      <c r="X514" s="408">
        <v>-2.9</v>
      </c>
      <c r="Y514" s="408">
        <v>-1</v>
      </c>
      <c r="Z514" s="408">
        <v>-3.9</v>
      </c>
      <c r="AA514" s="408">
        <v>-0.1</v>
      </c>
    </row>
    <row r="515" spans="1:27">
      <c r="A515">
        <v>419</v>
      </c>
      <c r="B515" s="1" t="s">
        <v>171</v>
      </c>
      <c r="C515" s="5" t="s">
        <v>20</v>
      </c>
      <c r="D515" s="408">
        <v>31</v>
      </c>
      <c r="E515" s="5" t="s">
        <v>112</v>
      </c>
      <c r="F515" s="408">
        <v>55</v>
      </c>
      <c r="G515" s="408">
        <v>1415</v>
      </c>
      <c r="H515" s="408">
        <v>14.8</v>
      </c>
      <c r="I515" s="408">
        <v>0.51700000000000002</v>
      </c>
      <c r="J515" s="408">
        <v>0.308</v>
      </c>
      <c r="K515" s="408">
        <v>0.09</v>
      </c>
      <c r="L515" s="408">
        <v>2.2000000000000002</v>
      </c>
      <c r="M515" s="408">
        <v>13.9</v>
      </c>
      <c r="N515" s="408">
        <v>8.3000000000000007</v>
      </c>
      <c r="O515" s="408">
        <v>41</v>
      </c>
      <c r="P515" s="408">
        <v>1.8</v>
      </c>
      <c r="Q515" s="408">
        <v>0.6</v>
      </c>
      <c r="R515" s="408">
        <v>22.1</v>
      </c>
      <c r="S515" s="408">
        <v>16.399999999999999</v>
      </c>
      <c r="T515" s="408">
        <v>1.6</v>
      </c>
      <c r="U515" s="408">
        <v>1.3</v>
      </c>
      <c r="V515" s="408">
        <v>2.8</v>
      </c>
      <c r="W515" s="408">
        <v>9.6000000000000002E-2</v>
      </c>
      <c r="X515" s="408">
        <v>-0.6</v>
      </c>
      <c r="Y515" s="408">
        <v>-0.9</v>
      </c>
      <c r="Z515" s="408">
        <v>-1.5</v>
      </c>
      <c r="AA515" s="408">
        <v>0.2</v>
      </c>
    </row>
    <row r="516" spans="1:27">
      <c r="A516">
        <v>420</v>
      </c>
      <c r="B516" s="1" t="s">
        <v>226</v>
      </c>
      <c r="C516" s="5" t="s">
        <v>20</v>
      </c>
      <c r="D516" s="408">
        <v>29</v>
      </c>
      <c r="E516" s="5" t="s">
        <v>357</v>
      </c>
      <c r="F516" s="408">
        <v>20</v>
      </c>
      <c r="G516" s="408">
        <v>360</v>
      </c>
      <c r="H516" s="408">
        <v>11.7</v>
      </c>
      <c r="I516" s="408">
        <v>0.50900000000000001</v>
      </c>
      <c r="J516" s="408">
        <v>0.17</v>
      </c>
      <c r="K516" s="408">
        <v>0.27</v>
      </c>
      <c r="L516" s="408">
        <v>4.0999999999999996</v>
      </c>
      <c r="M516" s="408">
        <v>6.1</v>
      </c>
      <c r="N516" s="408">
        <v>5.0999999999999996</v>
      </c>
      <c r="O516" s="408">
        <v>14.2</v>
      </c>
      <c r="P516" s="408">
        <v>0.7</v>
      </c>
      <c r="Q516" s="408">
        <v>0.9</v>
      </c>
      <c r="R516" s="408">
        <v>14.8</v>
      </c>
      <c r="S516" s="408">
        <v>25.7</v>
      </c>
      <c r="T516" s="408">
        <v>-0.2</v>
      </c>
      <c r="U516" s="408">
        <v>0</v>
      </c>
      <c r="V516" s="408">
        <v>-0.1</v>
      </c>
      <c r="W516" s="408">
        <v>-1.7999999999999999E-2</v>
      </c>
      <c r="X516" s="408">
        <v>-3.8</v>
      </c>
      <c r="Y516" s="408">
        <v>-3.9</v>
      </c>
      <c r="Z516" s="408">
        <v>-7.7</v>
      </c>
      <c r="AA516" s="408">
        <v>-0.5</v>
      </c>
    </row>
    <row r="517" spans="1:27">
      <c r="A517">
        <v>420</v>
      </c>
      <c r="B517" s="1" t="s">
        <v>226</v>
      </c>
      <c r="C517" s="5" t="s">
        <v>20</v>
      </c>
      <c r="D517" s="408">
        <v>29</v>
      </c>
      <c r="E517" s="5" t="s">
        <v>102</v>
      </c>
      <c r="F517" s="408">
        <v>16</v>
      </c>
      <c r="G517" s="408">
        <v>308</v>
      </c>
      <c r="H517" s="408">
        <v>11.5</v>
      </c>
      <c r="I517" s="408">
        <v>0.52300000000000002</v>
      </c>
      <c r="J517" s="408">
        <v>0.182</v>
      </c>
      <c r="K517" s="408">
        <v>0.311</v>
      </c>
      <c r="L517" s="408">
        <v>3.7</v>
      </c>
      <c r="M517" s="408">
        <v>6.8</v>
      </c>
      <c r="N517" s="408">
        <v>5.3</v>
      </c>
      <c r="O517" s="408">
        <v>13</v>
      </c>
      <c r="P517" s="408">
        <v>0.5</v>
      </c>
      <c r="Q517" s="408">
        <v>1.1000000000000001</v>
      </c>
      <c r="R517" s="408">
        <v>15.7</v>
      </c>
      <c r="S517" s="408">
        <v>25.6</v>
      </c>
      <c r="T517" s="408">
        <v>-0.1</v>
      </c>
      <c r="U517" s="408">
        <v>0</v>
      </c>
      <c r="V517" s="408">
        <v>-0.1</v>
      </c>
      <c r="W517" s="408">
        <v>-1.6E-2</v>
      </c>
      <c r="X517" s="408">
        <v>-4</v>
      </c>
      <c r="Y517" s="408">
        <v>-3.8</v>
      </c>
      <c r="Z517" s="408">
        <v>-7.8</v>
      </c>
      <c r="AA517" s="408">
        <v>-0.5</v>
      </c>
    </row>
    <row r="518" spans="1:27">
      <c r="A518">
        <v>420</v>
      </c>
      <c r="B518" s="1" t="s">
        <v>226</v>
      </c>
      <c r="C518" s="5" t="s">
        <v>20</v>
      </c>
      <c r="D518" s="408">
        <v>29</v>
      </c>
      <c r="E518" s="5" t="s">
        <v>56</v>
      </c>
      <c r="F518" s="408">
        <v>4</v>
      </c>
      <c r="G518" s="408">
        <v>52</v>
      </c>
      <c r="H518" s="408">
        <v>12.9</v>
      </c>
      <c r="I518" s="408">
        <v>0.43</v>
      </c>
      <c r="J518" s="408">
        <v>0.111</v>
      </c>
      <c r="K518" s="408">
        <v>7.3999999999999996E-2</v>
      </c>
      <c r="L518" s="408">
        <v>6.6</v>
      </c>
      <c r="M518" s="408">
        <v>2.2000000000000002</v>
      </c>
      <c r="N518" s="408">
        <v>4.5</v>
      </c>
      <c r="O518" s="408">
        <v>20.9</v>
      </c>
      <c r="P518" s="408">
        <v>1.9</v>
      </c>
      <c r="Q518" s="408">
        <v>0</v>
      </c>
      <c r="R518" s="408">
        <v>9.6999999999999993</v>
      </c>
      <c r="S518" s="408">
        <v>26.3</v>
      </c>
      <c r="T518" s="408">
        <v>0</v>
      </c>
      <c r="U518" s="408">
        <v>0</v>
      </c>
      <c r="V518" s="408">
        <v>0</v>
      </c>
      <c r="W518" s="408">
        <v>-2.5999999999999999E-2</v>
      </c>
      <c r="X518" s="408">
        <v>-2.7</v>
      </c>
      <c r="Y518" s="408">
        <v>-4.3</v>
      </c>
      <c r="Z518" s="408">
        <v>-6.9</v>
      </c>
      <c r="AA518" s="408">
        <v>-0.1</v>
      </c>
    </row>
    <row r="519" spans="1:27">
      <c r="A519">
        <v>421</v>
      </c>
      <c r="B519" s="1" t="s">
        <v>392</v>
      </c>
      <c r="C519" s="5" t="s">
        <v>26</v>
      </c>
      <c r="D519" s="408">
        <v>26</v>
      </c>
      <c r="E519" s="5" t="s">
        <v>75</v>
      </c>
      <c r="F519" s="408">
        <v>22</v>
      </c>
      <c r="G519" s="408">
        <v>576</v>
      </c>
      <c r="H519" s="408">
        <v>10.3</v>
      </c>
      <c r="I519" s="408">
        <v>0.51500000000000001</v>
      </c>
      <c r="J519" s="408">
        <v>0.48</v>
      </c>
      <c r="K519" s="408">
        <v>0.19800000000000001</v>
      </c>
      <c r="L519" s="408">
        <v>1.9</v>
      </c>
      <c r="M519" s="408">
        <v>11.6</v>
      </c>
      <c r="N519" s="408">
        <v>6.8</v>
      </c>
      <c r="O519" s="408">
        <v>8.8000000000000007</v>
      </c>
      <c r="P519" s="408">
        <v>2.2999999999999998</v>
      </c>
      <c r="Q519" s="408">
        <v>1.2</v>
      </c>
      <c r="R519" s="408">
        <v>11.5</v>
      </c>
      <c r="S519" s="408">
        <v>16.600000000000001</v>
      </c>
      <c r="T519" s="408">
        <v>-0.1</v>
      </c>
      <c r="U519" s="408">
        <v>0.5</v>
      </c>
      <c r="V519" s="408">
        <v>0.4</v>
      </c>
      <c r="W519" s="408">
        <v>3.4000000000000002E-2</v>
      </c>
      <c r="X519" s="408">
        <v>-1.7</v>
      </c>
      <c r="Y519" s="408">
        <v>0</v>
      </c>
      <c r="Z519" s="408">
        <v>-1.7</v>
      </c>
      <c r="AA519" s="408">
        <v>0</v>
      </c>
    </row>
    <row r="520" spans="1:27">
      <c r="A520">
        <v>422</v>
      </c>
      <c r="B520" s="1" t="s">
        <v>374</v>
      </c>
      <c r="C520" s="5" t="s">
        <v>20</v>
      </c>
      <c r="D520" s="408">
        <v>23</v>
      </c>
      <c r="E520" s="5" t="s">
        <v>87</v>
      </c>
      <c r="F520" s="408">
        <v>70</v>
      </c>
      <c r="G520" s="408">
        <v>1750</v>
      </c>
      <c r="H520" s="408">
        <v>15.1</v>
      </c>
      <c r="I520" s="408">
        <v>0.52500000000000002</v>
      </c>
      <c r="J520" s="408">
        <v>0.498</v>
      </c>
      <c r="K520" s="408">
        <v>0.188</v>
      </c>
      <c r="L520" s="408">
        <v>3.5</v>
      </c>
      <c r="M520" s="408">
        <v>16.100000000000001</v>
      </c>
      <c r="N520" s="408">
        <v>9.9</v>
      </c>
      <c r="O520" s="408">
        <v>16.600000000000001</v>
      </c>
      <c r="P520" s="408">
        <v>1.9</v>
      </c>
      <c r="Q520" s="408">
        <v>0.7</v>
      </c>
      <c r="R520" s="408">
        <v>8.1999999999999993</v>
      </c>
      <c r="S520" s="408">
        <v>20.100000000000001</v>
      </c>
      <c r="T520" s="408">
        <v>2</v>
      </c>
      <c r="U520" s="408">
        <v>2.9</v>
      </c>
      <c r="V520" s="408">
        <v>4.9000000000000004</v>
      </c>
      <c r="W520" s="408">
        <v>0.13300000000000001</v>
      </c>
      <c r="X520" s="408">
        <v>0.7</v>
      </c>
      <c r="Y520" s="408">
        <v>1</v>
      </c>
      <c r="Z520" s="408">
        <v>1.7</v>
      </c>
      <c r="AA520" s="408">
        <v>1.6</v>
      </c>
    </row>
    <row r="521" spans="1:27">
      <c r="A521">
        <v>423</v>
      </c>
      <c r="B521" s="1" t="s">
        <v>405</v>
      </c>
      <c r="C521" s="5" t="s">
        <v>20</v>
      </c>
      <c r="D521" s="408">
        <v>27</v>
      </c>
      <c r="E521" s="5" t="s">
        <v>305</v>
      </c>
      <c r="F521" s="408">
        <v>66</v>
      </c>
      <c r="G521" s="408">
        <v>1953</v>
      </c>
      <c r="H521" s="408">
        <v>13.9</v>
      </c>
      <c r="I521" s="408">
        <v>0.51200000000000001</v>
      </c>
      <c r="J521" s="408">
        <v>0.318</v>
      </c>
      <c r="K521" s="408">
        <v>0.30499999999999999</v>
      </c>
      <c r="L521" s="408">
        <v>2.2000000000000002</v>
      </c>
      <c r="M521" s="408">
        <v>15.3</v>
      </c>
      <c r="N521" s="408">
        <v>8.8000000000000007</v>
      </c>
      <c r="O521" s="408">
        <v>28.8</v>
      </c>
      <c r="P521" s="408">
        <v>2.6</v>
      </c>
      <c r="Q521" s="408">
        <v>0.4</v>
      </c>
      <c r="R521" s="408">
        <v>18.600000000000001</v>
      </c>
      <c r="S521" s="408">
        <v>22.6</v>
      </c>
      <c r="T521" s="408">
        <v>0.3</v>
      </c>
      <c r="U521" s="408">
        <v>3.2</v>
      </c>
      <c r="V521" s="408">
        <v>3.4</v>
      </c>
      <c r="W521" s="408">
        <v>8.5000000000000006E-2</v>
      </c>
      <c r="X521" s="408">
        <v>-0.9</v>
      </c>
      <c r="Y521" s="408">
        <v>1.6</v>
      </c>
      <c r="Z521" s="408">
        <v>0.7</v>
      </c>
      <c r="AA521" s="408">
        <v>1.3</v>
      </c>
    </row>
    <row r="522" spans="1:27">
      <c r="A522">
        <v>424</v>
      </c>
      <c r="B522" s="1" t="s">
        <v>349</v>
      </c>
      <c r="C522" s="5" t="s">
        <v>20</v>
      </c>
      <c r="D522" s="408">
        <v>21</v>
      </c>
      <c r="E522" s="5" t="s">
        <v>315</v>
      </c>
      <c r="F522" s="408">
        <v>37</v>
      </c>
      <c r="G522" s="408">
        <v>955</v>
      </c>
      <c r="H522" s="408">
        <v>15.4</v>
      </c>
      <c r="I522" s="408">
        <v>0.51200000000000001</v>
      </c>
      <c r="J522" s="408">
        <v>0.38800000000000001</v>
      </c>
      <c r="K522" s="408">
        <v>0.218</v>
      </c>
      <c r="L522" s="408">
        <v>2.8</v>
      </c>
      <c r="M522" s="408">
        <v>13.4</v>
      </c>
      <c r="N522" s="408">
        <v>8</v>
      </c>
      <c r="O522" s="408">
        <v>33.9</v>
      </c>
      <c r="P522" s="408">
        <v>1.4</v>
      </c>
      <c r="Q522" s="408">
        <v>0.9</v>
      </c>
      <c r="R522" s="408">
        <v>16.5</v>
      </c>
      <c r="S522" s="408">
        <v>31.3</v>
      </c>
      <c r="T522" s="408">
        <v>-0.4</v>
      </c>
      <c r="U522" s="408">
        <v>0.7</v>
      </c>
      <c r="V522" s="408">
        <v>0.3</v>
      </c>
      <c r="W522" s="408">
        <v>1.4E-2</v>
      </c>
      <c r="X522" s="408">
        <v>0.7</v>
      </c>
      <c r="Y522" s="408">
        <v>-1.3</v>
      </c>
      <c r="Z522" s="408">
        <v>-0.5</v>
      </c>
      <c r="AA522" s="408">
        <v>0.4</v>
      </c>
    </row>
    <row r="523" spans="1:27">
      <c r="A523">
        <v>425</v>
      </c>
      <c r="B523" s="1" t="s">
        <v>555</v>
      </c>
      <c r="C523" s="5" t="s">
        <v>83</v>
      </c>
      <c r="D523" s="408">
        <v>21</v>
      </c>
      <c r="E523" s="5" t="s">
        <v>30</v>
      </c>
      <c r="F523" s="408">
        <v>66</v>
      </c>
      <c r="G523" s="408">
        <v>1629</v>
      </c>
      <c r="H523" s="408">
        <v>17.399999999999999</v>
      </c>
      <c r="I523" s="408">
        <v>0.56899999999999995</v>
      </c>
      <c r="J523" s="408">
        <v>5.6000000000000001E-2</v>
      </c>
      <c r="K523" s="408">
        <v>0.35</v>
      </c>
      <c r="L523" s="408">
        <v>10.7</v>
      </c>
      <c r="M523" s="408">
        <v>25.3</v>
      </c>
      <c r="N523" s="408">
        <v>18.100000000000001</v>
      </c>
      <c r="O523" s="408">
        <v>12.5</v>
      </c>
      <c r="P523" s="408">
        <v>1</v>
      </c>
      <c r="Q523" s="408">
        <v>1.5</v>
      </c>
      <c r="R523" s="408">
        <v>15.7</v>
      </c>
      <c r="S523" s="408">
        <v>21.9</v>
      </c>
      <c r="T523" s="408">
        <v>2.2999999999999998</v>
      </c>
      <c r="U523" s="408">
        <v>2</v>
      </c>
      <c r="V523" s="408">
        <v>4.2</v>
      </c>
      <c r="W523" s="408">
        <v>0.125</v>
      </c>
      <c r="X523" s="408">
        <v>-0.8</v>
      </c>
      <c r="Y523" s="408">
        <v>0.4</v>
      </c>
      <c r="Z523" s="408">
        <v>-0.4</v>
      </c>
      <c r="AA523" s="408">
        <v>0.7</v>
      </c>
    </row>
    <row r="524" spans="1:27">
      <c r="A524">
        <v>426</v>
      </c>
      <c r="B524" s="1" t="s">
        <v>553</v>
      </c>
      <c r="C524" s="5" t="s">
        <v>46</v>
      </c>
      <c r="D524" s="408">
        <v>24</v>
      </c>
      <c r="E524" s="5" t="s">
        <v>100</v>
      </c>
      <c r="F524" s="408">
        <v>15</v>
      </c>
      <c r="G524" s="408">
        <v>227</v>
      </c>
      <c r="H524" s="408">
        <v>15.2</v>
      </c>
      <c r="I524" s="408">
        <v>0.71499999999999997</v>
      </c>
      <c r="J524" s="408">
        <v>0.159</v>
      </c>
      <c r="K524" s="408">
        <v>0.182</v>
      </c>
      <c r="L524" s="408">
        <v>6.3</v>
      </c>
      <c r="M524" s="408">
        <v>21.5</v>
      </c>
      <c r="N524" s="408">
        <v>13.5</v>
      </c>
      <c r="O524" s="408">
        <v>4.5</v>
      </c>
      <c r="P524" s="408">
        <v>1.3</v>
      </c>
      <c r="Q524" s="408">
        <v>5.4</v>
      </c>
      <c r="R524" s="408">
        <v>11.2</v>
      </c>
      <c r="S524" s="408">
        <v>10.6</v>
      </c>
      <c r="T524" s="408">
        <v>0.5</v>
      </c>
      <c r="U524" s="408">
        <v>0.2</v>
      </c>
      <c r="V524" s="408">
        <v>0.7</v>
      </c>
      <c r="W524" s="408">
        <v>0.14899999999999999</v>
      </c>
      <c r="X524" s="408">
        <v>-1.1000000000000001</v>
      </c>
      <c r="Y524" s="408">
        <v>1.7</v>
      </c>
      <c r="Z524" s="408">
        <v>0.7</v>
      </c>
      <c r="AA524" s="408">
        <v>0.2</v>
      </c>
    </row>
    <row r="525" spans="1:27">
      <c r="A525">
        <v>427</v>
      </c>
      <c r="B525" s="1" t="s">
        <v>352</v>
      </c>
      <c r="C525" s="5" t="s">
        <v>38</v>
      </c>
      <c r="D525" s="408">
        <v>23</v>
      </c>
      <c r="E525" s="5" t="s">
        <v>118</v>
      </c>
      <c r="F525" s="408">
        <v>68</v>
      </c>
      <c r="G525" s="408">
        <v>2073</v>
      </c>
      <c r="H525" s="408">
        <v>16</v>
      </c>
      <c r="I525" s="408">
        <v>0.58499999999999996</v>
      </c>
      <c r="J525" s="408">
        <v>0.44400000000000001</v>
      </c>
      <c r="K525" s="408">
        <v>0.23400000000000001</v>
      </c>
      <c r="L525" s="408">
        <v>7.6</v>
      </c>
      <c r="M525" s="408">
        <v>16.600000000000001</v>
      </c>
      <c r="N525" s="408">
        <v>12.3</v>
      </c>
      <c r="O525" s="408">
        <v>13.1</v>
      </c>
      <c r="P525" s="408">
        <v>1.1000000000000001</v>
      </c>
      <c r="Q525" s="408">
        <v>0.8</v>
      </c>
      <c r="R525" s="408">
        <v>13.3</v>
      </c>
      <c r="S525" s="408">
        <v>20.6</v>
      </c>
      <c r="T525" s="408">
        <v>3.5</v>
      </c>
      <c r="U525" s="408">
        <v>2.2999999999999998</v>
      </c>
      <c r="V525" s="408">
        <v>5.8</v>
      </c>
      <c r="W525" s="408">
        <v>0.13500000000000001</v>
      </c>
      <c r="X525" s="408">
        <v>1.8</v>
      </c>
      <c r="Y525" s="408">
        <v>-0.3</v>
      </c>
      <c r="Z525" s="408">
        <v>1.5</v>
      </c>
      <c r="AA525" s="408">
        <v>1.8</v>
      </c>
    </row>
    <row r="526" spans="1:27">
      <c r="A526">
        <v>428</v>
      </c>
      <c r="B526" s="1" t="s">
        <v>530</v>
      </c>
      <c r="C526" s="5" t="s">
        <v>26</v>
      </c>
      <c r="D526" s="408">
        <v>26</v>
      </c>
      <c r="E526" s="5" t="s">
        <v>27</v>
      </c>
      <c r="F526" s="408">
        <v>61</v>
      </c>
      <c r="G526" s="408">
        <v>1297</v>
      </c>
      <c r="H526" s="408">
        <v>16.100000000000001</v>
      </c>
      <c r="I526" s="408">
        <v>0.63</v>
      </c>
      <c r="J526" s="408">
        <v>0.27900000000000003</v>
      </c>
      <c r="K526" s="408">
        <v>0.29499999999999998</v>
      </c>
      <c r="L526" s="408">
        <v>4.7</v>
      </c>
      <c r="M526" s="408">
        <v>10.3</v>
      </c>
      <c r="N526" s="408">
        <v>7.5</v>
      </c>
      <c r="O526" s="408">
        <v>24.9</v>
      </c>
      <c r="P526" s="408">
        <v>1.7</v>
      </c>
      <c r="Q526" s="408">
        <v>0.7</v>
      </c>
      <c r="R526" s="408">
        <v>15.5</v>
      </c>
      <c r="S526" s="408">
        <v>13.9</v>
      </c>
      <c r="T526" s="408">
        <v>3.2</v>
      </c>
      <c r="U526" s="408">
        <v>1.1000000000000001</v>
      </c>
      <c r="V526" s="408">
        <v>4.3</v>
      </c>
      <c r="W526" s="408">
        <v>0.159</v>
      </c>
      <c r="X526" s="408">
        <v>1.7</v>
      </c>
      <c r="Y526" s="408">
        <v>-0.4</v>
      </c>
      <c r="Z526" s="408">
        <v>1.4</v>
      </c>
      <c r="AA526" s="408">
        <v>1.1000000000000001</v>
      </c>
    </row>
    <row r="527" spans="1:27">
      <c r="A527">
        <v>429</v>
      </c>
      <c r="B527" s="1" t="s">
        <v>399</v>
      </c>
      <c r="C527" s="5" t="s">
        <v>20</v>
      </c>
      <c r="D527" s="408">
        <v>24</v>
      </c>
      <c r="E527" s="5" t="s">
        <v>149</v>
      </c>
      <c r="F527" s="408">
        <v>65</v>
      </c>
      <c r="G527" s="408">
        <v>2015</v>
      </c>
      <c r="H527" s="408">
        <v>17.100000000000001</v>
      </c>
      <c r="I527" s="408">
        <v>0.51300000000000001</v>
      </c>
      <c r="J527" s="408">
        <v>0.22800000000000001</v>
      </c>
      <c r="K527" s="408">
        <v>0.23</v>
      </c>
      <c r="L527" s="408">
        <v>2.4</v>
      </c>
      <c r="M527" s="408">
        <v>8.9</v>
      </c>
      <c r="N527" s="408">
        <v>5.6</v>
      </c>
      <c r="O527" s="408">
        <v>35.799999999999997</v>
      </c>
      <c r="P527" s="408">
        <v>1.7</v>
      </c>
      <c r="Q527" s="408">
        <v>0.3</v>
      </c>
      <c r="R527" s="408">
        <v>12.7</v>
      </c>
      <c r="S527" s="408">
        <v>30.1</v>
      </c>
      <c r="T527" s="408">
        <v>1.5</v>
      </c>
      <c r="U527" s="408">
        <v>0.9</v>
      </c>
      <c r="V527" s="408">
        <v>2.4</v>
      </c>
      <c r="W527" s="408">
        <v>5.7000000000000002E-2</v>
      </c>
      <c r="X527" s="408">
        <v>1.2</v>
      </c>
      <c r="Y527" s="408">
        <v>-2.2999999999999998</v>
      </c>
      <c r="Z527" s="408">
        <v>-1.1000000000000001</v>
      </c>
      <c r="AA527" s="408">
        <v>0.5</v>
      </c>
    </row>
    <row r="528" spans="1:27">
      <c r="A528">
        <v>430</v>
      </c>
      <c r="B528" s="1" t="s">
        <v>463</v>
      </c>
      <c r="C528" s="5" t="s">
        <v>38</v>
      </c>
      <c r="D528" s="408">
        <v>29</v>
      </c>
      <c r="E528" s="5" t="s">
        <v>27</v>
      </c>
      <c r="F528" s="408">
        <v>65</v>
      </c>
      <c r="G528" s="408">
        <v>1174</v>
      </c>
      <c r="H528" s="408">
        <v>13.8</v>
      </c>
      <c r="I528" s="408">
        <v>0.61099999999999999</v>
      </c>
      <c r="J528" s="408">
        <v>0.313</v>
      </c>
      <c r="K528" s="408">
        <v>0.14599999999999999</v>
      </c>
      <c r="L528" s="408">
        <v>3.8</v>
      </c>
      <c r="M528" s="408">
        <v>15.4</v>
      </c>
      <c r="N528" s="408">
        <v>9.6</v>
      </c>
      <c r="O528" s="408">
        <v>8.4</v>
      </c>
      <c r="P528" s="408">
        <v>0.9</v>
      </c>
      <c r="Q528" s="408">
        <v>0.7</v>
      </c>
      <c r="R528" s="408">
        <v>13.2</v>
      </c>
      <c r="S528" s="408">
        <v>19.899999999999999</v>
      </c>
      <c r="T528" s="408">
        <v>1.2</v>
      </c>
      <c r="U528" s="408">
        <v>0.9</v>
      </c>
      <c r="V528" s="408">
        <v>2.1</v>
      </c>
      <c r="W528" s="408">
        <v>8.6999999999999994E-2</v>
      </c>
      <c r="X528" s="408">
        <v>-0.4</v>
      </c>
      <c r="Y528" s="408">
        <v>-1.7</v>
      </c>
      <c r="Z528" s="408">
        <v>-2.1</v>
      </c>
      <c r="AA528" s="408">
        <v>0</v>
      </c>
    </row>
    <row r="529" spans="1:27">
      <c r="A529">
        <v>431</v>
      </c>
      <c r="B529" s="1" t="s">
        <v>468</v>
      </c>
      <c r="C529" s="5" t="s">
        <v>46</v>
      </c>
      <c r="D529" s="408">
        <v>33</v>
      </c>
      <c r="E529" s="5" t="s">
        <v>305</v>
      </c>
      <c r="F529" s="408">
        <v>38</v>
      </c>
      <c r="G529" s="408">
        <v>806</v>
      </c>
      <c r="H529" s="408">
        <v>15.9</v>
      </c>
      <c r="I529" s="408">
        <v>0.59099999999999997</v>
      </c>
      <c r="J529" s="408">
        <v>0.35</v>
      </c>
      <c r="K529" s="408">
        <v>0.22500000000000001</v>
      </c>
      <c r="L529" s="408">
        <v>4.0999999999999996</v>
      </c>
      <c r="M529" s="408">
        <v>18.5</v>
      </c>
      <c r="N529" s="408">
        <v>11.3</v>
      </c>
      <c r="O529" s="408">
        <v>6.4</v>
      </c>
      <c r="P529" s="408">
        <v>3.2</v>
      </c>
      <c r="Q529" s="408">
        <v>1.3</v>
      </c>
      <c r="R529" s="408">
        <v>10.199999999999999</v>
      </c>
      <c r="S529" s="408">
        <v>16.5</v>
      </c>
      <c r="T529" s="408">
        <v>1</v>
      </c>
      <c r="U529" s="408">
        <v>1.6</v>
      </c>
      <c r="V529" s="408">
        <v>2.6</v>
      </c>
      <c r="W529" s="408">
        <v>0.155</v>
      </c>
      <c r="X529" s="408">
        <v>-0.4</v>
      </c>
      <c r="Y529" s="408">
        <v>2.2999999999999998</v>
      </c>
      <c r="Z529" s="408">
        <v>1.9</v>
      </c>
      <c r="AA529" s="408">
        <v>0.8</v>
      </c>
    </row>
    <row r="530" spans="1:27">
      <c r="A530">
        <v>432</v>
      </c>
      <c r="B530" s="1" t="s">
        <v>465</v>
      </c>
      <c r="C530" s="5" t="s">
        <v>26</v>
      </c>
      <c r="D530" s="408">
        <v>23</v>
      </c>
      <c r="E530" s="5" t="s">
        <v>128</v>
      </c>
      <c r="F530" s="408">
        <v>28</v>
      </c>
      <c r="G530" s="408">
        <v>526</v>
      </c>
      <c r="H530" s="408">
        <v>9.8000000000000007</v>
      </c>
      <c r="I530" s="408">
        <v>0.52900000000000003</v>
      </c>
      <c r="J530" s="408">
        <v>0.48199999999999998</v>
      </c>
      <c r="K530" s="408">
        <v>0.20499999999999999</v>
      </c>
      <c r="L530" s="408">
        <v>2.8</v>
      </c>
      <c r="M530" s="408">
        <v>7.4</v>
      </c>
      <c r="N530" s="408">
        <v>5.0999999999999996</v>
      </c>
      <c r="O530" s="408">
        <v>15.4</v>
      </c>
      <c r="P530" s="408">
        <v>1.3</v>
      </c>
      <c r="Q530" s="408">
        <v>0.5</v>
      </c>
      <c r="R530" s="408">
        <v>16.8</v>
      </c>
      <c r="S530" s="408">
        <v>21.9</v>
      </c>
      <c r="T530" s="408">
        <v>-0.2</v>
      </c>
      <c r="U530" s="408">
        <v>0.2</v>
      </c>
      <c r="V530" s="408">
        <v>0</v>
      </c>
      <c r="W530" s="408">
        <v>0</v>
      </c>
      <c r="X530" s="408">
        <v>-1.8</v>
      </c>
      <c r="Y530" s="408">
        <v>-3</v>
      </c>
      <c r="Z530" s="408">
        <v>-4.8</v>
      </c>
      <c r="AA530" s="408">
        <v>-0.4</v>
      </c>
    </row>
    <row r="531" spans="1:27">
      <c r="A531">
        <v>433</v>
      </c>
      <c r="B531" s="1" t="s">
        <v>544</v>
      </c>
      <c r="C531" s="5" t="s">
        <v>20</v>
      </c>
      <c r="D531" s="408">
        <v>31</v>
      </c>
      <c r="E531" s="5" t="s">
        <v>357</v>
      </c>
      <c r="F531" s="408">
        <v>19</v>
      </c>
      <c r="G531" s="408">
        <v>278</v>
      </c>
      <c r="H531" s="408">
        <v>7.9</v>
      </c>
      <c r="I531" s="408">
        <v>0.437</v>
      </c>
      <c r="J531" s="408">
        <v>0.20499999999999999</v>
      </c>
      <c r="K531" s="408">
        <v>0.38600000000000001</v>
      </c>
      <c r="L531" s="408">
        <v>1.2</v>
      </c>
      <c r="M531" s="408">
        <v>8.8000000000000007</v>
      </c>
      <c r="N531" s="408">
        <v>5</v>
      </c>
      <c r="O531" s="408">
        <v>23.2</v>
      </c>
      <c r="P531" s="408">
        <v>1.6</v>
      </c>
      <c r="Q531" s="408">
        <v>0.6</v>
      </c>
      <c r="R531" s="408">
        <v>17.600000000000001</v>
      </c>
      <c r="S531" s="408">
        <v>19.7</v>
      </c>
      <c r="T531" s="408">
        <v>-0.3</v>
      </c>
      <c r="U531" s="408">
        <v>0.2</v>
      </c>
      <c r="V531" s="408">
        <v>-0.1</v>
      </c>
      <c r="W531" s="408">
        <v>-1.7000000000000001E-2</v>
      </c>
      <c r="X531" s="408">
        <v>-4.7</v>
      </c>
      <c r="Y531" s="408">
        <v>-2.1</v>
      </c>
      <c r="Z531" s="408">
        <v>-6.8</v>
      </c>
      <c r="AA531" s="408">
        <v>-0.3</v>
      </c>
    </row>
    <row r="532" spans="1:27">
      <c r="A532">
        <v>433</v>
      </c>
      <c r="B532" s="1" t="s">
        <v>544</v>
      </c>
      <c r="C532" s="5" t="s">
        <v>20</v>
      </c>
      <c r="D532" s="408">
        <v>31</v>
      </c>
      <c r="E532" s="5" t="s">
        <v>21</v>
      </c>
      <c r="F532" s="408">
        <v>13</v>
      </c>
      <c r="G532" s="408">
        <v>167</v>
      </c>
      <c r="H532" s="408">
        <v>6.2</v>
      </c>
      <c r="I532" s="408">
        <v>0.40300000000000002</v>
      </c>
      <c r="J532" s="408">
        <v>0.20799999999999999</v>
      </c>
      <c r="K532" s="408">
        <v>0.28299999999999997</v>
      </c>
      <c r="L532" s="408">
        <v>0.7</v>
      </c>
      <c r="M532" s="408">
        <v>11.2</v>
      </c>
      <c r="N532" s="408">
        <v>6</v>
      </c>
      <c r="O532" s="408">
        <v>22</v>
      </c>
      <c r="P532" s="408">
        <v>2.1</v>
      </c>
      <c r="Q532" s="408">
        <v>0.5</v>
      </c>
      <c r="R532" s="408">
        <v>20.100000000000001</v>
      </c>
      <c r="S532" s="408">
        <v>19.5</v>
      </c>
      <c r="T532" s="408">
        <v>-0.3</v>
      </c>
      <c r="U532" s="408">
        <v>0.1</v>
      </c>
      <c r="V532" s="408">
        <v>-0.2</v>
      </c>
      <c r="W532" s="408">
        <v>-6.2E-2</v>
      </c>
      <c r="X532" s="408">
        <v>-5.8</v>
      </c>
      <c r="Y532" s="408">
        <v>-1.2</v>
      </c>
      <c r="Z532" s="408">
        <v>-7</v>
      </c>
      <c r="AA532" s="408">
        <v>-0.2</v>
      </c>
    </row>
    <row r="533" spans="1:27">
      <c r="A533">
        <v>433</v>
      </c>
      <c r="B533" s="1" t="s">
        <v>544</v>
      </c>
      <c r="C533" s="5" t="s">
        <v>20</v>
      </c>
      <c r="D533" s="408">
        <v>31</v>
      </c>
      <c r="E533" s="5" t="s">
        <v>27</v>
      </c>
      <c r="F533" s="408">
        <v>6</v>
      </c>
      <c r="G533" s="408">
        <v>111</v>
      </c>
      <c r="H533" s="408">
        <v>10.4</v>
      </c>
      <c r="I533" s="408">
        <v>0.48399999999999999</v>
      </c>
      <c r="J533" s="408">
        <v>0.2</v>
      </c>
      <c r="K533" s="408">
        <v>0.54300000000000004</v>
      </c>
      <c r="L533" s="408">
        <v>2.1</v>
      </c>
      <c r="M533" s="408">
        <v>5.0999999999999996</v>
      </c>
      <c r="N533" s="408">
        <v>3.6</v>
      </c>
      <c r="O533" s="408">
        <v>25</v>
      </c>
      <c r="P533" s="408">
        <v>0.9</v>
      </c>
      <c r="Q533" s="408">
        <v>0.8</v>
      </c>
      <c r="R533" s="408">
        <v>13.9</v>
      </c>
      <c r="S533" s="408">
        <v>20</v>
      </c>
      <c r="T533" s="408">
        <v>0.1</v>
      </c>
      <c r="U533" s="408">
        <v>0.1</v>
      </c>
      <c r="V533" s="408">
        <v>0.1</v>
      </c>
      <c r="W533" s="408">
        <v>0.05</v>
      </c>
      <c r="X533" s="408">
        <v>-3</v>
      </c>
      <c r="Y533" s="408">
        <v>-3.4</v>
      </c>
      <c r="Z533" s="408">
        <v>-6.4</v>
      </c>
      <c r="AA533" s="408">
        <v>-0.1</v>
      </c>
    </row>
    <row r="534" spans="1:27">
      <c r="A534">
        <v>434</v>
      </c>
      <c r="B534" s="1" t="s">
        <v>486</v>
      </c>
      <c r="C534" s="5" t="s">
        <v>26</v>
      </c>
      <c r="D534" s="408">
        <v>27</v>
      </c>
      <c r="E534" s="5" t="s">
        <v>102</v>
      </c>
      <c r="F534" s="408">
        <v>14</v>
      </c>
      <c r="G534" s="408">
        <v>276</v>
      </c>
      <c r="H534" s="408">
        <v>6.2</v>
      </c>
      <c r="I534" s="408">
        <v>0.48</v>
      </c>
      <c r="J534" s="408">
        <v>0.44800000000000001</v>
      </c>
      <c r="K534" s="408">
        <v>0.25900000000000001</v>
      </c>
      <c r="L534" s="408">
        <v>2.9</v>
      </c>
      <c r="M534" s="408">
        <v>13.5</v>
      </c>
      <c r="N534" s="408">
        <v>8.3000000000000007</v>
      </c>
      <c r="O534" s="408">
        <v>8.1</v>
      </c>
      <c r="P534" s="408">
        <v>1.6</v>
      </c>
      <c r="Q534" s="408">
        <v>1.2</v>
      </c>
      <c r="R534" s="408">
        <v>20.8</v>
      </c>
      <c r="S534" s="408">
        <v>13.1</v>
      </c>
      <c r="T534" s="408">
        <v>-0.2</v>
      </c>
      <c r="U534" s="408">
        <v>0.2</v>
      </c>
      <c r="V534" s="408">
        <v>-0.1</v>
      </c>
      <c r="W534" s="408">
        <v>-1.2999999999999999E-2</v>
      </c>
      <c r="X534" s="408">
        <v>-4.0999999999999996</v>
      </c>
      <c r="Y534" s="408">
        <v>-0.1</v>
      </c>
      <c r="Z534" s="408">
        <v>-4.2</v>
      </c>
      <c r="AA534" s="408">
        <v>-0.2</v>
      </c>
    </row>
    <row r="535" spans="1:27">
      <c r="A535">
        <v>435</v>
      </c>
      <c r="B535" s="1" t="s">
        <v>483</v>
      </c>
      <c r="C535" s="5" t="s">
        <v>38</v>
      </c>
      <c r="D535" s="408">
        <v>23</v>
      </c>
      <c r="E535" s="5" t="s">
        <v>47</v>
      </c>
      <c r="F535" s="408">
        <v>69</v>
      </c>
      <c r="G535" s="408">
        <v>1407</v>
      </c>
      <c r="H535" s="408">
        <v>15</v>
      </c>
      <c r="I535" s="408">
        <v>0.55400000000000005</v>
      </c>
      <c r="J535" s="408">
        <v>0.27500000000000002</v>
      </c>
      <c r="K535" s="408">
        <v>0.17899999999999999</v>
      </c>
      <c r="L535" s="408">
        <v>5.8</v>
      </c>
      <c r="M535" s="408">
        <v>18.5</v>
      </c>
      <c r="N535" s="408">
        <v>12.3</v>
      </c>
      <c r="O535" s="408">
        <v>13.2</v>
      </c>
      <c r="P535" s="408">
        <v>2</v>
      </c>
      <c r="Q535" s="408">
        <v>2</v>
      </c>
      <c r="R535" s="408">
        <v>11.1</v>
      </c>
      <c r="S535" s="408">
        <v>15.6</v>
      </c>
      <c r="T535" s="408">
        <v>1.9</v>
      </c>
      <c r="U535" s="408">
        <v>2.2000000000000002</v>
      </c>
      <c r="V535" s="408">
        <v>4.2</v>
      </c>
      <c r="W535" s="408">
        <v>0.14199999999999999</v>
      </c>
      <c r="X535" s="408">
        <v>0.3</v>
      </c>
      <c r="Y535" s="408">
        <v>2.4</v>
      </c>
      <c r="Z535" s="408">
        <v>2.6</v>
      </c>
      <c r="AA535" s="408">
        <v>1.6</v>
      </c>
    </row>
    <row r="536" spans="1:27">
      <c r="A536">
        <v>436</v>
      </c>
      <c r="B536" s="1" t="s">
        <v>559</v>
      </c>
      <c r="C536" s="5" t="s">
        <v>20</v>
      </c>
      <c r="D536" s="408">
        <v>21</v>
      </c>
      <c r="E536" s="5" t="s">
        <v>118</v>
      </c>
      <c r="F536" s="408">
        <v>68</v>
      </c>
      <c r="G536" s="408">
        <v>2349</v>
      </c>
      <c r="H536" s="408">
        <v>19.3</v>
      </c>
      <c r="I536" s="408">
        <v>0.55000000000000004</v>
      </c>
      <c r="J536" s="408">
        <v>1.0999999999999999E-2</v>
      </c>
      <c r="K536" s="408">
        <v>0.33800000000000002</v>
      </c>
      <c r="L536" s="408">
        <v>5.9</v>
      </c>
      <c r="M536" s="408">
        <v>18.3</v>
      </c>
      <c r="N536" s="408">
        <v>12.3</v>
      </c>
      <c r="O536" s="408">
        <v>36.200000000000003</v>
      </c>
      <c r="P536" s="408">
        <v>2.4</v>
      </c>
      <c r="Q536" s="408">
        <v>2.1</v>
      </c>
      <c r="R536" s="408">
        <v>19.2</v>
      </c>
      <c r="S536" s="408">
        <v>22.6</v>
      </c>
      <c r="T536" s="408">
        <v>3.2</v>
      </c>
      <c r="U536" s="408">
        <v>3.9</v>
      </c>
      <c r="V536" s="408">
        <v>7</v>
      </c>
      <c r="W536" s="408">
        <v>0.14399999999999999</v>
      </c>
      <c r="X536" s="408">
        <v>0.7</v>
      </c>
      <c r="Y536" s="408">
        <v>3.1</v>
      </c>
      <c r="Z536" s="408">
        <v>3.8</v>
      </c>
      <c r="AA536" s="408">
        <v>3.4</v>
      </c>
    </row>
    <row r="537" spans="1:27">
      <c r="A537">
        <v>437</v>
      </c>
      <c r="B537" s="1" t="s">
        <v>435</v>
      </c>
      <c r="C537" s="5" t="s">
        <v>26</v>
      </c>
      <c r="D537" s="408">
        <v>28</v>
      </c>
      <c r="E537" s="5" t="s">
        <v>75</v>
      </c>
      <c r="F537" s="408">
        <v>69</v>
      </c>
      <c r="G537" s="408">
        <v>2029</v>
      </c>
      <c r="H537" s="408">
        <v>12.8</v>
      </c>
      <c r="I537" s="408">
        <v>0.55500000000000005</v>
      </c>
      <c r="J537" s="408">
        <v>0.26800000000000002</v>
      </c>
      <c r="K537" s="408">
        <v>0.317</v>
      </c>
      <c r="L537" s="408">
        <v>3.3</v>
      </c>
      <c r="M537" s="408">
        <v>9.8000000000000007</v>
      </c>
      <c r="N537" s="408">
        <v>6.6</v>
      </c>
      <c r="O537" s="408">
        <v>13.2</v>
      </c>
      <c r="P537" s="408">
        <v>1.4</v>
      </c>
      <c r="Q537" s="408">
        <v>0.6</v>
      </c>
      <c r="R537" s="408">
        <v>14.4</v>
      </c>
      <c r="S537" s="408">
        <v>22</v>
      </c>
      <c r="T537" s="408">
        <v>0.9</v>
      </c>
      <c r="U537" s="408">
        <v>0.9</v>
      </c>
      <c r="V537" s="408">
        <v>1.8</v>
      </c>
      <c r="W537" s="408">
        <v>4.2000000000000003E-2</v>
      </c>
      <c r="X537" s="408">
        <v>-0.9</v>
      </c>
      <c r="Y537" s="408">
        <v>-1.5</v>
      </c>
      <c r="Z537" s="408">
        <v>-2.4</v>
      </c>
      <c r="AA537" s="408">
        <v>-0.2</v>
      </c>
    </row>
    <row r="538" spans="1:27">
      <c r="A538">
        <v>438</v>
      </c>
      <c r="B538" s="1" t="s">
        <v>532</v>
      </c>
      <c r="C538" s="5" t="s">
        <v>20</v>
      </c>
      <c r="D538" s="408">
        <v>20</v>
      </c>
      <c r="E538" s="5" t="s">
        <v>128</v>
      </c>
      <c r="F538" s="408">
        <v>21</v>
      </c>
      <c r="G538" s="408">
        <v>382</v>
      </c>
      <c r="H538" s="408">
        <v>7.9</v>
      </c>
      <c r="I538" s="408">
        <v>0.47399999999999998</v>
      </c>
      <c r="J538" s="408">
        <v>0.16400000000000001</v>
      </c>
      <c r="K538" s="408">
        <v>0.10299999999999999</v>
      </c>
      <c r="L538" s="408">
        <v>3</v>
      </c>
      <c r="M538" s="408">
        <v>8.3000000000000007</v>
      </c>
      <c r="N538" s="408">
        <v>5.6</v>
      </c>
      <c r="O538" s="408">
        <v>14.6</v>
      </c>
      <c r="P538" s="408">
        <v>1.9</v>
      </c>
      <c r="Q538" s="408">
        <v>1.2</v>
      </c>
      <c r="R538" s="408">
        <v>16.5</v>
      </c>
      <c r="S538" s="408">
        <v>17.2</v>
      </c>
      <c r="T538" s="408">
        <v>-0.3</v>
      </c>
      <c r="U538" s="408">
        <v>0.3</v>
      </c>
      <c r="V538" s="408">
        <v>-0.1</v>
      </c>
      <c r="W538" s="408">
        <v>-7.0000000000000001E-3</v>
      </c>
      <c r="X538" s="408">
        <v>-4.4000000000000004</v>
      </c>
      <c r="Y538" s="408">
        <v>-0.9</v>
      </c>
      <c r="Z538" s="408">
        <v>-5.2</v>
      </c>
      <c r="AA538" s="408">
        <v>-0.3</v>
      </c>
    </row>
    <row r="539" spans="1:27">
      <c r="A539">
        <v>439</v>
      </c>
      <c r="B539" s="1" t="s">
        <v>607</v>
      </c>
      <c r="C539" s="5" t="s">
        <v>46</v>
      </c>
      <c r="D539" s="408">
        <v>29</v>
      </c>
      <c r="E539" s="5" t="s">
        <v>58</v>
      </c>
      <c r="F539" s="408">
        <v>12</v>
      </c>
      <c r="G539" s="408">
        <v>59</v>
      </c>
      <c r="H539" s="408">
        <v>5.9</v>
      </c>
      <c r="I539" s="408">
        <v>0.43</v>
      </c>
      <c r="J539" s="408">
        <v>0.23799999999999999</v>
      </c>
      <c r="K539" s="408">
        <v>0.61899999999999999</v>
      </c>
      <c r="L539" s="408">
        <v>1.8</v>
      </c>
      <c r="M539" s="408">
        <v>17.600000000000001</v>
      </c>
      <c r="N539" s="408">
        <v>9.5</v>
      </c>
      <c r="O539" s="408">
        <v>4.8</v>
      </c>
      <c r="P539" s="408">
        <v>0.8</v>
      </c>
      <c r="Q539" s="408">
        <v>0</v>
      </c>
      <c r="R539" s="408">
        <v>10.1</v>
      </c>
      <c r="S539" s="408">
        <v>21.7</v>
      </c>
      <c r="T539" s="408">
        <v>-0.1</v>
      </c>
      <c r="U539" s="408">
        <v>0</v>
      </c>
      <c r="V539" s="408">
        <v>0</v>
      </c>
      <c r="W539" s="408">
        <v>-0.03</v>
      </c>
      <c r="X539" s="408">
        <v>-7.7</v>
      </c>
      <c r="Y539" s="408">
        <v>-4.2</v>
      </c>
      <c r="Z539" s="408">
        <v>-11.9</v>
      </c>
      <c r="AA539" s="408">
        <v>-0.1</v>
      </c>
    </row>
    <row r="540" spans="1:27">
      <c r="A540">
        <v>440</v>
      </c>
      <c r="B540" s="1" t="s">
        <v>198</v>
      </c>
      <c r="C540" s="5" t="s">
        <v>26</v>
      </c>
      <c r="D540" s="408">
        <v>23</v>
      </c>
      <c r="E540" s="5" t="s">
        <v>87</v>
      </c>
      <c r="F540" s="408">
        <v>54</v>
      </c>
      <c r="G540" s="408">
        <v>1614</v>
      </c>
      <c r="H540" s="408">
        <v>10.8</v>
      </c>
      <c r="I540" s="408">
        <v>0.47899999999999998</v>
      </c>
      <c r="J540" s="408">
        <v>0.48299999999999998</v>
      </c>
      <c r="K540" s="408">
        <v>0.25800000000000001</v>
      </c>
      <c r="L540" s="408">
        <v>3</v>
      </c>
      <c r="M540" s="408">
        <v>9.6999999999999993</v>
      </c>
      <c r="N540" s="408">
        <v>6.4</v>
      </c>
      <c r="O540" s="408">
        <v>23.7</v>
      </c>
      <c r="P540" s="408">
        <v>2.2000000000000002</v>
      </c>
      <c r="Q540" s="408">
        <v>1.2</v>
      </c>
      <c r="R540" s="408">
        <v>18.399999999999999</v>
      </c>
      <c r="S540" s="408">
        <v>19.399999999999999</v>
      </c>
      <c r="T540" s="408">
        <v>-0.6</v>
      </c>
      <c r="U540" s="408">
        <v>2.5</v>
      </c>
      <c r="V540" s="408">
        <v>1.9</v>
      </c>
      <c r="W540" s="408">
        <v>5.8000000000000003E-2</v>
      </c>
      <c r="X540" s="408">
        <v>-1.7</v>
      </c>
      <c r="Y540" s="408">
        <v>1.3</v>
      </c>
      <c r="Z540" s="408">
        <v>-0.4</v>
      </c>
      <c r="AA540" s="408">
        <v>0.6</v>
      </c>
    </row>
    <row r="541" spans="1:27">
      <c r="A541">
        <v>441</v>
      </c>
      <c r="B541" s="1" t="s">
        <v>367</v>
      </c>
      <c r="C541" s="5" t="s">
        <v>20</v>
      </c>
      <c r="D541" s="408">
        <v>20</v>
      </c>
      <c r="E541" s="5" t="s">
        <v>33</v>
      </c>
      <c r="F541" s="408">
        <v>61</v>
      </c>
      <c r="G541" s="408">
        <v>1811</v>
      </c>
      <c r="H541" s="408">
        <v>12.3</v>
      </c>
      <c r="I541" s="408">
        <v>0.46899999999999997</v>
      </c>
      <c r="J541" s="408">
        <v>0.33</v>
      </c>
      <c r="K541" s="408">
        <v>0.19500000000000001</v>
      </c>
      <c r="L541" s="408">
        <v>2.5</v>
      </c>
      <c r="M541" s="408">
        <v>12.1</v>
      </c>
      <c r="N541" s="408">
        <v>7.2</v>
      </c>
      <c r="O541" s="408">
        <v>27.6</v>
      </c>
      <c r="P541" s="408">
        <v>1.7</v>
      </c>
      <c r="Q541" s="408">
        <v>0.8</v>
      </c>
      <c r="R541" s="408">
        <v>14.8</v>
      </c>
      <c r="S541" s="408">
        <v>28.8</v>
      </c>
      <c r="T541" s="408">
        <v>-2.4</v>
      </c>
      <c r="U541" s="408">
        <v>1.5</v>
      </c>
      <c r="V541" s="408">
        <v>-0.9</v>
      </c>
      <c r="W541" s="408">
        <v>-2.4E-2</v>
      </c>
      <c r="X541" s="408">
        <v>-2</v>
      </c>
      <c r="Y541" s="408">
        <v>-0.6</v>
      </c>
      <c r="Z541" s="408">
        <v>-2.6</v>
      </c>
      <c r="AA541" s="408">
        <v>-0.3</v>
      </c>
    </row>
    <row r="542" spans="1:27">
      <c r="A542">
        <v>442</v>
      </c>
      <c r="B542" s="1" t="s">
        <v>551</v>
      </c>
      <c r="C542" s="5" t="s">
        <v>20</v>
      </c>
      <c r="D542" s="408">
        <v>29</v>
      </c>
      <c r="E542" s="5" t="s">
        <v>157</v>
      </c>
      <c r="F542" s="408">
        <v>70</v>
      </c>
      <c r="G542" s="408">
        <v>1772</v>
      </c>
      <c r="H542" s="408">
        <v>14.5</v>
      </c>
      <c r="I542" s="408">
        <v>0.51100000000000001</v>
      </c>
      <c r="J542" s="408">
        <v>8.7999999999999995E-2</v>
      </c>
      <c r="K542" s="408">
        <v>0.16300000000000001</v>
      </c>
      <c r="L542" s="408">
        <v>1.5</v>
      </c>
      <c r="M542" s="408">
        <v>10.9</v>
      </c>
      <c r="N542" s="408">
        <v>6.1</v>
      </c>
      <c r="O542" s="408">
        <v>27.8</v>
      </c>
      <c r="P542" s="408">
        <v>1.6</v>
      </c>
      <c r="Q542" s="408">
        <v>0.8</v>
      </c>
      <c r="R542" s="408">
        <v>11.4</v>
      </c>
      <c r="S542" s="408">
        <v>20.6</v>
      </c>
      <c r="T542" s="408">
        <v>1.5</v>
      </c>
      <c r="U542" s="408">
        <v>1.6</v>
      </c>
      <c r="V542" s="408">
        <v>3.2</v>
      </c>
      <c r="W542" s="408">
        <v>8.5000000000000006E-2</v>
      </c>
      <c r="X542" s="408">
        <v>-1.3</v>
      </c>
      <c r="Y542" s="408">
        <v>-0.6</v>
      </c>
      <c r="Z542" s="408">
        <v>-1.9</v>
      </c>
      <c r="AA542" s="408">
        <v>0.1</v>
      </c>
    </row>
    <row r="543" spans="1:27">
      <c r="A543">
        <v>443</v>
      </c>
      <c r="B543" s="1" t="s">
        <v>351</v>
      </c>
      <c r="C543" s="5" t="s">
        <v>26</v>
      </c>
      <c r="D543" s="408">
        <v>32</v>
      </c>
      <c r="E543" s="5" t="s">
        <v>102</v>
      </c>
      <c r="F543" s="408">
        <v>68</v>
      </c>
      <c r="G543" s="408">
        <v>1959</v>
      </c>
      <c r="H543" s="408">
        <v>8</v>
      </c>
      <c r="I543" s="408">
        <v>0.52100000000000002</v>
      </c>
      <c r="J543" s="408">
        <v>0.66700000000000004</v>
      </c>
      <c r="K543" s="408">
        <v>9.2999999999999999E-2</v>
      </c>
      <c r="L543" s="408">
        <v>1.5</v>
      </c>
      <c r="M543" s="408">
        <v>9.6999999999999993</v>
      </c>
      <c r="N543" s="408">
        <v>5.7</v>
      </c>
      <c r="O543" s="408">
        <v>8.8000000000000007</v>
      </c>
      <c r="P543" s="408">
        <v>1.5</v>
      </c>
      <c r="Q543" s="408">
        <v>0.4</v>
      </c>
      <c r="R543" s="408">
        <v>11.4</v>
      </c>
      <c r="S543" s="408">
        <v>13.7</v>
      </c>
      <c r="T543" s="408">
        <v>0.2</v>
      </c>
      <c r="U543" s="408">
        <v>0.8</v>
      </c>
      <c r="V543" s="408">
        <v>1</v>
      </c>
      <c r="W543" s="408">
        <v>2.5000000000000001E-2</v>
      </c>
      <c r="X543" s="408">
        <v>-0.8</v>
      </c>
      <c r="Y543" s="408">
        <v>-1.1000000000000001</v>
      </c>
      <c r="Z543" s="408">
        <v>-1.9</v>
      </c>
      <c r="AA543" s="408">
        <v>0.1</v>
      </c>
    </row>
    <row r="544" spans="1:27">
      <c r="A544">
        <v>444</v>
      </c>
      <c r="B544" s="1" t="s">
        <v>291</v>
      </c>
      <c r="C544" s="5" t="s">
        <v>83</v>
      </c>
      <c r="D544" s="408">
        <v>31</v>
      </c>
      <c r="E544" s="5" t="s">
        <v>27</v>
      </c>
      <c r="F544" s="408">
        <v>27</v>
      </c>
      <c r="G544" s="408">
        <v>241</v>
      </c>
      <c r="H544" s="408">
        <v>8</v>
      </c>
      <c r="I544" s="408">
        <v>0.436</v>
      </c>
      <c r="J544" s="408">
        <v>0.26500000000000001</v>
      </c>
      <c r="K544" s="408">
        <v>0.17299999999999999</v>
      </c>
      <c r="L544" s="408">
        <v>8</v>
      </c>
      <c r="M544" s="408">
        <v>12.6</v>
      </c>
      <c r="N544" s="408">
        <v>10.3</v>
      </c>
      <c r="O544" s="408">
        <v>8</v>
      </c>
      <c r="P544" s="408">
        <v>0.6</v>
      </c>
      <c r="Q544" s="408">
        <v>4</v>
      </c>
      <c r="R544" s="408">
        <v>11.7</v>
      </c>
      <c r="S544" s="408">
        <v>21.9</v>
      </c>
      <c r="T544" s="408">
        <v>-0.3</v>
      </c>
      <c r="U544" s="408">
        <v>0.2</v>
      </c>
      <c r="V544" s="408">
        <v>0</v>
      </c>
      <c r="W544" s="408">
        <v>-0.01</v>
      </c>
      <c r="X544" s="408">
        <v>-5</v>
      </c>
      <c r="Y544" s="408">
        <v>-0.9</v>
      </c>
      <c r="Z544" s="408">
        <v>-5.9</v>
      </c>
      <c r="AA544" s="408">
        <v>-0.2</v>
      </c>
    </row>
    <row r="545" spans="1:27">
      <c r="A545">
        <v>445</v>
      </c>
      <c r="B545" s="1" t="s">
        <v>636</v>
      </c>
      <c r="C545" s="5" t="s">
        <v>38</v>
      </c>
      <c r="D545" s="408">
        <v>32</v>
      </c>
      <c r="E545" s="5" t="s">
        <v>112</v>
      </c>
      <c r="F545" s="408">
        <v>3</v>
      </c>
      <c r="G545" s="408">
        <v>12</v>
      </c>
      <c r="H545" s="408">
        <v>3.5</v>
      </c>
      <c r="I545" s="408">
        <v>0.25</v>
      </c>
      <c r="J545" s="408">
        <v>0</v>
      </c>
      <c r="K545" s="408">
        <v>0</v>
      </c>
      <c r="L545" s="408">
        <v>28.1</v>
      </c>
      <c r="M545" s="408">
        <v>8.8000000000000007</v>
      </c>
      <c r="N545" s="408">
        <v>18.2</v>
      </c>
      <c r="O545" s="408">
        <v>0</v>
      </c>
      <c r="P545" s="408">
        <v>0</v>
      </c>
      <c r="Q545" s="408">
        <v>0</v>
      </c>
      <c r="R545" s="408">
        <v>0</v>
      </c>
      <c r="S545" s="408">
        <v>14.5</v>
      </c>
      <c r="T545" s="408">
        <v>0</v>
      </c>
      <c r="U545" s="408">
        <v>0</v>
      </c>
      <c r="V545" s="408">
        <v>0</v>
      </c>
      <c r="W545" s="408">
        <v>-1.6E-2</v>
      </c>
      <c r="X545" s="408">
        <v>-6.1</v>
      </c>
      <c r="Y545" s="408">
        <v>-7.5</v>
      </c>
      <c r="Z545" s="408">
        <v>-13.6</v>
      </c>
      <c r="AA545" s="408">
        <v>0</v>
      </c>
    </row>
    <row r="546" spans="1:27">
      <c r="A546">
        <v>446</v>
      </c>
      <c r="B546" s="1" t="s">
        <v>401</v>
      </c>
      <c r="C546" s="5" t="s">
        <v>26</v>
      </c>
      <c r="D546" s="408">
        <v>26</v>
      </c>
      <c r="E546" s="5" t="s">
        <v>41</v>
      </c>
      <c r="F546" s="408">
        <v>63</v>
      </c>
      <c r="G546" s="408">
        <v>1797</v>
      </c>
      <c r="H546" s="408">
        <v>8.5</v>
      </c>
      <c r="I546" s="408">
        <v>0.58299999999999996</v>
      </c>
      <c r="J546" s="408">
        <v>0.628</v>
      </c>
      <c r="K546" s="408">
        <v>0.12</v>
      </c>
      <c r="L546" s="408">
        <v>0.6</v>
      </c>
      <c r="M546" s="408">
        <v>7.5</v>
      </c>
      <c r="N546" s="408">
        <v>4.0999999999999996</v>
      </c>
      <c r="O546" s="408">
        <v>6.6</v>
      </c>
      <c r="P546" s="408">
        <v>1.2</v>
      </c>
      <c r="Q546" s="408">
        <v>1.1000000000000001</v>
      </c>
      <c r="R546" s="408">
        <v>8.1</v>
      </c>
      <c r="S546" s="408">
        <v>10.6</v>
      </c>
      <c r="T546" s="408">
        <v>1.4</v>
      </c>
      <c r="U546" s="408">
        <v>0.8</v>
      </c>
      <c r="V546" s="408">
        <v>2.2000000000000002</v>
      </c>
      <c r="W546" s="408">
        <v>5.8000000000000003E-2</v>
      </c>
      <c r="X546" s="408">
        <v>-0.4</v>
      </c>
      <c r="Y546" s="408">
        <v>-1.1000000000000001</v>
      </c>
      <c r="Z546" s="408">
        <v>-1.5</v>
      </c>
      <c r="AA546" s="408">
        <v>0.2</v>
      </c>
    </row>
    <row r="547" spans="1:27">
      <c r="A547">
        <v>447</v>
      </c>
      <c r="B547" s="1" t="s">
        <v>168</v>
      </c>
      <c r="C547" s="5" t="s">
        <v>83</v>
      </c>
      <c r="D547" s="408">
        <v>30</v>
      </c>
      <c r="E547" s="5" t="s">
        <v>75</v>
      </c>
      <c r="F547" s="408">
        <v>49</v>
      </c>
      <c r="G547" s="408">
        <v>640</v>
      </c>
      <c r="H547" s="408">
        <v>13.7</v>
      </c>
      <c r="I547" s="408">
        <v>0.53800000000000003</v>
      </c>
      <c r="J547" s="408">
        <v>0.67500000000000004</v>
      </c>
      <c r="K547" s="408">
        <v>0.152</v>
      </c>
      <c r="L547" s="408">
        <v>3.5</v>
      </c>
      <c r="M547" s="408">
        <v>19</v>
      </c>
      <c r="N547" s="408">
        <v>11.2</v>
      </c>
      <c r="O547" s="408">
        <v>9.5</v>
      </c>
      <c r="P547" s="408">
        <v>0.5</v>
      </c>
      <c r="Q547" s="408">
        <v>2.7</v>
      </c>
      <c r="R547" s="408">
        <v>9.3000000000000007</v>
      </c>
      <c r="S547" s="408">
        <v>26.6</v>
      </c>
      <c r="T547" s="408">
        <v>0.2</v>
      </c>
      <c r="U547" s="408">
        <v>0.4</v>
      </c>
      <c r="V547" s="408">
        <v>0.6</v>
      </c>
      <c r="W547" s="408">
        <v>4.5999999999999999E-2</v>
      </c>
      <c r="X547" s="408">
        <v>0.2</v>
      </c>
      <c r="Y547" s="408">
        <v>-3.1</v>
      </c>
      <c r="Z547" s="408">
        <v>-2.9</v>
      </c>
      <c r="AA547" s="408">
        <v>-0.1</v>
      </c>
    </row>
    <row r="548" spans="1:27">
      <c r="A548">
        <v>448</v>
      </c>
      <c r="B548" s="1" t="s">
        <v>111</v>
      </c>
      <c r="C548" s="5" t="s">
        <v>26</v>
      </c>
      <c r="D548" s="408">
        <v>24</v>
      </c>
      <c r="E548" s="5" t="s">
        <v>357</v>
      </c>
      <c r="F548" s="408">
        <v>35</v>
      </c>
      <c r="G548" s="408">
        <v>428</v>
      </c>
      <c r="H548" s="408">
        <v>8.6999999999999993</v>
      </c>
      <c r="I548" s="408">
        <v>0.54800000000000004</v>
      </c>
      <c r="J548" s="408">
        <v>0.67500000000000004</v>
      </c>
      <c r="K548" s="408">
        <v>0.183</v>
      </c>
      <c r="L548" s="408">
        <v>0.7</v>
      </c>
      <c r="M548" s="408">
        <v>12.3</v>
      </c>
      <c r="N548" s="408">
        <v>6.5</v>
      </c>
      <c r="O548" s="408">
        <v>10.1</v>
      </c>
      <c r="P548" s="408">
        <v>0.9</v>
      </c>
      <c r="Q548" s="408">
        <v>0.5</v>
      </c>
      <c r="R548" s="408">
        <v>13.9</v>
      </c>
      <c r="S548" s="408">
        <v>15.2</v>
      </c>
      <c r="T548" s="408">
        <v>0.1</v>
      </c>
      <c r="U548" s="408">
        <v>0.2</v>
      </c>
      <c r="V548" s="408">
        <v>0.3</v>
      </c>
      <c r="W548" s="408">
        <v>3.3000000000000002E-2</v>
      </c>
      <c r="X548" s="408">
        <v>-2.2999999999999998</v>
      </c>
      <c r="Y548" s="408">
        <v>-1.7</v>
      </c>
      <c r="Z548" s="408">
        <v>-3.9</v>
      </c>
      <c r="AA548" s="408">
        <v>-0.2</v>
      </c>
    </row>
    <row r="549" spans="1:27">
      <c r="A549">
        <v>448</v>
      </c>
      <c r="B549" s="1" t="s">
        <v>111</v>
      </c>
      <c r="C549" s="5" t="s">
        <v>26</v>
      </c>
      <c r="D549" s="408">
        <v>24</v>
      </c>
      <c r="E549" s="5" t="s">
        <v>118</v>
      </c>
      <c r="F549" s="408">
        <v>6</v>
      </c>
      <c r="G549" s="408">
        <v>45</v>
      </c>
      <c r="H549" s="408">
        <v>0.9</v>
      </c>
      <c r="I549" s="408">
        <v>0.41</v>
      </c>
      <c r="J549" s="408">
        <v>0.25</v>
      </c>
      <c r="K549" s="408">
        <v>0.5</v>
      </c>
      <c r="L549" s="408">
        <v>0</v>
      </c>
      <c r="M549" s="408">
        <v>2.2999999999999998</v>
      </c>
      <c r="N549" s="408">
        <v>1.2</v>
      </c>
      <c r="O549" s="408">
        <v>2.8</v>
      </c>
      <c r="P549" s="408">
        <v>4.3</v>
      </c>
      <c r="Q549" s="408">
        <v>0</v>
      </c>
      <c r="R549" s="408">
        <v>45</v>
      </c>
      <c r="S549" s="408">
        <v>8.5</v>
      </c>
      <c r="T549" s="408">
        <v>-0.1</v>
      </c>
      <c r="U549" s="408">
        <v>0.1</v>
      </c>
      <c r="V549" s="408">
        <v>0</v>
      </c>
      <c r="W549" s="408">
        <v>-0.05</v>
      </c>
      <c r="X549" s="408">
        <v>-7.4</v>
      </c>
      <c r="Y549" s="408">
        <v>2.2999999999999998</v>
      </c>
      <c r="Z549" s="408">
        <v>-5.2</v>
      </c>
      <c r="AA549" s="408">
        <v>0</v>
      </c>
    </row>
    <row r="550" spans="1:27">
      <c r="A550">
        <v>448</v>
      </c>
      <c r="B550" s="1" t="s">
        <v>111</v>
      </c>
      <c r="C550" s="5" t="s">
        <v>26</v>
      </c>
      <c r="D550" s="408">
        <v>24</v>
      </c>
      <c r="E550" s="5" t="s">
        <v>315</v>
      </c>
      <c r="F550" s="408">
        <v>29</v>
      </c>
      <c r="G550" s="408">
        <v>383</v>
      </c>
      <c r="H550" s="408">
        <v>9.6999999999999993</v>
      </c>
      <c r="I550" s="408">
        <v>0.55300000000000005</v>
      </c>
      <c r="J550" s="408">
        <v>0.69</v>
      </c>
      <c r="K550" s="408">
        <v>0.17199999999999999</v>
      </c>
      <c r="L550" s="408">
        <v>0.8</v>
      </c>
      <c r="M550" s="408">
        <v>13.5</v>
      </c>
      <c r="N550" s="408">
        <v>7.1</v>
      </c>
      <c r="O550" s="408">
        <v>10.9</v>
      </c>
      <c r="P550" s="408">
        <v>0.5</v>
      </c>
      <c r="Q550" s="408">
        <v>0.6</v>
      </c>
      <c r="R550" s="408">
        <v>12</v>
      </c>
      <c r="S550" s="408">
        <v>16</v>
      </c>
      <c r="T550" s="408">
        <v>0.2</v>
      </c>
      <c r="U550" s="408">
        <v>0.2</v>
      </c>
      <c r="V550" s="408">
        <v>0.3</v>
      </c>
      <c r="W550" s="408">
        <v>4.2000000000000003E-2</v>
      </c>
      <c r="X550" s="408">
        <v>-1.7</v>
      </c>
      <c r="Y550" s="408">
        <v>-2.1</v>
      </c>
      <c r="Z550" s="408">
        <v>-3.8</v>
      </c>
      <c r="AA550" s="408">
        <v>-0.2</v>
      </c>
    </row>
    <row r="551" spans="1:27">
      <c r="A551">
        <v>449</v>
      </c>
      <c r="B551" s="1" t="s">
        <v>458</v>
      </c>
      <c r="C551" s="5" t="s">
        <v>26</v>
      </c>
      <c r="D551" s="408">
        <v>27</v>
      </c>
      <c r="E551" s="5" t="s">
        <v>30</v>
      </c>
      <c r="F551" s="408">
        <v>71</v>
      </c>
      <c r="G551" s="408">
        <v>1618</v>
      </c>
      <c r="H551" s="408">
        <v>12.7</v>
      </c>
      <c r="I551" s="408">
        <v>0.50800000000000001</v>
      </c>
      <c r="J551" s="408">
        <v>0.314</v>
      </c>
      <c r="K551" s="408">
        <v>0.182</v>
      </c>
      <c r="L551" s="408">
        <v>3.7</v>
      </c>
      <c r="M551" s="408">
        <v>21.5</v>
      </c>
      <c r="N551" s="408">
        <v>12.7</v>
      </c>
      <c r="O551" s="408">
        <v>18.8</v>
      </c>
      <c r="P551" s="408">
        <v>1.2</v>
      </c>
      <c r="Q551" s="408">
        <v>0.7</v>
      </c>
      <c r="R551" s="408">
        <v>15.3</v>
      </c>
      <c r="S551" s="408">
        <v>21.6</v>
      </c>
      <c r="T551" s="408">
        <v>0</v>
      </c>
      <c r="U551" s="408">
        <v>1.8</v>
      </c>
      <c r="V551" s="408">
        <v>1.7</v>
      </c>
      <c r="W551" s="408">
        <v>5.1999999999999998E-2</v>
      </c>
      <c r="X551" s="408">
        <v>-1.8</v>
      </c>
      <c r="Y551" s="408">
        <v>-0.2</v>
      </c>
      <c r="Z551" s="408">
        <v>-1.9</v>
      </c>
      <c r="AA551" s="408">
        <v>0</v>
      </c>
    </row>
    <row r="552" spans="1:27">
      <c r="A552">
        <v>450</v>
      </c>
      <c r="B552" s="1" t="s">
        <v>54</v>
      </c>
      <c r="C552" s="5" t="s">
        <v>26</v>
      </c>
      <c r="D552" s="408">
        <v>29</v>
      </c>
      <c r="E552" s="5" t="s">
        <v>311</v>
      </c>
      <c r="F552" s="408">
        <v>16</v>
      </c>
      <c r="G552" s="408">
        <v>60</v>
      </c>
      <c r="H552" s="408">
        <v>9.6</v>
      </c>
      <c r="I552" s="408">
        <v>0.71699999999999997</v>
      </c>
      <c r="J552" s="408">
        <v>1</v>
      </c>
      <c r="K552" s="408">
        <v>0.5</v>
      </c>
      <c r="L552" s="408">
        <v>0</v>
      </c>
      <c r="M552" s="408">
        <v>29.8</v>
      </c>
      <c r="N552" s="408">
        <v>14.5</v>
      </c>
      <c r="O552" s="408">
        <v>26</v>
      </c>
      <c r="P552" s="408">
        <v>1.6</v>
      </c>
      <c r="Q552" s="408">
        <v>1.4</v>
      </c>
      <c r="R552" s="408">
        <v>45</v>
      </c>
      <c r="S552" s="408">
        <v>6.4</v>
      </c>
      <c r="T552" s="408">
        <v>0</v>
      </c>
      <c r="U552" s="408">
        <v>0.1</v>
      </c>
      <c r="V552" s="408">
        <v>0.1</v>
      </c>
      <c r="W552" s="408">
        <v>9.8000000000000004E-2</v>
      </c>
      <c r="X552" s="408">
        <v>-3.3</v>
      </c>
      <c r="Y552" s="408">
        <v>1.6</v>
      </c>
      <c r="Z552" s="408">
        <v>-1.7</v>
      </c>
      <c r="AA552" s="408">
        <v>0</v>
      </c>
    </row>
    <row r="553" spans="1:27">
      <c r="A553">
        <v>451</v>
      </c>
      <c r="B553" s="1" t="s">
        <v>565</v>
      </c>
      <c r="C553" s="5" t="s">
        <v>38</v>
      </c>
      <c r="D553" s="408">
        <v>20</v>
      </c>
      <c r="E553" s="5" t="s">
        <v>96</v>
      </c>
      <c r="F553" s="408">
        <v>21</v>
      </c>
      <c r="G553" s="408">
        <v>148</v>
      </c>
      <c r="H553" s="408">
        <v>6.7</v>
      </c>
      <c r="I553" s="408">
        <v>0.41599999999999998</v>
      </c>
      <c r="J553" s="408">
        <v>0.13</v>
      </c>
      <c r="K553" s="408">
        <v>0.28299999999999997</v>
      </c>
      <c r="L553" s="408">
        <v>10.5</v>
      </c>
      <c r="M553" s="408">
        <v>17.5</v>
      </c>
      <c r="N553" s="408">
        <v>14.1</v>
      </c>
      <c r="O553" s="408">
        <v>9.6999999999999993</v>
      </c>
      <c r="P553" s="408">
        <v>1.7</v>
      </c>
      <c r="Q553" s="408">
        <v>1.6</v>
      </c>
      <c r="R553" s="408">
        <v>20.100000000000001</v>
      </c>
      <c r="S553" s="408">
        <v>19.2</v>
      </c>
      <c r="T553" s="408">
        <v>-0.3</v>
      </c>
      <c r="U553" s="408">
        <v>0.2</v>
      </c>
      <c r="V553" s="408">
        <v>0</v>
      </c>
      <c r="W553" s="408">
        <v>-1.2E-2</v>
      </c>
      <c r="X553" s="408">
        <v>-5.8</v>
      </c>
      <c r="Y553" s="408">
        <v>1</v>
      </c>
      <c r="Z553" s="408">
        <v>-4.9000000000000004</v>
      </c>
      <c r="AA553" s="408">
        <v>-0.1</v>
      </c>
    </row>
    <row r="554" spans="1:27">
      <c r="A554">
        <v>452</v>
      </c>
      <c r="B554" s="1" t="s">
        <v>431</v>
      </c>
      <c r="C554" s="5" t="s">
        <v>46</v>
      </c>
      <c r="D554" s="408">
        <v>19</v>
      </c>
      <c r="E554" s="5" t="s">
        <v>87</v>
      </c>
      <c r="F554" s="408">
        <v>70</v>
      </c>
      <c r="G554" s="408">
        <v>2130</v>
      </c>
      <c r="H554" s="408">
        <v>14.7</v>
      </c>
      <c r="I554" s="408">
        <v>0.58399999999999996</v>
      </c>
      <c r="J554" s="408">
        <v>0.29799999999999999</v>
      </c>
      <c r="K554" s="408">
        <v>0.318</v>
      </c>
      <c r="L554" s="408">
        <v>2.2999999999999998</v>
      </c>
      <c r="M554" s="408">
        <v>15.5</v>
      </c>
      <c r="N554" s="408">
        <v>9</v>
      </c>
      <c r="O554" s="408">
        <v>7.6</v>
      </c>
      <c r="P554" s="408">
        <v>1.5</v>
      </c>
      <c r="Q554" s="408">
        <v>2.1</v>
      </c>
      <c r="R554" s="408">
        <v>10.4</v>
      </c>
      <c r="S554" s="408">
        <v>18.899999999999999</v>
      </c>
      <c r="T554" s="408">
        <v>2.5</v>
      </c>
      <c r="U554" s="408">
        <v>3.5</v>
      </c>
      <c r="V554" s="408">
        <v>6</v>
      </c>
      <c r="W554" s="408">
        <v>0.13600000000000001</v>
      </c>
      <c r="X554" s="408">
        <v>-0.8</v>
      </c>
      <c r="Y554" s="408">
        <v>1.5</v>
      </c>
      <c r="Z554" s="408">
        <v>0.7</v>
      </c>
      <c r="AA554" s="408">
        <v>1.5</v>
      </c>
    </row>
    <row r="555" spans="1:27">
      <c r="A555">
        <v>453</v>
      </c>
      <c r="B555" s="1" t="s">
        <v>543</v>
      </c>
      <c r="C555" s="5" t="s">
        <v>20</v>
      </c>
      <c r="D555" s="408">
        <v>23</v>
      </c>
      <c r="E555" s="5" t="s">
        <v>149</v>
      </c>
      <c r="F555" s="408">
        <v>55</v>
      </c>
      <c r="G555" s="408">
        <v>844</v>
      </c>
      <c r="H555" s="408">
        <v>11.2</v>
      </c>
      <c r="I555" s="408">
        <v>0.502</v>
      </c>
      <c r="J555" s="408">
        <v>0.19700000000000001</v>
      </c>
      <c r="K555" s="408">
        <v>0.42499999999999999</v>
      </c>
      <c r="L555" s="408">
        <v>2.1</v>
      </c>
      <c r="M555" s="408">
        <v>7.5</v>
      </c>
      <c r="N555" s="408">
        <v>4.8</v>
      </c>
      <c r="O555" s="408">
        <v>26</v>
      </c>
      <c r="P555" s="408">
        <v>1.5</v>
      </c>
      <c r="Q555" s="408">
        <v>1</v>
      </c>
      <c r="R555" s="408">
        <v>15.4</v>
      </c>
      <c r="S555" s="408">
        <v>18.5</v>
      </c>
      <c r="T555" s="408">
        <v>0.4</v>
      </c>
      <c r="U555" s="408">
        <v>0.3</v>
      </c>
      <c r="V555" s="408">
        <v>0.7</v>
      </c>
      <c r="W555" s="408">
        <v>4.2000000000000003E-2</v>
      </c>
      <c r="X555" s="408">
        <v>-2.7</v>
      </c>
      <c r="Y555" s="408">
        <v>-2.2999999999999998</v>
      </c>
      <c r="Z555" s="408">
        <v>-5</v>
      </c>
      <c r="AA555" s="408">
        <v>-0.6</v>
      </c>
    </row>
    <row r="556" spans="1:27">
      <c r="A556">
        <v>454</v>
      </c>
      <c r="B556" s="1" t="s">
        <v>12</v>
      </c>
      <c r="C556" s="5" t="s">
        <v>20</v>
      </c>
      <c r="D556" s="408">
        <v>29</v>
      </c>
      <c r="E556" s="5" t="s">
        <v>56</v>
      </c>
      <c r="F556" s="408">
        <v>60</v>
      </c>
      <c r="G556" s="408">
        <v>1983</v>
      </c>
      <c r="H556" s="408">
        <v>16.3</v>
      </c>
      <c r="I556" s="408">
        <v>0.55100000000000005</v>
      </c>
      <c r="J556" s="408">
        <v>0.28499999999999998</v>
      </c>
      <c r="K556" s="408">
        <v>0.29399999999999998</v>
      </c>
      <c r="L556" s="408">
        <v>1.3</v>
      </c>
      <c r="M556" s="408">
        <v>9.6</v>
      </c>
      <c r="N556" s="408">
        <v>5.4</v>
      </c>
      <c r="O556" s="408">
        <v>30.2</v>
      </c>
      <c r="P556" s="408">
        <v>2.2999999999999998</v>
      </c>
      <c r="Q556" s="408">
        <v>0.9</v>
      </c>
      <c r="R556" s="408">
        <v>16.899999999999999</v>
      </c>
      <c r="S556" s="408">
        <v>20.2</v>
      </c>
      <c r="T556" s="408">
        <v>2.8</v>
      </c>
      <c r="U556" s="408">
        <v>1.2</v>
      </c>
      <c r="V556" s="408">
        <v>4</v>
      </c>
      <c r="W556" s="408">
        <v>9.6000000000000002E-2</v>
      </c>
      <c r="X556" s="408">
        <v>1.4</v>
      </c>
      <c r="Y556" s="408">
        <v>-1.2</v>
      </c>
      <c r="Z556" s="408">
        <v>0.3</v>
      </c>
      <c r="AA556" s="408">
        <v>1.1000000000000001</v>
      </c>
    </row>
    <row r="557" spans="1:27">
      <c r="A557">
        <v>455</v>
      </c>
      <c r="B557" s="1" t="s">
        <v>370</v>
      </c>
      <c r="C557" s="5" t="s">
        <v>38</v>
      </c>
      <c r="D557" s="408">
        <v>32</v>
      </c>
      <c r="E557" s="5" t="s">
        <v>41</v>
      </c>
      <c r="F557" s="408">
        <v>10</v>
      </c>
      <c r="G557" s="408">
        <v>159</v>
      </c>
      <c r="H557" s="408">
        <v>13.6</v>
      </c>
      <c r="I557" s="408">
        <v>0.623</v>
      </c>
      <c r="J557" s="408">
        <v>0.78900000000000003</v>
      </c>
      <c r="K557" s="408">
        <v>0</v>
      </c>
      <c r="L557" s="408">
        <v>2.2000000000000002</v>
      </c>
      <c r="M557" s="408">
        <v>14.8</v>
      </c>
      <c r="N557" s="408">
        <v>8.6</v>
      </c>
      <c r="O557" s="408">
        <v>9.6</v>
      </c>
      <c r="P557" s="408">
        <v>1.3</v>
      </c>
      <c r="Q557" s="408">
        <v>0.5</v>
      </c>
      <c r="R557" s="408">
        <v>10.9</v>
      </c>
      <c r="S557" s="408">
        <v>18.3</v>
      </c>
      <c r="T557" s="408">
        <v>0.2</v>
      </c>
      <c r="U557" s="408">
        <v>0.1</v>
      </c>
      <c r="V557" s="408">
        <v>0.3</v>
      </c>
      <c r="W557" s="408">
        <v>9.2999999999999999E-2</v>
      </c>
      <c r="X557" s="408">
        <v>1.6</v>
      </c>
      <c r="Y557" s="408">
        <v>-3.1</v>
      </c>
      <c r="Z557" s="408">
        <v>-1.6</v>
      </c>
      <c r="AA557" s="408">
        <v>0</v>
      </c>
    </row>
    <row r="558" spans="1:27">
      <c r="A558">
        <v>456</v>
      </c>
      <c r="B558" s="1" t="s">
        <v>403</v>
      </c>
      <c r="C558" s="5" t="s">
        <v>26</v>
      </c>
      <c r="D558" s="408">
        <v>31</v>
      </c>
      <c r="E558" s="5" t="s">
        <v>100</v>
      </c>
      <c r="F558" s="408">
        <v>65</v>
      </c>
      <c r="G558" s="408">
        <v>1615</v>
      </c>
      <c r="H558" s="408">
        <v>10.199999999999999</v>
      </c>
      <c r="I558" s="408">
        <v>0.53600000000000003</v>
      </c>
      <c r="J558" s="408">
        <v>0.47699999999999998</v>
      </c>
      <c r="K558" s="408">
        <v>0.16400000000000001</v>
      </c>
      <c r="L558" s="408">
        <v>1.5</v>
      </c>
      <c r="M558" s="408">
        <v>9.6</v>
      </c>
      <c r="N558" s="408">
        <v>5.4</v>
      </c>
      <c r="O558" s="408">
        <v>11.2</v>
      </c>
      <c r="P558" s="408">
        <v>1.8</v>
      </c>
      <c r="Q558" s="408">
        <v>1.6</v>
      </c>
      <c r="R558" s="408">
        <v>13.4</v>
      </c>
      <c r="S558" s="408">
        <v>16.399999999999999</v>
      </c>
      <c r="T558" s="408">
        <v>0.3</v>
      </c>
      <c r="U558" s="408">
        <v>0.7</v>
      </c>
      <c r="V558" s="408">
        <v>1</v>
      </c>
      <c r="W558" s="408">
        <v>0.03</v>
      </c>
      <c r="X558" s="408">
        <v>-1.2</v>
      </c>
      <c r="Y558" s="408">
        <v>-0.8</v>
      </c>
      <c r="Z558" s="408">
        <v>-2</v>
      </c>
      <c r="AA558" s="408">
        <v>0</v>
      </c>
    </row>
    <row r="559" spans="1:27">
      <c r="A559">
        <v>457</v>
      </c>
      <c r="B559" s="1" t="s">
        <v>342</v>
      </c>
      <c r="C559" s="5" t="s">
        <v>20</v>
      </c>
      <c r="D559" s="408">
        <v>30</v>
      </c>
      <c r="E559" s="5" t="s">
        <v>64</v>
      </c>
      <c r="F559" s="408">
        <v>40</v>
      </c>
      <c r="G559" s="408">
        <v>1004</v>
      </c>
      <c r="H559" s="408">
        <v>11.3</v>
      </c>
      <c r="I559" s="408">
        <v>0.55000000000000004</v>
      </c>
      <c r="J559" s="408">
        <v>0.64700000000000002</v>
      </c>
      <c r="K559" s="408">
        <v>0.114</v>
      </c>
      <c r="L559" s="408">
        <v>1.8</v>
      </c>
      <c r="M559" s="408">
        <v>10.6</v>
      </c>
      <c r="N559" s="408">
        <v>6.3</v>
      </c>
      <c r="O559" s="408">
        <v>27.5</v>
      </c>
      <c r="P559" s="408">
        <v>1.1000000000000001</v>
      </c>
      <c r="Q559" s="408">
        <v>0.3</v>
      </c>
      <c r="R559" s="408">
        <v>20.9</v>
      </c>
      <c r="S559" s="408">
        <v>18.100000000000001</v>
      </c>
      <c r="T559" s="408">
        <v>0.6</v>
      </c>
      <c r="U559" s="408">
        <v>0.5</v>
      </c>
      <c r="V559" s="408">
        <v>1.2</v>
      </c>
      <c r="W559" s="408">
        <v>5.5E-2</v>
      </c>
      <c r="X559" s="408">
        <v>0.4</v>
      </c>
      <c r="Y559" s="408">
        <v>-1.9</v>
      </c>
      <c r="Z559" s="408">
        <v>-1.5</v>
      </c>
      <c r="AA559" s="408">
        <v>0.1</v>
      </c>
    </row>
    <row r="560" spans="1:27">
      <c r="A560">
        <v>458</v>
      </c>
      <c r="B560" s="1" t="s">
        <v>57</v>
      </c>
      <c r="C560" s="5" t="s">
        <v>26</v>
      </c>
      <c r="D560" s="408">
        <v>40</v>
      </c>
      <c r="E560" s="5" t="s">
        <v>41</v>
      </c>
      <c r="F560" s="408">
        <v>39</v>
      </c>
      <c r="G560" s="408">
        <v>555</v>
      </c>
      <c r="H560" s="408">
        <v>7.6</v>
      </c>
      <c r="I560" s="408">
        <v>0.52</v>
      </c>
      <c r="J560" s="408">
        <v>0.72399999999999998</v>
      </c>
      <c r="K560" s="408">
        <v>5.7000000000000002E-2</v>
      </c>
      <c r="L560" s="408">
        <v>0.4</v>
      </c>
      <c r="M560" s="408">
        <v>7.2</v>
      </c>
      <c r="N560" s="408">
        <v>3.8</v>
      </c>
      <c r="O560" s="408">
        <v>10</v>
      </c>
      <c r="P560" s="408">
        <v>2.2999999999999998</v>
      </c>
      <c r="Q560" s="408">
        <v>1.7</v>
      </c>
      <c r="R560" s="408">
        <v>15</v>
      </c>
      <c r="S560" s="408">
        <v>10.4</v>
      </c>
      <c r="T560" s="408">
        <v>0</v>
      </c>
      <c r="U560" s="408">
        <v>0.4</v>
      </c>
      <c r="V560" s="408">
        <v>0.4</v>
      </c>
      <c r="W560" s="408">
        <v>3.5999999999999997E-2</v>
      </c>
      <c r="X560" s="408">
        <v>-2.2999999999999998</v>
      </c>
      <c r="Y560" s="408">
        <v>-0.5</v>
      </c>
      <c r="Z560" s="408">
        <v>-2.8</v>
      </c>
      <c r="AA560" s="408">
        <v>-0.1</v>
      </c>
    </row>
    <row r="561" spans="1:27">
      <c r="A561">
        <v>459</v>
      </c>
      <c r="B561" s="1" t="s">
        <v>545</v>
      </c>
      <c r="C561" s="5" t="s">
        <v>83</v>
      </c>
      <c r="D561" s="408">
        <v>25</v>
      </c>
      <c r="E561" s="5" t="s">
        <v>87</v>
      </c>
      <c r="F561" s="408">
        <v>63</v>
      </c>
      <c r="G561" s="408">
        <v>936</v>
      </c>
      <c r="H561" s="408">
        <v>16.100000000000001</v>
      </c>
      <c r="I561" s="408">
        <v>0.61599999999999999</v>
      </c>
      <c r="J561" s="408">
        <v>0.249</v>
      </c>
      <c r="K561" s="408">
        <v>0.34799999999999998</v>
      </c>
      <c r="L561" s="408">
        <v>10.7</v>
      </c>
      <c r="M561" s="408">
        <v>21.2</v>
      </c>
      <c r="N561" s="408">
        <v>16</v>
      </c>
      <c r="O561" s="408">
        <v>9.1</v>
      </c>
      <c r="P561" s="408">
        <v>1.6</v>
      </c>
      <c r="Q561" s="408">
        <v>4.3</v>
      </c>
      <c r="R561" s="408">
        <v>17.2</v>
      </c>
      <c r="S561" s="408">
        <v>15.5</v>
      </c>
      <c r="T561" s="408">
        <v>1.6</v>
      </c>
      <c r="U561" s="408">
        <v>1.9</v>
      </c>
      <c r="V561" s="408">
        <v>3.5</v>
      </c>
      <c r="W561" s="408">
        <v>0.18</v>
      </c>
      <c r="X561" s="408">
        <v>-0.8</v>
      </c>
      <c r="Y561" s="408">
        <v>3.5</v>
      </c>
      <c r="Z561" s="408">
        <v>2.7</v>
      </c>
      <c r="AA561" s="408">
        <v>1.1000000000000001</v>
      </c>
    </row>
    <row r="562" spans="1:27">
      <c r="A562">
        <v>460</v>
      </c>
      <c r="B562" s="1" t="s">
        <v>196</v>
      </c>
      <c r="C562" s="5" t="s">
        <v>20</v>
      </c>
      <c r="D562" s="408">
        <v>28</v>
      </c>
      <c r="E562" s="5" t="s">
        <v>357</v>
      </c>
      <c r="F562" s="408">
        <v>31</v>
      </c>
      <c r="G562" s="408">
        <v>836</v>
      </c>
      <c r="H562" s="408">
        <v>12.8</v>
      </c>
      <c r="I562" s="408">
        <v>0.50600000000000001</v>
      </c>
      <c r="J562" s="408">
        <v>0.45</v>
      </c>
      <c r="K562" s="408">
        <v>0.315</v>
      </c>
      <c r="L562" s="408">
        <v>2.2000000000000002</v>
      </c>
      <c r="M562" s="408">
        <v>6.3</v>
      </c>
      <c r="N562" s="408">
        <v>4.3</v>
      </c>
      <c r="O562" s="408">
        <v>27.3</v>
      </c>
      <c r="P562" s="408">
        <v>0.9</v>
      </c>
      <c r="Q562" s="408">
        <v>0.3</v>
      </c>
      <c r="R562" s="408">
        <v>16</v>
      </c>
      <c r="S562" s="408">
        <v>28.7</v>
      </c>
      <c r="T562" s="408">
        <v>0</v>
      </c>
      <c r="U562" s="408">
        <v>0.3</v>
      </c>
      <c r="V562" s="408">
        <v>0.2</v>
      </c>
      <c r="W562" s="408">
        <v>1.2999999999999999E-2</v>
      </c>
      <c r="X562" s="408">
        <v>-0.8</v>
      </c>
      <c r="Y562" s="408">
        <v>-4.3</v>
      </c>
      <c r="Z562" s="408">
        <v>-5</v>
      </c>
      <c r="AA562" s="408">
        <v>-0.6</v>
      </c>
    </row>
    <row r="563" spans="1:27">
      <c r="A563">
        <v>460</v>
      </c>
      <c r="B563" s="1" t="s">
        <v>196</v>
      </c>
      <c r="C563" s="5" t="s">
        <v>20</v>
      </c>
      <c r="D563" s="408">
        <v>28</v>
      </c>
      <c r="E563" s="5" t="s">
        <v>102</v>
      </c>
      <c r="F563" s="408">
        <v>15</v>
      </c>
      <c r="G563" s="408">
        <v>406</v>
      </c>
      <c r="H563" s="408">
        <v>12.3</v>
      </c>
      <c r="I563" s="408">
        <v>0.49299999999999999</v>
      </c>
      <c r="J563" s="408">
        <v>0.44800000000000001</v>
      </c>
      <c r="K563" s="408">
        <v>0.35099999999999998</v>
      </c>
      <c r="L563" s="408">
        <v>2</v>
      </c>
      <c r="M563" s="408">
        <v>6.5</v>
      </c>
      <c r="N563" s="408">
        <v>4.3</v>
      </c>
      <c r="O563" s="408">
        <v>25.2</v>
      </c>
      <c r="P563" s="408">
        <v>1.1000000000000001</v>
      </c>
      <c r="Q563" s="408">
        <v>0.4</v>
      </c>
      <c r="R563" s="408">
        <v>15.5</v>
      </c>
      <c r="S563" s="408">
        <v>28.9</v>
      </c>
      <c r="T563" s="408">
        <v>-0.2</v>
      </c>
      <c r="U563" s="408">
        <v>0.1</v>
      </c>
      <c r="V563" s="408">
        <v>-0.1</v>
      </c>
      <c r="W563" s="408">
        <v>-1.0999999999999999E-2</v>
      </c>
      <c r="X563" s="408">
        <v>-1.5</v>
      </c>
      <c r="Y563" s="408">
        <v>-4.4000000000000004</v>
      </c>
      <c r="Z563" s="408">
        <v>-5.9</v>
      </c>
      <c r="AA563" s="408">
        <v>-0.4</v>
      </c>
    </row>
    <row r="564" spans="1:27">
      <c r="A564">
        <v>460</v>
      </c>
      <c r="B564" s="1" t="s">
        <v>196</v>
      </c>
      <c r="C564" s="5" t="s">
        <v>20</v>
      </c>
      <c r="D564" s="408">
        <v>28</v>
      </c>
      <c r="E564" s="5" t="s">
        <v>78</v>
      </c>
      <c r="F564" s="408">
        <v>16</v>
      </c>
      <c r="G564" s="408">
        <v>430</v>
      </c>
      <c r="H564" s="408">
        <v>13.3</v>
      </c>
      <c r="I564" s="408">
        <v>0.51700000000000002</v>
      </c>
      <c r="J564" s="408">
        <v>0.45100000000000001</v>
      </c>
      <c r="K564" s="408">
        <v>0.28399999999999997</v>
      </c>
      <c r="L564" s="408">
        <v>2.5</v>
      </c>
      <c r="M564" s="408">
        <v>6.2</v>
      </c>
      <c r="N564" s="408">
        <v>4.3</v>
      </c>
      <c r="O564" s="408">
        <v>29.3</v>
      </c>
      <c r="P564" s="408">
        <v>0.7</v>
      </c>
      <c r="Q564" s="408">
        <v>0.2</v>
      </c>
      <c r="R564" s="408">
        <v>16.600000000000001</v>
      </c>
      <c r="S564" s="408">
        <v>28.4</v>
      </c>
      <c r="T564" s="408">
        <v>0.1</v>
      </c>
      <c r="U564" s="408">
        <v>0.2</v>
      </c>
      <c r="V564" s="408">
        <v>0.3</v>
      </c>
      <c r="W564" s="408">
        <v>3.5000000000000003E-2</v>
      </c>
      <c r="X564" s="408">
        <v>0</v>
      </c>
      <c r="Y564" s="408">
        <v>-4.0999999999999996</v>
      </c>
      <c r="Z564" s="408">
        <v>-4.2</v>
      </c>
      <c r="AA564" s="408">
        <v>-0.2</v>
      </c>
    </row>
    <row r="565" spans="1:27">
      <c r="A565">
        <v>461</v>
      </c>
      <c r="B565" s="1" t="s">
        <v>507</v>
      </c>
      <c r="C565" s="5" t="s">
        <v>38</v>
      </c>
      <c r="D565" s="408">
        <v>29</v>
      </c>
      <c r="E565" s="5" t="s">
        <v>21</v>
      </c>
      <c r="F565" s="408">
        <v>65</v>
      </c>
      <c r="G565" s="408">
        <v>1204</v>
      </c>
      <c r="H565" s="408">
        <v>6.6</v>
      </c>
      <c r="I565" s="408">
        <v>0.52300000000000002</v>
      </c>
      <c r="J565" s="408">
        <v>0.47599999999999998</v>
      </c>
      <c r="K565" s="408">
        <v>0.20499999999999999</v>
      </c>
      <c r="L565" s="408">
        <v>3.6</v>
      </c>
      <c r="M565" s="408">
        <v>10.4</v>
      </c>
      <c r="N565" s="408">
        <v>7.1</v>
      </c>
      <c r="O565" s="408">
        <v>4.3</v>
      </c>
      <c r="P565" s="408">
        <v>1.2</v>
      </c>
      <c r="Q565" s="408">
        <v>1</v>
      </c>
      <c r="R565" s="408">
        <v>12.6</v>
      </c>
      <c r="S565" s="408">
        <v>10.4</v>
      </c>
      <c r="T565" s="408">
        <v>0.3</v>
      </c>
      <c r="U565" s="408">
        <v>0.6</v>
      </c>
      <c r="V565" s="408">
        <v>1</v>
      </c>
      <c r="W565" s="408">
        <v>3.7999999999999999E-2</v>
      </c>
      <c r="X565" s="408">
        <v>-1.9</v>
      </c>
      <c r="Y565" s="408">
        <v>-0.2</v>
      </c>
      <c r="Z565" s="408">
        <v>-2.1</v>
      </c>
      <c r="AA565" s="408">
        <v>0</v>
      </c>
    </row>
    <row r="566" spans="1:27">
      <c r="A566">
        <v>462</v>
      </c>
      <c r="B566" s="1" t="s">
        <v>293</v>
      </c>
      <c r="C566" s="5" t="s">
        <v>26</v>
      </c>
      <c r="D566" s="408">
        <v>27</v>
      </c>
      <c r="E566" s="5" t="s">
        <v>73</v>
      </c>
      <c r="F566" s="408">
        <v>66</v>
      </c>
      <c r="G566" s="408">
        <v>2268</v>
      </c>
      <c r="H566" s="408">
        <v>16</v>
      </c>
      <c r="I566" s="408">
        <v>0.60199999999999998</v>
      </c>
      <c r="J566" s="408">
        <v>0.44700000000000001</v>
      </c>
      <c r="K566" s="408">
        <v>8.6999999999999994E-2</v>
      </c>
      <c r="L566" s="408">
        <v>1.4</v>
      </c>
      <c r="M566" s="408">
        <v>10.4</v>
      </c>
      <c r="N566" s="408">
        <v>6.3</v>
      </c>
      <c r="O566" s="408">
        <v>11.5</v>
      </c>
      <c r="P566" s="408">
        <v>1</v>
      </c>
      <c r="Q566" s="408">
        <v>1.2</v>
      </c>
      <c r="R566" s="408">
        <v>9.5</v>
      </c>
      <c r="S566" s="408">
        <v>23.1</v>
      </c>
      <c r="T566" s="408">
        <v>3.1</v>
      </c>
      <c r="U566" s="408">
        <v>1.7</v>
      </c>
      <c r="V566" s="408">
        <v>4.8</v>
      </c>
      <c r="W566" s="408">
        <v>0.10199999999999999</v>
      </c>
      <c r="X566" s="408">
        <v>1.9</v>
      </c>
      <c r="Y566" s="408">
        <v>-2.2000000000000002</v>
      </c>
      <c r="Z566" s="408">
        <v>-0.3</v>
      </c>
      <c r="AA566" s="408">
        <v>1</v>
      </c>
    </row>
    <row r="567" spans="1:27">
      <c r="A567">
        <v>463</v>
      </c>
      <c r="B567" s="1" t="s">
        <v>609</v>
      </c>
      <c r="C567" s="5" t="s">
        <v>83</v>
      </c>
      <c r="D567" s="408">
        <v>26</v>
      </c>
      <c r="E567" s="5" t="s">
        <v>102</v>
      </c>
      <c r="F567" s="408">
        <v>42</v>
      </c>
      <c r="G567" s="408">
        <v>898</v>
      </c>
      <c r="H567" s="408">
        <v>13.7</v>
      </c>
      <c r="I567" s="408">
        <v>0.59199999999999997</v>
      </c>
      <c r="J567" s="408">
        <v>0</v>
      </c>
      <c r="K567" s="408">
        <v>0.34</v>
      </c>
      <c r="L567" s="408">
        <v>12.1</v>
      </c>
      <c r="M567" s="408">
        <v>21.8</v>
      </c>
      <c r="N567" s="408">
        <v>17</v>
      </c>
      <c r="O567" s="408">
        <v>4.0999999999999996</v>
      </c>
      <c r="P567" s="408">
        <v>0.8</v>
      </c>
      <c r="Q567" s="408">
        <v>1.5</v>
      </c>
      <c r="R567" s="408">
        <v>11.9</v>
      </c>
      <c r="S567" s="408">
        <v>12.5</v>
      </c>
      <c r="T567" s="408">
        <v>1.6</v>
      </c>
      <c r="U567" s="408">
        <v>0.6</v>
      </c>
      <c r="V567" s="408">
        <v>2.2000000000000002</v>
      </c>
      <c r="W567" s="408">
        <v>0.115</v>
      </c>
      <c r="X567" s="408">
        <v>-1.5</v>
      </c>
      <c r="Y567" s="408">
        <v>-0.7</v>
      </c>
      <c r="Z567" s="408">
        <v>-2.2000000000000002</v>
      </c>
      <c r="AA567" s="408">
        <v>0</v>
      </c>
    </row>
    <row r="568" spans="1:27">
      <c r="A568">
        <v>464</v>
      </c>
      <c r="B568" s="1" t="s">
        <v>542</v>
      </c>
      <c r="C568" s="5" t="s">
        <v>26</v>
      </c>
      <c r="D568" s="408">
        <v>23</v>
      </c>
      <c r="E568" s="5" t="s">
        <v>64</v>
      </c>
      <c r="F568" s="408">
        <v>60</v>
      </c>
      <c r="G568" s="408">
        <v>898</v>
      </c>
      <c r="H568" s="408">
        <v>7.9</v>
      </c>
      <c r="I568" s="408">
        <v>0.52800000000000002</v>
      </c>
      <c r="J568" s="408">
        <v>0.29099999999999998</v>
      </c>
      <c r="K568" s="408">
        <v>0.371</v>
      </c>
      <c r="L568" s="408">
        <v>2.6</v>
      </c>
      <c r="M568" s="408">
        <v>9.3000000000000007</v>
      </c>
      <c r="N568" s="408">
        <v>6</v>
      </c>
      <c r="O568" s="408">
        <v>6.4</v>
      </c>
      <c r="P568" s="408">
        <v>2.1</v>
      </c>
      <c r="Q568" s="408">
        <v>2</v>
      </c>
      <c r="R568" s="408">
        <v>15.4</v>
      </c>
      <c r="S568" s="408">
        <v>11.6</v>
      </c>
      <c r="T568" s="408">
        <v>0.1</v>
      </c>
      <c r="U568" s="408">
        <v>0.8</v>
      </c>
      <c r="V568" s="408">
        <v>0.9</v>
      </c>
      <c r="W568" s="408">
        <v>4.8000000000000001E-2</v>
      </c>
      <c r="X568" s="408">
        <v>-2.7</v>
      </c>
      <c r="Y568" s="408">
        <v>1.2</v>
      </c>
      <c r="Z568" s="408">
        <v>-1.5</v>
      </c>
      <c r="AA568" s="408">
        <v>0.1</v>
      </c>
    </row>
    <row r="569" spans="1:27">
      <c r="A569">
        <v>465</v>
      </c>
      <c r="B569" s="1" t="s">
        <v>158</v>
      </c>
      <c r="C569" s="5" t="s">
        <v>38</v>
      </c>
      <c r="D569" s="408">
        <v>32</v>
      </c>
      <c r="E569" s="5" t="s">
        <v>157</v>
      </c>
      <c r="F569" s="408">
        <v>67</v>
      </c>
      <c r="G569" s="408">
        <v>1390</v>
      </c>
      <c r="H569" s="408">
        <v>12.2</v>
      </c>
      <c r="I569" s="408">
        <v>0.63100000000000001</v>
      </c>
      <c r="J569" s="408">
        <v>0.78300000000000003</v>
      </c>
      <c r="K569" s="408">
        <v>0.27100000000000002</v>
      </c>
      <c r="L569" s="408">
        <v>3</v>
      </c>
      <c r="M569" s="408">
        <v>12.1</v>
      </c>
      <c r="N569" s="408">
        <v>7.4</v>
      </c>
      <c r="O569" s="408">
        <v>7.6</v>
      </c>
      <c r="P569" s="408">
        <v>0.9</v>
      </c>
      <c r="Q569" s="408">
        <v>1</v>
      </c>
      <c r="R569" s="408">
        <v>11</v>
      </c>
      <c r="S569" s="408">
        <v>14.8</v>
      </c>
      <c r="T569" s="408">
        <v>2.2999999999999998</v>
      </c>
      <c r="U569" s="408">
        <v>1.1000000000000001</v>
      </c>
      <c r="V569" s="408">
        <v>3.4</v>
      </c>
      <c r="W569" s="408">
        <v>0.11799999999999999</v>
      </c>
      <c r="X569" s="408">
        <v>1.3</v>
      </c>
      <c r="Y569" s="408">
        <v>-0.9</v>
      </c>
      <c r="Z569" s="408">
        <v>0.3</v>
      </c>
      <c r="AA569" s="408">
        <v>0.8</v>
      </c>
    </row>
    <row r="570" spans="1:27">
      <c r="A570">
        <v>466</v>
      </c>
      <c r="B570" s="1" t="s">
        <v>6</v>
      </c>
      <c r="C570" s="5" t="s">
        <v>83</v>
      </c>
      <c r="D570" s="408">
        <v>22</v>
      </c>
      <c r="E570" s="5" t="s">
        <v>56</v>
      </c>
      <c r="F570" s="408">
        <v>71</v>
      </c>
      <c r="G570" s="408">
        <v>2505</v>
      </c>
      <c r="H570" s="408">
        <v>24.9</v>
      </c>
      <c r="I570" s="408">
        <v>0.65</v>
      </c>
      <c r="J570" s="408">
        <v>0.24099999999999999</v>
      </c>
      <c r="K570" s="408">
        <v>0.34599999999999997</v>
      </c>
      <c r="L570" s="408">
        <v>9.6</v>
      </c>
      <c r="M570" s="408">
        <v>30.8</v>
      </c>
      <c r="N570" s="408">
        <v>20.100000000000001</v>
      </c>
      <c r="O570" s="408">
        <v>10.4</v>
      </c>
      <c r="P570" s="408">
        <v>1.1000000000000001</v>
      </c>
      <c r="Q570" s="408">
        <v>3.6</v>
      </c>
      <c r="R570" s="408">
        <v>11.1</v>
      </c>
      <c r="S570" s="408">
        <v>22.5</v>
      </c>
      <c r="T570" s="408">
        <v>9</v>
      </c>
      <c r="U570" s="408">
        <v>2.8</v>
      </c>
      <c r="V570" s="408">
        <v>11.8</v>
      </c>
      <c r="W570" s="408">
        <v>0.22600000000000001</v>
      </c>
      <c r="X570" s="408">
        <v>4.3</v>
      </c>
      <c r="Y570" s="408">
        <v>1</v>
      </c>
      <c r="Z570" s="408">
        <v>5.3</v>
      </c>
      <c r="AA570" s="408">
        <v>4.5999999999999996</v>
      </c>
    </row>
    <row r="571" spans="1:27">
      <c r="A571">
        <v>467</v>
      </c>
      <c r="B571" s="1" t="s">
        <v>420</v>
      </c>
      <c r="C571" s="5" t="s">
        <v>46</v>
      </c>
      <c r="D571" s="408">
        <v>32</v>
      </c>
      <c r="E571" s="5" t="s">
        <v>92</v>
      </c>
      <c r="F571" s="408">
        <v>70</v>
      </c>
      <c r="G571" s="408">
        <v>1936</v>
      </c>
      <c r="H571" s="408">
        <v>8.1999999999999993</v>
      </c>
      <c r="I571" s="408">
        <v>0.53600000000000003</v>
      </c>
      <c r="J571" s="408">
        <v>0.68400000000000005</v>
      </c>
      <c r="K571" s="408">
        <v>0.16200000000000001</v>
      </c>
      <c r="L571" s="408">
        <v>4.5999999999999996</v>
      </c>
      <c r="M571" s="408">
        <v>18.2</v>
      </c>
      <c r="N571" s="408">
        <v>11.5</v>
      </c>
      <c r="O571" s="408">
        <v>4.5</v>
      </c>
      <c r="P571" s="408">
        <v>1.8</v>
      </c>
      <c r="Q571" s="408">
        <v>0.8</v>
      </c>
      <c r="R571" s="408">
        <v>13.9</v>
      </c>
      <c r="S571" s="408">
        <v>10.1</v>
      </c>
      <c r="T571" s="408">
        <v>0.8</v>
      </c>
      <c r="U571" s="408">
        <v>2.4</v>
      </c>
      <c r="V571" s="408">
        <v>3.2</v>
      </c>
      <c r="W571" s="408">
        <v>0.08</v>
      </c>
      <c r="X571" s="408">
        <v>-1.4</v>
      </c>
      <c r="Y571" s="408">
        <v>1.5</v>
      </c>
      <c r="Z571" s="408">
        <v>0</v>
      </c>
      <c r="AA571" s="408">
        <v>1</v>
      </c>
    </row>
    <row r="572" spans="1:27">
      <c r="A572">
        <v>468</v>
      </c>
      <c r="B572" s="1" t="s">
        <v>505</v>
      </c>
      <c r="C572" s="5" t="s">
        <v>46</v>
      </c>
      <c r="D572" s="408">
        <v>29</v>
      </c>
      <c r="E572" s="5" t="s">
        <v>96</v>
      </c>
      <c r="F572" s="408">
        <v>67</v>
      </c>
      <c r="G572" s="408">
        <v>1709</v>
      </c>
      <c r="H572" s="408">
        <v>9.8000000000000007</v>
      </c>
      <c r="I572" s="408">
        <v>0.51800000000000002</v>
      </c>
      <c r="J572" s="408">
        <v>0.21099999999999999</v>
      </c>
      <c r="K572" s="408">
        <v>0.19500000000000001</v>
      </c>
      <c r="L572" s="408">
        <v>1.6</v>
      </c>
      <c r="M572" s="408">
        <v>12</v>
      </c>
      <c r="N572" s="408">
        <v>6.9</v>
      </c>
      <c r="O572" s="408">
        <v>12.8</v>
      </c>
      <c r="P572" s="408">
        <v>1.1000000000000001</v>
      </c>
      <c r="Q572" s="408">
        <v>1.1000000000000001</v>
      </c>
      <c r="R572" s="408">
        <v>14.4</v>
      </c>
      <c r="S572" s="408">
        <v>15.7</v>
      </c>
      <c r="T572" s="408">
        <v>0.3</v>
      </c>
      <c r="U572" s="408">
        <v>1.8</v>
      </c>
      <c r="V572" s="408">
        <v>2.1</v>
      </c>
      <c r="W572" s="408">
        <v>0.06</v>
      </c>
      <c r="X572" s="408">
        <v>-2.6</v>
      </c>
      <c r="Y572" s="408">
        <v>0.7</v>
      </c>
      <c r="Z572" s="408">
        <v>-1.8</v>
      </c>
      <c r="AA572" s="408">
        <v>0.1</v>
      </c>
    </row>
    <row r="573" spans="1:27">
      <c r="A573">
        <v>469</v>
      </c>
      <c r="B573" s="1" t="s">
        <v>448</v>
      </c>
      <c r="C573" s="5" t="s">
        <v>83</v>
      </c>
      <c r="D573" s="408">
        <v>21</v>
      </c>
      <c r="E573" s="5" t="s">
        <v>30</v>
      </c>
      <c r="F573" s="408">
        <v>54</v>
      </c>
      <c r="G573" s="408">
        <v>1532</v>
      </c>
      <c r="H573" s="408">
        <v>18.5</v>
      </c>
      <c r="I573" s="408">
        <v>0.59399999999999997</v>
      </c>
      <c r="J573" s="408">
        <v>0.248</v>
      </c>
      <c r="K573" s="408">
        <v>0.33</v>
      </c>
      <c r="L573" s="408">
        <v>6.1</v>
      </c>
      <c r="M573" s="408">
        <v>21</v>
      </c>
      <c r="N573" s="408">
        <v>13.6</v>
      </c>
      <c r="O573" s="408">
        <v>7.2</v>
      </c>
      <c r="P573" s="408">
        <v>0.9</v>
      </c>
      <c r="Q573" s="408">
        <v>6</v>
      </c>
      <c r="R573" s="408">
        <v>11.5</v>
      </c>
      <c r="S573" s="408">
        <v>20.5</v>
      </c>
      <c r="T573" s="408">
        <v>2.6</v>
      </c>
      <c r="U573" s="408">
        <v>2.2000000000000002</v>
      </c>
      <c r="V573" s="408">
        <v>4.7</v>
      </c>
      <c r="W573" s="408">
        <v>0.14899999999999999</v>
      </c>
      <c r="X573" s="408">
        <v>-0.3</v>
      </c>
      <c r="Y573" s="408">
        <v>1.8</v>
      </c>
      <c r="Z573" s="408">
        <v>1.5</v>
      </c>
      <c r="AA573" s="408">
        <v>1.4</v>
      </c>
    </row>
    <row r="574" spans="1:27">
      <c r="A574">
        <v>470</v>
      </c>
      <c r="B574" s="1" t="s">
        <v>584</v>
      </c>
      <c r="C574" s="5" t="s">
        <v>83</v>
      </c>
      <c r="D574" s="408">
        <v>30</v>
      </c>
      <c r="E574" s="5" t="s">
        <v>305</v>
      </c>
      <c r="F574" s="408">
        <v>56</v>
      </c>
      <c r="G574" s="408">
        <v>763</v>
      </c>
      <c r="H574" s="408">
        <v>15.6</v>
      </c>
      <c r="I574" s="408">
        <v>0.57799999999999996</v>
      </c>
      <c r="J574" s="408">
        <v>0</v>
      </c>
      <c r="K574" s="408">
        <v>0.48199999999999998</v>
      </c>
      <c r="L574" s="408">
        <v>9.6</v>
      </c>
      <c r="M574" s="408">
        <v>11.4</v>
      </c>
      <c r="N574" s="408">
        <v>10.5</v>
      </c>
      <c r="O574" s="408">
        <v>9.4</v>
      </c>
      <c r="P574" s="408">
        <v>2.7</v>
      </c>
      <c r="Q574" s="408">
        <v>7.6</v>
      </c>
      <c r="R574" s="408">
        <v>12.3</v>
      </c>
      <c r="S574" s="408">
        <v>9.1999999999999993</v>
      </c>
      <c r="T574" s="408">
        <v>1.4</v>
      </c>
      <c r="U574" s="408">
        <v>1.7</v>
      </c>
      <c r="V574" s="408">
        <v>3.1</v>
      </c>
      <c r="W574" s="408">
        <v>0.193</v>
      </c>
      <c r="X574" s="408">
        <v>-1</v>
      </c>
      <c r="Y574" s="408">
        <v>6.8</v>
      </c>
      <c r="Z574" s="408">
        <v>5.9</v>
      </c>
      <c r="AA574" s="408">
        <v>1.5</v>
      </c>
    </row>
    <row r="575" spans="1:27">
      <c r="A575">
        <v>471</v>
      </c>
      <c r="B575" s="1" t="s">
        <v>489</v>
      </c>
      <c r="C575" s="5" t="s">
        <v>20</v>
      </c>
      <c r="D575" s="408">
        <v>22</v>
      </c>
      <c r="E575" s="5" t="s">
        <v>313</v>
      </c>
      <c r="F575" s="408">
        <v>60</v>
      </c>
      <c r="G575" s="408">
        <v>1315</v>
      </c>
      <c r="H575" s="408">
        <v>8.8000000000000007</v>
      </c>
      <c r="I575" s="408">
        <v>0.44500000000000001</v>
      </c>
      <c r="J575" s="408">
        <v>0.26</v>
      </c>
      <c r="K575" s="408">
        <v>0.17799999999999999</v>
      </c>
      <c r="L575" s="408">
        <v>1.3</v>
      </c>
      <c r="M575" s="408">
        <v>6.4</v>
      </c>
      <c r="N575" s="408">
        <v>3.8</v>
      </c>
      <c r="O575" s="408">
        <v>26</v>
      </c>
      <c r="P575" s="408">
        <v>2.1</v>
      </c>
      <c r="Q575" s="408">
        <v>0.2</v>
      </c>
      <c r="R575" s="408">
        <v>17.5</v>
      </c>
      <c r="S575" s="408">
        <v>17.5</v>
      </c>
      <c r="T575" s="408">
        <v>-1</v>
      </c>
      <c r="U575" s="408">
        <v>0.4</v>
      </c>
      <c r="V575" s="408">
        <v>-0.6</v>
      </c>
      <c r="W575" s="408">
        <v>-2.1000000000000001E-2</v>
      </c>
      <c r="X575" s="408">
        <v>-3.5</v>
      </c>
      <c r="Y575" s="408">
        <v>-2.4</v>
      </c>
      <c r="Z575" s="408">
        <v>-5.9</v>
      </c>
      <c r="AA575" s="408">
        <v>-1.3</v>
      </c>
    </row>
    <row r="576" spans="1:27">
      <c r="A576">
        <v>472</v>
      </c>
      <c r="B576" s="1" t="s">
        <v>554</v>
      </c>
      <c r="C576" s="5" t="s">
        <v>83</v>
      </c>
      <c r="D576" s="408">
        <v>25</v>
      </c>
      <c r="E576" s="5" t="s">
        <v>47</v>
      </c>
      <c r="F576" s="408">
        <v>66</v>
      </c>
      <c r="G576" s="408">
        <v>1492</v>
      </c>
      <c r="H576" s="408">
        <v>21.9</v>
      </c>
      <c r="I576" s="408">
        <v>0.628</v>
      </c>
      <c r="J576" s="408">
        <v>0.10100000000000001</v>
      </c>
      <c r="K576" s="408">
        <v>0.318</v>
      </c>
      <c r="L576" s="408">
        <v>12.1</v>
      </c>
      <c r="M576" s="408">
        <v>29.9</v>
      </c>
      <c r="N576" s="408">
        <v>21.2</v>
      </c>
      <c r="O576" s="408">
        <v>7.7</v>
      </c>
      <c r="P576" s="408">
        <v>0.9</v>
      </c>
      <c r="Q576" s="408">
        <v>3.1</v>
      </c>
      <c r="R576" s="408">
        <v>13.2</v>
      </c>
      <c r="S576" s="408">
        <v>22.1</v>
      </c>
      <c r="T576" s="408">
        <v>3.9</v>
      </c>
      <c r="U576" s="408">
        <v>2.6</v>
      </c>
      <c r="V576" s="408">
        <v>6.5</v>
      </c>
      <c r="W576" s="408">
        <v>0.21</v>
      </c>
      <c r="X576" s="408">
        <v>0.7</v>
      </c>
      <c r="Y576" s="408">
        <v>1</v>
      </c>
      <c r="Z576" s="408">
        <v>1.7</v>
      </c>
      <c r="AA576" s="408">
        <v>1.4</v>
      </c>
    </row>
    <row r="577" spans="1:27">
      <c r="A577">
        <v>473</v>
      </c>
      <c r="B577" s="1" t="s">
        <v>361</v>
      </c>
      <c r="C577" s="5" t="s">
        <v>26</v>
      </c>
      <c r="D577" s="408">
        <v>24</v>
      </c>
      <c r="E577" s="5" t="s">
        <v>43</v>
      </c>
      <c r="F577" s="408">
        <v>70</v>
      </c>
      <c r="G577" s="408">
        <v>1921</v>
      </c>
      <c r="H577" s="408">
        <v>12.2</v>
      </c>
      <c r="I577" s="408">
        <v>0.52900000000000003</v>
      </c>
      <c r="J577" s="408">
        <v>0.50900000000000001</v>
      </c>
      <c r="K577" s="408">
        <v>6.9000000000000006E-2</v>
      </c>
      <c r="L577" s="408">
        <v>2.5</v>
      </c>
      <c r="M577" s="408">
        <v>18.899999999999999</v>
      </c>
      <c r="N577" s="408">
        <v>10.4</v>
      </c>
      <c r="O577" s="408">
        <v>17.8</v>
      </c>
      <c r="P577" s="408">
        <v>1.3</v>
      </c>
      <c r="Q577" s="408">
        <v>0.5</v>
      </c>
      <c r="R577" s="408">
        <v>10.9</v>
      </c>
      <c r="S577" s="408">
        <v>17.100000000000001</v>
      </c>
      <c r="T577" s="408">
        <v>1.2</v>
      </c>
      <c r="U577" s="408">
        <v>1.5</v>
      </c>
      <c r="V577" s="408">
        <v>2.6</v>
      </c>
      <c r="W577" s="408">
        <v>6.6000000000000003E-2</v>
      </c>
      <c r="X577" s="408">
        <v>-0.3</v>
      </c>
      <c r="Y577" s="408">
        <v>0</v>
      </c>
      <c r="Z577" s="408">
        <v>-0.4</v>
      </c>
      <c r="AA577" s="408">
        <v>0.8</v>
      </c>
    </row>
    <row r="578" spans="1:27">
      <c r="A578">
        <v>474</v>
      </c>
      <c r="B578" s="1" t="s">
        <v>162</v>
      </c>
      <c r="C578" s="5" t="s">
        <v>20</v>
      </c>
      <c r="D578" s="408">
        <v>23</v>
      </c>
      <c r="E578" s="5" t="s">
        <v>47</v>
      </c>
      <c r="F578" s="408">
        <v>66</v>
      </c>
      <c r="G578" s="408">
        <v>1306</v>
      </c>
      <c r="H578" s="408">
        <v>15.4</v>
      </c>
      <c r="I578" s="408">
        <v>0.54500000000000004</v>
      </c>
      <c r="J578" s="408">
        <v>0.45900000000000002</v>
      </c>
      <c r="K578" s="408">
        <v>0.19400000000000001</v>
      </c>
      <c r="L578" s="408">
        <v>2</v>
      </c>
      <c r="M578" s="408">
        <v>12.1</v>
      </c>
      <c r="N578" s="408">
        <v>7.2</v>
      </c>
      <c r="O578" s="408">
        <v>22.7</v>
      </c>
      <c r="P578" s="408">
        <v>2.2999999999999998</v>
      </c>
      <c r="Q578" s="408">
        <v>1</v>
      </c>
      <c r="R578" s="408">
        <v>11.7</v>
      </c>
      <c r="S578" s="408">
        <v>19.100000000000001</v>
      </c>
      <c r="T578" s="408">
        <v>2.1</v>
      </c>
      <c r="U578" s="408">
        <v>1.8</v>
      </c>
      <c r="V578" s="408">
        <v>3.9</v>
      </c>
      <c r="W578" s="408">
        <v>0.14199999999999999</v>
      </c>
      <c r="X578" s="408">
        <v>1.4</v>
      </c>
      <c r="Y578" s="408">
        <v>0.4</v>
      </c>
      <c r="Z578" s="408">
        <v>1.8</v>
      </c>
      <c r="AA578" s="408">
        <v>1.3</v>
      </c>
    </row>
    <row r="579" spans="1:27">
      <c r="A579">
        <v>475</v>
      </c>
      <c r="B579" s="1" t="s">
        <v>85</v>
      </c>
      <c r="C579" s="5" t="s">
        <v>26</v>
      </c>
      <c r="D579" s="408">
        <v>21</v>
      </c>
      <c r="E579" s="5" t="s">
        <v>357</v>
      </c>
      <c r="F579" s="408">
        <v>28</v>
      </c>
      <c r="G579" s="408">
        <v>212</v>
      </c>
      <c r="H579" s="408">
        <v>9.4</v>
      </c>
      <c r="I579" s="408">
        <v>0.54600000000000004</v>
      </c>
      <c r="J579" s="408">
        <v>0.66100000000000003</v>
      </c>
      <c r="K579" s="408">
        <v>0.107</v>
      </c>
      <c r="L579" s="408">
        <v>1.6</v>
      </c>
      <c r="M579" s="408">
        <v>9.9</v>
      </c>
      <c r="N579" s="408">
        <v>5.8</v>
      </c>
      <c r="O579" s="408">
        <v>8.8000000000000007</v>
      </c>
      <c r="P579" s="408">
        <v>1.2</v>
      </c>
      <c r="Q579" s="408">
        <v>1.2</v>
      </c>
      <c r="R579" s="408">
        <v>9.3000000000000007</v>
      </c>
      <c r="S579" s="408">
        <v>13.8</v>
      </c>
      <c r="T579" s="408">
        <v>0.1</v>
      </c>
      <c r="U579" s="408">
        <v>0.1</v>
      </c>
      <c r="V579" s="408">
        <v>0.2</v>
      </c>
      <c r="W579" s="408">
        <v>5.1999999999999998E-2</v>
      </c>
      <c r="X579" s="408">
        <v>-1.8</v>
      </c>
      <c r="Y579" s="408">
        <v>-2.8</v>
      </c>
      <c r="Z579" s="408">
        <v>-4.5999999999999996</v>
      </c>
      <c r="AA579" s="408">
        <v>-0.1</v>
      </c>
    </row>
    <row r="580" spans="1:27">
      <c r="A580">
        <v>475</v>
      </c>
      <c r="B580" s="1" t="s">
        <v>85</v>
      </c>
      <c r="C580" s="5" t="s">
        <v>26</v>
      </c>
      <c r="D580" s="408">
        <v>21</v>
      </c>
      <c r="E580" s="5" t="s">
        <v>41</v>
      </c>
      <c r="F580" s="408">
        <v>22</v>
      </c>
      <c r="G580" s="408">
        <v>173</v>
      </c>
      <c r="H580" s="408">
        <v>11.1</v>
      </c>
      <c r="I580" s="408">
        <v>0.56000000000000005</v>
      </c>
      <c r="J580" s="408">
        <v>0.7</v>
      </c>
      <c r="K580" s="408">
        <v>0.12</v>
      </c>
      <c r="L580" s="408">
        <v>1.4</v>
      </c>
      <c r="M580" s="408">
        <v>10.199999999999999</v>
      </c>
      <c r="N580" s="408">
        <v>5.8</v>
      </c>
      <c r="O580" s="408">
        <v>10.1</v>
      </c>
      <c r="P580" s="408">
        <v>1.2</v>
      </c>
      <c r="Q580" s="408">
        <v>1.5</v>
      </c>
      <c r="R580" s="408">
        <v>7.1</v>
      </c>
      <c r="S580" s="408">
        <v>14.9</v>
      </c>
      <c r="T580" s="408">
        <v>0.2</v>
      </c>
      <c r="U580" s="408">
        <v>0.1</v>
      </c>
      <c r="V580" s="408">
        <v>0.3</v>
      </c>
      <c r="W580" s="408">
        <v>7.5999999999999998E-2</v>
      </c>
      <c r="X580" s="408">
        <v>-0.5</v>
      </c>
      <c r="Y580" s="408">
        <v>-2.7</v>
      </c>
      <c r="Z580" s="408">
        <v>-3.2</v>
      </c>
      <c r="AA580" s="408">
        <v>-0.1</v>
      </c>
    </row>
    <row r="581" spans="1:27">
      <c r="A581">
        <v>475</v>
      </c>
      <c r="B581" s="1" t="s">
        <v>85</v>
      </c>
      <c r="C581" s="5" t="s">
        <v>26</v>
      </c>
      <c r="D581" s="408">
        <v>21</v>
      </c>
      <c r="E581" s="5" t="s">
        <v>315</v>
      </c>
      <c r="F581" s="408">
        <v>1</v>
      </c>
      <c r="G581" s="408">
        <v>4</v>
      </c>
      <c r="H581" s="408">
        <v>4.0999999999999996</v>
      </c>
      <c r="I581" s="408"/>
      <c r="J581" s="408"/>
      <c r="K581" s="408"/>
      <c r="L581" s="408">
        <v>0</v>
      </c>
      <c r="M581" s="408">
        <v>0</v>
      </c>
      <c r="N581" s="408">
        <v>0</v>
      </c>
      <c r="O581" s="408">
        <v>31.8</v>
      </c>
      <c r="P581" s="408">
        <v>0</v>
      </c>
      <c r="Q581" s="408">
        <v>0</v>
      </c>
      <c r="R581" s="408"/>
      <c r="S581" s="408">
        <v>0</v>
      </c>
      <c r="T581" s="408">
        <v>0</v>
      </c>
      <c r="U581" s="408">
        <v>0</v>
      </c>
      <c r="V581" s="408">
        <v>0</v>
      </c>
      <c r="W581" s="408">
        <v>0.105</v>
      </c>
      <c r="X581" s="408">
        <v>-7.6</v>
      </c>
      <c r="Y581" s="408">
        <v>-8.4</v>
      </c>
      <c r="Z581" s="408">
        <v>-16</v>
      </c>
      <c r="AA581" s="408">
        <v>0</v>
      </c>
    </row>
    <row r="582" spans="1:27">
      <c r="A582">
        <v>475</v>
      </c>
      <c r="B582" s="1" t="s">
        <v>85</v>
      </c>
      <c r="C582" s="5" t="s">
        <v>26</v>
      </c>
      <c r="D582" s="408">
        <v>21</v>
      </c>
      <c r="E582" s="5" t="s">
        <v>75</v>
      </c>
      <c r="F582" s="408">
        <v>5</v>
      </c>
      <c r="G582" s="408">
        <v>35</v>
      </c>
      <c r="H582" s="408">
        <v>1.1000000000000001</v>
      </c>
      <c r="I582" s="408">
        <v>0.41699999999999998</v>
      </c>
      <c r="J582" s="408">
        <v>0.33300000000000002</v>
      </c>
      <c r="K582" s="408">
        <v>0</v>
      </c>
      <c r="L582" s="408">
        <v>3.2</v>
      </c>
      <c r="M582" s="408">
        <v>9.6</v>
      </c>
      <c r="N582" s="408">
        <v>6.4</v>
      </c>
      <c r="O582" s="408">
        <v>0</v>
      </c>
      <c r="P582" s="408">
        <v>1.4</v>
      </c>
      <c r="Q582" s="408">
        <v>0</v>
      </c>
      <c r="R582" s="408">
        <v>25</v>
      </c>
      <c r="S582" s="408">
        <v>10.1</v>
      </c>
      <c r="T582" s="408">
        <v>-0.1</v>
      </c>
      <c r="U582" s="408">
        <v>0</v>
      </c>
      <c r="V582" s="408">
        <v>-0.1</v>
      </c>
      <c r="W582" s="408">
        <v>-7.3999999999999996E-2</v>
      </c>
      <c r="X582" s="408">
        <v>-7.8</v>
      </c>
      <c r="Y582" s="408">
        <v>-2.5</v>
      </c>
      <c r="Z582" s="408">
        <v>-10.3</v>
      </c>
      <c r="AA582" s="408">
        <v>-0.1</v>
      </c>
    </row>
    <row r="583" spans="1:27">
      <c r="A583">
        <v>476</v>
      </c>
      <c r="B583" s="1" t="s">
        <v>97</v>
      </c>
      <c r="C583" s="5" t="s">
        <v>38</v>
      </c>
      <c r="D583" s="408">
        <v>22</v>
      </c>
      <c r="E583" s="5" t="s">
        <v>357</v>
      </c>
      <c r="F583" s="408">
        <v>46</v>
      </c>
      <c r="G583" s="408">
        <v>699</v>
      </c>
      <c r="H583" s="408">
        <v>12.4</v>
      </c>
      <c r="I583" s="408">
        <v>0.50800000000000001</v>
      </c>
      <c r="J583" s="408">
        <v>0.23400000000000001</v>
      </c>
      <c r="K583" s="408">
        <v>0.26900000000000002</v>
      </c>
      <c r="L583" s="408">
        <v>8.4</v>
      </c>
      <c r="M583" s="408">
        <v>30.2</v>
      </c>
      <c r="N583" s="408">
        <v>19.3</v>
      </c>
      <c r="O583" s="408">
        <v>5.4</v>
      </c>
      <c r="P583" s="408">
        <v>0.7</v>
      </c>
      <c r="Q583" s="408">
        <v>1.7</v>
      </c>
      <c r="R583" s="408">
        <v>9.6999999999999993</v>
      </c>
      <c r="S583" s="408">
        <v>13.6</v>
      </c>
      <c r="T583" s="408">
        <v>0.5</v>
      </c>
      <c r="U583" s="408">
        <v>1</v>
      </c>
      <c r="V583" s="408">
        <v>1.5</v>
      </c>
      <c r="W583" s="408">
        <v>0.1</v>
      </c>
      <c r="X583" s="408">
        <v>-3.6</v>
      </c>
      <c r="Y583" s="408">
        <v>0.3</v>
      </c>
      <c r="Z583" s="408">
        <v>-3.3</v>
      </c>
      <c r="AA583" s="408">
        <v>-0.2</v>
      </c>
    </row>
    <row r="584" spans="1:27">
      <c r="A584">
        <v>476</v>
      </c>
      <c r="B584" s="1" t="s">
        <v>97</v>
      </c>
      <c r="C584" s="5" t="s">
        <v>38</v>
      </c>
      <c r="D584" s="408">
        <v>22</v>
      </c>
      <c r="E584" s="5" t="s">
        <v>96</v>
      </c>
      <c r="F584" s="408">
        <v>33</v>
      </c>
      <c r="G584" s="408">
        <v>476</v>
      </c>
      <c r="H584" s="408">
        <v>12</v>
      </c>
      <c r="I584" s="408">
        <v>0.54300000000000004</v>
      </c>
      <c r="J584" s="408">
        <v>6.3E-2</v>
      </c>
      <c r="K584" s="408">
        <v>0.32300000000000001</v>
      </c>
      <c r="L584" s="408">
        <v>8.1999999999999993</v>
      </c>
      <c r="M584" s="408">
        <v>29.9</v>
      </c>
      <c r="N584" s="408">
        <v>19.2</v>
      </c>
      <c r="O584" s="408">
        <v>3.8</v>
      </c>
      <c r="P584" s="408">
        <v>0.6</v>
      </c>
      <c r="Q584" s="408">
        <v>1.9</v>
      </c>
      <c r="R584" s="408">
        <v>12</v>
      </c>
      <c r="S584" s="408">
        <v>11.5</v>
      </c>
      <c r="T584" s="408">
        <v>0.4</v>
      </c>
      <c r="U584" s="408">
        <v>0.7</v>
      </c>
      <c r="V584" s="408">
        <v>1.2</v>
      </c>
      <c r="W584" s="408">
        <v>0.11899999999999999</v>
      </c>
      <c r="X584" s="408">
        <v>-4</v>
      </c>
      <c r="Y584" s="408">
        <v>0.8</v>
      </c>
      <c r="Z584" s="408">
        <v>-3.2</v>
      </c>
      <c r="AA584" s="408">
        <v>-0.1</v>
      </c>
    </row>
    <row r="585" spans="1:27">
      <c r="A585">
        <v>476</v>
      </c>
      <c r="B585" s="1" t="s">
        <v>97</v>
      </c>
      <c r="C585" s="5" t="s">
        <v>38</v>
      </c>
      <c r="D585" s="408">
        <v>22</v>
      </c>
      <c r="E585" s="5" t="s">
        <v>43</v>
      </c>
      <c r="F585" s="408">
        <v>13</v>
      </c>
      <c r="G585" s="408">
        <v>223</v>
      </c>
      <c r="H585" s="408">
        <v>13.3</v>
      </c>
      <c r="I585" s="408">
        <v>0.46500000000000002</v>
      </c>
      <c r="J585" s="408">
        <v>0.443</v>
      </c>
      <c r="K585" s="408">
        <v>0.20300000000000001</v>
      </c>
      <c r="L585" s="408">
        <v>8.8000000000000007</v>
      </c>
      <c r="M585" s="408">
        <v>30.8</v>
      </c>
      <c r="N585" s="408">
        <v>19.5</v>
      </c>
      <c r="O585" s="408">
        <v>8.8000000000000007</v>
      </c>
      <c r="P585" s="408">
        <v>0.9</v>
      </c>
      <c r="Q585" s="408">
        <v>1.2</v>
      </c>
      <c r="R585" s="408">
        <v>6.5</v>
      </c>
      <c r="S585" s="408">
        <v>18</v>
      </c>
      <c r="T585" s="408">
        <v>0</v>
      </c>
      <c r="U585" s="408">
        <v>0.2</v>
      </c>
      <c r="V585" s="408">
        <v>0.3</v>
      </c>
      <c r="W585" s="408">
        <v>5.8999999999999997E-2</v>
      </c>
      <c r="X585" s="408">
        <v>-2.8</v>
      </c>
      <c r="Y585" s="408">
        <v>-0.8</v>
      </c>
      <c r="Z585" s="408">
        <v>-3.6</v>
      </c>
      <c r="AA585" s="408">
        <v>-0.1</v>
      </c>
    </row>
    <row r="586" spans="1:27">
      <c r="A586">
        <v>477</v>
      </c>
      <c r="B586" s="1" t="s">
        <v>381</v>
      </c>
      <c r="C586" s="5" t="s">
        <v>83</v>
      </c>
      <c r="D586" s="408">
        <v>27</v>
      </c>
      <c r="E586" s="5" t="s">
        <v>75</v>
      </c>
      <c r="F586" s="408">
        <v>47</v>
      </c>
      <c r="G586" s="408">
        <v>1416</v>
      </c>
      <c r="H586" s="408">
        <v>20.3</v>
      </c>
      <c r="I586" s="408">
        <v>0.55600000000000005</v>
      </c>
      <c r="J586" s="408">
        <v>0.26400000000000001</v>
      </c>
      <c r="K586" s="408">
        <v>0.11600000000000001</v>
      </c>
      <c r="L586" s="408">
        <v>6.2</v>
      </c>
      <c r="M586" s="408">
        <v>27.1</v>
      </c>
      <c r="N586" s="408">
        <v>16.600000000000001</v>
      </c>
      <c r="O586" s="408">
        <v>19.3</v>
      </c>
      <c r="P586" s="408">
        <v>1.6</v>
      </c>
      <c r="Q586" s="408">
        <v>2.9</v>
      </c>
      <c r="R586" s="408">
        <v>11.7</v>
      </c>
      <c r="S586" s="408">
        <v>25.5</v>
      </c>
      <c r="T586" s="408">
        <v>1.5</v>
      </c>
      <c r="U586" s="408">
        <v>1.7</v>
      </c>
      <c r="V586" s="408">
        <v>3.3</v>
      </c>
      <c r="W586" s="408">
        <v>0.111</v>
      </c>
      <c r="X586" s="408">
        <v>1.2</v>
      </c>
      <c r="Y586" s="408">
        <v>1.8</v>
      </c>
      <c r="Z586" s="408">
        <v>3</v>
      </c>
      <c r="AA586" s="408">
        <v>1.8</v>
      </c>
    </row>
    <row r="587" spans="1:27">
      <c r="A587">
        <v>478</v>
      </c>
      <c r="B587" s="1" t="s">
        <v>210</v>
      </c>
      <c r="C587" s="5" t="s">
        <v>26</v>
      </c>
      <c r="D587" s="408">
        <v>36</v>
      </c>
      <c r="E587" s="5" t="s">
        <v>357</v>
      </c>
      <c r="F587" s="408">
        <v>58</v>
      </c>
      <c r="G587" s="408">
        <v>1342</v>
      </c>
      <c r="H587" s="408">
        <v>15.6</v>
      </c>
      <c r="I587" s="408">
        <v>0.51400000000000001</v>
      </c>
      <c r="J587" s="408">
        <v>0.16600000000000001</v>
      </c>
      <c r="K587" s="408">
        <v>0.29099999999999998</v>
      </c>
      <c r="L587" s="408">
        <v>4.0999999999999996</v>
      </c>
      <c r="M587" s="408">
        <v>14.8</v>
      </c>
      <c r="N587" s="408">
        <v>9.5</v>
      </c>
      <c r="O587" s="408">
        <v>22.8</v>
      </c>
      <c r="P587" s="408">
        <v>1.9</v>
      </c>
      <c r="Q587" s="408">
        <v>2.2999999999999998</v>
      </c>
      <c r="R587" s="408">
        <v>15.4</v>
      </c>
      <c r="S587" s="408">
        <v>25.8</v>
      </c>
      <c r="T587" s="408">
        <v>0.1</v>
      </c>
      <c r="U587" s="408">
        <v>1.2</v>
      </c>
      <c r="V587" s="408">
        <v>1.3</v>
      </c>
      <c r="W587" s="408">
        <v>4.5999999999999999E-2</v>
      </c>
      <c r="X587" s="408">
        <v>-2</v>
      </c>
      <c r="Y587" s="408">
        <v>0.1</v>
      </c>
      <c r="Z587" s="408">
        <v>-2</v>
      </c>
      <c r="AA587" s="408">
        <v>0</v>
      </c>
    </row>
    <row r="588" spans="1:27">
      <c r="A588">
        <v>478</v>
      </c>
      <c r="B588" s="1" t="s">
        <v>210</v>
      </c>
      <c r="C588" s="5" t="s">
        <v>26</v>
      </c>
      <c r="D588" s="408">
        <v>36</v>
      </c>
      <c r="E588" s="5" t="s">
        <v>102</v>
      </c>
      <c r="F588" s="408">
        <v>46</v>
      </c>
      <c r="G588" s="408">
        <v>1069</v>
      </c>
      <c r="H588" s="408">
        <v>15.8</v>
      </c>
      <c r="I588" s="408">
        <v>0.51900000000000002</v>
      </c>
      <c r="J588" s="408">
        <v>0.161</v>
      </c>
      <c r="K588" s="408">
        <v>0.308</v>
      </c>
      <c r="L588" s="408">
        <v>4.0999999999999996</v>
      </c>
      <c r="M588" s="408">
        <v>14.6</v>
      </c>
      <c r="N588" s="408">
        <v>9.5</v>
      </c>
      <c r="O588" s="408">
        <v>23.4</v>
      </c>
      <c r="P588" s="408">
        <v>1.9</v>
      </c>
      <c r="Q588" s="408">
        <v>2.5</v>
      </c>
      <c r="R588" s="408">
        <v>15.7</v>
      </c>
      <c r="S588" s="408">
        <v>24.3</v>
      </c>
      <c r="T588" s="408">
        <v>0.3</v>
      </c>
      <c r="U588" s="408">
        <v>0.9</v>
      </c>
      <c r="V588" s="408">
        <v>1.2</v>
      </c>
      <c r="W588" s="408">
        <v>5.5E-2</v>
      </c>
      <c r="X588" s="408">
        <v>-1.8</v>
      </c>
      <c r="Y588" s="408">
        <v>0.3</v>
      </c>
      <c r="Z588" s="408">
        <v>-1.5</v>
      </c>
      <c r="AA588" s="408">
        <v>0.1</v>
      </c>
    </row>
    <row r="589" spans="1:27">
      <c r="A589">
        <v>478</v>
      </c>
      <c r="B589" s="1" t="s">
        <v>210</v>
      </c>
      <c r="C589" s="5" t="s">
        <v>26</v>
      </c>
      <c r="D589" s="408">
        <v>36</v>
      </c>
      <c r="E589" s="5" t="s">
        <v>50</v>
      </c>
      <c r="F589" s="408">
        <v>12</v>
      </c>
      <c r="G589" s="408">
        <v>273</v>
      </c>
      <c r="H589" s="408">
        <v>14.6</v>
      </c>
      <c r="I589" s="408">
        <v>0.497</v>
      </c>
      <c r="J589" s="408">
        <v>0.18099999999999999</v>
      </c>
      <c r="K589" s="408">
        <v>0.24199999999999999</v>
      </c>
      <c r="L589" s="408">
        <v>3.7</v>
      </c>
      <c r="M589" s="408">
        <v>15.4</v>
      </c>
      <c r="N589" s="408">
        <v>9.5</v>
      </c>
      <c r="O589" s="408">
        <v>20.3</v>
      </c>
      <c r="P589" s="408">
        <v>1.8</v>
      </c>
      <c r="Q589" s="408">
        <v>1.6</v>
      </c>
      <c r="R589" s="408">
        <v>14.5</v>
      </c>
      <c r="S589" s="408">
        <v>31.7</v>
      </c>
      <c r="T589" s="408">
        <v>-0.3</v>
      </c>
      <c r="U589" s="408">
        <v>0.3</v>
      </c>
      <c r="V589" s="408">
        <v>0.1</v>
      </c>
      <c r="W589" s="408">
        <v>1.0999999999999999E-2</v>
      </c>
      <c r="X589" s="408">
        <v>-3.1</v>
      </c>
      <c r="Y589" s="408">
        <v>-0.7</v>
      </c>
      <c r="Z589" s="408">
        <v>-3.8</v>
      </c>
      <c r="AA589" s="408">
        <v>-0.1</v>
      </c>
    </row>
    <row r="590" spans="1:27">
      <c r="A590">
        <v>479</v>
      </c>
      <c r="B590" s="1" t="s">
        <v>336</v>
      </c>
      <c r="C590" s="5" t="s">
        <v>26</v>
      </c>
      <c r="D590" s="408">
        <v>26</v>
      </c>
      <c r="E590" s="5" t="s">
        <v>50</v>
      </c>
      <c r="F590" s="408">
        <v>30</v>
      </c>
      <c r="G590" s="408">
        <v>918</v>
      </c>
      <c r="H590" s="408">
        <v>10.6</v>
      </c>
      <c r="I590" s="408">
        <v>0.48699999999999999</v>
      </c>
      <c r="J590" s="408">
        <v>0.41499999999999998</v>
      </c>
      <c r="K590" s="408">
        <v>0.16800000000000001</v>
      </c>
      <c r="L590" s="408">
        <v>1</v>
      </c>
      <c r="M590" s="408">
        <v>8.5</v>
      </c>
      <c r="N590" s="408">
        <v>4.7</v>
      </c>
      <c r="O590" s="408">
        <v>19.899999999999999</v>
      </c>
      <c r="P590" s="408">
        <v>1.3</v>
      </c>
      <c r="Q590" s="408">
        <v>0.8</v>
      </c>
      <c r="R590" s="408">
        <v>13.7</v>
      </c>
      <c r="S590" s="408">
        <v>25</v>
      </c>
      <c r="T590" s="408">
        <v>-0.7</v>
      </c>
      <c r="U590" s="408">
        <v>0.8</v>
      </c>
      <c r="V590" s="408">
        <v>0.1</v>
      </c>
      <c r="W590" s="408">
        <v>3.0000000000000001E-3</v>
      </c>
      <c r="X590" s="408">
        <v>-2</v>
      </c>
      <c r="Y590" s="408">
        <v>-2</v>
      </c>
      <c r="Z590" s="408">
        <v>-4.0999999999999996</v>
      </c>
      <c r="AA590" s="408">
        <v>-0.5</v>
      </c>
    </row>
    <row r="591" spans="1:27">
      <c r="A591">
        <v>480</v>
      </c>
      <c r="B591" s="1" t="s">
        <v>310</v>
      </c>
      <c r="C591" s="5" t="s">
        <v>20</v>
      </c>
      <c r="D591" s="408">
        <v>27</v>
      </c>
      <c r="E591" s="5" t="s">
        <v>311</v>
      </c>
      <c r="F591" s="408">
        <v>69</v>
      </c>
      <c r="G591" s="408">
        <v>2403</v>
      </c>
      <c r="H591" s="408">
        <v>20.8</v>
      </c>
      <c r="I591" s="408">
        <v>0.56799999999999995</v>
      </c>
      <c r="J591" s="408">
        <v>0.434</v>
      </c>
      <c r="K591" s="408">
        <v>0.307</v>
      </c>
      <c r="L591" s="408">
        <v>1.2</v>
      </c>
      <c r="M591" s="408">
        <v>9.1</v>
      </c>
      <c r="N591" s="408">
        <v>5</v>
      </c>
      <c r="O591" s="408">
        <v>28.2</v>
      </c>
      <c r="P591" s="408">
        <v>1.7</v>
      </c>
      <c r="Q591" s="408">
        <v>0.8</v>
      </c>
      <c r="R591" s="408">
        <v>9.9</v>
      </c>
      <c r="S591" s="408">
        <v>27.5</v>
      </c>
      <c r="T591" s="408">
        <v>5.7</v>
      </c>
      <c r="U591" s="408">
        <v>1.8</v>
      </c>
      <c r="V591" s="408">
        <v>7.5</v>
      </c>
      <c r="W591" s="408">
        <v>0.15</v>
      </c>
      <c r="X591" s="408">
        <v>5.2</v>
      </c>
      <c r="Y591" s="408">
        <v>-1.7</v>
      </c>
      <c r="Z591" s="408">
        <v>3.5</v>
      </c>
      <c r="AA591" s="408">
        <v>3.3</v>
      </c>
    </row>
    <row r="592" spans="1:27">
      <c r="A592">
        <v>481</v>
      </c>
      <c r="B592" s="1" t="s">
        <v>387</v>
      </c>
      <c r="C592" s="5" t="s">
        <v>20</v>
      </c>
      <c r="D592" s="408">
        <v>27</v>
      </c>
      <c r="E592" s="5" t="s">
        <v>27</v>
      </c>
      <c r="F592" s="408">
        <v>37</v>
      </c>
      <c r="G592" s="408">
        <v>1269</v>
      </c>
      <c r="H592" s="408">
        <v>19.100000000000001</v>
      </c>
      <c r="I592" s="408">
        <v>0.51100000000000001</v>
      </c>
      <c r="J592" s="408">
        <v>0.245</v>
      </c>
      <c r="K592" s="408">
        <v>0.36599999999999999</v>
      </c>
      <c r="L592" s="408">
        <v>1.8</v>
      </c>
      <c r="M592" s="408">
        <v>10</v>
      </c>
      <c r="N592" s="408">
        <v>5.9</v>
      </c>
      <c r="O592" s="408">
        <v>42.9</v>
      </c>
      <c r="P592" s="408">
        <v>1.9</v>
      </c>
      <c r="Q592" s="408">
        <v>2.9</v>
      </c>
      <c r="R592" s="408">
        <v>15.9</v>
      </c>
      <c r="S592" s="408">
        <v>29</v>
      </c>
      <c r="T592" s="408">
        <v>1.1000000000000001</v>
      </c>
      <c r="U592" s="408">
        <v>1.3</v>
      </c>
      <c r="V592" s="408">
        <v>2.5</v>
      </c>
      <c r="W592" s="408">
        <v>9.2999999999999999E-2</v>
      </c>
      <c r="X592" s="408">
        <v>1.4</v>
      </c>
      <c r="Y592" s="408">
        <v>0</v>
      </c>
      <c r="Z592" s="408">
        <v>1.4</v>
      </c>
      <c r="AA592" s="408">
        <v>1.1000000000000001</v>
      </c>
    </row>
    <row r="593" spans="1:27">
      <c r="A593">
        <v>482</v>
      </c>
      <c r="B593" s="1" t="s">
        <v>509</v>
      </c>
      <c r="C593" s="5" t="s">
        <v>20</v>
      </c>
      <c r="D593" s="408">
        <v>23</v>
      </c>
      <c r="E593" s="5" t="s">
        <v>64</v>
      </c>
      <c r="F593" s="408">
        <v>21</v>
      </c>
      <c r="G593" s="408">
        <v>581</v>
      </c>
      <c r="H593" s="408">
        <v>12</v>
      </c>
      <c r="I593" s="408">
        <v>0.54300000000000004</v>
      </c>
      <c r="J593" s="408">
        <v>0.156</v>
      </c>
      <c r="K593" s="408">
        <v>0.38300000000000001</v>
      </c>
      <c r="L593" s="408">
        <v>2.7</v>
      </c>
      <c r="M593" s="408">
        <v>10.5</v>
      </c>
      <c r="N593" s="408">
        <v>6.7</v>
      </c>
      <c r="O593" s="408">
        <v>13</v>
      </c>
      <c r="P593" s="408">
        <v>1.5</v>
      </c>
      <c r="Q593" s="408">
        <v>1.3</v>
      </c>
      <c r="R593" s="408">
        <v>11.4</v>
      </c>
      <c r="S593" s="408">
        <v>16.399999999999999</v>
      </c>
      <c r="T593" s="408">
        <v>0.6</v>
      </c>
      <c r="U593" s="408">
        <v>0.4</v>
      </c>
      <c r="V593" s="408">
        <v>1</v>
      </c>
      <c r="W593" s="408">
        <v>8.4000000000000005E-2</v>
      </c>
      <c r="X593" s="408">
        <v>-1.2</v>
      </c>
      <c r="Y593" s="408">
        <v>0.1</v>
      </c>
      <c r="Z593" s="408">
        <v>-1.1000000000000001</v>
      </c>
      <c r="AA593" s="408">
        <v>0.1</v>
      </c>
    </row>
    <row r="594" spans="1:27">
      <c r="A594">
        <v>483</v>
      </c>
      <c r="B594" s="1" t="s">
        <v>365</v>
      </c>
      <c r="C594" s="5" t="s">
        <v>46</v>
      </c>
      <c r="D594" s="408">
        <v>23</v>
      </c>
      <c r="E594" s="5" t="s">
        <v>149</v>
      </c>
      <c r="F594" s="408">
        <v>70</v>
      </c>
      <c r="G594" s="408">
        <v>2111</v>
      </c>
      <c r="H594" s="408">
        <v>12.2</v>
      </c>
      <c r="I594" s="408">
        <v>0.54700000000000004</v>
      </c>
      <c r="J594" s="408">
        <v>0.47</v>
      </c>
      <c r="K594" s="408">
        <v>0.185</v>
      </c>
      <c r="L594" s="408">
        <v>2.4</v>
      </c>
      <c r="M594" s="408">
        <v>16</v>
      </c>
      <c r="N594" s="408">
        <v>9.1999999999999993</v>
      </c>
      <c r="O594" s="408">
        <v>12.4</v>
      </c>
      <c r="P594" s="408">
        <v>1.6</v>
      </c>
      <c r="Q594" s="408">
        <v>1.6</v>
      </c>
      <c r="R594" s="408">
        <v>15.4</v>
      </c>
      <c r="S594" s="408">
        <v>21.2</v>
      </c>
      <c r="T594" s="408">
        <v>-0.1</v>
      </c>
      <c r="U594" s="408">
        <v>1.5</v>
      </c>
      <c r="V594" s="408">
        <v>1.4</v>
      </c>
      <c r="W594" s="408">
        <v>3.2000000000000001E-2</v>
      </c>
      <c r="X594" s="408">
        <v>-1.1000000000000001</v>
      </c>
      <c r="Y594" s="408">
        <v>-0.1</v>
      </c>
      <c r="Z594" s="408">
        <v>-1.2</v>
      </c>
      <c r="AA594" s="408">
        <v>0.4</v>
      </c>
    </row>
    <row r="595" spans="1:27">
      <c r="A595">
        <v>484</v>
      </c>
      <c r="B595" s="1" t="s">
        <v>302</v>
      </c>
      <c r="C595" s="5" t="s">
        <v>20</v>
      </c>
      <c r="D595" s="408">
        <v>22</v>
      </c>
      <c r="E595" s="5" t="s">
        <v>50</v>
      </c>
      <c r="F595" s="408">
        <v>14</v>
      </c>
      <c r="G595" s="408">
        <v>137</v>
      </c>
      <c r="H595" s="408">
        <v>10.3</v>
      </c>
      <c r="I595" s="408">
        <v>0.52400000000000002</v>
      </c>
      <c r="J595" s="408">
        <v>0.70799999999999996</v>
      </c>
      <c r="K595" s="408">
        <v>0.16700000000000001</v>
      </c>
      <c r="L595" s="408">
        <v>0.8</v>
      </c>
      <c r="M595" s="408">
        <v>9.1</v>
      </c>
      <c r="N595" s="408">
        <v>5</v>
      </c>
      <c r="O595" s="408">
        <v>14.8</v>
      </c>
      <c r="P595" s="408">
        <v>1.8</v>
      </c>
      <c r="Q595" s="408">
        <v>1.9</v>
      </c>
      <c r="R595" s="408">
        <v>7.2</v>
      </c>
      <c r="S595" s="408">
        <v>9.1</v>
      </c>
      <c r="T595" s="408">
        <v>0.2</v>
      </c>
      <c r="U595" s="408">
        <v>0.2</v>
      </c>
      <c r="V595" s="408">
        <v>0.3</v>
      </c>
      <c r="W595" s="408">
        <v>0.111</v>
      </c>
      <c r="X595" s="408">
        <v>-1.8</v>
      </c>
      <c r="Y595" s="408">
        <v>0.2</v>
      </c>
      <c r="Z595" s="408">
        <v>-1.6</v>
      </c>
      <c r="AA595" s="408">
        <v>0</v>
      </c>
    </row>
    <row r="596" spans="1:27">
      <c r="A596">
        <v>485</v>
      </c>
      <c r="B596" s="1" t="s">
        <v>1203</v>
      </c>
      <c r="C596" s="5" t="s">
        <v>38</v>
      </c>
      <c r="D596" s="408">
        <v>24</v>
      </c>
      <c r="E596" s="5" t="s">
        <v>33</v>
      </c>
      <c r="F596" s="408">
        <v>3</v>
      </c>
      <c r="G596" s="408">
        <v>27</v>
      </c>
      <c r="H596" s="408">
        <v>22.6</v>
      </c>
      <c r="I596" s="408">
        <v>0.59899999999999998</v>
      </c>
      <c r="J596" s="408">
        <v>0</v>
      </c>
      <c r="K596" s="408">
        <v>0.41699999999999998</v>
      </c>
      <c r="L596" s="408">
        <v>16.100000000000001</v>
      </c>
      <c r="M596" s="408">
        <v>21.3</v>
      </c>
      <c r="N596" s="408">
        <v>18.600000000000001</v>
      </c>
      <c r="O596" s="408">
        <v>0</v>
      </c>
      <c r="P596" s="408">
        <v>0</v>
      </c>
      <c r="Q596" s="408">
        <v>0</v>
      </c>
      <c r="R596" s="408">
        <v>6.6</v>
      </c>
      <c r="S596" s="408">
        <v>25.6</v>
      </c>
      <c r="T596" s="408">
        <v>0.1</v>
      </c>
      <c r="U596" s="408">
        <v>0</v>
      </c>
      <c r="V596" s="408">
        <v>0.1</v>
      </c>
      <c r="W596" s="408">
        <v>0.158</v>
      </c>
      <c r="X596" s="408">
        <v>-3.1</v>
      </c>
      <c r="Y596" s="408">
        <v>-9</v>
      </c>
      <c r="Z596" s="408">
        <v>-12.1</v>
      </c>
      <c r="AA596" s="408">
        <v>-0.1</v>
      </c>
    </row>
    <row r="597" spans="1:27">
      <c r="A597">
        <v>486</v>
      </c>
      <c r="B597" s="1" t="s">
        <v>508</v>
      </c>
      <c r="C597" s="5" t="s">
        <v>46</v>
      </c>
      <c r="D597" s="408">
        <v>24</v>
      </c>
      <c r="E597" s="5" t="s">
        <v>313</v>
      </c>
      <c r="F597" s="408">
        <v>65</v>
      </c>
      <c r="G597" s="408">
        <v>2142</v>
      </c>
      <c r="H597" s="408">
        <v>17.600000000000001</v>
      </c>
      <c r="I597" s="408">
        <v>0.54100000000000004</v>
      </c>
      <c r="J597" s="408">
        <v>8.5000000000000006E-2</v>
      </c>
      <c r="K597" s="408">
        <v>0.24</v>
      </c>
      <c r="L597" s="408">
        <v>6.1</v>
      </c>
      <c r="M597" s="408">
        <v>10.6</v>
      </c>
      <c r="N597" s="408">
        <v>8.3000000000000007</v>
      </c>
      <c r="O597" s="408">
        <v>7.2</v>
      </c>
      <c r="P597" s="408">
        <v>1.5</v>
      </c>
      <c r="Q597" s="408">
        <v>1.5</v>
      </c>
      <c r="R597" s="408">
        <v>6.7</v>
      </c>
      <c r="S597" s="408">
        <v>24.9</v>
      </c>
      <c r="T597" s="408">
        <v>2.7</v>
      </c>
      <c r="U597" s="408">
        <v>0.8</v>
      </c>
      <c r="V597" s="408">
        <v>3.5</v>
      </c>
      <c r="W597" s="408">
        <v>7.8E-2</v>
      </c>
      <c r="X597" s="408">
        <v>-0.1</v>
      </c>
      <c r="Y597" s="408">
        <v>-1.8</v>
      </c>
      <c r="Z597" s="408">
        <v>-1.9</v>
      </c>
      <c r="AA597" s="408">
        <v>0.1</v>
      </c>
    </row>
    <row r="598" spans="1:27">
      <c r="A598">
        <v>487</v>
      </c>
      <c r="B598" s="1" t="s">
        <v>1087</v>
      </c>
      <c r="C598" s="5" t="s">
        <v>46</v>
      </c>
      <c r="D598" s="408">
        <v>27</v>
      </c>
      <c r="E598" s="5" t="s">
        <v>78</v>
      </c>
      <c r="F598" s="408">
        <v>9</v>
      </c>
      <c r="G598" s="408">
        <v>107</v>
      </c>
      <c r="H598" s="408">
        <v>7.8</v>
      </c>
      <c r="I598" s="408">
        <v>0.54200000000000004</v>
      </c>
      <c r="J598" s="408">
        <v>0.70299999999999996</v>
      </c>
      <c r="K598" s="408">
        <v>0.108</v>
      </c>
      <c r="L598" s="408">
        <v>0</v>
      </c>
      <c r="M598" s="408">
        <v>19.899999999999999</v>
      </c>
      <c r="N598" s="408">
        <v>9.9</v>
      </c>
      <c r="O598" s="408">
        <v>1.3</v>
      </c>
      <c r="P598" s="408">
        <v>0</v>
      </c>
      <c r="Q598" s="408">
        <v>3</v>
      </c>
      <c r="R598" s="408">
        <v>7.2</v>
      </c>
      <c r="S598" s="408">
        <v>16.5</v>
      </c>
      <c r="T598" s="408">
        <v>0</v>
      </c>
      <c r="U598" s="408">
        <v>0.1</v>
      </c>
      <c r="V598" s="408">
        <v>0.1</v>
      </c>
      <c r="W598" s="408">
        <v>5.8000000000000003E-2</v>
      </c>
      <c r="X598" s="408">
        <v>-3.8</v>
      </c>
      <c r="Y598" s="408">
        <v>-2.8</v>
      </c>
      <c r="Z598" s="408">
        <v>-6.7</v>
      </c>
      <c r="AA598" s="408">
        <v>-0.1</v>
      </c>
    </row>
    <row r="599" spans="1:27">
      <c r="A599">
        <v>488</v>
      </c>
      <c r="B599" s="1" t="s">
        <v>818</v>
      </c>
      <c r="C599" s="5" t="s">
        <v>46</v>
      </c>
      <c r="D599" s="408">
        <v>24</v>
      </c>
      <c r="E599" s="5" t="s">
        <v>315</v>
      </c>
      <c r="F599" s="408">
        <v>9</v>
      </c>
      <c r="G599" s="408">
        <v>108</v>
      </c>
      <c r="H599" s="408">
        <v>2.5</v>
      </c>
      <c r="I599" s="408">
        <v>0.33300000000000002</v>
      </c>
      <c r="J599" s="408">
        <v>0.81</v>
      </c>
      <c r="K599" s="408">
        <v>0</v>
      </c>
      <c r="L599" s="408">
        <v>6.8</v>
      </c>
      <c r="M599" s="408">
        <v>15</v>
      </c>
      <c r="N599" s="408">
        <v>10.8</v>
      </c>
      <c r="O599" s="408">
        <v>5</v>
      </c>
      <c r="P599" s="408">
        <v>0.5</v>
      </c>
      <c r="Q599" s="408">
        <v>0</v>
      </c>
      <c r="R599" s="408">
        <v>12.5</v>
      </c>
      <c r="S599" s="408">
        <v>9.6</v>
      </c>
      <c r="T599" s="408">
        <v>-0.1</v>
      </c>
      <c r="U599" s="408">
        <v>0</v>
      </c>
      <c r="V599" s="408">
        <v>-0.1</v>
      </c>
      <c r="W599" s="408">
        <v>-2.8000000000000001E-2</v>
      </c>
      <c r="X599" s="408">
        <v>-4.8</v>
      </c>
      <c r="Y599" s="408">
        <v>-1.2</v>
      </c>
      <c r="Z599" s="408">
        <v>-6</v>
      </c>
      <c r="AA599" s="408">
        <v>-0.1</v>
      </c>
    </row>
    <row r="600" spans="1:27">
      <c r="A600">
        <v>489</v>
      </c>
      <c r="B600" s="1" t="s">
        <v>290</v>
      </c>
      <c r="C600" s="5" t="s">
        <v>20</v>
      </c>
      <c r="D600" s="408">
        <v>25</v>
      </c>
      <c r="E600" s="5" t="s">
        <v>357</v>
      </c>
      <c r="F600" s="408">
        <v>16</v>
      </c>
      <c r="G600" s="408">
        <v>193</v>
      </c>
      <c r="H600" s="408">
        <v>11.9</v>
      </c>
      <c r="I600" s="408">
        <v>0.56799999999999995</v>
      </c>
      <c r="J600" s="408">
        <v>0.29699999999999999</v>
      </c>
      <c r="K600" s="408">
        <v>0.216</v>
      </c>
      <c r="L600" s="408">
        <v>4.0999999999999996</v>
      </c>
      <c r="M600" s="408">
        <v>15.5</v>
      </c>
      <c r="N600" s="408">
        <v>9.8000000000000007</v>
      </c>
      <c r="O600" s="408">
        <v>12.4</v>
      </c>
      <c r="P600" s="408">
        <v>3.9</v>
      </c>
      <c r="Q600" s="408">
        <v>1.8</v>
      </c>
      <c r="R600" s="408">
        <v>21.4</v>
      </c>
      <c r="S600" s="408">
        <v>11.9</v>
      </c>
      <c r="T600" s="408">
        <v>0.1</v>
      </c>
      <c r="U600" s="408">
        <v>0.3</v>
      </c>
      <c r="V600" s="408">
        <v>0.4</v>
      </c>
      <c r="W600" s="408">
        <v>0.106</v>
      </c>
      <c r="X600" s="408">
        <v>-2.2999999999999998</v>
      </c>
      <c r="Y600" s="408">
        <v>2.9</v>
      </c>
      <c r="Z600" s="408">
        <v>0.6</v>
      </c>
      <c r="AA600" s="408">
        <v>0.1</v>
      </c>
    </row>
    <row r="601" spans="1:27">
      <c r="A601">
        <v>489</v>
      </c>
      <c r="B601" s="1" t="s">
        <v>290</v>
      </c>
      <c r="C601" s="5" t="s">
        <v>20</v>
      </c>
      <c r="D601" s="408">
        <v>25</v>
      </c>
      <c r="E601" s="5" t="s">
        <v>92</v>
      </c>
      <c r="F601" s="408">
        <v>13</v>
      </c>
      <c r="G601" s="408">
        <v>118</v>
      </c>
      <c r="H601" s="408">
        <v>11</v>
      </c>
      <c r="I601" s="408">
        <v>0.54700000000000004</v>
      </c>
      <c r="J601" s="408">
        <v>0.40899999999999997</v>
      </c>
      <c r="K601" s="408">
        <v>0.182</v>
      </c>
      <c r="L601" s="408">
        <v>2.9</v>
      </c>
      <c r="M601" s="408">
        <v>14.4</v>
      </c>
      <c r="N601" s="408">
        <v>8.6999999999999993</v>
      </c>
      <c r="O601" s="408">
        <v>15</v>
      </c>
      <c r="P601" s="408">
        <v>4.2</v>
      </c>
      <c r="Q601" s="408">
        <v>2.2000000000000002</v>
      </c>
      <c r="R601" s="408">
        <v>22.8</v>
      </c>
      <c r="S601" s="408">
        <v>11.5</v>
      </c>
      <c r="T601" s="408">
        <v>0.1</v>
      </c>
      <c r="U601" s="408">
        <v>0.2</v>
      </c>
      <c r="V601" s="408">
        <v>0.3</v>
      </c>
      <c r="W601" s="408">
        <v>0.11600000000000001</v>
      </c>
      <c r="X601" s="408">
        <v>-2.2999999999999998</v>
      </c>
      <c r="Y601" s="408">
        <v>3.6</v>
      </c>
      <c r="Z601" s="408">
        <v>1.3</v>
      </c>
      <c r="AA601" s="408">
        <v>0.1</v>
      </c>
    </row>
    <row r="602" spans="1:27">
      <c r="A602">
        <v>489</v>
      </c>
      <c r="B602" s="1" t="s">
        <v>290</v>
      </c>
      <c r="C602" s="5" t="s">
        <v>20</v>
      </c>
      <c r="D602" s="408">
        <v>25</v>
      </c>
      <c r="E602" s="5" t="s">
        <v>128</v>
      </c>
      <c r="F602" s="408">
        <v>3</v>
      </c>
      <c r="G602" s="408">
        <v>75</v>
      </c>
      <c r="H602" s="408">
        <v>13.2</v>
      </c>
      <c r="I602" s="408">
        <v>0.59699999999999998</v>
      </c>
      <c r="J602" s="408">
        <v>0.13300000000000001</v>
      </c>
      <c r="K602" s="408">
        <v>0.26700000000000002</v>
      </c>
      <c r="L602" s="408">
        <v>6.1</v>
      </c>
      <c r="M602" s="408">
        <v>17.3</v>
      </c>
      <c r="N602" s="408">
        <v>11.6</v>
      </c>
      <c r="O602" s="408">
        <v>8.4</v>
      </c>
      <c r="P602" s="408">
        <v>3.4</v>
      </c>
      <c r="Q602" s="408">
        <v>1.2</v>
      </c>
      <c r="R602" s="408">
        <v>19.3</v>
      </c>
      <c r="S602" s="408">
        <v>12.5</v>
      </c>
      <c r="T602" s="408">
        <v>0</v>
      </c>
      <c r="U602" s="408">
        <v>0.1</v>
      </c>
      <c r="V602" s="408">
        <v>0.1</v>
      </c>
      <c r="W602" s="408">
        <v>8.8999999999999996E-2</v>
      </c>
      <c r="X602" s="408">
        <v>-2.4</v>
      </c>
      <c r="Y602" s="408">
        <v>1.8</v>
      </c>
      <c r="Z602" s="408">
        <v>-0.6</v>
      </c>
      <c r="AA602" s="408">
        <v>0</v>
      </c>
    </row>
    <row r="603" spans="1:27">
      <c r="A603">
        <v>490</v>
      </c>
      <c r="B603" s="1" t="s">
        <v>167</v>
      </c>
      <c r="C603" s="5" t="s">
        <v>83</v>
      </c>
      <c r="D603" s="408">
        <v>37</v>
      </c>
      <c r="E603" s="5" t="s">
        <v>73</v>
      </c>
      <c r="F603" s="408">
        <v>62</v>
      </c>
      <c r="G603" s="408">
        <v>851</v>
      </c>
      <c r="H603" s="408">
        <v>21.7</v>
      </c>
      <c r="I603" s="408">
        <v>0.62</v>
      </c>
      <c r="J603" s="408">
        <v>2.5000000000000001E-2</v>
      </c>
      <c r="K603" s="408">
        <v>0.21299999999999999</v>
      </c>
      <c r="L603" s="408">
        <v>8.1999999999999993</v>
      </c>
      <c r="M603" s="408">
        <v>18.600000000000001</v>
      </c>
      <c r="N603" s="408">
        <v>13.8</v>
      </c>
      <c r="O603" s="408">
        <v>20.5</v>
      </c>
      <c r="P603" s="408">
        <v>2.2000000000000002</v>
      </c>
      <c r="Q603" s="408">
        <v>6.2</v>
      </c>
      <c r="R603" s="408">
        <v>17.100000000000001</v>
      </c>
      <c r="S603" s="408">
        <v>21.7</v>
      </c>
      <c r="T603" s="408">
        <v>1.7</v>
      </c>
      <c r="U603" s="408">
        <v>1.6</v>
      </c>
      <c r="V603" s="408">
        <v>3.2</v>
      </c>
      <c r="W603" s="408">
        <v>0.182</v>
      </c>
      <c r="X603" s="408">
        <v>0.3</v>
      </c>
      <c r="Y603" s="408">
        <v>3.4</v>
      </c>
      <c r="Z603" s="408">
        <v>3.7</v>
      </c>
      <c r="AA603" s="408">
        <v>1.2</v>
      </c>
    </row>
    <row r="604" spans="1:27">
      <c r="A604">
        <v>491</v>
      </c>
      <c r="B604" s="1" t="s">
        <v>366</v>
      </c>
      <c r="C604" s="5" t="s">
        <v>20</v>
      </c>
      <c r="D604" s="408">
        <v>29</v>
      </c>
      <c r="E604" s="5" t="s">
        <v>58</v>
      </c>
      <c r="F604" s="408">
        <v>70</v>
      </c>
      <c r="G604" s="408">
        <v>2533</v>
      </c>
      <c r="H604" s="408">
        <v>24.8</v>
      </c>
      <c r="I604" s="408">
        <v>0.52400000000000002</v>
      </c>
      <c r="J604" s="408">
        <v>0.193</v>
      </c>
      <c r="K604" s="408">
        <v>0.32900000000000001</v>
      </c>
      <c r="L604" s="408">
        <v>5.5</v>
      </c>
      <c r="M604" s="408">
        <v>25.1</v>
      </c>
      <c r="N604" s="408">
        <v>15</v>
      </c>
      <c r="O604" s="408">
        <v>50</v>
      </c>
      <c r="P604" s="408">
        <v>2.5</v>
      </c>
      <c r="Q604" s="408">
        <v>0.6</v>
      </c>
      <c r="R604" s="408">
        <v>16.399999999999999</v>
      </c>
      <c r="S604" s="408">
        <v>34.4</v>
      </c>
      <c r="T604" s="408">
        <v>4.9000000000000004</v>
      </c>
      <c r="U604" s="408">
        <v>3.9</v>
      </c>
      <c r="V604" s="408">
        <v>8.6999999999999993</v>
      </c>
      <c r="W604" s="408">
        <v>0.16600000000000001</v>
      </c>
      <c r="X604" s="408">
        <v>5.0999999999999996</v>
      </c>
      <c r="Y604" s="408">
        <v>3</v>
      </c>
      <c r="Z604" s="408">
        <v>8</v>
      </c>
      <c r="AA604" s="408">
        <v>6.4</v>
      </c>
    </row>
    <row r="605" spans="1:27">
      <c r="A605">
        <v>492</v>
      </c>
      <c r="B605" s="1" t="s">
        <v>995</v>
      </c>
      <c r="C605" s="5" t="s">
        <v>46</v>
      </c>
      <c r="D605" s="408">
        <v>24</v>
      </c>
      <c r="E605" s="5" t="s">
        <v>149</v>
      </c>
      <c r="F605" s="408">
        <v>8</v>
      </c>
      <c r="G605" s="408">
        <v>110</v>
      </c>
      <c r="H605" s="408">
        <v>9.6999999999999993</v>
      </c>
      <c r="I605" s="408">
        <v>0.55000000000000004</v>
      </c>
      <c r="J605" s="408">
        <v>0.65</v>
      </c>
      <c r="K605" s="408">
        <v>0.05</v>
      </c>
      <c r="L605" s="408">
        <v>3.1</v>
      </c>
      <c r="M605" s="408">
        <v>9.3000000000000007</v>
      </c>
      <c r="N605" s="408">
        <v>6.2</v>
      </c>
      <c r="O605" s="408">
        <v>1.4</v>
      </c>
      <c r="P605" s="408">
        <v>0.9</v>
      </c>
      <c r="Q605" s="408">
        <v>0</v>
      </c>
      <c r="R605" s="408">
        <v>4.7</v>
      </c>
      <c r="S605" s="408">
        <v>17</v>
      </c>
      <c r="T605" s="408">
        <v>0.1</v>
      </c>
      <c r="U605" s="408">
        <v>0</v>
      </c>
      <c r="V605" s="408">
        <v>0.1</v>
      </c>
      <c r="W605" s="408">
        <v>3.5999999999999997E-2</v>
      </c>
      <c r="X605" s="408">
        <v>-1.2</v>
      </c>
      <c r="Y605" s="408">
        <v>-4.5</v>
      </c>
      <c r="Z605" s="408">
        <v>-5.7</v>
      </c>
      <c r="AA605" s="408">
        <v>-0.1</v>
      </c>
    </row>
    <row r="606" spans="1:27">
      <c r="A606">
        <v>493</v>
      </c>
      <c r="B606" s="1" t="s">
        <v>572</v>
      </c>
      <c r="C606" s="5" t="s">
        <v>20</v>
      </c>
      <c r="D606" s="408">
        <v>23</v>
      </c>
      <c r="E606" s="5" t="s">
        <v>140</v>
      </c>
      <c r="F606" s="408">
        <v>17</v>
      </c>
      <c r="G606" s="408">
        <v>139</v>
      </c>
      <c r="H606" s="408">
        <v>15.8</v>
      </c>
      <c r="I606" s="408">
        <v>0.64600000000000002</v>
      </c>
      <c r="J606" s="408">
        <v>0.39400000000000002</v>
      </c>
      <c r="K606" s="408">
        <v>0.60599999999999998</v>
      </c>
      <c r="L606" s="408">
        <v>4</v>
      </c>
      <c r="M606" s="408">
        <v>16.7</v>
      </c>
      <c r="N606" s="408">
        <v>10.3</v>
      </c>
      <c r="O606" s="408">
        <v>9.3000000000000007</v>
      </c>
      <c r="P606" s="408">
        <v>1.5</v>
      </c>
      <c r="Q606" s="408">
        <v>1.8</v>
      </c>
      <c r="R606" s="408">
        <v>12.6</v>
      </c>
      <c r="S606" s="408">
        <v>15.4</v>
      </c>
      <c r="T606" s="408">
        <v>0.3</v>
      </c>
      <c r="U606" s="408">
        <v>0.2</v>
      </c>
      <c r="V606" s="408">
        <v>0.5</v>
      </c>
      <c r="W606" s="408">
        <v>0.17399999999999999</v>
      </c>
      <c r="X606" s="408">
        <v>-0.1</v>
      </c>
      <c r="Y606" s="408">
        <v>0.7</v>
      </c>
      <c r="Z606" s="408">
        <v>0.5</v>
      </c>
      <c r="AA606" s="408">
        <v>0.1</v>
      </c>
    </row>
    <row r="607" spans="1:27">
      <c r="A607">
        <v>494</v>
      </c>
      <c r="B607" s="1" t="s">
        <v>77</v>
      </c>
      <c r="C607" s="5" t="s">
        <v>38</v>
      </c>
      <c r="D607" s="408">
        <v>25</v>
      </c>
      <c r="E607" s="5" t="s">
        <v>50</v>
      </c>
      <c r="F607" s="408">
        <v>6</v>
      </c>
      <c r="G607" s="408">
        <v>80</v>
      </c>
      <c r="H607" s="408">
        <v>8.9</v>
      </c>
      <c r="I607" s="408">
        <v>0.57699999999999996</v>
      </c>
      <c r="J607" s="408">
        <v>0.68799999999999994</v>
      </c>
      <c r="K607" s="408">
        <v>0.188</v>
      </c>
      <c r="L607" s="408">
        <v>4.2</v>
      </c>
      <c r="M607" s="408">
        <v>11.3</v>
      </c>
      <c r="N607" s="408">
        <v>7.8</v>
      </c>
      <c r="O607" s="408">
        <v>3.5</v>
      </c>
      <c r="P607" s="408">
        <v>0.6</v>
      </c>
      <c r="Q607" s="408">
        <v>1.1000000000000001</v>
      </c>
      <c r="R607" s="408">
        <v>5.5</v>
      </c>
      <c r="S607" s="408">
        <v>10.3</v>
      </c>
      <c r="T607" s="408">
        <v>0.1</v>
      </c>
      <c r="U607" s="408">
        <v>0.1</v>
      </c>
      <c r="V607" s="408">
        <v>0.2</v>
      </c>
      <c r="W607" s="408">
        <v>9.4E-2</v>
      </c>
      <c r="X607" s="408">
        <v>-1.5</v>
      </c>
      <c r="Y607" s="408">
        <v>-1.4</v>
      </c>
      <c r="Z607" s="408">
        <v>-2.9</v>
      </c>
      <c r="AA607" s="408">
        <v>0</v>
      </c>
    </row>
    <row r="608" spans="1:27">
      <c r="A608">
        <v>495</v>
      </c>
      <c r="B608" s="1" t="s">
        <v>524</v>
      </c>
      <c r="C608" s="5" t="s">
        <v>20</v>
      </c>
      <c r="D608" s="408">
        <v>22</v>
      </c>
      <c r="E608" s="5" t="s">
        <v>315</v>
      </c>
      <c r="F608" s="408">
        <v>16</v>
      </c>
      <c r="G608" s="408">
        <v>180</v>
      </c>
      <c r="H608" s="408">
        <v>11.6</v>
      </c>
      <c r="I608" s="408">
        <v>0.53</v>
      </c>
      <c r="J608" s="408">
        <v>0.20899999999999999</v>
      </c>
      <c r="K608" s="408">
        <v>0.221</v>
      </c>
      <c r="L608" s="408">
        <v>2.2999999999999998</v>
      </c>
      <c r="M608" s="408">
        <v>13.2</v>
      </c>
      <c r="N608" s="408">
        <v>7.7</v>
      </c>
      <c r="O608" s="408">
        <v>19.7</v>
      </c>
      <c r="P608" s="408">
        <v>2.2000000000000002</v>
      </c>
      <c r="Q608" s="408">
        <v>0.8</v>
      </c>
      <c r="R608" s="408">
        <v>20.3</v>
      </c>
      <c r="S608" s="408">
        <v>28.4</v>
      </c>
      <c r="T608" s="408">
        <v>-0.3</v>
      </c>
      <c r="U608" s="408">
        <v>0.2</v>
      </c>
      <c r="V608" s="408">
        <v>-0.1</v>
      </c>
      <c r="W608" s="408">
        <v>-3.2000000000000001E-2</v>
      </c>
      <c r="X608" s="408">
        <v>-4.2</v>
      </c>
      <c r="Y608" s="408">
        <v>-1.2</v>
      </c>
      <c r="Z608" s="408">
        <v>-5.4</v>
      </c>
      <c r="AA608" s="408">
        <v>-0.2</v>
      </c>
    </row>
    <row r="609" spans="1:27">
      <c r="A609">
        <v>496</v>
      </c>
      <c r="B609" s="1" t="s">
        <v>574</v>
      </c>
      <c r="C609" s="5" t="s">
        <v>83</v>
      </c>
      <c r="D609" s="408">
        <v>28</v>
      </c>
      <c r="E609" s="5" t="s">
        <v>50</v>
      </c>
      <c r="F609" s="408">
        <v>47</v>
      </c>
      <c r="G609" s="408">
        <v>1215</v>
      </c>
      <c r="H609" s="408">
        <v>24.1</v>
      </c>
      <c r="I609" s="408">
        <v>0.58199999999999996</v>
      </c>
      <c r="J609" s="408">
        <v>4.0000000000000001E-3</v>
      </c>
      <c r="K609" s="408">
        <v>0.33500000000000002</v>
      </c>
      <c r="L609" s="408">
        <v>14</v>
      </c>
      <c r="M609" s="408">
        <v>37.6</v>
      </c>
      <c r="N609" s="408">
        <v>25.8</v>
      </c>
      <c r="O609" s="408">
        <v>6.5</v>
      </c>
      <c r="P609" s="408">
        <v>1.4</v>
      </c>
      <c r="Q609" s="408">
        <v>5.5</v>
      </c>
      <c r="R609" s="408">
        <v>13</v>
      </c>
      <c r="S609" s="408">
        <v>24.5</v>
      </c>
      <c r="T609" s="408">
        <v>2</v>
      </c>
      <c r="U609" s="408">
        <v>2.6</v>
      </c>
      <c r="V609" s="408">
        <v>4.7</v>
      </c>
      <c r="W609" s="408">
        <v>0.184</v>
      </c>
      <c r="X609" s="408">
        <v>-2.2000000000000002</v>
      </c>
      <c r="Y609" s="408">
        <v>2</v>
      </c>
      <c r="Z609" s="408">
        <v>-0.2</v>
      </c>
      <c r="AA609" s="408">
        <v>0.5</v>
      </c>
    </row>
    <row r="610" spans="1:27">
      <c r="A610">
        <v>497</v>
      </c>
      <c r="B610" s="1" t="s">
        <v>9</v>
      </c>
      <c r="C610" s="5" t="s">
        <v>46</v>
      </c>
      <c r="D610" s="408">
        <v>22</v>
      </c>
      <c r="E610" s="5" t="s">
        <v>56</v>
      </c>
      <c r="F610" s="408">
        <v>71</v>
      </c>
      <c r="G610" s="408">
        <v>2567</v>
      </c>
      <c r="H610" s="408">
        <v>13.2</v>
      </c>
      <c r="I610" s="408">
        <v>0.51100000000000001</v>
      </c>
      <c r="J610" s="408">
        <v>0.26200000000000001</v>
      </c>
      <c r="K610" s="408">
        <v>0.246</v>
      </c>
      <c r="L610" s="408">
        <v>3.1</v>
      </c>
      <c r="M610" s="408">
        <v>10.1</v>
      </c>
      <c r="N610" s="408">
        <v>6.6</v>
      </c>
      <c r="O610" s="408">
        <v>7.7</v>
      </c>
      <c r="P610" s="408">
        <v>1.5</v>
      </c>
      <c r="Q610" s="408">
        <v>1.5</v>
      </c>
      <c r="R610" s="408">
        <v>9</v>
      </c>
      <c r="S610" s="408">
        <v>23.7</v>
      </c>
      <c r="T610" s="408">
        <v>0.6</v>
      </c>
      <c r="U610" s="408">
        <v>1.1000000000000001</v>
      </c>
      <c r="V610" s="408">
        <v>1.7</v>
      </c>
      <c r="W610" s="408">
        <v>3.1E-2</v>
      </c>
      <c r="X610" s="408">
        <v>-0.9</v>
      </c>
      <c r="Y610" s="408">
        <v>-1.7</v>
      </c>
      <c r="Z610" s="408">
        <v>-2.6</v>
      </c>
      <c r="AA610" s="408">
        <v>-0.4</v>
      </c>
    </row>
    <row r="611" spans="1:27">
      <c r="A611">
        <v>498</v>
      </c>
      <c r="B611" s="1" t="s">
        <v>601</v>
      </c>
      <c r="C611" s="5" t="s">
        <v>38</v>
      </c>
      <c r="D611" s="408">
        <v>23</v>
      </c>
      <c r="E611" s="5" t="s">
        <v>315</v>
      </c>
      <c r="F611" s="408">
        <v>5</v>
      </c>
      <c r="G611" s="408">
        <v>33</v>
      </c>
      <c r="H611" s="408">
        <v>8.1999999999999993</v>
      </c>
      <c r="I611" s="408">
        <v>0.41</v>
      </c>
      <c r="J611" s="408">
        <v>0.5</v>
      </c>
      <c r="K611" s="408">
        <v>0.5</v>
      </c>
      <c r="L611" s="408">
        <v>6.4</v>
      </c>
      <c r="M611" s="408">
        <v>29.4</v>
      </c>
      <c r="N611" s="408">
        <v>17.7</v>
      </c>
      <c r="O611" s="408">
        <v>8</v>
      </c>
      <c r="P611" s="408">
        <v>1.5</v>
      </c>
      <c r="Q611" s="408">
        <v>0</v>
      </c>
      <c r="R611" s="408">
        <v>0</v>
      </c>
      <c r="S611" s="408">
        <v>6.4</v>
      </c>
      <c r="T611" s="408">
        <v>0</v>
      </c>
      <c r="U611" s="408">
        <v>0</v>
      </c>
      <c r="V611" s="408">
        <v>0.1</v>
      </c>
      <c r="W611" s="408">
        <v>9.4E-2</v>
      </c>
      <c r="X611" s="408">
        <v>-3.9</v>
      </c>
      <c r="Y611" s="408">
        <v>1</v>
      </c>
      <c r="Z611" s="408">
        <v>-2.9</v>
      </c>
      <c r="AA611" s="408">
        <v>0</v>
      </c>
    </row>
    <row r="612" spans="1:27">
      <c r="A612">
        <v>499</v>
      </c>
      <c r="B612" s="1" t="s">
        <v>479</v>
      </c>
      <c r="C612" s="5" t="s">
        <v>46</v>
      </c>
      <c r="D612" s="408">
        <v>38</v>
      </c>
      <c r="E612" s="5" t="s">
        <v>30</v>
      </c>
      <c r="F612" s="408">
        <v>19</v>
      </c>
      <c r="G612" s="408">
        <v>152</v>
      </c>
      <c r="H612" s="408">
        <v>4.9000000000000004</v>
      </c>
      <c r="I612" s="408">
        <v>0.40500000000000003</v>
      </c>
      <c r="J612" s="408">
        <v>0.46200000000000002</v>
      </c>
      <c r="K612" s="408">
        <v>0.10299999999999999</v>
      </c>
      <c r="L612" s="408">
        <v>3.8</v>
      </c>
      <c r="M612" s="408">
        <v>8.1</v>
      </c>
      <c r="N612" s="408">
        <v>5.9</v>
      </c>
      <c r="O612" s="408">
        <v>7.8</v>
      </c>
      <c r="P612" s="408">
        <v>0.7</v>
      </c>
      <c r="Q612" s="408">
        <v>0.6</v>
      </c>
      <c r="R612" s="408">
        <v>10.9</v>
      </c>
      <c r="S612" s="408">
        <v>13.4</v>
      </c>
      <c r="T612" s="408">
        <v>-0.1</v>
      </c>
      <c r="U612" s="408">
        <v>0.1</v>
      </c>
      <c r="V612" s="408">
        <v>-0.1</v>
      </c>
      <c r="W612" s="408">
        <v>-1.9E-2</v>
      </c>
      <c r="X612" s="408">
        <v>-4.4000000000000004</v>
      </c>
      <c r="Y612" s="408">
        <v>-2.1</v>
      </c>
      <c r="Z612" s="408">
        <v>-6.5</v>
      </c>
      <c r="AA612" s="408">
        <v>-0.2</v>
      </c>
    </row>
    <row r="613" spans="1:27">
      <c r="A613">
        <v>500</v>
      </c>
      <c r="B613" s="1" t="s">
        <v>473</v>
      </c>
      <c r="C613" s="5" t="s">
        <v>26</v>
      </c>
      <c r="D613" s="408">
        <v>27</v>
      </c>
      <c r="E613" s="5" t="s">
        <v>64</v>
      </c>
      <c r="F613" s="408">
        <v>30</v>
      </c>
      <c r="G613" s="408">
        <v>591</v>
      </c>
      <c r="H613" s="408">
        <v>9.6999999999999993</v>
      </c>
      <c r="I613" s="408">
        <v>0.52600000000000002</v>
      </c>
      <c r="J613" s="408">
        <v>0.41099999999999998</v>
      </c>
      <c r="K613" s="408">
        <v>8.5999999999999993E-2</v>
      </c>
      <c r="L613" s="408">
        <v>2.1</v>
      </c>
      <c r="M613" s="408">
        <v>6.2</v>
      </c>
      <c r="N613" s="408">
        <v>4.2</v>
      </c>
      <c r="O613" s="408">
        <v>7.1</v>
      </c>
      <c r="P613" s="408">
        <v>2.2999999999999998</v>
      </c>
      <c r="Q613" s="408">
        <v>1.8</v>
      </c>
      <c r="R613" s="408">
        <v>9.6</v>
      </c>
      <c r="S613" s="408">
        <v>13.7</v>
      </c>
      <c r="T613" s="408">
        <v>0.2</v>
      </c>
      <c r="U613" s="408">
        <v>0.5</v>
      </c>
      <c r="V613" s="408">
        <v>0.7</v>
      </c>
      <c r="W613" s="408">
        <v>5.8000000000000003E-2</v>
      </c>
      <c r="X613" s="408">
        <v>-1.2</v>
      </c>
      <c r="Y613" s="408">
        <v>0.4</v>
      </c>
      <c r="Z613" s="408">
        <v>-0.8</v>
      </c>
      <c r="AA613" s="408">
        <v>0.2</v>
      </c>
    </row>
    <row r="614" spans="1:27">
      <c r="A614">
        <v>501</v>
      </c>
      <c r="B614" s="1" t="s">
        <v>1202</v>
      </c>
      <c r="C614" s="5" t="s">
        <v>38</v>
      </c>
      <c r="D614" s="408">
        <v>26</v>
      </c>
      <c r="E614" s="5" t="s">
        <v>78</v>
      </c>
      <c r="F614" s="408">
        <v>2</v>
      </c>
      <c r="G614" s="408">
        <v>9</v>
      </c>
      <c r="H614" s="408">
        <v>-3.1</v>
      </c>
      <c r="I614" s="408">
        <v>0.25</v>
      </c>
      <c r="J614" s="408">
        <v>0.5</v>
      </c>
      <c r="K614" s="408">
        <v>0</v>
      </c>
      <c r="L614" s="408">
        <v>0</v>
      </c>
      <c r="M614" s="408">
        <v>11.8</v>
      </c>
      <c r="N614" s="408">
        <v>5.9</v>
      </c>
      <c r="O614" s="408">
        <v>0</v>
      </c>
      <c r="P614" s="408">
        <v>0</v>
      </c>
      <c r="Q614" s="408">
        <v>0</v>
      </c>
      <c r="R614" s="408">
        <v>0</v>
      </c>
      <c r="S614" s="408">
        <v>18.7</v>
      </c>
      <c r="T614" s="408">
        <v>0</v>
      </c>
      <c r="U614" s="408">
        <v>0</v>
      </c>
      <c r="V614" s="408">
        <v>0</v>
      </c>
      <c r="W614" s="408">
        <v>-0.189</v>
      </c>
      <c r="X614" s="408">
        <v>-11.5</v>
      </c>
      <c r="Y614" s="408">
        <v>-6.6</v>
      </c>
      <c r="Z614" s="408">
        <v>-18</v>
      </c>
      <c r="AA614" s="408">
        <v>0</v>
      </c>
    </row>
    <row r="615" spans="1:27">
      <c r="A615">
        <v>502</v>
      </c>
      <c r="B615" s="1" t="s">
        <v>308</v>
      </c>
      <c r="C615" s="5" t="s">
        <v>26</v>
      </c>
      <c r="D615" s="408">
        <v>31</v>
      </c>
      <c r="E615" s="5" t="s">
        <v>64</v>
      </c>
      <c r="F615" s="408">
        <v>68</v>
      </c>
      <c r="G615" s="408">
        <v>2232</v>
      </c>
      <c r="H615" s="408">
        <v>20.8</v>
      </c>
      <c r="I615" s="408">
        <v>0.57899999999999996</v>
      </c>
      <c r="J615" s="408">
        <v>0.41199999999999998</v>
      </c>
      <c r="K615" s="408">
        <v>0.37</v>
      </c>
      <c r="L615" s="408">
        <v>1.6</v>
      </c>
      <c r="M615" s="408">
        <v>6.8</v>
      </c>
      <c r="N615" s="408">
        <v>4.3</v>
      </c>
      <c r="O615" s="408">
        <v>26.8</v>
      </c>
      <c r="P615" s="408">
        <v>1.6</v>
      </c>
      <c r="Q615" s="408">
        <v>0.6</v>
      </c>
      <c r="R615" s="408">
        <v>12.9</v>
      </c>
      <c r="S615" s="408">
        <v>30.1</v>
      </c>
      <c r="T615" s="408">
        <v>5.0999999999999996</v>
      </c>
      <c r="U615" s="408">
        <v>1.3</v>
      </c>
      <c r="V615" s="408">
        <v>6.4</v>
      </c>
      <c r="W615" s="408">
        <v>0.13700000000000001</v>
      </c>
      <c r="X615" s="408">
        <v>4.2</v>
      </c>
      <c r="Y615" s="408">
        <v>-2.7</v>
      </c>
      <c r="Z615" s="408">
        <v>1.5</v>
      </c>
      <c r="AA615" s="408">
        <v>2</v>
      </c>
    </row>
    <row r="616" spans="1:27">
      <c r="A616">
        <v>503</v>
      </c>
      <c r="B616" s="1" t="s">
        <v>408</v>
      </c>
      <c r="C616" s="5" t="s">
        <v>38</v>
      </c>
      <c r="D616" s="408">
        <v>31</v>
      </c>
      <c r="E616" s="5" t="s">
        <v>311</v>
      </c>
      <c r="F616" s="408">
        <v>67</v>
      </c>
      <c r="G616" s="408">
        <v>1725</v>
      </c>
      <c r="H616" s="408">
        <v>13</v>
      </c>
      <c r="I616" s="408">
        <v>0.59299999999999997</v>
      </c>
      <c r="J616" s="408">
        <v>0.54500000000000004</v>
      </c>
      <c r="K616" s="408">
        <v>0.214</v>
      </c>
      <c r="L616" s="408">
        <v>3.9</v>
      </c>
      <c r="M616" s="408">
        <v>16.399999999999999</v>
      </c>
      <c r="N616" s="408">
        <v>10</v>
      </c>
      <c r="O616" s="408">
        <v>6.4</v>
      </c>
      <c r="P616" s="408">
        <v>1.3</v>
      </c>
      <c r="Q616" s="408">
        <v>1.4</v>
      </c>
      <c r="R616" s="408">
        <v>10</v>
      </c>
      <c r="S616" s="408">
        <v>14.6</v>
      </c>
      <c r="T616" s="408">
        <v>2.2000000000000002</v>
      </c>
      <c r="U616" s="408">
        <v>1.6</v>
      </c>
      <c r="V616" s="408">
        <v>3.8</v>
      </c>
      <c r="W616" s="408">
        <v>0.105</v>
      </c>
      <c r="X616" s="408">
        <v>0.5</v>
      </c>
      <c r="Y616" s="408">
        <v>0.3</v>
      </c>
      <c r="Z616" s="408">
        <v>0.8</v>
      </c>
      <c r="AA616" s="408">
        <v>1.2</v>
      </c>
    </row>
    <row r="617" spans="1:27">
      <c r="A617">
        <v>504</v>
      </c>
      <c r="B617" s="1" t="s">
        <v>629</v>
      </c>
      <c r="C617" s="5" t="s">
        <v>26</v>
      </c>
      <c r="D617" s="408">
        <v>24</v>
      </c>
      <c r="E617" s="5" t="s">
        <v>50</v>
      </c>
      <c r="F617" s="408">
        <v>3</v>
      </c>
      <c r="G617" s="408">
        <v>11</v>
      </c>
      <c r="H617" s="408">
        <v>-0.7</v>
      </c>
      <c r="I617" s="408">
        <v>0.41699999999999998</v>
      </c>
      <c r="J617" s="408">
        <v>0.83299999999999996</v>
      </c>
      <c r="K617" s="408">
        <v>0</v>
      </c>
      <c r="L617" s="408">
        <v>0</v>
      </c>
      <c r="M617" s="408">
        <v>10.3</v>
      </c>
      <c r="N617" s="408">
        <v>5.0999999999999996</v>
      </c>
      <c r="O617" s="408">
        <v>0</v>
      </c>
      <c r="P617" s="408">
        <v>0</v>
      </c>
      <c r="Q617" s="408">
        <v>0</v>
      </c>
      <c r="R617" s="408">
        <v>14.3</v>
      </c>
      <c r="S617" s="408">
        <v>28.6</v>
      </c>
      <c r="T617" s="408">
        <v>-0.1</v>
      </c>
      <c r="U617" s="408">
        <v>0</v>
      </c>
      <c r="V617" s="408">
        <v>0</v>
      </c>
      <c r="W617" s="408">
        <v>-0.19900000000000001</v>
      </c>
      <c r="X617" s="408">
        <v>-8.5</v>
      </c>
      <c r="Y617" s="408">
        <v>-8.6999999999999993</v>
      </c>
      <c r="Z617" s="408">
        <v>-17.2</v>
      </c>
      <c r="AA617" s="408">
        <v>0</v>
      </c>
    </row>
    <row r="618" spans="1:27">
      <c r="A618">
        <v>505</v>
      </c>
      <c r="B618" s="1" t="s">
        <v>616</v>
      </c>
      <c r="C618" s="5" t="s">
        <v>46</v>
      </c>
      <c r="D618" s="408">
        <v>23</v>
      </c>
      <c r="E618" s="5" t="s">
        <v>357</v>
      </c>
      <c r="F618" s="408">
        <v>15</v>
      </c>
      <c r="G618" s="408">
        <v>193</v>
      </c>
      <c r="H618" s="408">
        <v>16.5</v>
      </c>
      <c r="I618" s="408">
        <v>0.54300000000000004</v>
      </c>
      <c r="J618" s="408">
        <v>0.32900000000000001</v>
      </c>
      <c r="K618" s="408">
        <v>0.30499999999999999</v>
      </c>
      <c r="L618" s="408">
        <v>8.1</v>
      </c>
      <c r="M618" s="408">
        <v>18.3</v>
      </c>
      <c r="N618" s="408">
        <v>13.3</v>
      </c>
      <c r="O618" s="408">
        <v>5.7</v>
      </c>
      <c r="P618" s="408">
        <v>3.1</v>
      </c>
      <c r="Q618" s="408">
        <v>1.4</v>
      </c>
      <c r="R618" s="408">
        <v>13.9</v>
      </c>
      <c r="S618" s="408">
        <v>24.4</v>
      </c>
      <c r="T618" s="408">
        <v>0</v>
      </c>
      <c r="U618" s="408">
        <v>0.3</v>
      </c>
      <c r="V618" s="408">
        <v>0.3</v>
      </c>
      <c r="W618" s="408">
        <v>6.7000000000000004E-2</v>
      </c>
      <c r="X618" s="408">
        <v>-1.1000000000000001</v>
      </c>
      <c r="Y618" s="408">
        <v>-0.9</v>
      </c>
      <c r="Z618" s="408">
        <v>-2</v>
      </c>
      <c r="AA618" s="408">
        <v>0</v>
      </c>
    </row>
    <row r="619" spans="1:27">
      <c r="A619">
        <v>505</v>
      </c>
      <c r="B619" s="1" t="s">
        <v>616</v>
      </c>
      <c r="C619" s="5" t="s">
        <v>46</v>
      </c>
      <c r="D619" s="408">
        <v>23</v>
      </c>
      <c r="E619" s="5" t="s">
        <v>92</v>
      </c>
      <c r="F619" s="408">
        <v>4</v>
      </c>
      <c r="G619" s="408">
        <v>17</v>
      </c>
      <c r="H619" s="408">
        <v>-2.4</v>
      </c>
      <c r="I619" s="408">
        <v>0.24199999999999999</v>
      </c>
      <c r="J619" s="408">
        <v>0.55600000000000005</v>
      </c>
      <c r="K619" s="408">
        <v>0.33300000000000002</v>
      </c>
      <c r="L619" s="408">
        <v>6.7</v>
      </c>
      <c r="M619" s="408">
        <v>19.899999999999999</v>
      </c>
      <c r="N619" s="408">
        <v>13.4</v>
      </c>
      <c r="O619" s="408">
        <v>8.5</v>
      </c>
      <c r="P619" s="408">
        <v>2.9</v>
      </c>
      <c r="Q619" s="408">
        <v>0</v>
      </c>
      <c r="R619" s="408">
        <v>8.8000000000000007</v>
      </c>
      <c r="S619" s="408">
        <v>29.3</v>
      </c>
      <c r="T619" s="408">
        <v>-0.1</v>
      </c>
      <c r="U619" s="408">
        <v>0</v>
      </c>
      <c r="V619" s="408">
        <v>-0.1</v>
      </c>
      <c r="W619" s="408">
        <v>-0.26</v>
      </c>
      <c r="X619" s="408">
        <v>-11.5</v>
      </c>
      <c r="Y619" s="408">
        <v>-2.7</v>
      </c>
      <c r="Z619" s="408">
        <v>-14.3</v>
      </c>
      <c r="AA619" s="408">
        <v>-0.1</v>
      </c>
    </row>
    <row r="620" spans="1:27">
      <c r="A620">
        <v>505</v>
      </c>
      <c r="B620" s="1" t="s">
        <v>616</v>
      </c>
      <c r="C620" s="5" t="s">
        <v>46</v>
      </c>
      <c r="D620" s="408">
        <v>23</v>
      </c>
      <c r="E620" s="5" t="s">
        <v>21</v>
      </c>
      <c r="F620" s="408">
        <v>11</v>
      </c>
      <c r="G620" s="408">
        <v>176</v>
      </c>
      <c r="H620" s="408">
        <v>18.399999999999999</v>
      </c>
      <c r="I620" s="408">
        <v>0.58099999999999996</v>
      </c>
      <c r="J620" s="408">
        <v>0.30099999999999999</v>
      </c>
      <c r="K620" s="408">
        <v>0.30099999999999999</v>
      </c>
      <c r="L620" s="408">
        <v>8.3000000000000007</v>
      </c>
      <c r="M620" s="408">
        <v>18.100000000000001</v>
      </c>
      <c r="N620" s="408">
        <v>13.2</v>
      </c>
      <c r="O620" s="408">
        <v>5.5</v>
      </c>
      <c r="P620" s="408">
        <v>3.1</v>
      </c>
      <c r="Q620" s="408">
        <v>1.5</v>
      </c>
      <c r="R620" s="408">
        <v>14.5</v>
      </c>
      <c r="S620" s="408">
        <v>24</v>
      </c>
      <c r="T620" s="408">
        <v>0.1</v>
      </c>
      <c r="U620" s="408">
        <v>0.2</v>
      </c>
      <c r="V620" s="408">
        <v>0.4</v>
      </c>
      <c r="W620" s="408">
        <v>9.8000000000000004E-2</v>
      </c>
      <c r="X620" s="408">
        <v>-0.1</v>
      </c>
      <c r="Y620" s="408">
        <v>-0.7</v>
      </c>
      <c r="Z620" s="408">
        <v>-0.8</v>
      </c>
      <c r="AA620" s="408">
        <v>0.1</v>
      </c>
    </row>
    <row r="621" spans="1:27">
      <c r="A621">
        <v>506</v>
      </c>
      <c r="B621" s="1" t="s">
        <v>628</v>
      </c>
      <c r="C621" s="5" t="s">
        <v>38</v>
      </c>
      <c r="D621" s="408">
        <v>21</v>
      </c>
      <c r="E621" s="5" t="s">
        <v>41</v>
      </c>
      <c r="F621" s="408">
        <v>21</v>
      </c>
      <c r="G621" s="408">
        <v>69</v>
      </c>
      <c r="H621" s="408">
        <v>9.1</v>
      </c>
      <c r="I621" s="408">
        <v>0.63800000000000001</v>
      </c>
      <c r="J621" s="408">
        <v>0.35699999999999998</v>
      </c>
      <c r="K621" s="408">
        <v>0.14299999999999999</v>
      </c>
      <c r="L621" s="408">
        <v>1.7</v>
      </c>
      <c r="M621" s="408">
        <v>13.7</v>
      </c>
      <c r="N621" s="408">
        <v>7.7</v>
      </c>
      <c r="O621" s="408">
        <v>6.3</v>
      </c>
      <c r="P621" s="408">
        <v>1.4</v>
      </c>
      <c r="Q621" s="408">
        <v>1.3</v>
      </c>
      <c r="R621" s="408">
        <v>21.2</v>
      </c>
      <c r="S621" s="408">
        <v>12.4</v>
      </c>
      <c r="T621" s="408">
        <v>0</v>
      </c>
      <c r="U621" s="408">
        <v>0</v>
      </c>
      <c r="V621" s="408">
        <v>0.1</v>
      </c>
      <c r="W621" s="408">
        <v>0.04</v>
      </c>
      <c r="X621" s="408">
        <v>-3.5</v>
      </c>
      <c r="Y621" s="408">
        <v>-1.5</v>
      </c>
      <c r="Z621" s="408">
        <v>-5</v>
      </c>
      <c r="AA621" s="408">
        <v>-0.1</v>
      </c>
    </row>
    <row r="622" spans="1:27">
      <c r="A622">
        <v>507</v>
      </c>
      <c r="B622" s="1" t="s">
        <v>377</v>
      </c>
      <c r="C622" s="5" t="s">
        <v>46</v>
      </c>
      <c r="D622" s="408">
        <v>27</v>
      </c>
      <c r="E622" s="5" t="s">
        <v>64</v>
      </c>
      <c r="F622" s="408">
        <v>15</v>
      </c>
      <c r="G622" s="408">
        <v>274</v>
      </c>
      <c r="H622" s="408">
        <v>11.4</v>
      </c>
      <c r="I622" s="408">
        <v>0.63400000000000001</v>
      </c>
      <c r="J622" s="408">
        <v>0.77800000000000002</v>
      </c>
      <c r="K622" s="408">
        <v>4.9000000000000002E-2</v>
      </c>
      <c r="L622" s="408">
        <v>1.2</v>
      </c>
      <c r="M622" s="408">
        <v>11.4</v>
      </c>
      <c r="N622" s="408">
        <v>6.4</v>
      </c>
      <c r="O622" s="408">
        <v>5.2</v>
      </c>
      <c r="P622" s="408">
        <v>0.9</v>
      </c>
      <c r="Q622" s="408">
        <v>2.5</v>
      </c>
      <c r="R622" s="408">
        <v>8.8000000000000007</v>
      </c>
      <c r="S622" s="408">
        <v>14.3</v>
      </c>
      <c r="T622" s="408">
        <v>0.4</v>
      </c>
      <c r="U622" s="408">
        <v>0.2</v>
      </c>
      <c r="V622" s="408">
        <v>0.6</v>
      </c>
      <c r="W622" s="408">
        <v>9.9000000000000005E-2</v>
      </c>
      <c r="X622" s="408">
        <v>1</v>
      </c>
      <c r="Y622" s="408">
        <v>-0.9</v>
      </c>
      <c r="Z622" s="408">
        <v>0.1</v>
      </c>
      <c r="AA622" s="408">
        <v>0.1</v>
      </c>
    </row>
    <row r="623" spans="1:27">
      <c r="A623">
        <v>508</v>
      </c>
      <c r="B623" s="1" t="s">
        <v>514</v>
      </c>
      <c r="C623" s="5" t="s">
        <v>46</v>
      </c>
      <c r="D623" s="408">
        <v>21</v>
      </c>
      <c r="E623" s="5" t="s">
        <v>50</v>
      </c>
      <c r="F623" s="408">
        <v>57</v>
      </c>
      <c r="G623" s="408">
        <v>1378</v>
      </c>
      <c r="H623" s="408">
        <v>11.4</v>
      </c>
      <c r="I623" s="408">
        <v>0.49299999999999999</v>
      </c>
      <c r="J623" s="408">
        <v>0.25700000000000001</v>
      </c>
      <c r="K623" s="408">
        <v>0.20200000000000001</v>
      </c>
      <c r="L623" s="408">
        <v>4.5999999999999996</v>
      </c>
      <c r="M623" s="408">
        <v>20.9</v>
      </c>
      <c r="N623" s="408">
        <v>12.7</v>
      </c>
      <c r="O623" s="408">
        <v>13.4</v>
      </c>
      <c r="P623" s="408">
        <v>1.7</v>
      </c>
      <c r="Q623" s="408">
        <v>1.8</v>
      </c>
      <c r="R623" s="408">
        <v>13.5</v>
      </c>
      <c r="S623" s="408">
        <v>15.7</v>
      </c>
      <c r="T623" s="408">
        <v>0.2</v>
      </c>
      <c r="U623" s="408">
        <v>1.9</v>
      </c>
      <c r="V623" s="408">
        <v>2.1</v>
      </c>
      <c r="W623" s="408">
        <v>7.2999999999999995E-2</v>
      </c>
      <c r="X623" s="408">
        <v>-2.8</v>
      </c>
      <c r="Y623" s="408">
        <v>1.9</v>
      </c>
      <c r="Z623" s="408">
        <v>-0.9</v>
      </c>
      <c r="AA623" s="408">
        <v>0.4</v>
      </c>
    </row>
    <row r="624" spans="1:27">
      <c r="A624">
        <v>509</v>
      </c>
      <c r="B624" s="1" t="s">
        <v>599</v>
      </c>
      <c r="C624" s="5" t="s">
        <v>83</v>
      </c>
      <c r="D624" s="408">
        <v>27</v>
      </c>
      <c r="E624" s="5" t="s">
        <v>33</v>
      </c>
      <c r="F624" s="408">
        <v>9</v>
      </c>
      <c r="G624" s="408">
        <v>39</v>
      </c>
      <c r="H624" s="408">
        <v>8.3000000000000007</v>
      </c>
      <c r="I624" s="408">
        <v>0.44400000000000001</v>
      </c>
      <c r="J624" s="408">
        <v>0.625</v>
      </c>
      <c r="K624" s="408">
        <v>0.125</v>
      </c>
      <c r="L624" s="408">
        <v>2.8</v>
      </c>
      <c r="M624" s="408">
        <v>26.6</v>
      </c>
      <c r="N624" s="408">
        <v>14.3</v>
      </c>
      <c r="O624" s="408">
        <v>0</v>
      </c>
      <c r="P624" s="408">
        <v>0</v>
      </c>
      <c r="Q624" s="408">
        <v>6.9</v>
      </c>
      <c r="R624" s="408">
        <v>10.6</v>
      </c>
      <c r="S624" s="408">
        <v>22</v>
      </c>
      <c r="T624" s="408">
        <v>-0.1</v>
      </c>
      <c r="U624" s="408">
        <v>0.1</v>
      </c>
      <c r="V624" s="408">
        <v>0</v>
      </c>
      <c r="W624" s="408">
        <v>-5.2999999999999999E-2</v>
      </c>
      <c r="X624" s="408">
        <v>-9</v>
      </c>
      <c r="Y624" s="408">
        <v>-3.6</v>
      </c>
      <c r="Z624" s="408">
        <v>-12.6</v>
      </c>
      <c r="AA624" s="408">
        <v>-0.1</v>
      </c>
    </row>
    <row r="625" spans="1:27">
      <c r="A625">
        <v>510</v>
      </c>
      <c r="B625" s="1" t="s">
        <v>644</v>
      </c>
      <c r="C625" s="5" t="s">
        <v>20</v>
      </c>
      <c r="D625" s="408">
        <v>26</v>
      </c>
      <c r="E625" s="5" t="s">
        <v>305</v>
      </c>
      <c r="F625" s="408">
        <v>5</v>
      </c>
      <c r="G625" s="408">
        <v>19</v>
      </c>
      <c r="H625" s="408">
        <v>-2.9</v>
      </c>
      <c r="I625" s="408">
        <v>0.16700000000000001</v>
      </c>
      <c r="J625" s="408">
        <v>0</v>
      </c>
      <c r="K625" s="408">
        <v>0</v>
      </c>
      <c r="L625" s="408">
        <v>6</v>
      </c>
      <c r="M625" s="408">
        <v>5.9</v>
      </c>
      <c r="N625" s="408">
        <v>6</v>
      </c>
      <c r="O625" s="408">
        <v>7.2</v>
      </c>
      <c r="P625" s="408">
        <v>0</v>
      </c>
      <c r="Q625" s="408">
        <v>0</v>
      </c>
      <c r="R625" s="408">
        <v>0</v>
      </c>
      <c r="S625" s="408">
        <v>14.3</v>
      </c>
      <c r="T625" s="408">
        <v>-0.1</v>
      </c>
      <c r="U625" s="408">
        <v>0</v>
      </c>
      <c r="V625" s="408">
        <v>-0.1</v>
      </c>
      <c r="W625" s="408">
        <v>-0.14000000000000001</v>
      </c>
      <c r="X625" s="408">
        <v>-10.4</v>
      </c>
      <c r="Y625" s="408">
        <v>-2.1</v>
      </c>
      <c r="Z625" s="408">
        <v>-12.5</v>
      </c>
      <c r="AA625" s="408">
        <v>-0.1</v>
      </c>
    </row>
    <row r="626" spans="1:27">
      <c r="A626">
        <v>511</v>
      </c>
      <c r="B626" s="1" t="s">
        <v>129</v>
      </c>
      <c r="C626" s="5" t="s">
        <v>38</v>
      </c>
      <c r="D626" s="408">
        <v>30</v>
      </c>
      <c r="E626" s="5" t="s">
        <v>357</v>
      </c>
      <c r="F626" s="408">
        <v>28</v>
      </c>
      <c r="G626" s="408">
        <v>381</v>
      </c>
      <c r="H626" s="408">
        <v>19.100000000000001</v>
      </c>
      <c r="I626" s="408">
        <v>0.59599999999999997</v>
      </c>
      <c r="J626" s="408">
        <v>0</v>
      </c>
      <c r="K626" s="408">
        <v>0.32400000000000001</v>
      </c>
      <c r="L626" s="408">
        <v>9.8000000000000007</v>
      </c>
      <c r="M626" s="408">
        <v>19.2</v>
      </c>
      <c r="N626" s="408">
        <v>14.4</v>
      </c>
      <c r="O626" s="408">
        <v>5.7</v>
      </c>
      <c r="P626" s="408">
        <v>1.7</v>
      </c>
      <c r="Q626" s="408">
        <v>6.4</v>
      </c>
      <c r="R626" s="408">
        <v>6.4</v>
      </c>
      <c r="S626" s="408">
        <v>14.7</v>
      </c>
      <c r="T626" s="408">
        <v>0.8</v>
      </c>
      <c r="U626" s="408">
        <v>0.5</v>
      </c>
      <c r="V626" s="408">
        <v>1.3</v>
      </c>
      <c r="W626" s="408">
        <v>0.16800000000000001</v>
      </c>
      <c r="X626" s="408">
        <v>-1.3</v>
      </c>
      <c r="Y626" s="408">
        <v>2.2999999999999998</v>
      </c>
      <c r="Z626" s="408">
        <v>1</v>
      </c>
      <c r="AA626" s="408">
        <v>0.3</v>
      </c>
    </row>
    <row r="627" spans="1:27">
      <c r="A627">
        <v>511</v>
      </c>
      <c r="B627" s="1" t="s">
        <v>129</v>
      </c>
      <c r="C627" s="5" t="s">
        <v>38</v>
      </c>
      <c r="D627" s="408">
        <v>30</v>
      </c>
      <c r="E627" s="5" t="s">
        <v>128</v>
      </c>
      <c r="F627" s="408">
        <v>27</v>
      </c>
      <c r="G627" s="408">
        <v>366</v>
      </c>
      <c r="H627" s="408">
        <v>19.399999999999999</v>
      </c>
      <c r="I627" s="408">
        <v>0.59499999999999997</v>
      </c>
      <c r="J627" s="408">
        <v>0</v>
      </c>
      <c r="K627" s="408">
        <v>0.33300000000000002</v>
      </c>
      <c r="L627" s="408">
        <v>9.9</v>
      </c>
      <c r="M627" s="408">
        <v>19.7</v>
      </c>
      <c r="N627" s="408">
        <v>14.7</v>
      </c>
      <c r="O627" s="408">
        <v>5.9</v>
      </c>
      <c r="P627" s="408">
        <v>1.8</v>
      </c>
      <c r="Q627" s="408">
        <v>6.4</v>
      </c>
      <c r="R627" s="408">
        <v>6.6</v>
      </c>
      <c r="S627" s="408">
        <v>15</v>
      </c>
      <c r="T627" s="408">
        <v>0.8</v>
      </c>
      <c r="U627" s="408">
        <v>0.5</v>
      </c>
      <c r="V627" s="408">
        <v>1.3</v>
      </c>
      <c r="W627" s="408">
        <v>0.16900000000000001</v>
      </c>
      <c r="X627" s="408">
        <v>-1.3</v>
      </c>
      <c r="Y627" s="408">
        <v>2.5</v>
      </c>
      <c r="Z627" s="408">
        <v>1.2</v>
      </c>
      <c r="AA627" s="408">
        <v>0.3</v>
      </c>
    </row>
    <row r="628" spans="1:27">
      <c r="A628">
        <v>511</v>
      </c>
      <c r="B628" s="1" t="s">
        <v>129</v>
      </c>
      <c r="C628" s="5" t="s">
        <v>38</v>
      </c>
      <c r="D628" s="408">
        <v>30</v>
      </c>
      <c r="E628" s="5" t="s">
        <v>92</v>
      </c>
      <c r="F628" s="408">
        <v>1</v>
      </c>
      <c r="G628" s="408">
        <v>15</v>
      </c>
      <c r="H628" s="408">
        <v>11.2</v>
      </c>
      <c r="I628" s="408">
        <v>0.66700000000000004</v>
      </c>
      <c r="J628" s="408">
        <v>0</v>
      </c>
      <c r="K628" s="408">
        <v>0</v>
      </c>
      <c r="L628" s="408">
        <v>7.6</v>
      </c>
      <c r="M628" s="408">
        <v>7.5</v>
      </c>
      <c r="N628" s="408">
        <v>7.6</v>
      </c>
      <c r="O628" s="408">
        <v>0</v>
      </c>
      <c r="P628" s="408">
        <v>0</v>
      </c>
      <c r="Q628" s="408">
        <v>5.7</v>
      </c>
      <c r="R628" s="408">
        <v>0</v>
      </c>
      <c r="S628" s="408">
        <v>8.8000000000000007</v>
      </c>
      <c r="T628" s="408">
        <v>0</v>
      </c>
      <c r="U628" s="408">
        <v>0</v>
      </c>
      <c r="V628" s="408">
        <v>0</v>
      </c>
      <c r="W628" s="408">
        <v>0.153</v>
      </c>
      <c r="X628" s="408">
        <v>-2.4</v>
      </c>
      <c r="Y628" s="408">
        <v>-0.7</v>
      </c>
      <c r="Z628" s="408">
        <v>-3.1</v>
      </c>
      <c r="AA628" s="408">
        <v>0</v>
      </c>
    </row>
    <row r="629" spans="1:27">
      <c r="A629">
        <v>512</v>
      </c>
      <c r="B629" s="1" t="s">
        <v>472</v>
      </c>
      <c r="C629" s="5" t="s">
        <v>20</v>
      </c>
      <c r="D629" s="408">
        <v>25</v>
      </c>
      <c r="E629" s="5" t="s">
        <v>47</v>
      </c>
      <c r="F629" s="408">
        <v>57</v>
      </c>
      <c r="G629" s="408">
        <v>1186</v>
      </c>
      <c r="H629" s="408">
        <v>16.8</v>
      </c>
      <c r="I629" s="408">
        <v>0.58399999999999996</v>
      </c>
      <c r="J629" s="408">
        <v>0.34599999999999997</v>
      </c>
      <c r="K629" s="408">
        <v>0.26600000000000001</v>
      </c>
      <c r="L629" s="408">
        <v>3.8</v>
      </c>
      <c r="M629" s="408">
        <v>11.1</v>
      </c>
      <c r="N629" s="408">
        <v>7.6</v>
      </c>
      <c r="O629" s="408">
        <v>19.3</v>
      </c>
      <c r="P629" s="408">
        <v>2.5</v>
      </c>
      <c r="Q629" s="408">
        <v>1.8</v>
      </c>
      <c r="R629" s="408">
        <v>14.4</v>
      </c>
      <c r="S629" s="408">
        <v>17.3</v>
      </c>
      <c r="T629" s="408">
        <v>2.1</v>
      </c>
      <c r="U629" s="408">
        <v>1.7</v>
      </c>
      <c r="V629" s="408">
        <v>3.9</v>
      </c>
      <c r="W629" s="408">
        <v>0.156</v>
      </c>
      <c r="X629" s="408">
        <v>1.4</v>
      </c>
      <c r="Y629" s="408">
        <v>1.6</v>
      </c>
      <c r="Z629" s="408">
        <v>3</v>
      </c>
      <c r="AA629" s="408">
        <v>1.5</v>
      </c>
    </row>
    <row r="630" spans="1:27">
      <c r="A630">
        <v>513</v>
      </c>
      <c r="B630" s="1" t="s">
        <v>298</v>
      </c>
      <c r="C630" s="5" t="s">
        <v>38</v>
      </c>
      <c r="D630" s="408">
        <v>22</v>
      </c>
      <c r="E630" s="5" t="s">
        <v>87</v>
      </c>
      <c r="F630" s="408">
        <v>25</v>
      </c>
      <c r="G630" s="408">
        <v>134</v>
      </c>
      <c r="H630" s="408">
        <v>12.6</v>
      </c>
      <c r="I630" s="408">
        <v>0.55100000000000005</v>
      </c>
      <c r="J630" s="408">
        <v>0.63900000000000001</v>
      </c>
      <c r="K630" s="408">
        <v>0.30599999999999999</v>
      </c>
      <c r="L630" s="408">
        <v>10.8</v>
      </c>
      <c r="M630" s="408">
        <v>18.5</v>
      </c>
      <c r="N630" s="408">
        <v>14.7</v>
      </c>
      <c r="O630" s="408">
        <v>12</v>
      </c>
      <c r="P630" s="408">
        <v>0.7</v>
      </c>
      <c r="Q630" s="408">
        <v>1.2</v>
      </c>
      <c r="R630" s="408">
        <v>16.399999999999999</v>
      </c>
      <c r="S630" s="408">
        <v>16.3</v>
      </c>
      <c r="T630" s="408">
        <v>0.2</v>
      </c>
      <c r="U630" s="408">
        <v>0.2</v>
      </c>
      <c r="V630" s="408">
        <v>0.4</v>
      </c>
      <c r="W630" s="408">
        <v>0.126</v>
      </c>
      <c r="X630" s="408">
        <v>-0.6</v>
      </c>
      <c r="Y630" s="408">
        <v>0</v>
      </c>
      <c r="Z630" s="408">
        <v>-0.5</v>
      </c>
      <c r="AA630" s="408">
        <v>0</v>
      </c>
    </row>
    <row r="631" spans="1:27">
      <c r="A631">
        <v>514</v>
      </c>
      <c r="B631" s="1" t="s">
        <v>795</v>
      </c>
      <c r="C631" s="5" t="s">
        <v>26</v>
      </c>
      <c r="D631" s="408">
        <v>22</v>
      </c>
      <c r="E631" s="5" t="s">
        <v>118</v>
      </c>
      <c r="F631" s="408">
        <v>5</v>
      </c>
      <c r="G631" s="408">
        <v>52</v>
      </c>
      <c r="H631" s="408">
        <v>6</v>
      </c>
      <c r="I631" s="408">
        <v>0.51200000000000001</v>
      </c>
      <c r="J631" s="408">
        <v>0.83299999999999996</v>
      </c>
      <c r="K631" s="408">
        <v>0.5</v>
      </c>
      <c r="L631" s="408">
        <v>0</v>
      </c>
      <c r="M631" s="408">
        <v>4.0999999999999996</v>
      </c>
      <c r="N631" s="408">
        <v>2.1</v>
      </c>
      <c r="O631" s="408">
        <v>5.0999999999999996</v>
      </c>
      <c r="P631" s="408">
        <v>0</v>
      </c>
      <c r="Q631" s="408">
        <v>0</v>
      </c>
      <c r="R631" s="408">
        <v>0</v>
      </c>
      <c r="S631" s="408">
        <v>12.1</v>
      </c>
      <c r="T631" s="408">
        <v>0.1</v>
      </c>
      <c r="U631" s="408">
        <v>0</v>
      </c>
      <c r="V631" s="408">
        <v>0.1</v>
      </c>
      <c r="W631" s="408">
        <v>6.7000000000000004E-2</v>
      </c>
      <c r="X631" s="408">
        <v>-1.8</v>
      </c>
      <c r="Y631" s="408">
        <v>-4.0999999999999996</v>
      </c>
      <c r="Z631" s="408">
        <v>-5.9</v>
      </c>
      <c r="AA631" s="408">
        <v>-0.1</v>
      </c>
    </row>
    <row r="632" spans="1:27">
      <c r="A632">
        <v>515</v>
      </c>
      <c r="B632" s="1" t="s">
        <v>498</v>
      </c>
      <c r="C632" s="5" t="s">
        <v>20</v>
      </c>
      <c r="D632" s="408">
        <v>25</v>
      </c>
      <c r="E632" s="5" t="s">
        <v>30</v>
      </c>
      <c r="F632" s="408">
        <v>50</v>
      </c>
      <c r="G632" s="408">
        <v>520</v>
      </c>
      <c r="H632" s="408">
        <v>10.199999999999999</v>
      </c>
      <c r="I632" s="408">
        <v>0.52200000000000002</v>
      </c>
      <c r="J632" s="408">
        <v>0.35099999999999998</v>
      </c>
      <c r="K632" s="408">
        <v>0.17</v>
      </c>
      <c r="L632" s="408">
        <v>2.4</v>
      </c>
      <c r="M632" s="408">
        <v>10.7</v>
      </c>
      <c r="N632" s="408">
        <v>6.6</v>
      </c>
      <c r="O632" s="408">
        <v>9.8000000000000007</v>
      </c>
      <c r="P632" s="408">
        <v>1.3</v>
      </c>
      <c r="Q632" s="408">
        <v>0.2</v>
      </c>
      <c r="R632" s="408">
        <v>12</v>
      </c>
      <c r="S632" s="408">
        <v>17.899999999999999</v>
      </c>
      <c r="T632" s="408">
        <v>0.1</v>
      </c>
      <c r="U632" s="408">
        <v>0.4</v>
      </c>
      <c r="V632" s="408">
        <v>0.5</v>
      </c>
      <c r="W632" s="408">
        <v>4.3999999999999997E-2</v>
      </c>
      <c r="X632" s="408">
        <v>-2.5</v>
      </c>
      <c r="Y632" s="408">
        <v>-2.2999999999999998</v>
      </c>
      <c r="Z632" s="408">
        <v>-4.8</v>
      </c>
      <c r="AA632" s="408">
        <v>-0.4</v>
      </c>
    </row>
    <row r="633" spans="1:27">
      <c r="A633">
        <v>516</v>
      </c>
      <c r="B633" s="1" t="s">
        <v>156</v>
      </c>
      <c r="C633" s="5" t="s">
        <v>26</v>
      </c>
      <c r="D633" s="408">
        <v>32</v>
      </c>
      <c r="E633" s="5" t="s">
        <v>73</v>
      </c>
      <c r="F633" s="408">
        <v>69</v>
      </c>
      <c r="G633" s="408">
        <v>1117</v>
      </c>
      <c r="H633" s="408">
        <v>10.8</v>
      </c>
      <c r="I633" s="408">
        <v>0.57899999999999996</v>
      </c>
      <c r="J633" s="408">
        <v>0.68300000000000005</v>
      </c>
      <c r="K633" s="408">
        <v>0.13600000000000001</v>
      </c>
      <c r="L633" s="408">
        <v>1.9</v>
      </c>
      <c r="M633" s="408">
        <v>7.3</v>
      </c>
      <c r="N633" s="408">
        <v>4.8</v>
      </c>
      <c r="O633" s="408">
        <v>3.6</v>
      </c>
      <c r="P633" s="408">
        <v>1.5</v>
      </c>
      <c r="Q633" s="408">
        <v>0.5</v>
      </c>
      <c r="R633" s="408">
        <v>7.7</v>
      </c>
      <c r="S633" s="408">
        <v>17.899999999999999</v>
      </c>
      <c r="T633" s="408">
        <v>0.8</v>
      </c>
      <c r="U633" s="408">
        <v>0.8</v>
      </c>
      <c r="V633" s="408">
        <v>1.6</v>
      </c>
      <c r="W633" s="408">
        <v>7.0999999999999994E-2</v>
      </c>
      <c r="X633" s="408">
        <v>0.3</v>
      </c>
      <c r="Y633" s="408">
        <v>-3.3</v>
      </c>
      <c r="Z633" s="408">
        <v>-3</v>
      </c>
      <c r="AA633" s="408">
        <v>-0.3</v>
      </c>
    </row>
    <row r="634" spans="1:27">
      <c r="A634">
        <v>517</v>
      </c>
      <c r="B634" s="1" t="s">
        <v>453</v>
      </c>
      <c r="C634" s="5" t="s">
        <v>38</v>
      </c>
      <c r="D634" s="408">
        <v>29</v>
      </c>
      <c r="E634" s="5" t="s">
        <v>30</v>
      </c>
      <c r="F634" s="408">
        <v>71</v>
      </c>
      <c r="G634" s="408">
        <v>2303</v>
      </c>
      <c r="H634" s="408">
        <v>14.4</v>
      </c>
      <c r="I634" s="408">
        <v>0.53100000000000003</v>
      </c>
      <c r="J634" s="408">
        <v>0.22500000000000001</v>
      </c>
      <c r="K634" s="408">
        <v>9.6000000000000002E-2</v>
      </c>
      <c r="L634" s="408">
        <v>7.5</v>
      </c>
      <c r="M634" s="408">
        <v>13.6</v>
      </c>
      <c r="N634" s="408">
        <v>10.6</v>
      </c>
      <c r="O634" s="408">
        <v>8.8000000000000007</v>
      </c>
      <c r="P634" s="408">
        <v>2.6</v>
      </c>
      <c r="Q634" s="408">
        <v>1.2</v>
      </c>
      <c r="R634" s="408">
        <v>10.9</v>
      </c>
      <c r="S634" s="408">
        <v>16.899999999999999</v>
      </c>
      <c r="T634" s="408">
        <v>1.9</v>
      </c>
      <c r="U634" s="408">
        <v>2.8</v>
      </c>
      <c r="V634" s="408">
        <v>4.7</v>
      </c>
      <c r="W634" s="408">
        <v>9.7000000000000003E-2</v>
      </c>
      <c r="X634" s="408">
        <v>0.1</v>
      </c>
      <c r="Y634" s="408">
        <v>1.4</v>
      </c>
      <c r="Z634" s="408">
        <v>1.5</v>
      </c>
      <c r="AA634" s="408">
        <v>2.1</v>
      </c>
    </row>
    <row r="635" spans="1:27">
      <c r="A635">
        <v>518</v>
      </c>
      <c r="B635" s="1" t="s">
        <v>570</v>
      </c>
      <c r="C635" s="5" t="s">
        <v>83</v>
      </c>
      <c r="D635" s="408">
        <v>25</v>
      </c>
      <c r="E635" s="5" t="s">
        <v>311</v>
      </c>
      <c r="F635" s="408">
        <v>33</v>
      </c>
      <c r="G635" s="408">
        <v>627</v>
      </c>
      <c r="H635" s="408">
        <v>16</v>
      </c>
      <c r="I635" s="408">
        <v>0.60199999999999998</v>
      </c>
      <c r="J635" s="408">
        <v>1.9E-2</v>
      </c>
      <c r="K635" s="408">
        <v>0.54500000000000004</v>
      </c>
      <c r="L635" s="408">
        <v>11.3</v>
      </c>
      <c r="M635" s="408">
        <v>19.600000000000001</v>
      </c>
      <c r="N635" s="408">
        <v>15.3</v>
      </c>
      <c r="O635" s="408">
        <v>7.4</v>
      </c>
      <c r="P635" s="408">
        <v>1.1000000000000001</v>
      </c>
      <c r="Q635" s="408">
        <v>2.8</v>
      </c>
      <c r="R635" s="408">
        <v>14.6</v>
      </c>
      <c r="S635" s="408">
        <v>15.7</v>
      </c>
      <c r="T635" s="408">
        <v>1.2</v>
      </c>
      <c r="U635" s="408">
        <v>0.7</v>
      </c>
      <c r="V635" s="408">
        <v>1.9</v>
      </c>
      <c r="W635" s="408">
        <v>0.14299999999999999</v>
      </c>
      <c r="X635" s="408">
        <v>-0.8</v>
      </c>
      <c r="Y635" s="408">
        <v>1.2</v>
      </c>
      <c r="Z635" s="408">
        <v>0.4</v>
      </c>
      <c r="AA635" s="408">
        <v>0.4</v>
      </c>
    </row>
    <row r="636" spans="1:27">
      <c r="A636">
        <v>519</v>
      </c>
      <c r="B636" s="1" t="s">
        <v>552</v>
      </c>
      <c r="C636" s="5" t="s">
        <v>83</v>
      </c>
      <c r="D636" s="408">
        <v>28</v>
      </c>
      <c r="E636" s="5" t="s">
        <v>357</v>
      </c>
      <c r="F636" s="408">
        <v>55</v>
      </c>
      <c r="G636" s="408">
        <v>908</v>
      </c>
      <c r="H636" s="408">
        <v>15.5</v>
      </c>
      <c r="I636" s="408">
        <v>0.59099999999999997</v>
      </c>
      <c r="J636" s="408">
        <v>9.8000000000000004E-2</v>
      </c>
      <c r="K636" s="408">
        <v>0.23200000000000001</v>
      </c>
      <c r="L636" s="408">
        <v>10.6</v>
      </c>
      <c r="M636" s="408">
        <v>19.7</v>
      </c>
      <c r="N636" s="408">
        <v>15.1</v>
      </c>
      <c r="O636" s="408">
        <v>5.7</v>
      </c>
      <c r="P636" s="408">
        <v>0.5</v>
      </c>
      <c r="Q636" s="408">
        <v>2.6</v>
      </c>
      <c r="R636" s="408">
        <v>11.8</v>
      </c>
      <c r="S636" s="408">
        <v>17.100000000000001</v>
      </c>
      <c r="T636" s="408">
        <v>1.4</v>
      </c>
      <c r="U636" s="408">
        <v>0.7</v>
      </c>
      <c r="V636" s="408">
        <v>2.1</v>
      </c>
      <c r="W636" s="408">
        <v>0.112</v>
      </c>
      <c r="X636" s="408">
        <v>-1.7</v>
      </c>
      <c r="Y636" s="408">
        <v>-0.7</v>
      </c>
      <c r="Z636" s="408">
        <v>-2.4</v>
      </c>
      <c r="AA636" s="408">
        <v>-0.1</v>
      </c>
    </row>
    <row r="637" spans="1:27">
      <c r="A637">
        <v>519</v>
      </c>
      <c r="B637" s="1" t="s">
        <v>552</v>
      </c>
      <c r="C637" s="5" t="s">
        <v>83</v>
      </c>
      <c r="D637" s="408">
        <v>28</v>
      </c>
      <c r="E637" s="5" t="s">
        <v>315</v>
      </c>
      <c r="F637" s="408">
        <v>42</v>
      </c>
      <c r="G637" s="408">
        <v>703</v>
      </c>
      <c r="H637" s="408">
        <v>15.3</v>
      </c>
      <c r="I637" s="408">
        <v>0.58699999999999997</v>
      </c>
      <c r="J637" s="408">
        <v>0.114</v>
      </c>
      <c r="K637" s="408">
        <v>0.26200000000000001</v>
      </c>
      <c r="L637" s="408">
        <v>9.3000000000000007</v>
      </c>
      <c r="M637" s="408">
        <v>20.100000000000001</v>
      </c>
      <c r="N637" s="408">
        <v>14.6</v>
      </c>
      <c r="O637" s="408">
        <v>6.5</v>
      </c>
      <c r="P637" s="408">
        <v>0.6</v>
      </c>
      <c r="Q637" s="408">
        <v>2.2000000000000002</v>
      </c>
      <c r="R637" s="408">
        <v>12.1</v>
      </c>
      <c r="S637" s="408">
        <v>17.8</v>
      </c>
      <c r="T637" s="408">
        <v>1</v>
      </c>
      <c r="U637" s="408">
        <v>0.6</v>
      </c>
      <c r="V637" s="408">
        <v>1.5</v>
      </c>
      <c r="W637" s="408">
        <v>0.105</v>
      </c>
      <c r="X637" s="408">
        <v>-1.9</v>
      </c>
      <c r="Y637" s="408">
        <v>-0.5</v>
      </c>
      <c r="Z637" s="408">
        <v>-2.4</v>
      </c>
      <c r="AA637" s="408">
        <v>-0.1</v>
      </c>
    </row>
    <row r="638" spans="1:27">
      <c r="A638">
        <v>519</v>
      </c>
      <c r="B638" s="1" t="s">
        <v>552</v>
      </c>
      <c r="C638" s="5" t="s">
        <v>83</v>
      </c>
      <c r="D638" s="408">
        <v>28</v>
      </c>
      <c r="E638" s="5" t="s">
        <v>41</v>
      </c>
      <c r="F638" s="408">
        <v>13</v>
      </c>
      <c r="G638" s="408">
        <v>205</v>
      </c>
      <c r="H638" s="408">
        <v>16.100000000000001</v>
      </c>
      <c r="I638" s="408">
        <v>0.60499999999999998</v>
      </c>
      <c r="J638" s="408">
        <v>3.5999999999999997E-2</v>
      </c>
      <c r="K638" s="408">
        <v>0.107</v>
      </c>
      <c r="L638" s="408">
        <v>15.1</v>
      </c>
      <c r="M638" s="408">
        <v>18.399999999999999</v>
      </c>
      <c r="N638" s="408">
        <v>16.7</v>
      </c>
      <c r="O638" s="408">
        <v>3</v>
      </c>
      <c r="P638" s="408">
        <v>0.5</v>
      </c>
      <c r="Q638" s="408">
        <v>3.8</v>
      </c>
      <c r="R638" s="408">
        <v>10.7</v>
      </c>
      <c r="S638" s="408">
        <v>14.5</v>
      </c>
      <c r="T638" s="408">
        <v>0.4</v>
      </c>
      <c r="U638" s="408">
        <v>0.2</v>
      </c>
      <c r="V638" s="408">
        <v>0.6</v>
      </c>
      <c r="W638" s="408">
        <v>0.13800000000000001</v>
      </c>
      <c r="X638" s="408">
        <v>-1.2</v>
      </c>
      <c r="Y638" s="408">
        <v>-1.5</v>
      </c>
      <c r="Z638" s="408">
        <v>-2.6</v>
      </c>
      <c r="AA638" s="408">
        <v>0</v>
      </c>
    </row>
    <row r="639" spans="1:27">
      <c r="A639">
        <v>520</v>
      </c>
      <c r="B639" s="1" t="s">
        <v>497</v>
      </c>
      <c r="C639" s="5" t="s">
        <v>46</v>
      </c>
      <c r="D639" s="408">
        <v>23</v>
      </c>
      <c r="E639" s="5" t="s">
        <v>43</v>
      </c>
      <c r="F639" s="408">
        <v>52</v>
      </c>
      <c r="G639" s="408">
        <v>790</v>
      </c>
      <c r="H639" s="408">
        <v>5.6</v>
      </c>
      <c r="I639" s="408">
        <v>0.45200000000000001</v>
      </c>
      <c r="J639" s="408">
        <v>0.45700000000000002</v>
      </c>
      <c r="K639" s="408">
        <v>0.11700000000000001</v>
      </c>
      <c r="L639" s="408">
        <v>1.6</v>
      </c>
      <c r="M639" s="408">
        <v>16.399999999999999</v>
      </c>
      <c r="N639" s="408">
        <v>8.6999999999999993</v>
      </c>
      <c r="O639" s="408">
        <v>7.6</v>
      </c>
      <c r="P639" s="408">
        <v>1.2</v>
      </c>
      <c r="Q639" s="408">
        <v>1.7</v>
      </c>
      <c r="R639" s="408">
        <v>14.6</v>
      </c>
      <c r="S639" s="408">
        <v>15.2</v>
      </c>
      <c r="T639" s="408">
        <v>-1</v>
      </c>
      <c r="U639" s="408">
        <v>0.6</v>
      </c>
      <c r="V639" s="408">
        <v>-0.4</v>
      </c>
      <c r="W639" s="408">
        <v>-2.5000000000000001E-2</v>
      </c>
      <c r="X639" s="408">
        <v>-5.5</v>
      </c>
      <c r="Y639" s="408">
        <v>-0.2</v>
      </c>
      <c r="Z639" s="408">
        <v>-5.7</v>
      </c>
      <c r="AA639" s="408">
        <v>-0.7</v>
      </c>
    </row>
    <row r="640" spans="1:27">
      <c r="A640">
        <v>521</v>
      </c>
      <c r="B640" s="1" t="s">
        <v>513</v>
      </c>
      <c r="C640" s="5" t="s">
        <v>83</v>
      </c>
      <c r="D640" s="408">
        <v>21</v>
      </c>
      <c r="E640" s="5" t="s">
        <v>102</v>
      </c>
      <c r="F640" s="408">
        <v>24</v>
      </c>
      <c r="G640" s="408">
        <v>159</v>
      </c>
      <c r="H640" s="408">
        <v>24.2</v>
      </c>
      <c r="I640" s="408">
        <v>0.72099999999999997</v>
      </c>
      <c r="J640" s="408">
        <v>0</v>
      </c>
      <c r="K640" s="408">
        <v>0.35299999999999998</v>
      </c>
      <c r="L640" s="408">
        <v>15</v>
      </c>
      <c r="M640" s="408">
        <v>20</v>
      </c>
      <c r="N640" s="408">
        <v>17.600000000000001</v>
      </c>
      <c r="O640" s="408">
        <v>4.0999999999999996</v>
      </c>
      <c r="P640" s="408">
        <v>0.3</v>
      </c>
      <c r="Q640" s="408">
        <v>7</v>
      </c>
      <c r="R640" s="408">
        <v>13.3</v>
      </c>
      <c r="S640" s="408">
        <v>18.899999999999999</v>
      </c>
      <c r="T640" s="408">
        <v>0.6</v>
      </c>
      <c r="U640" s="408">
        <v>0.2</v>
      </c>
      <c r="V640" s="408">
        <v>0.7</v>
      </c>
      <c r="W640" s="408">
        <v>0.222</v>
      </c>
      <c r="X640" s="408">
        <v>0.7</v>
      </c>
      <c r="Y640" s="408">
        <v>-0.3</v>
      </c>
      <c r="Z640" s="408">
        <v>0.4</v>
      </c>
      <c r="AA640" s="408">
        <v>0.1</v>
      </c>
    </row>
    <row r="641" spans="1:27">
      <c r="A641">
        <v>522</v>
      </c>
      <c r="B641" s="1" t="s">
        <v>625</v>
      </c>
      <c r="C641" s="5" t="s">
        <v>83</v>
      </c>
      <c r="D641" s="408">
        <v>20</v>
      </c>
      <c r="E641" s="5" t="s">
        <v>78</v>
      </c>
      <c r="F641" s="408">
        <v>31</v>
      </c>
      <c r="G641" s="408">
        <v>240</v>
      </c>
      <c r="H641" s="408">
        <v>13.1</v>
      </c>
      <c r="I641" s="408">
        <v>0.56299999999999994</v>
      </c>
      <c r="J641" s="408">
        <v>0</v>
      </c>
      <c r="K641" s="408">
        <v>0.44400000000000001</v>
      </c>
      <c r="L641" s="408">
        <v>10.6</v>
      </c>
      <c r="M641" s="408">
        <v>19.5</v>
      </c>
      <c r="N641" s="408">
        <v>15.1</v>
      </c>
      <c r="O641" s="408">
        <v>6.6</v>
      </c>
      <c r="P641" s="408">
        <v>0.8</v>
      </c>
      <c r="Q641" s="408">
        <v>1.7</v>
      </c>
      <c r="R641" s="408">
        <v>18.100000000000001</v>
      </c>
      <c r="S641" s="408">
        <v>18.5</v>
      </c>
      <c r="T641" s="408">
        <v>0.2</v>
      </c>
      <c r="U641" s="408">
        <v>0.2</v>
      </c>
      <c r="V641" s="408">
        <v>0.4</v>
      </c>
      <c r="W641" s="408">
        <v>8.2000000000000003E-2</v>
      </c>
      <c r="X641" s="408">
        <v>-4.0999999999999996</v>
      </c>
      <c r="Y641" s="408">
        <v>-0.9</v>
      </c>
      <c r="Z641" s="408">
        <v>-5</v>
      </c>
      <c r="AA641" s="408">
        <v>-0.2</v>
      </c>
    </row>
  </sheetData>
  <pageMargins left="0.7" right="0.7" top="0.75" bottom="0.75" header="0.3" footer="0.3"/>
  <pageSetup orientation="portrait" r:id="rId1"/>
  <drawing r:id="rId2"/>
  <legacyDrawing r:id="rId3"/>
  <tableParts count="1">
    <tablePart r:id="rId4"/>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5"/>
  <dimension ref="A1:AJ641"/>
  <sheetViews>
    <sheetView workbookViewId="0">
      <pane ySplit="5" topLeftCell="A6" activePane="bottomLeft" state="frozen"/>
      <selection pane="bottomLeft" activeCell="B6" sqref="B6"/>
    </sheetView>
  </sheetViews>
  <sheetFormatPr defaultColWidth="8.85546875" defaultRowHeight="15"/>
  <cols>
    <col min="1" max="1" width="4" bestFit="1" customWidth="1"/>
    <col min="2" max="2" width="24.85546875" bestFit="1" customWidth="1"/>
    <col min="3" max="3" width="6.42578125" bestFit="1" customWidth="1"/>
    <col min="4" max="4" width="4.42578125" bestFit="1" customWidth="1"/>
    <col min="5" max="5" width="5.42578125" bestFit="1" customWidth="1"/>
    <col min="6" max="6" width="3" bestFit="1" customWidth="1"/>
    <col min="7" max="7" width="3.42578125" bestFit="1" customWidth="1"/>
    <col min="8" max="10" width="5" bestFit="1" customWidth="1"/>
    <col min="11" max="11" width="6" style="2" bestFit="1" customWidth="1"/>
    <col min="12" max="12" width="4" bestFit="1" customWidth="1"/>
    <col min="13" max="13" width="5" bestFit="1" customWidth="1"/>
    <col min="14" max="14" width="6" style="5" bestFit="1" customWidth="1"/>
    <col min="15" max="15" width="4" bestFit="1" customWidth="1"/>
    <col min="16" max="16" width="5" bestFit="1" customWidth="1"/>
    <col min="17" max="17" width="6" bestFit="1" customWidth="1"/>
    <col min="18" max="18" width="6.140625" bestFit="1" customWidth="1"/>
    <col min="19" max="19" width="4" bestFit="1" customWidth="1"/>
    <col min="20" max="20" width="5" bestFit="1" customWidth="1"/>
    <col min="21" max="21" width="6" bestFit="1" customWidth="1"/>
    <col min="22" max="22" width="4.7109375" bestFit="1" customWidth="1"/>
    <col min="23" max="25" width="5" bestFit="1" customWidth="1"/>
    <col min="26" max="26" width="4" bestFit="1" customWidth="1"/>
    <col min="27" max="27" width="4.140625" bestFit="1" customWidth="1"/>
    <col min="28" max="28" width="4.7109375" bestFit="1" customWidth="1"/>
    <col min="29" max="29" width="4" bestFit="1" customWidth="1"/>
    <col min="30" max="30" width="5.42578125" bestFit="1" customWidth="1"/>
    <col min="33" max="33" width="13.42578125" bestFit="1" customWidth="1"/>
    <col min="34" max="34" width="9.140625" customWidth="1"/>
  </cols>
  <sheetData>
    <row r="1" spans="1:36" s="122" customFormat="1" ht="15" customHeight="1">
      <c r="D1" s="225"/>
      <c r="E1" s="225"/>
      <c r="F1" s="225"/>
      <c r="G1" s="229"/>
      <c r="H1" s="229"/>
      <c r="I1" s="229"/>
      <c r="J1" s="229"/>
      <c r="K1" s="225"/>
      <c r="L1" s="225"/>
      <c r="M1" s="225"/>
      <c r="P1" s="226"/>
      <c r="Q1" s="226"/>
    </row>
    <row r="2" spans="1:36" s="122" customFormat="1" ht="15" customHeight="1">
      <c r="D2" s="225"/>
      <c r="E2" s="225"/>
      <c r="F2" s="225"/>
      <c r="G2" s="229"/>
      <c r="H2" s="229"/>
      <c r="I2" s="229"/>
      <c r="J2" s="229"/>
      <c r="K2" s="225"/>
      <c r="L2" s="225"/>
      <c r="M2" s="225"/>
      <c r="N2" s="230"/>
      <c r="O2" s="230"/>
      <c r="P2" s="230"/>
      <c r="Q2" s="226"/>
    </row>
    <row r="3" spans="1:36" s="122" customFormat="1" ht="15" customHeight="1" thickBot="1">
      <c r="D3" s="225"/>
      <c r="E3" s="225"/>
      <c r="F3" s="225"/>
      <c r="G3" s="229"/>
      <c r="H3" s="229"/>
      <c r="I3" s="229"/>
      <c r="J3" s="229"/>
      <c r="K3" s="225"/>
      <c r="L3" s="225"/>
      <c r="M3" s="225"/>
      <c r="N3" s="691" t="s">
        <v>285</v>
      </c>
      <c r="O3" s="692"/>
      <c r="P3" s="693"/>
      <c r="Q3" s="231"/>
    </row>
    <row r="4" spans="1:36" s="122" customFormat="1" ht="15" customHeight="1">
      <c r="B4" s="226"/>
      <c r="C4" s="227"/>
      <c r="D4" s="227"/>
      <c r="E4" s="227"/>
      <c r="F4" s="227"/>
      <c r="G4" s="229"/>
      <c r="H4" s="229"/>
      <c r="I4" s="229"/>
      <c r="J4" s="229"/>
      <c r="K4" s="227"/>
      <c r="L4" s="227"/>
      <c r="N4" s="228"/>
    </row>
    <row r="5" spans="1:36" s="232" customFormat="1">
      <c r="A5" t="s">
        <v>257</v>
      </c>
      <c r="B5" t="s">
        <v>258</v>
      </c>
      <c r="C5" t="s">
        <v>259</v>
      </c>
      <c r="D5" t="s">
        <v>255</v>
      </c>
      <c r="E5" t="s">
        <v>260</v>
      </c>
      <c r="F5" t="s">
        <v>261</v>
      </c>
      <c r="G5" t="s">
        <v>262</v>
      </c>
      <c r="H5" t="s">
        <v>263</v>
      </c>
      <c r="I5" t="s">
        <v>264</v>
      </c>
      <c r="J5" t="s">
        <v>265</v>
      </c>
      <c r="K5" t="s">
        <v>266</v>
      </c>
      <c r="L5" t="s">
        <v>267</v>
      </c>
      <c r="M5" t="s">
        <v>268</v>
      </c>
      <c r="N5" t="s">
        <v>269</v>
      </c>
      <c r="O5" t="s">
        <v>270</v>
      </c>
      <c r="P5" t="s">
        <v>271</v>
      </c>
      <c r="Q5" t="s">
        <v>272</v>
      </c>
      <c r="R5" t="s">
        <v>273</v>
      </c>
      <c r="S5" t="s">
        <v>274</v>
      </c>
      <c r="T5" t="s">
        <v>275</v>
      </c>
      <c r="U5" t="s">
        <v>276</v>
      </c>
      <c r="V5" t="s">
        <v>277</v>
      </c>
      <c r="W5" t="s">
        <v>278</v>
      </c>
      <c r="X5" t="s">
        <v>279</v>
      </c>
      <c r="Y5" t="s">
        <v>280</v>
      </c>
      <c r="Z5" t="s">
        <v>281</v>
      </c>
      <c r="AA5" t="s">
        <v>282</v>
      </c>
      <c r="AB5" t="s">
        <v>283</v>
      </c>
      <c r="AC5" t="s">
        <v>38</v>
      </c>
      <c r="AD5" t="s">
        <v>284</v>
      </c>
    </row>
    <row r="6" spans="1:36">
      <c r="A6">
        <v>1</v>
      </c>
      <c r="B6" s="1" t="s">
        <v>442</v>
      </c>
      <c r="C6" s="5" t="s">
        <v>26</v>
      </c>
      <c r="D6" s="408">
        <v>24</v>
      </c>
      <c r="E6" s="5" t="s">
        <v>58</v>
      </c>
      <c r="F6" s="408">
        <v>66</v>
      </c>
      <c r="G6" s="408">
        <v>8</v>
      </c>
      <c r="H6" s="408">
        <v>15.2</v>
      </c>
      <c r="I6" s="408">
        <v>1.6</v>
      </c>
      <c r="J6" s="408">
        <v>4</v>
      </c>
      <c r="K6" s="408">
        <v>0.39500000000000002</v>
      </c>
      <c r="L6" s="408">
        <v>1.1000000000000001</v>
      </c>
      <c r="M6" s="408">
        <v>3</v>
      </c>
      <c r="N6" s="5">
        <v>0.38300000000000001</v>
      </c>
      <c r="O6" s="408">
        <v>0.4</v>
      </c>
      <c r="P6" s="408">
        <v>1</v>
      </c>
      <c r="Q6" s="408">
        <v>0.433</v>
      </c>
      <c r="R6" s="408">
        <v>0.53800000000000003</v>
      </c>
      <c r="S6" s="408">
        <v>0.5</v>
      </c>
      <c r="T6" s="408">
        <v>0.6</v>
      </c>
      <c r="U6" s="408">
        <v>0.872</v>
      </c>
      <c r="V6" s="408">
        <v>0.4</v>
      </c>
      <c r="W6" s="408">
        <v>1.2</v>
      </c>
      <c r="X6" s="408">
        <v>1.6</v>
      </c>
      <c r="Y6" s="408">
        <v>0.4</v>
      </c>
      <c r="Z6" s="408">
        <v>0.5</v>
      </c>
      <c r="AA6" s="408">
        <v>0.1</v>
      </c>
      <c r="AB6" s="408">
        <v>0.4</v>
      </c>
      <c r="AC6" s="408">
        <v>1.6</v>
      </c>
      <c r="AD6" s="408">
        <v>4.8</v>
      </c>
    </row>
    <row r="7" spans="1:36">
      <c r="A7">
        <v>2</v>
      </c>
      <c r="B7" s="1" t="s">
        <v>143</v>
      </c>
      <c r="C7" s="5" t="s">
        <v>38</v>
      </c>
      <c r="D7" s="408">
        <v>27</v>
      </c>
      <c r="E7" s="5" t="s">
        <v>315</v>
      </c>
      <c r="F7" s="408">
        <v>62</v>
      </c>
      <c r="G7" s="408">
        <v>8</v>
      </c>
      <c r="H7" s="408">
        <v>19.5</v>
      </c>
      <c r="I7" s="408">
        <v>1.7</v>
      </c>
      <c r="J7" s="408">
        <v>5.0999999999999996</v>
      </c>
      <c r="K7" s="408">
        <v>0.33800000000000002</v>
      </c>
      <c r="L7" s="408">
        <v>1.3</v>
      </c>
      <c r="M7" s="408">
        <v>4</v>
      </c>
      <c r="N7" s="5">
        <v>0.33100000000000002</v>
      </c>
      <c r="O7" s="408">
        <v>0.4</v>
      </c>
      <c r="P7" s="408">
        <v>1.1000000000000001</v>
      </c>
      <c r="Q7" s="408">
        <v>0.36399999999999999</v>
      </c>
      <c r="R7" s="408">
        <v>0.46800000000000003</v>
      </c>
      <c r="S7" s="408">
        <v>0.7</v>
      </c>
      <c r="T7" s="408">
        <v>0.9</v>
      </c>
      <c r="U7" s="408">
        <v>0.82099999999999995</v>
      </c>
      <c r="V7" s="408">
        <v>0.6</v>
      </c>
      <c r="W7" s="408">
        <v>3.2</v>
      </c>
      <c r="X7" s="408">
        <v>3.8</v>
      </c>
      <c r="Y7" s="408">
        <v>0.8</v>
      </c>
      <c r="Z7" s="408">
        <v>0.5</v>
      </c>
      <c r="AA7" s="408">
        <v>0.4</v>
      </c>
      <c r="AB7" s="408">
        <v>0.9</v>
      </c>
      <c r="AC7" s="408">
        <v>2.1</v>
      </c>
      <c r="AD7" s="408">
        <v>5.5</v>
      </c>
    </row>
    <row r="8" spans="1:36">
      <c r="A8">
        <v>3</v>
      </c>
      <c r="B8" s="1" t="s">
        <v>589</v>
      </c>
      <c r="C8" s="5" t="s">
        <v>83</v>
      </c>
      <c r="D8" s="408">
        <v>24</v>
      </c>
      <c r="E8" s="5" t="s">
        <v>58</v>
      </c>
      <c r="F8" s="408">
        <v>66</v>
      </c>
      <c r="G8" s="408">
        <v>66</v>
      </c>
      <c r="H8" s="408">
        <v>32.5</v>
      </c>
      <c r="I8" s="408">
        <v>6</v>
      </c>
      <c r="J8" s="408">
        <v>9.4</v>
      </c>
      <c r="K8" s="408">
        <v>0.63500000000000001</v>
      </c>
      <c r="L8" s="408">
        <v>0</v>
      </c>
      <c r="M8" s="408">
        <v>0</v>
      </c>
      <c r="N8" s="5">
        <v>0</v>
      </c>
      <c r="O8" s="408">
        <v>6</v>
      </c>
      <c r="P8" s="408">
        <v>9.3000000000000007</v>
      </c>
      <c r="Q8" s="408">
        <v>0.63700000000000001</v>
      </c>
      <c r="R8" s="408">
        <v>0.63500000000000001</v>
      </c>
      <c r="S8" s="408">
        <v>2</v>
      </c>
      <c r="T8" s="408">
        <v>3.5</v>
      </c>
      <c r="U8" s="408">
        <v>0.56799999999999995</v>
      </c>
      <c r="V8" s="408">
        <v>5.0999999999999996</v>
      </c>
      <c r="W8" s="408">
        <v>3.9</v>
      </c>
      <c r="X8" s="408">
        <v>9</v>
      </c>
      <c r="Y8" s="408">
        <v>1.1000000000000001</v>
      </c>
      <c r="Z8" s="408">
        <v>1.3</v>
      </c>
      <c r="AA8" s="408">
        <v>1.1000000000000001</v>
      </c>
      <c r="AB8" s="408">
        <v>1.6</v>
      </c>
      <c r="AC8" s="408">
        <v>2.9</v>
      </c>
      <c r="AD8" s="408">
        <v>13.9</v>
      </c>
      <c r="AI8" s="22"/>
      <c r="AJ8" s="22"/>
    </row>
    <row r="9" spans="1:36">
      <c r="A9">
        <v>4</v>
      </c>
      <c r="B9" s="1" t="s">
        <v>569</v>
      </c>
      <c r="C9" s="5" t="s">
        <v>83</v>
      </c>
      <c r="D9" s="408">
        <v>20</v>
      </c>
      <c r="E9" s="5" t="s">
        <v>50</v>
      </c>
      <c r="F9" s="408">
        <v>61</v>
      </c>
      <c r="G9" s="408">
        <v>16</v>
      </c>
      <c r="H9" s="408">
        <v>20.3</v>
      </c>
      <c r="I9" s="408">
        <v>2.6</v>
      </c>
      <c r="J9" s="408">
        <v>5</v>
      </c>
      <c r="K9" s="408">
        <v>0.51500000000000001</v>
      </c>
      <c r="L9" s="408">
        <v>0</v>
      </c>
      <c r="M9" s="408">
        <v>0.1</v>
      </c>
      <c r="N9" s="5">
        <v>0</v>
      </c>
      <c r="O9" s="408">
        <v>2.6</v>
      </c>
      <c r="P9" s="408">
        <v>4.9000000000000004</v>
      </c>
      <c r="Q9" s="408">
        <v>0.52700000000000002</v>
      </c>
      <c r="R9" s="408">
        <v>0.51500000000000001</v>
      </c>
      <c r="S9" s="408">
        <v>1.9</v>
      </c>
      <c r="T9" s="408">
        <v>2.7</v>
      </c>
      <c r="U9" s="408">
        <v>0.70299999999999996</v>
      </c>
      <c r="V9" s="408">
        <v>1.8</v>
      </c>
      <c r="W9" s="408">
        <v>3.9</v>
      </c>
      <c r="X9" s="408">
        <v>5.7</v>
      </c>
      <c r="Y9" s="408">
        <v>1.6</v>
      </c>
      <c r="Z9" s="408">
        <v>0.5</v>
      </c>
      <c r="AA9" s="408">
        <v>0.6</v>
      </c>
      <c r="AB9" s="408">
        <v>0.9</v>
      </c>
      <c r="AC9" s="408">
        <v>2</v>
      </c>
      <c r="AD9" s="408">
        <v>7</v>
      </c>
      <c r="AI9" s="23"/>
      <c r="AJ9" s="22"/>
    </row>
    <row r="10" spans="1:36">
      <c r="A10">
        <v>5</v>
      </c>
      <c r="B10" s="1" t="s">
        <v>76</v>
      </c>
      <c r="C10" s="5" t="s">
        <v>26</v>
      </c>
      <c r="D10" s="408">
        <v>32</v>
      </c>
      <c r="E10" s="5" t="s">
        <v>75</v>
      </c>
      <c r="F10" s="408">
        <v>47</v>
      </c>
      <c r="G10" s="408">
        <v>2</v>
      </c>
      <c r="H10" s="408">
        <v>12.7</v>
      </c>
      <c r="I10" s="408">
        <v>1.2</v>
      </c>
      <c r="J10" s="408">
        <v>3</v>
      </c>
      <c r="K10" s="408">
        <v>0.39700000000000002</v>
      </c>
      <c r="L10" s="408">
        <v>0.5</v>
      </c>
      <c r="M10" s="408">
        <v>1.3</v>
      </c>
      <c r="N10" s="5">
        <v>0.39</v>
      </c>
      <c r="O10" s="408">
        <v>0.7</v>
      </c>
      <c r="P10" s="408">
        <v>1.7</v>
      </c>
      <c r="Q10" s="408">
        <v>0.40200000000000002</v>
      </c>
      <c r="R10" s="408">
        <v>0.47899999999999998</v>
      </c>
      <c r="S10" s="408">
        <v>0.4</v>
      </c>
      <c r="T10" s="408">
        <v>0.5</v>
      </c>
      <c r="U10" s="408">
        <v>0.83299999999999996</v>
      </c>
      <c r="V10" s="408">
        <v>0.1</v>
      </c>
      <c r="W10" s="408">
        <v>1.3</v>
      </c>
      <c r="X10" s="408">
        <v>1.3</v>
      </c>
      <c r="Y10" s="408">
        <v>0.6</v>
      </c>
      <c r="Z10" s="408">
        <v>0</v>
      </c>
      <c r="AA10" s="408">
        <v>0.1</v>
      </c>
      <c r="AB10" s="408">
        <v>0.4</v>
      </c>
      <c r="AC10" s="408">
        <v>1.1000000000000001</v>
      </c>
      <c r="AD10" s="408">
        <v>3.3</v>
      </c>
    </row>
    <row r="11" spans="1:36">
      <c r="A11">
        <v>6</v>
      </c>
      <c r="B11" s="1" t="s">
        <v>8</v>
      </c>
      <c r="C11" s="5" t="s">
        <v>83</v>
      </c>
      <c r="D11" s="408">
        <v>29</v>
      </c>
      <c r="E11" s="5" t="s">
        <v>56</v>
      </c>
      <c r="F11" s="408">
        <v>17</v>
      </c>
      <c r="G11" s="408">
        <v>0</v>
      </c>
      <c r="H11" s="408">
        <v>1.9</v>
      </c>
      <c r="I11" s="408">
        <v>0.2</v>
      </c>
      <c r="J11" s="408">
        <v>0.6</v>
      </c>
      <c r="K11" s="408">
        <v>0.27300000000000002</v>
      </c>
      <c r="L11" s="408">
        <v>0</v>
      </c>
      <c r="M11" s="408">
        <v>0</v>
      </c>
      <c r="O11" s="408">
        <v>0.2</v>
      </c>
      <c r="P11" s="408">
        <v>0.6</v>
      </c>
      <c r="Q11" s="408">
        <v>0.27300000000000002</v>
      </c>
      <c r="R11" s="408">
        <v>0.27300000000000002</v>
      </c>
      <c r="S11" s="408">
        <v>0.1</v>
      </c>
      <c r="T11" s="408">
        <v>0.2</v>
      </c>
      <c r="U11" s="408">
        <v>0.5</v>
      </c>
      <c r="V11" s="408">
        <v>0.2</v>
      </c>
      <c r="W11" s="408">
        <v>0.3</v>
      </c>
      <c r="X11" s="408">
        <v>0.5</v>
      </c>
      <c r="Y11" s="408">
        <v>0.1</v>
      </c>
      <c r="Z11" s="408">
        <v>0.1</v>
      </c>
      <c r="AA11" s="408">
        <v>0.1</v>
      </c>
      <c r="AB11" s="408">
        <v>0.1</v>
      </c>
      <c r="AC11" s="408">
        <v>0.4</v>
      </c>
      <c r="AD11" s="408">
        <v>0.5</v>
      </c>
    </row>
    <row r="12" spans="1:36">
      <c r="A12">
        <v>7</v>
      </c>
      <c r="B12" s="1" t="s">
        <v>504</v>
      </c>
      <c r="C12" s="5" t="s">
        <v>83</v>
      </c>
      <c r="D12" s="408">
        <v>32</v>
      </c>
      <c r="E12" s="5" t="s">
        <v>140</v>
      </c>
      <c r="F12" s="408">
        <v>64</v>
      </c>
      <c r="G12" s="408">
        <v>64</v>
      </c>
      <c r="H12" s="408">
        <v>33.5</v>
      </c>
      <c r="I12" s="408">
        <v>8.9</v>
      </c>
      <c r="J12" s="408">
        <v>17.8</v>
      </c>
      <c r="K12" s="408">
        <v>0.502</v>
      </c>
      <c r="L12" s="408">
        <v>0.4</v>
      </c>
      <c r="M12" s="408">
        <v>1.3</v>
      </c>
      <c r="N12" s="5">
        <v>0.30099999999999999</v>
      </c>
      <c r="O12" s="408">
        <v>8.5</v>
      </c>
      <c r="P12" s="408">
        <v>16.5</v>
      </c>
      <c r="Q12" s="408">
        <v>0.51800000000000002</v>
      </c>
      <c r="R12" s="408">
        <v>0.51300000000000001</v>
      </c>
      <c r="S12" s="408">
        <v>4.4000000000000004</v>
      </c>
      <c r="T12" s="408">
        <v>5.3</v>
      </c>
      <c r="U12" s="408">
        <v>0.83499999999999996</v>
      </c>
      <c r="V12" s="408">
        <v>3.3</v>
      </c>
      <c r="W12" s="408">
        <v>5.0999999999999996</v>
      </c>
      <c r="X12" s="408">
        <v>8.4</v>
      </c>
      <c r="Y12" s="408">
        <v>2</v>
      </c>
      <c r="Z12" s="408">
        <v>0.5</v>
      </c>
      <c r="AA12" s="408">
        <v>1.1000000000000001</v>
      </c>
      <c r="AB12" s="408">
        <v>1.5</v>
      </c>
      <c r="AC12" s="408">
        <v>2.2000000000000002</v>
      </c>
      <c r="AD12" s="408">
        <v>22.7</v>
      </c>
    </row>
    <row r="13" spans="1:36">
      <c r="A13">
        <v>8</v>
      </c>
      <c r="B13" s="1" t="s">
        <v>561</v>
      </c>
      <c r="C13" s="5" t="s">
        <v>83</v>
      </c>
      <c r="D13" s="408">
        <v>19</v>
      </c>
      <c r="E13" s="5" t="s">
        <v>315</v>
      </c>
      <c r="F13" s="408">
        <v>61</v>
      </c>
      <c r="G13" s="408">
        <v>20</v>
      </c>
      <c r="H13" s="408">
        <v>19.2</v>
      </c>
      <c r="I13" s="408">
        <v>3.2</v>
      </c>
      <c r="J13" s="408">
        <v>5.5</v>
      </c>
      <c r="K13" s="408">
        <v>0.58199999999999996</v>
      </c>
      <c r="L13" s="408">
        <v>0</v>
      </c>
      <c r="M13" s="408">
        <v>0.2</v>
      </c>
      <c r="N13" s="5">
        <v>0.27300000000000002</v>
      </c>
      <c r="O13" s="408">
        <v>3.1</v>
      </c>
      <c r="P13" s="408">
        <v>5.3</v>
      </c>
      <c r="Q13" s="408">
        <v>0.59299999999999997</v>
      </c>
      <c r="R13" s="408">
        <v>0.58699999999999997</v>
      </c>
      <c r="S13" s="408">
        <v>1.5</v>
      </c>
      <c r="T13" s="408">
        <v>2</v>
      </c>
      <c r="U13" s="408">
        <v>0.78200000000000003</v>
      </c>
      <c r="V13" s="408">
        <v>2.1</v>
      </c>
      <c r="W13" s="408">
        <v>3.2</v>
      </c>
      <c r="X13" s="408">
        <v>5.3</v>
      </c>
      <c r="Y13" s="408">
        <v>0.7</v>
      </c>
      <c r="Z13" s="408">
        <v>0.4</v>
      </c>
      <c r="AA13" s="408">
        <v>1</v>
      </c>
      <c r="AB13" s="408">
        <v>1.1000000000000001</v>
      </c>
      <c r="AC13" s="408">
        <v>2</v>
      </c>
      <c r="AD13" s="408">
        <v>8</v>
      </c>
    </row>
    <row r="14" spans="1:36">
      <c r="A14">
        <v>9</v>
      </c>
      <c r="B14" s="1" t="s">
        <v>481</v>
      </c>
      <c r="C14" s="5" t="s">
        <v>20</v>
      </c>
      <c r="D14" s="408">
        <v>25</v>
      </c>
      <c r="E14" s="5" t="s">
        <v>87</v>
      </c>
      <c r="F14" s="408">
        <v>9</v>
      </c>
      <c r="G14" s="408">
        <v>0</v>
      </c>
      <c r="H14" s="408">
        <v>3.4</v>
      </c>
      <c r="I14" s="408">
        <v>0.1</v>
      </c>
      <c r="J14" s="408">
        <v>0.7</v>
      </c>
      <c r="K14" s="408">
        <v>0.16700000000000001</v>
      </c>
      <c r="L14" s="408">
        <v>0</v>
      </c>
      <c r="M14" s="408">
        <v>0.3</v>
      </c>
      <c r="N14" s="5">
        <v>0</v>
      </c>
      <c r="O14" s="408">
        <v>0.1</v>
      </c>
      <c r="P14" s="408">
        <v>0.3</v>
      </c>
      <c r="Q14" s="408">
        <v>0.33300000000000002</v>
      </c>
      <c r="R14" s="408">
        <v>0.16700000000000001</v>
      </c>
      <c r="S14" s="408">
        <v>0.3</v>
      </c>
      <c r="T14" s="408">
        <v>0.4</v>
      </c>
      <c r="U14" s="408">
        <v>0.75</v>
      </c>
      <c r="V14" s="408">
        <v>0.1</v>
      </c>
      <c r="W14" s="408">
        <v>0.3</v>
      </c>
      <c r="X14" s="408">
        <v>0.4</v>
      </c>
      <c r="Y14" s="408">
        <v>0.2</v>
      </c>
      <c r="Z14" s="408">
        <v>0.1</v>
      </c>
      <c r="AA14" s="408">
        <v>0</v>
      </c>
      <c r="AB14" s="408">
        <v>0.3</v>
      </c>
      <c r="AC14" s="408">
        <v>0.2</v>
      </c>
      <c r="AD14" s="408">
        <v>0.6</v>
      </c>
    </row>
    <row r="15" spans="1:36">
      <c r="A15">
        <v>10</v>
      </c>
      <c r="B15" s="1" t="s">
        <v>113</v>
      </c>
      <c r="C15" s="5" t="s">
        <v>46</v>
      </c>
      <c r="D15" s="408">
        <v>36</v>
      </c>
      <c r="E15" s="5" t="s">
        <v>112</v>
      </c>
      <c r="F15" s="408">
        <v>22</v>
      </c>
      <c r="G15" s="408">
        <v>0</v>
      </c>
      <c r="H15" s="408">
        <v>12.4</v>
      </c>
      <c r="I15" s="408">
        <v>2</v>
      </c>
      <c r="J15" s="408">
        <v>4.0999999999999996</v>
      </c>
      <c r="K15" s="408">
        <v>0.48399999999999999</v>
      </c>
      <c r="L15" s="408">
        <v>0.2</v>
      </c>
      <c r="M15" s="408">
        <v>0.5</v>
      </c>
      <c r="N15" s="5">
        <v>0.33300000000000002</v>
      </c>
      <c r="O15" s="408">
        <v>1.8</v>
      </c>
      <c r="P15" s="408">
        <v>3.6</v>
      </c>
      <c r="Q15" s="408">
        <v>0.50600000000000001</v>
      </c>
      <c r="R15" s="408">
        <v>0.505</v>
      </c>
      <c r="S15" s="408">
        <v>0.5</v>
      </c>
      <c r="T15" s="408">
        <v>1</v>
      </c>
      <c r="U15" s="408">
        <v>0.52400000000000002</v>
      </c>
      <c r="V15" s="408">
        <v>0.9</v>
      </c>
      <c r="W15" s="408">
        <v>1.2</v>
      </c>
      <c r="X15" s="408">
        <v>2.1</v>
      </c>
      <c r="Y15" s="408">
        <v>0.4</v>
      </c>
      <c r="Z15" s="408">
        <v>0.5</v>
      </c>
      <c r="AA15" s="408">
        <v>0.1</v>
      </c>
      <c r="AB15" s="408">
        <v>0.9</v>
      </c>
      <c r="AC15" s="408">
        <v>2.2000000000000002</v>
      </c>
      <c r="AD15" s="408">
        <v>4.7</v>
      </c>
    </row>
    <row r="16" spans="1:36">
      <c r="A16">
        <v>11</v>
      </c>
      <c r="B16" s="1" t="s">
        <v>358</v>
      </c>
      <c r="C16" s="5" t="s">
        <v>38</v>
      </c>
      <c r="D16" s="408">
        <v>27</v>
      </c>
      <c r="E16" s="5" t="s">
        <v>96</v>
      </c>
      <c r="F16" s="408">
        <v>57</v>
      </c>
      <c r="G16" s="408">
        <v>55</v>
      </c>
      <c r="H16" s="408">
        <v>29.8</v>
      </c>
      <c r="I16" s="408">
        <v>3.3</v>
      </c>
      <c r="J16" s="408">
        <v>8.3000000000000007</v>
      </c>
      <c r="K16" s="408">
        <v>0.39900000000000002</v>
      </c>
      <c r="L16" s="408">
        <v>1.9</v>
      </c>
      <c r="M16" s="408">
        <v>4.7</v>
      </c>
      <c r="N16" s="5">
        <v>0.39300000000000002</v>
      </c>
      <c r="O16" s="408">
        <v>1.4</v>
      </c>
      <c r="P16" s="408">
        <v>3.5</v>
      </c>
      <c r="Q16" s="408">
        <v>0.40799999999999997</v>
      </c>
      <c r="R16" s="408">
        <v>0.51200000000000001</v>
      </c>
      <c r="S16" s="408">
        <v>0.8</v>
      </c>
      <c r="T16" s="408">
        <v>1.1000000000000001</v>
      </c>
      <c r="U16" s="408">
        <v>0.746</v>
      </c>
      <c r="V16" s="408">
        <v>1.3</v>
      </c>
      <c r="W16" s="408">
        <v>6.2</v>
      </c>
      <c r="X16" s="408">
        <v>7.4</v>
      </c>
      <c r="Y16" s="408">
        <v>1.2</v>
      </c>
      <c r="Z16" s="408">
        <v>1</v>
      </c>
      <c r="AA16" s="408">
        <v>0.6</v>
      </c>
      <c r="AB16" s="408">
        <v>1.1000000000000001</v>
      </c>
      <c r="AC16" s="408">
        <v>1.9</v>
      </c>
      <c r="AD16" s="408">
        <v>9.3000000000000007</v>
      </c>
    </row>
    <row r="17" spans="1:30">
      <c r="A17">
        <v>12</v>
      </c>
      <c r="B17" s="1" t="s">
        <v>440</v>
      </c>
      <c r="C17" s="5" t="s">
        <v>46</v>
      </c>
      <c r="D17" s="408">
        <v>24</v>
      </c>
      <c r="E17" s="5" t="s">
        <v>118</v>
      </c>
      <c r="F17" s="408">
        <v>30</v>
      </c>
      <c r="G17" s="408">
        <v>0</v>
      </c>
      <c r="H17" s="408">
        <v>13.6</v>
      </c>
      <c r="I17" s="408">
        <v>2.2000000000000002</v>
      </c>
      <c r="J17" s="408">
        <v>5</v>
      </c>
      <c r="K17" s="408">
        <v>0.44400000000000001</v>
      </c>
      <c r="L17" s="408">
        <v>0.9</v>
      </c>
      <c r="M17" s="408">
        <v>2.5</v>
      </c>
      <c r="N17" s="5">
        <v>0.36</v>
      </c>
      <c r="O17" s="408">
        <v>1.3</v>
      </c>
      <c r="P17" s="408">
        <v>2.5</v>
      </c>
      <c r="Q17" s="408">
        <v>0.52600000000000002</v>
      </c>
      <c r="R17" s="408">
        <v>0.53300000000000003</v>
      </c>
      <c r="S17" s="408">
        <v>0.6</v>
      </c>
      <c r="T17" s="408">
        <v>0.8</v>
      </c>
      <c r="U17" s="408">
        <v>0.68</v>
      </c>
      <c r="V17" s="408">
        <v>0.6</v>
      </c>
      <c r="W17" s="408">
        <v>1.8</v>
      </c>
      <c r="X17" s="408">
        <v>2.4</v>
      </c>
      <c r="Y17" s="408">
        <v>0.6</v>
      </c>
      <c r="Z17" s="408">
        <v>0.4</v>
      </c>
      <c r="AA17" s="408">
        <v>0.2</v>
      </c>
      <c r="AB17" s="408">
        <v>0.4</v>
      </c>
      <c r="AC17" s="408">
        <v>1.5</v>
      </c>
      <c r="AD17" s="408">
        <v>5.9</v>
      </c>
    </row>
    <row r="18" spans="1:30">
      <c r="A18">
        <v>13</v>
      </c>
      <c r="B18" s="1" t="s">
        <v>185</v>
      </c>
      <c r="C18" s="5" t="s">
        <v>46</v>
      </c>
      <c r="D18" s="408">
        <v>24</v>
      </c>
      <c r="E18" s="5" t="s">
        <v>140</v>
      </c>
      <c r="F18" s="408">
        <v>63</v>
      </c>
      <c r="G18" s="408">
        <v>57</v>
      </c>
      <c r="H18" s="408">
        <v>26.9</v>
      </c>
      <c r="I18" s="408">
        <v>3.1</v>
      </c>
      <c r="J18" s="408">
        <v>6</v>
      </c>
      <c r="K18" s="408">
        <v>0.51500000000000001</v>
      </c>
      <c r="L18" s="408">
        <v>0.2</v>
      </c>
      <c r="M18" s="408">
        <v>0.7</v>
      </c>
      <c r="N18" s="5">
        <v>0.27700000000000002</v>
      </c>
      <c r="O18" s="408">
        <v>2.9</v>
      </c>
      <c r="P18" s="408">
        <v>5.2</v>
      </c>
      <c r="Q18" s="408">
        <v>0.54800000000000004</v>
      </c>
      <c r="R18" s="408">
        <v>0.53200000000000003</v>
      </c>
      <c r="S18" s="408">
        <v>1.5</v>
      </c>
      <c r="T18" s="408">
        <v>2</v>
      </c>
      <c r="U18" s="408">
        <v>0.72899999999999998</v>
      </c>
      <c r="V18" s="408">
        <v>1.1000000000000001</v>
      </c>
      <c r="W18" s="408">
        <v>4.5</v>
      </c>
      <c r="X18" s="408">
        <v>5.6</v>
      </c>
      <c r="Y18" s="408">
        <v>2.8</v>
      </c>
      <c r="Z18" s="408">
        <v>1.5</v>
      </c>
      <c r="AA18" s="408">
        <v>0.8</v>
      </c>
      <c r="AB18" s="408">
        <v>1.3</v>
      </c>
      <c r="AC18" s="408">
        <v>1.5</v>
      </c>
      <c r="AD18" s="408">
        <v>7.9</v>
      </c>
    </row>
    <row r="19" spans="1:30">
      <c r="A19">
        <v>14</v>
      </c>
      <c r="B19" s="1" t="s">
        <v>328</v>
      </c>
      <c r="C19" s="5" t="s">
        <v>38</v>
      </c>
      <c r="D19" s="408">
        <v>29</v>
      </c>
      <c r="E19" s="5" t="s">
        <v>92</v>
      </c>
      <c r="F19" s="408">
        <v>59</v>
      </c>
      <c r="G19" s="408">
        <v>50</v>
      </c>
      <c r="H19" s="408">
        <v>27.1</v>
      </c>
      <c r="I19" s="408">
        <v>3.3</v>
      </c>
      <c r="J19" s="408">
        <v>7.6</v>
      </c>
      <c r="K19" s="408">
        <v>0.435</v>
      </c>
      <c r="L19" s="408">
        <v>2.1</v>
      </c>
      <c r="M19" s="408">
        <v>5.4</v>
      </c>
      <c r="N19" s="5">
        <v>0.38800000000000001</v>
      </c>
      <c r="O19" s="408">
        <v>1.2</v>
      </c>
      <c r="P19" s="408">
        <v>2.2000000000000002</v>
      </c>
      <c r="Q19" s="408">
        <v>0.55000000000000004</v>
      </c>
      <c r="R19" s="408">
        <v>0.57199999999999995</v>
      </c>
      <c r="S19" s="408">
        <v>1.1000000000000001</v>
      </c>
      <c r="T19" s="408">
        <v>1.4</v>
      </c>
      <c r="U19" s="408">
        <v>0.78800000000000003</v>
      </c>
      <c r="V19" s="408">
        <v>1.5</v>
      </c>
      <c r="W19" s="408">
        <v>3.7</v>
      </c>
      <c r="X19" s="408">
        <v>5.2</v>
      </c>
      <c r="Y19" s="408">
        <v>0.9</v>
      </c>
      <c r="Z19" s="408">
        <v>0.4</v>
      </c>
      <c r="AA19" s="408">
        <v>0.3</v>
      </c>
      <c r="AB19" s="408">
        <v>0.7</v>
      </c>
      <c r="AC19" s="408">
        <v>1.9</v>
      </c>
      <c r="AD19" s="408">
        <v>9.9</v>
      </c>
    </row>
    <row r="20" spans="1:30">
      <c r="A20">
        <v>15</v>
      </c>
      <c r="B20" s="1" t="s">
        <v>379</v>
      </c>
      <c r="C20" s="5" t="s">
        <v>83</v>
      </c>
      <c r="D20" s="408">
        <v>19</v>
      </c>
      <c r="E20" s="5" t="s">
        <v>30</v>
      </c>
      <c r="F20" s="408">
        <v>10</v>
      </c>
      <c r="G20" s="408">
        <v>0</v>
      </c>
      <c r="H20" s="408">
        <v>2.8</v>
      </c>
      <c r="I20" s="408">
        <v>0.4</v>
      </c>
      <c r="J20" s="408">
        <v>0.9</v>
      </c>
      <c r="K20" s="408">
        <v>0.44400000000000001</v>
      </c>
      <c r="L20" s="408">
        <v>0</v>
      </c>
      <c r="M20" s="408">
        <v>0</v>
      </c>
      <c r="O20" s="408">
        <v>0.4</v>
      </c>
      <c r="P20" s="408">
        <v>0.9</v>
      </c>
      <c r="Q20" s="408">
        <v>0.44400000000000001</v>
      </c>
      <c r="R20" s="408">
        <v>0.44400000000000001</v>
      </c>
      <c r="S20" s="408">
        <v>0.5</v>
      </c>
      <c r="T20" s="408">
        <v>0.6</v>
      </c>
      <c r="U20" s="408">
        <v>0.83299999999999996</v>
      </c>
      <c r="V20" s="408">
        <v>0.5</v>
      </c>
      <c r="W20" s="408">
        <v>0.4</v>
      </c>
      <c r="X20" s="408">
        <v>0.9</v>
      </c>
      <c r="Y20" s="408">
        <v>0</v>
      </c>
      <c r="Z20" s="408">
        <v>0.1</v>
      </c>
      <c r="AA20" s="408">
        <v>0.3</v>
      </c>
      <c r="AB20" s="408">
        <v>0.2</v>
      </c>
      <c r="AC20" s="408">
        <v>0.1</v>
      </c>
      <c r="AD20" s="408">
        <v>1.3</v>
      </c>
    </row>
    <row r="21" spans="1:30">
      <c r="A21">
        <v>16</v>
      </c>
      <c r="B21" s="1" t="s">
        <v>501</v>
      </c>
      <c r="C21" s="5" t="s">
        <v>38</v>
      </c>
      <c r="D21" s="408">
        <v>23</v>
      </c>
      <c r="E21" s="5" t="s">
        <v>41</v>
      </c>
      <c r="F21" s="408">
        <v>66</v>
      </c>
      <c r="G21" s="408">
        <v>66</v>
      </c>
      <c r="H21" s="408">
        <v>37.200000000000003</v>
      </c>
      <c r="I21" s="408">
        <v>10.1</v>
      </c>
      <c r="J21" s="408">
        <v>19</v>
      </c>
      <c r="K21" s="408">
        <v>0.53200000000000003</v>
      </c>
      <c r="L21" s="408">
        <v>0.5</v>
      </c>
      <c r="M21" s="408">
        <v>1.8</v>
      </c>
      <c r="N21" s="5">
        <v>0.29799999999999999</v>
      </c>
      <c r="O21" s="408">
        <v>9.5</v>
      </c>
      <c r="P21" s="408">
        <v>17.2</v>
      </c>
      <c r="Q21" s="408">
        <v>0.55700000000000005</v>
      </c>
      <c r="R21" s="408">
        <v>0.54600000000000004</v>
      </c>
      <c r="S21" s="408">
        <v>6.8</v>
      </c>
      <c r="T21" s="408">
        <v>8.9</v>
      </c>
      <c r="U21" s="408">
        <v>0.76200000000000001</v>
      </c>
      <c r="V21" s="408">
        <v>2.1</v>
      </c>
      <c r="W21" s="408">
        <v>8</v>
      </c>
      <c r="X21" s="408">
        <v>10.1</v>
      </c>
      <c r="Y21" s="408">
        <v>4.8</v>
      </c>
      <c r="Z21" s="408">
        <v>1.5</v>
      </c>
      <c r="AA21" s="408">
        <v>1.4</v>
      </c>
      <c r="AB21" s="408">
        <v>2.9</v>
      </c>
      <c r="AC21" s="408">
        <v>3.1</v>
      </c>
      <c r="AD21" s="408">
        <v>27.5</v>
      </c>
    </row>
    <row r="22" spans="1:30">
      <c r="A22">
        <v>17</v>
      </c>
      <c r="B22" s="1" t="s">
        <v>329</v>
      </c>
      <c r="C22" s="5" t="s">
        <v>38</v>
      </c>
      <c r="D22" s="408">
        <v>33</v>
      </c>
      <c r="E22" s="5" t="s">
        <v>58</v>
      </c>
      <c r="F22" s="408">
        <v>68</v>
      </c>
      <c r="G22" s="408">
        <v>68</v>
      </c>
      <c r="H22" s="408">
        <v>32.200000000000003</v>
      </c>
      <c r="I22" s="408">
        <v>6.3</v>
      </c>
      <c r="J22" s="408">
        <v>15.3</v>
      </c>
      <c r="K22" s="408">
        <v>0.40899999999999997</v>
      </c>
      <c r="L22" s="408">
        <v>2.2000000000000002</v>
      </c>
      <c r="M22" s="408">
        <v>6.1</v>
      </c>
      <c r="N22" s="5">
        <v>0.36299999999999999</v>
      </c>
      <c r="O22" s="408">
        <v>4</v>
      </c>
      <c r="P22" s="408">
        <v>9.1999999999999993</v>
      </c>
      <c r="Q22" s="408">
        <v>0.439</v>
      </c>
      <c r="R22" s="408">
        <v>0.48099999999999998</v>
      </c>
      <c r="S22" s="408">
        <v>2</v>
      </c>
      <c r="T22" s="408">
        <v>2.5</v>
      </c>
      <c r="U22" s="408">
        <v>0.76900000000000002</v>
      </c>
      <c r="V22" s="408">
        <v>0.8</v>
      </c>
      <c r="W22" s="408">
        <v>5</v>
      </c>
      <c r="X22" s="408">
        <v>5.8</v>
      </c>
      <c r="Y22" s="408">
        <v>1.3</v>
      </c>
      <c r="Z22" s="408">
        <v>0.6</v>
      </c>
      <c r="AA22" s="408">
        <v>0.6</v>
      </c>
      <c r="AB22" s="408">
        <v>1.3</v>
      </c>
      <c r="AC22" s="408">
        <v>2.6</v>
      </c>
      <c r="AD22" s="408">
        <v>16.7</v>
      </c>
    </row>
    <row r="23" spans="1:30">
      <c r="A23">
        <v>18</v>
      </c>
      <c r="B23" s="1" t="s">
        <v>427</v>
      </c>
      <c r="C23" s="5" t="s">
        <v>46</v>
      </c>
      <c r="D23" s="408">
        <v>20</v>
      </c>
      <c r="E23" s="5" t="s">
        <v>47</v>
      </c>
      <c r="F23" s="408">
        <v>62</v>
      </c>
      <c r="G23" s="408">
        <v>50</v>
      </c>
      <c r="H23" s="408">
        <v>20.3</v>
      </c>
      <c r="I23" s="408">
        <v>2.2000000000000002</v>
      </c>
      <c r="J23" s="408">
        <v>4.7</v>
      </c>
      <c r="K23" s="408">
        <v>0.45900000000000002</v>
      </c>
      <c r="L23" s="408">
        <v>1</v>
      </c>
      <c r="M23" s="408">
        <v>2.7</v>
      </c>
      <c r="N23" s="5">
        <v>0.35499999999999998</v>
      </c>
      <c r="O23" s="408">
        <v>1.2</v>
      </c>
      <c r="P23" s="408">
        <v>2</v>
      </c>
      <c r="Q23" s="408">
        <v>0.60199999999999998</v>
      </c>
      <c r="R23" s="408">
        <v>0.56200000000000006</v>
      </c>
      <c r="S23" s="408">
        <v>0.6</v>
      </c>
      <c r="T23" s="408">
        <v>0.9</v>
      </c>
      <c r="U23" s="408">
        <v>0.66</v>
      </c>
      <c r="V23" s="408">
        <v>0.6</v>
      </c>
      <c r="W23" s="408">
        <v>1.8</v>
      </c>
      <c r="X23" s="408">
        <v>2.4</v>
      </c>
      <c r="Y23" s="408">
        <v>0.8</v>
      </c>
      <c r="Z23" s="408">
        <v>0.8</v>
      </c>
      <c r="AA23" s="408">
        <v>0.2</v>
      </c>
      <c r="AB23" s="408">
        <v>0.6</v>
      </c>
      <c r="AC23" s="408">
        <v>1.7</v>
      </c>
      <c r="AD23" s="408">
        <v>5.9</v>
      </c>
    </row>
    <row r="24" spans="1:30">
      <c r="A24">
        <v>19</v>
      </c>
      <c r="B24" s="1" t="s">
        <v>44</v>
      </c>
      <c r="C24" s="5" t="s">
        <v>20</v>
      </c>
      <c r="D24" s="408">
        <v>23</v>
      </c>
      <c r="E24" s="5" t="s">
        <v>43</v>
      </c>
      <c r="F24" s="408">
        <v>13</v>
      </c>
      <c r="G24" s="408">
        <v>0</v>
      </c>
      <c r="H24" s="408">
        <v>9.1999999999999993</v>
      </c>
      <c r="I24" s="408">
        <v>0.4</v>
      </c>
      <c r="J24" s="408">
        <v>0.9</v>
      </c>
      <c r="K24" s="408">
        <v>0.41699999999999998</v>
      </c>
      <c r="L24" s="408">
        <v>0.2</v>
      </c>
      <c r="M24" s="408">
        <v>0.8</v>
      </c>
      <c r="N24" s="5">
        <v>0.3</v>
      </c>
      <c r="O24" s="408">
        <v>0.2</v>
      </c>
      <c r="P24" s="408">
        <v>0.2</v>
      </c>
      <c r="Q24" s="408">
        <v>1</v>
      </c>
      <c r="R24" s="408">
        <v>0.54200000000000004</v>
      </c>
      <c r="S24" s="408">
        <v>0.2</v>
      </c>
      <c r="T24" s="408">
        <v>0.2</v>
      </c>
      <c r="U24" s="408">
        <v>1</v>
      </c>
      <c r="V24" s="408">
        <v>0</v>
      </c>
      <c r="W24" s="408">
        <v>0.5</v>
      </c>
      <c r="X24" s="408">
        <v>0.5</v>
      </c>
      <c r="Y24" s="408">
        <v>1</v>
      </c>
      <c r="Z24" s="408">
        <v>0.4</v>
      </c>
      <c r="AA24" s="408">
        <v>0</v>
      </c>
      <c r="AB24" s="408">
        <v>0.2</v>
      </c>
      <c r="AC24" s="408">
        <v>0.8</v>
      </c>
      <c r="AD24" s="408">
        <v>1.2</v>
      </c>
    </row>
    <row r="25" spans="1:30">
      <c r="A25">
        <v>20</v>
      </c>
      <c r="B25" s="1" t="s">
        <v>213</v>
      </c>
      <c r="C25" s="5" t="s">
        <v>46</v>
      </c>
      <c r="D25" s="408">
        <v>32</v>
      </c>
      <c r="E25" s="5" t="s">
        <v>92</v>
      </c>
      <c r="F25" s="408">
        <v>57</v>
      </c>
      <c r="G25" s="408">
        <v>57</v>
      </c>
      <c r="H25" s="408">
        <v>34.5</v>
      </c>
      <c r="I25" s="408">
        <v>4.0999999999999996</v>
      </c>
      <c r="J25" s="408">
        <v>9.6999999999999993</v>
      </c>
      <c r="K25" s="408">
        <v>0.42399999999999999</v>
      </c>
      <c r="L25" s="408">
        <v>2.6</v>
      </c>
      <c r="M25" s="408">
        <v>7</v>
      </c>
      <c r="N25" s="5">
        <v>0.38</v>
      </c>
      <c r="O25" s="408">
        <v>1.5</v>
      </c>
      <c r="P25" s="408">
        <v>2.7</v>
      </c>
      <c r="Q25" s="408">
        <v>0.53500000000000003</v>
      </c>
      <c r="R25" s="408">
        <v>0.56100000000000005</v>
      </c>
      <c r="S25" s="408">
        <v>1.2</v>
      </c>
      <c r="T25" s="408">
        <v>1.3</v>
      </c>
      <c r="U25" s="408">
        <v>0.86799999999999999</v>
      </c>
      <c r="V25" s="408">
        <v>0.6</v>
      </c>
      <c r="W25" s="408">
        <v>3.9</v>
      </c>
      <c r="X25" s="408">
        <v>4.5</v>
      </c>
      <c r="Y25" s="408">
        <v>1.6</v>
      </c>
      <c r="Z25" s="408">
        <v>1.5</v>
      </c>
      <c r="AA25" s="408">
        <v>0.2</v>
      </c>
      <c r="AB25" s="408">
        <v>0.9</v>
      </c>
      <c r="AC25" s="408">
        <v>2</v>
      </c>
      <c r="AD25" s="408">
        <v>12</v>
      </c>
    </row>
    <row r="26" spans="1:30">
      <c r="A26">
        <v>21</v>
      </c>
      <c r="B26" s="1" t="s">
        <v>620</v>
      </c>
      <c r="C26" s="5" t="s">
        <v>38</v>
      </c>
      <c r="D26" s="408">
        <v>29</v>
      </c>
      <c r="E26" s="5" t="s">
        <v>61</v>
      </c>
      <c r="F26" s="408">
        <v>18</v>
      </c>
      <c r="G26" s="408">
        <v>1</v>
      </c>
      <c r="H26" s="408">
        <v>7.4</v>
      </c>
      <c r="I26" s="408">
        <v>1.2</v>
      </c>
      <c r="J26" s="408">
        <v>2.5</v>
      </c>
      <c r="K26" s="408">
        <v>0.46700000000000003</v>
      </c>
      <c r="L26" s="408">
        <v>0.4</v>
      </c>
      <c r="M26" s="408">
        <v>1.2</v>
      </c>
      <c r="N26" s="5">
        <v>0.33300000000000002</v>
      </c>
      <c r="O26" s="408">
        <v>0.8</v>
      </c>
      <c r="P26" s="408">
        <v>1.3</v>
      </c>
      <c r="Q26" s="408">
        <v>0.58299999999999996</v>
      </c>
      <c r="R26" s="408">
        <v>0.54400000000000004</v>
      </c>
      <c r="S26" s="408">
        <v>0.1</v>
      </c>
      <c r="T26" s="408">
        <v>0.2</v>
      </c>
      <c r="U26" s="408">
        <v>0.66700000000000004</v>
      </c>
      <c r="V26" s="408">
        <v>0.2</v>
      </c>
      <c r="W26" s="408">
        <v>0.7</v>
      </c>
      <c r="X26" s="408">
        <v>0.8</v>
      </c>
      <c r="Y26" s="408">
        <v>0.5</v>
      </c>
      <c r="Z26" s="408">
        <v>0.4</v>
      </c>
      <c r="AA26" s="408">
        <v>0.1</v>
      </c>
      <c r="AB26" s="408">
        <v>0.8</v>
      </c>
      <c r="AC26" s="408">
        <v>1.1000000000000001</v>
      </c>
      <c r="AD26" s="408">
        <v>2.8</v>
      </c>
    </row>
    <row r="27" spans="1:30">
      <c r="A27">
        <v>22</v>
      </c>
      <c r="B27" s="1" t="s">
        <v>537</v>
      </c>
      <c r="C27" s="5" t="s">
        <v>26</v>
      </c>
      <c r="D27" s="408">
        <v>25</v>
      </c>
      <c r="E27" s="5" t="s">
        <v>75</v>
      </c>
      <c r="F27" s="408">
        <v>5</v>
      </c>
      <c r="G27" s="408">
        <v>0</v>
      </c>
      <c r="H27" s="408">
        <v>11</v>
      </c>
      <c r="I27" s="408">
        <v>0.8</v>
      </c>
      <c r="J27" s="408">
        <v>3.4</v>
      </c>
      <c r="K27" s="408">
        <v>0.23499999999999999</v>
      </c>
      <c r="L27" s="408">
        <v>0</v>
      </c>
      <c r="M27" s="408">
        <v>1</v>
      </c>
      <c r="N27" s="5">
        <v>0</v>
      </c>
      <c r="O27" s="408">
        <v>0.8</v>
      </c>
      <c r="P27" s="408">
        <v>2.4</v>
      </c>
      <c r="Q27" s="408">
        <v>0.33300000000000002</v>
      </c>
      <c r="R27" s="408">
        <v>0.23499999999999999</v>
      </c>
      <c r="S27" s="408">
        <v>0.2</v>
      </c>
      <c r="T27" s="408">
        <v>0.6</v>
      </c>
      <c r="U27" s="408">
        <v>0.33300000000000002</v>
      </c>
      <c r="V27" s="408">
        <v>0.2</v>
      </c>
      <c r="W27" s="408">
        <v>1.2</v>
      </c>
      <c r="X27" s="408">
        <v>1.4</v>
      </c>
      <c r="Y27" s="408">
        <v>0.8</v>
      </c>
      <c r="Z27" s="408">
        <v>0</v>
      </c>
      <c r="AA27" s="408">
        <v>0</v>
      </c>
      <c r="AB27" s="408">
        <v>0</v>
      </c>
      <c r="AC27" s="408">
        <v>0</v>
      </c>
      <c r="AD27" s="408">
        <v>1.8</v>
      </c>
    </row>
    <row r="28" spans="1:30">
      <c r="A28">
        <v>23</v>
      </c>
      <c r="B28" s="1" t="s">
        <v>611</v>
      </c>
      <c r="C28" s="5" t="s">
        <v>83</v>
      </c>
      <c r="D28" s="408">
        <v>31</v>
      </c>
      <c r="E28" s="5" t="s">
        <v>112</v>
      </c>
      <c r="F28" s="408">
        <v>14</v>
      </c>
      <c r="G28" s="408">
        <v>0</v>
      </c>
      <c r="H28" s="408">
        <v>8.6</v>
      </c>
      <c r="I28" s="408">
        <v>0.5</v>
      </c>
      <c r="J28" s="408">
        <v>1.1000000000000001</v>
      </c>
      <c r="K28" s="408">
        <v>0.438</v>
      </c>
      <c r="L28" s="408">
        <v>0</v>
      </c>
      <c r="M28" s="408">
        <v>0</v>
      </c>
      <c r="O28" s="408">
        <v>0.5</v>
      </c>
      <c r="P28" s="408">
        <v>1.1000000000000001</v>
      </c>
      <c r="Q28" s="408">
        <v>0.438</v>
      </c>
      <c r="R28" s="408">
        <v>0.438</v>
      </c>
      <c r="S28" s="408">
        <v>0.3</v>
      </c>
      <c r="T28" s="408">
        <v>0.9</v>
      </c>
      <c r="U28" s="408">
        <v>0.33300000000000002</v>
      </c>
      <c r="V28" s="408">
        <v>0.5</v>
      </c>
      <c r="W28" s="408">
        <v>2.1</v>
      </c>
      <c r="X28" s="408">
        <v>2.6</v>
      </c>
      <c r="Y28" s="408">
        <v>0.1</v>
      </c>
      <c r="Z28" s="408">
        <v>0.1</v>
      </c>
      <c r="AA28" s="408">
        <v>0.1</v>
      </c>
      <c r="AB28" s="408">
        <v>0.4</v>
      </c>
      <c r="AC28" s="408">
        <v>1</v>
      </c>
      <c r="AD28" s="408">
        <v>1.3</v>
      </c>
    </row>
    <row r="29" spans="1:30">
      <c r="A29">
        <v>24</v>
      </c>
      <c r="B29" s="1" t="s">
        <v>421</v>
      </c>
      <c r="C29" s="5" t="s">
        <v>20</v>
      </c>
      <c r="D29" s="408">
        <v>30</v>
      </c>
      <c r="E29" s="5" t="s">
        <v>75</v>
      </c>
      <c r="F29" s="408">
        <v>63</v>
      </c>
      <c r="G29" s="408">
        <v>24</v>
      </c>
      <c r="H29" s="408">
        <v>22.9</v>
      </c>
      <c r="I29" s="408">
        <v>3.1</v>
      </c>
      <c r="J29" s="408">
        <v>6.9</v>
      </c>
      <c r="K29" s="408">
        <v>0.44900000000000001</v>
      </c>
      <c r="L29" s="408">
        <v>1.6</v>
      </c>
      <c r="M29" s="408">
        <v>3.6</v>
      </c>
      <c r="N29" s="5">
        <v>0.42799999999999999</v>
      </c>
      <c r="O29" s="408">
        <v>1.5</v>
      </c>
      <c r="P29" s="408">
        <v>3.2</v>
      </c>
      <c r="Q29" s="408">
        <v>0.47299999999999998</v>
      </c>
      <c r="R29" s="408">
        <v>0.56299999999999994</v>
      </c>
      <c r="S29" s="408">
        <v>2.2999999999999998</v>
      </c>
      <c r="T29" s="408">
        <v>2.6</v>
      </c>
      <c r="U29" s="408">
        <v>0.877</v>
      </c>
      <c r="V29" s="408">
        <v>0.3</v>
      </c>
      <c r="W29" s="408">
        <v>1.6</v>
      </c>
      <c r="X29" s="408">
        <v>2</v>
      </c>
      <c r="Y29" s="408">
        <v>3.7</v>
      </c>
      <c r="Z29" s="408">
        <v>0.8</v>
      </c>
      <c r="AA29" s="408">
        <v>0</v>
      </c>
      <c r="AB29" s="408">
        <v>1.6</v>
      </c>
      <c r="AC29" s="408">
        <v>1.3</v>
      </c>
      <c r="AD29" s="408">
        <v>10</v>
      </c>
    </row>
    <row r="30" spans="1:30">
      <c r="A30">
        <v>25</v>
      </c>
      <c r="B30" s="1" t="s">
        <v>152</v>
      </c>
      <c r="C30" s="5" t="s">
        <v>46</v>
      </c>
      <c r="D30" s="408">
        <v>28</v>
      </c>
      <c r="E30" s="5" t="s">
        <v>357</v>
      </c>
      <c r="F30" s="408">
        <v>46</v>
      </c>
      <c r="G30" s="408">
        <v>13</v>
      </c>
      <c r="H30" s="408">
        <v>14.7</v>
      </c>
      <c r="I30" s="408">
        <v>2</v>
      </c>
      <c r="J30" s="408">
        <v>4.4000000000000004</v>
      </c>
      <c r="K30" s="408">
        <v>0.441</v>
      </c>
      <c r="L30" s="408">
        <v>1.3</v>
      </c>
      <c r="M30" s="408">
        <v>3.2</v>
      </c>
      <c r="N30" s="5">
        <v>0.40699999999999997</v>
      </c>
      <c r="O30" s="408">
        <v>0.7</v>
      </c>
      <c r="P30" s="408">
        <v>1.3</v>
      </c>
      <c r="Q30" s="408">
        <v>0.52500000000000002</v>
      </c>
      <c r="R30" s="408">
        <v>0.58599999999999997</v>
      </c>
      <c r="S30" s="408">
        <v>0.4</v>
      </c>
      <c r="T30" s="408">
        <v>0.5</v>
      </c>
      <c r="U30" s="408">
        <v>0.77300000000000002</v>
      </c>
      <c r="V30" s="408">
        <v>0.1</v>
      </c>
      <c r="W30" s="408">
        <v>1.9</v>
      </c>
      <c r="X30" s="408">
        <v>2</v>
      </c>
      <c r="Y30" s="408">
        <v>0.6</v>
      </c>
      <c r="Z30" s="408">
        <v>0.2</v>
      </c>
      <c r="AA30" s="408">
        <v>0.2</v>
      </c>
      <c r="AB30" s="408">
        <v>0.4</v>
      </c>
      <c r="AC30" s="408">
        <v>1.2</v>
      </c>
      <c r="AD30" s="408">
        <v>5.6</v>
      </c>
    </row>
    <row r="31" spans="1:30">
      <c r="A31">
        <v>25</v>
      </c>
      <c r="B31" s="1" t="s">
        <v>152</v>
      </c>
      <c r="C31" s="5" t="s">
        <v>46</v>
      </c>
      <c r="D31" s="408">
        <v>28</v>
      </c>
      <c r="E31" s="5" t="s">
        <v>149</v>
      </c>
      <c r="F31" s="408">
        <v>37</v>
      </c>
      <c r="G31" s="408">
        <v>9</v>
      </c>
      <c r="H31" s="408">
        <v>15.4</v>
      </c>
      <c r="I31" s="408">
        <v>2.2000000000000002</v>
      </c>
      <c r="J31" s="408">
        <v>4.5</v>
      </c>
      <c r="K31" s="408">
        <v>0.47599999999999998</v>
      </c>
      <c r="L31" s="408">
        <v>1.3</v>
      </c>
      <c r="M31" s="408">
        <v>3</v>
      </c>
      <c r="N31" s="5">
        <v>0.441</v>
      </c>
      <c r="O31" s="408">
        <v>0.8</v>
      </c>
      <c r="P31" s="408">
        <v>1.5</v>
      </c>
      <c r="Q31" s="408">
        <v>0.54400000000000004</v>
      </c>
      <c r="R31" s="408">
        <v>0.622</v>
      </c>
      <c r="S31" s="408">
        <v>0.5</v>
      </c>
      <c r="T31" s="408">
        <v>0.6</v>
      </c>
      <c r="U31" s="408">
        <v>0.77300000000000002</v>
      </c>
      <c r="V31" s="408">
        <v>0.1</v>
      </c>
      <c r="W31" s="408">
        <v>2.1</v>
      </c>
      <c r="X31" s="408">
        <v>2.2000000000000002</v>
      </c>
      <c r="Y31" s="408">
        <v>0.7</v>
      </c>
      <c r="Z31" s="408">
        <v>0.2</v>
      </c>
      <c r="AA31" s="408">
        <v>0.1</v>
      </c>
      <c r="AB31" s="408">
        <v>0.4</v>
      </c>
      <c r="AC31" s="408">
        <v>1.3</v>
      </c>
      <c r="AD31" s="408">
        <v>6.1</v>
      </c>
    </row>
    <row r="32" spans="1:30">
      <c r="A32">
        <v>25</v>
      </c>
      <c r="B32" s="1" t="s">
        <v>152</v>
      </c>
      <c r="C32" s="5" t="s">
        <v>46</v>
      </c>
      <c r="D32" s="408">
        <v>28</v>
      </c>
      <c r="E32" s="5" t="s">
        <v>50</v>
      </c>
      <c r="F32" s="408">
        <v>9</v>
      </c>
      <c r="G32" s="408">
        <v>4</v>
      </c>
      <c r="H32" s="408">
        <v>11.8</v>
      </c>
      <c r="I32" s="408">
        <v>1.1000000000000001</v>
      </c>
      <c r="J32" s="408">
        <v>4</v>
      </c>
      <c r="K32" s="408">
        <v>0.27800000000000002</v>
      </c>
      <c r="L32" s="408">
        <v>1.1000000000000001</v>
      </c>
      <c r="M32" s="408">
        <v>3.8</v>
      </c>
      <c r="N32" s="5">
        <v>0.29399999999999998</v>
      </c>
      <c r="O32" s="408">
        <v>0</v>
      </c>
      <c r="P32" s="408">
        <v>0.2</v>
      </c>
      <c r="Q32" s="408">
        <v>0</v>
      </c>
      <c r="R32" s="408">
        <v>0.41699999999999998</v>
      </c>
      <c r="S32" s="408">
        <v>0</v>
      </c>
      <c r="T32" s="408">
        <v>0</v>
      </c>
      <c r="U32" s="408"/>
      <c r="V32" s="408">
        <v>0.1</v>
      </c>
      <c r="W32" s="408">
        <v>1.1000000000000001</v>
      </c>
      <c r="X32" s="408">
        <v>1.2</v>
      </c>
      <c r="Y32" s="408">
        <v>0.3</v>
      </c>
      <c r="Z32" s="408">
        <v>0.1</v>
      </c>
      <c r="AA32" s="408">
        <v>0.2</v>
      </c>
      <c r="AB32" s="408">
        <v>0.4</v>
      </c>
      <c r="AC32" s="408">
        <v>0.8</v>
      </c>
      <c r="AD32" s="408">
        <v>3.3</v>
      </c>
    </row>
    <row r="33" spans="1:30">
      <c r="A33">
        <v>26</v>
      </c>
      <c r="B33" s="1" t="s">
        <v>536</v>
      </c>
      <c r="C33" s="5" t="s">
        <v>26</v>
      </c>
      <c r="D33" s="408">
        <v>22</v>
      </c>
      <c r="E33" s="5" t="s">
        <v>311</v>
      </c>
      <c r="F33" s="408">
        <v>47</v>
      </c>
      <c r="G33" s="408">
        <v>6</v>
      </c>
      <c r="H33" s="408">
        <v>11.8</v>
      </c>
      <c r="I33" s="408">
        <v>1.1000000000000001</v>
      </c>
      <c r="J33" s="408">
        <v>3</v>
      </c>
      <c r="K33" s="408">
        <v>0.36599999999999999</v>
      </c>
      <c r="L33" s="408">
        <v>0.2</v>
      </c>
      <c r="M33" s="408">
        <v>0.8</v>
      </c>
      <c r="N33" s="5">
        <v>0.28899999999999998</v>
      </c>
      <c r="O33" s="408">
        <v>0.9</v>
      </c>
      <c r="P33" s="408">
        <v>2.2000000000000002</v>
      </c>
      <c r="Q33" s="408">
        <v>0.39400000000000002</v>
      </c>
      <c r="R33" s="408">
        <v>0.40500000000000003</v>
      </c>
      <c r="S33" s="408">
        <v>0.3</v>
      </c>
      <c r="T33" s="408">
        <v>0.4</v>
      </c>
      <c r="U33" s="408">
        <v>0.72199999999999998</v>
      </c>
      <c r="V33" s="408">
        <v>0.1</v>
      </c>
      <c r="W33" s="408">
        <v>2.1</v>
      </c>
      <c r="X33" s="408">
        <v>2.2000000000000002</v>
      </c>
      <c r="Y33" s="408">
        <v>0.6</v>
      </c>
      <c r="Z33" s="408">
        <v>0.3</v>
      </c>
      <c r="AA33" s="408">
        <v>0</v>
      </c>
      <c r="AB33" s="408">
        <v>0.3</v>
      </c>
      <c r="AC33" s="408">
        <v>0.8</v>
      </c>
      <c r="AD33" s="408">
        <v>2.7</v>
      </c>
    </row>
    <row r="34" spans="1:30">
      <c r="A34">
        <v>27</v>
      </c>
      <c r="B34" s="1" t="s">
        <v>523</v>
      </c>
      <c r="C34" s="5" t="s">
        <v>26</v>
      </c>
      <c r="D34" s="408">
        <v>24</v>
      </c>
      <c r="E34" s="5" t="s">
        <v>21</v>
      </c>
      <c r="F34" s="408">
        <v>29</v>
      </c>
      <c r="G34" s="408">
        <v>1</v>
      </c>
      <c r="H34" s="408">
        <v>13.3</v>
      </c>
      <c r="I34" s="408">
        <v>0.7</v>
      </c>
      <c r="J34" s="408">
        <v>2</v>
      </c>
      <c r="K34" s="408">
        <v>0.33900000000000002</v>
      </c>
      <c r="L34" s="408">
        <v>0.4</v>
      </c>
      <c r="M34" s="408">
        <v>1.1000000000000001</v>
      </c>
      <c r="N34" s="5">
        <v>0.33300000000000002</v>
      </c>
      <c r="O34" s="408">
        <v>0.3</v>
      </c>
      <c r="P34" s="408">
        <v>0.9</v>
      </c>
      <c r="Q34" s="408">
        <v>0.34599999999999997</v>
      </c>
      <c r="R34" s="408">
        <v>0.432</v>
      </c>
      <c r="S34" s="408">
        <v>0.7</v>
      </c>
      <c r="T34" s="408">
        <v>0.9</v>
      </c>
      <c r="U34" s="408">
        <v>0.76900000000000002</v>
      </c>
      <c r="V34" s="408">
        <v>0.2</v>
      </c>
      <c r="W34" s="408">
        <v>0.9</v>
      </c>
      <c r="X34" s="408">
        <v>1</v>
      </c>
      <c r="Y34" s="408">
        <v>1.6</v>
      </c>
      <c r="Z34" s="408">
        <v>0.9</v>
      </c>
      <c r="AA34" s="408">
        <v>0.2</v>
      </c>
      <c r="AB34" s="408">
        <v>0.6</v>
      </c>
      <c r="AC34" s="408">
        <v>1.1000000000000001</v>
      </c>
      <c r="AD34" s="408">
        <v>2.4</v>
      </c>
    </row>
    <row r="35" spans="1:30">
      <c r="A35">
        <v>28</v>
      </c>
      <c r="B35" s="1" t="s">
        <v>753</v>
      </c>
      <c r="C35" s="5" t="s">
        <v>20</v>
      </c>
      <c r="D35" s="408">
        <v>21</v>
      </c>
      <c r="E35" s="5" t="s">
        <v>96</v>
      </c>
      <c r="F35" s="408">
        <v>1</v>
      </c>
      <c r="G35" s="408">
        <v>0</v>
      </c>
      <c r="H35" s="408">
        <v>3</v>
      </c>
      <c r="I35" s="408">
        <v>0</v>
      </c>
      <c r="J35" s="408">
        <v>0</v>
      </c>
      <c r="K35" s="408"/>
      <c r="L35" s="408">
        <v>0</v>
      </c>
      <c r="M35" s="408">
        <v>0</v>
      </c>
      <c r="O35" s="408">
        <v>0</v>
      </c>
      <c r="P35" s="408">
        <v>0</v>
      </c>
      <c r="Q35" s="408"/>
      <c r="R35" s="408"/>
      <c r="S35" s="408">
        <v>1</v>
      </c>
      <c r="T35" s="408">
        <v>2</v>
      </c>
      <c r="U35" s="408">
        <v>0.5</v>
      </c>
      <c r="V35" s="408">
        <v>0</v>
      </c>
      <c r="W35" s="408">
        <v>1</v>
      </c>
      <c r="X35" s="408">
        <v>1</v>
      </c>
      <c r="Y35" s="408">
        <v>0</v>
      </c>
      <c r="Z35" s="408">
        <v>0</v>
      </c>
      <c r="AA35" s="408">
        <v>0</v>
      </c>
      <c r="AB35" s="408">
        <v>1</v>
      </c>
      <c r="AC35" s="408">
        <v>1</v>
      </c>
      <c r="AD35" s="408">
        <v>1</v>
      </c>
    </row>
    <row r="36" spans="1:30">
      <c r="A36">
        <v>29</v>
      </c>
      <c r="B36" s="1" t="s">
        <v>346</v>
      </c>
      <c r="C36" s="5" t="s">
        <v>20</v>
      </c>
      <c r="D36" s="408">
        <v>20</v>
      </c>
      <c r="E36" s="5" t="s">
        <v>78</v>
      </c>
      <c r="F36" s="408">
        <v>48</v>
      </c>
      <c r="G36" s="408">
        <v>46</v>
      </c>
      <c r="H36" s="408">
        <v>33.9</v>
      </c>
      <c r="I36" s="408">
        <v>3.9</v>
      </c>
      <c r="J36" s="408">
        <v>10.9</v>
      </c>
      <c r="K36" s="408">
        <v>0.35699999999999998</v>
      </c>
      <c r="L36" s="408">
        <v>1.8</v>
      </c>
      <c r="M36" s="408">
        <v>5.7</v>
      </c>
      <c r="N36" s="5">
        <v>0.315</v>
      </c>
      <c r="O36" s="408">
        <v>2.1</v>
      </c>
      <c r="P36" s="408">
        <v>5.2</v>
      </c>
      <c r="Q36" s="408">
        <v>0.40300000000000002</v>
      </c>
      <c r="R36" s="408">
        <v>0.44</v>
      </c>
      <c r="S36" s="408">
        <v>0.6</v>
      </c>
      <c r="T36" s="408">
        <v>1.3</v>
      </c>
      <c r="U36" s="408">
        <v>0.46</v>
      </c>
      <c r="V36" s="408">
        <v>1.3</v>
      </c>
      <c r="W36" s="408">
        <v>5.6</v>
      </c>
      <c r="X36" s="408">
        <v>6.8</v>
      </c>
      <c r="Y36" s="408">
        <v>7.1</v>
      </c>
      <c r="Z36" s="408">
        <v>1.8</v>
      </c>
      <c r="AA36" s="408">
        <v>0.9</v>
      </c>
      <c r="AB36" s="408">
        <v>2.7</v>
      </c>
      <c r="AC36" s="408">
        <v>2.2000000000000002</v>
      </c>
      <c r="AD36" s="408">
        <v>10.1</v>
      </c>
    </row>
    <row r="37" spans="1:30">
      <c r="A37">
        <v>30</v>
      </c>
      <c r="B37" s="1" t="s">
        <v>368</v>
      </c>
      <c r="C37" s="5" t="s">
        <v>20</v>
      </c>
      <c r="D37" s="408">
        <v>33</v>
      </c>
      <c r="E37" s="5" t="s">
        <v>33</v>
      </c>
      <c r="F37" s="408">
        <v>64</v>
      </c>
      <c r="G37" s="408">
        <v>6</v>
      </c>
      <c r="H37" s="408">
        <v>23.3</v>
      </c>
      <c r="I37" s="408">
        <v>4.3</v>
      </c>
      <c r="J37" s="408">
        <v>10</v>
      </c>
      <c r="K37" s="408">
        <v>0.433</v>
      </c>
      <c r="L37" s="408">
        <v>1.7</v>
      </c>
      <c r="M37" s="408">
        <v>4.5999999999999996</v>
      </c>
      <c r="N37" s="5">
        <v>0.36199999999999999</v>
      </c>
      <c r="O37" s="408">
        <v>2.7</v>
      </c>
      <c r="P37" s="408">
        <v>5.4</v>
      </c>
      <c r="Q37" s="408">
        <v>0.49299999999999999</v>
      </c>
      <c r="R37" s="408">
        <v>0.51600000000000001</v>
      </c>
      <c r="S37" s="408">
        <v>1.2</v>
      </c>
      <c r="T37" s="408">
        <v>1.6</v>
      </c>
      <c r="U37" s="408">
        <v>0.79</v>
      </c>
      <c r="V37" s="408">
        <v>0.2</v>
      </c>
      <c r="W37" s="408">
        <v>2.8</v>
      </c>
      <c r="X37" s="408">
        <v>3</v>
      </c>
      <c r="Y37" s="408">
        <v>6.3</v>
      </c>
      <c r="Z37" s="408">
        <v>0.5</v>
      </c>
      <c r="AA37" s="408">
        <v>0</v>
      </c>
      <c r="AB37" s="408">
        <v>2.1</v>
      </c>
      <c r="AC37" s="408">
        <v>1.3</v>
      </c>
      <c r="AD37" s="408">
        <v>11.5</v>
      </c>
    </row>
    <row r="38" spans="1:30" s="12" customFormat="1" ht="15.75">
      <c r="A38">
        <v>31</v>
      </c>
      <c r="B38" s="1" t="s">
        <v>390</v>
      </c>
      <c r="C38" s="5" t="s">
        <v>38</v>
      </c>
      <c r="D38" s="408">
        <v>25</v>
      </c>
      <c r="E38" s="5" t="s">
        <v>33</v>
      </c>
      <c r="F38" s="408">
        <v>67</v>
      </c>
      <c r="G38" s="408">
        <v>67</v>
      </c>
      <c r="H38" s="408">
        <v>34.299999999999997</v>
      </c>
      <c r="I38" s="408">
        <v>6.9</v>
      </c>
      <c r="J38" s="408">
        <v>15.4</v>
      </c>
      <c r="K38" s="408">
        <v>0.44900000000000001</v>
      </c>
      <c r="L38" s="408">
        <v>1.4</v>
      </c>
      <c r="M38" s="408">
        <v>4</v>
      </c>
      <c r="N38" s="5">
        <v>0.34599999999999997</v>
      </c>
      <c r="O38" s="408">
        <v>5.6</v>
      </c>
      <c r="P38" s="408">
        <v>11.5</v>
      </c>
      <c r="Q38" s="408">
        <v>0.48399999999999999</v>
      </c>
      <c r="R38" s="408">
        <v>0.49299999999999999</v>
      </c>
      <c r="S38" s="408">
        <v>3.5</v>
      </c>
      <c r="T38" s="408">
        <v>4.2</v>
      </c>
      <c r="U38" s="408">
        <v>0.82699999999999996</v>
      </c>
      <c r="V38" s="408">
        <v>1</v>
      </c>
      <c r="W38" s="408">
        <v>5.3</v>
      </c>
      <c r="X38" s="408">
        <v>6.4</v>
      </c>
      <c r="Y38" s="408">
        <v>2</v>
      </c>
      <c r="Z38" s="408">
        <v>0.7</v>
      </c>
      <c r="AA38" s="408">
        <v>0.2</v>
      </c>
      <c r="AB38" s="408">
        <v>1.5</v>
      </c>
      <c r="AC38" s="408">
        <v>1.3</v>
      </c>
      <c r="AD38" s="408">
        <v>18.7</v>
      </c>
    </row>
    <row r="39" spans="1:30">
      <c r="A39">
        <v>32</v>
      </c>
      <c r="B39" s="1" t="s">
        <v>230</v>
      </c>
      <c r="C39" s="5" t="s">
        <v>26</v>
      </c>
      <c r="D39" s="408">
        <v>27</v>
      </c>
      <c r="E39" s="5" t="s">
        <v>61</v>
      </c>
      <c r="F39" s="408">
        <v>70</v>
      </c>
      <c r="G39" s="408">
        <v>29</v>
      </c>
      <c r="H39" s="408">
        <v>32.6</v>
      </c>
      <c r="I39" s="408">
        <v>5.5</v>
      </c>
      <c r="J39" s="408">
        <v>12.4</v>
      </c>
      <c r="K39" s="408">
        <v>0.44600000000000001</v>
      </c>
      <c r="L39" s="408">
        <v>1.8</v>
      </c>
      <c r="M39" s="408">
        <v>5.0999999999999996</v>
      </c>
      <c r="N39" s="5">
        <v>0.35899999999999999</v>
      </c>
      <c r="O39" s="408">
        <v>3.7</v>
      </c>
      <c r="P39" s="408">
        <v>7.4</v>
      </c>
      <c r="Q39" s="408">
        <v>0.50600000000000001</v>
      </c>
      <c r="R39" s="408">
        <v>0.51900000000000002</v>
      </c>
      <c r="S39" s="408">
        <v>2.1</v>
      </c>
      <c r="T39" s="408">
        <v>2.6</v>
      </c>
      <c r="U39" s="408">
        <v>0.79200000000000004</v>
      </c>
      <c r="V39" s="408">
        <v>0.9</v>
      </c>
      <c r="W39" s="408">
        <v>4.0999999999999996</v>
      </c>
      <c r="X39" s="408">
        <v>5</v>
      </c>
      <c r="Y39" s="408">
        <v>4.0999999999999996</v>
      </c>
      <c r="Z39" s="408">
        <v>1.1000000000000001</v>
      </c>
      <c r="AA39" s="408">
        <v>0.6</v>
      </c>
      <c r="AB39" s="408">
        <v>1.9</v>
      </c>
      <c r="AC39" s="408">
        <v>2</v>
      </c>
      <c r="AD39" s="408">
        <v>15</v>
      </c>
    </row>
    <row r="40" spans="1:30">
      <c r="A40">
        <v>33</v>
      </c>
      <c r="B40" s="1" t="s">
        <v>395</v>
      </c>
      <c r="C40" s="5" t="s">
        <v>26</v>
      </c>
      <c r="D40" s="408">
        <v>29</v>
      </c>
      <c r="E40" s="5" t="s">
        <v>311</v>
      </c>
      <c r="F40" s="408">
        <v>56</v>
      </c>
      <c r="G40" s="408">
        <v>56</v>
      </c>
      <c r="H40" s="408">
        <v>31.9</v>
      </c>
      <c r="I40" s="408">
        <v>4.4000000000000004</v>
      </c>
      <c r="J40" s="408">
        <v>10.6</v>
      </c>
      <c r="K40" s="408">
        <v>0.41499999999999998</v>
      </c>
      <c r="L40" s="408">
        <v>1.5</v>
      </c>
      <c r="M40" s="408">
        <v>4.5</v>
      </c>
      <c r="N40" s="5">
        <v>0.33900000000000002</v>
      </c>
      <c r="O40" s="408">
        <v>2.9</v>
      </c>
      <c r="P40" s="408">
        <v>6.1</v>
      </c>
      <c r="Q40" s="408">
        <v>0.47099999999999997</v>
      </c>
      <c r="R40" s="408">
        <v>0.48699999999999999</v>
      </c>
      <c r="S40" s="408">
        <v>1.6</v>
      </c>
      <c r="T40" s="408">
        <v>2</v>
      </c>
      <c r="U40" s="408">
        <v>0.82099999999999995</v>
      </c>
      <c r="V40" s="408">
        <v>0.9</v>
      </c>
      <c r="W40" s="408">
        <v>4</v>
      </c>
      <c r="X40" s="408">
        <v>4.9000000000000004</v>
      </c>
      <c r="Y40" s="408">
        <v>5.5</v>
      </c>
      <c r="Z40" s="408">
        <v>1.1000000000000001</v>
      </c>
      <c r="AA40" s="408">
        <v>0.4</v>
      </c>
      <c r="AB40" s="408">
        <v>2</v>
      </c>
      <c r="AC40" s="408">
        <v>1.2</v>
      </c>
      <c r="AD40" s="408">
        <v>11.9</v>
      </c>
    </row>
    <row r="41" spans="1:30">
      <c r="A41">
        <v>34</v>
      </c>
      <c r="B41" s="1" t="s">
        <v>383</v>
      </c>
      <c r="C41" s="5" t="s">
        <v>26</v>
      </c>
      <c r="D41" s="408">
        <v>29</v>
      </c>
      <c r="E41" s="5" t="s">
        <v>118</v>
      </c>
      <c r="F41" s="408">
        <v>39</v>
      </c>
      <c r="G41" s="408">
        <v>11</v>
      </c>
      <c r="H41" s="408">
        <v>23.7</v>
      </c>
      <c r="I41" s="408">
        <v>2.8</v>
      </c>
      <c r="J41" s="408">
        <v>6.7</v>
      </c>
      <c r="K41" s="408">
        <v>0.41599999999999998</v>
      </c>
      <c r="L41" s="408">
        <v>1.4</v>
      </c>
      <c r="M41" s="408">
        <v>3.7</v>
      </c>
      <c r="N41" s="5">
        <v>0.37</v>
      </c>
      <c r="O41" s="408">
        <v>1.4</v>
      </c>
      <c r="P41" s="408">
        <v>3</v>
      </c>
      <c r="Q41" s="408">
        <v>0.47399999999999998</v>
      </c>
      <c r="R41" s="408">
        <v>0.51900000000000002</v>
      </c>
      <c r="S41" s="408">
        <v>0.9</v>
      </c>
      <c r="T41" s="408">
        <v>1.1000000000000001</v>
      </c>
      <c r="U41" s="408">
        <v>0.79500000000000004</v>
      </c>
      <c r="V41" s="408">
        <v>0.4</v>
      </c>
      <c r="W41" s="408">
        <v>1.7</v>
      </c>
      <c r="X41" s="408">
        <v>2.1</v>
      </c>
      <c r="Y41" s="408">
        <v>1.4</v>
      </c>
      <c r="Z41" s="408">
        <v>0.6</v>
      </c>
      <c r="AA41" s="408">
        <v>0.2</v>
      </c>
      <c r="AB41" s="408">
        <v>1.2</v>
      </c>
      <c r="AC41" s="408">
        <v>2.2999999999999998</v>
      </c>
      <c r="AD41" s="408">
        <v>7.9</v>
      </c>
    </row>
    <row r="42" spans="1:30">
      <c r="A42">
        <v>35</v>
      </c>
      <c r="B42" s="1" t="s">
        <v>145</v>
      </c>
      <c r="C42" s="5" t="s">
        <v>83</v>
      </c>
      <c r="D42" s="408">
        <v>31</v>
      </c>
      <c r="E42" s="5" t="s">
        <v>87</v>
      </c>
      <c r="F42" s="408">
        <v>69</v>
      </c>
      <c r="G42" s="408">
        <v>55</v>
      </c>
      <c r="H42" s="408">
        <v>17.899999999999999</v>
      </c>
      <c r="I42" s="408">
        <v>2.4</v>
      </c>
      <c r="J42" s="408">
        <v>5.2</v>
      </c>
      <c r="K42" s="408">
        <v>0.46400000000000002</v>
      </c>
      <c r="L42" s="408">
        <v>0</v>
      </c>
      <c r="M42" s="408">
        <v>0.2</v>
      </c>
      <c r="N42" s="5">
        <v>0</v>
      </c>
      <c r="O42" s="408">
        <v>2.4</v>
      </c>
      <c r="P42" s="408">
        <v>5</v>
      </c>
      <c r="Q42" s="408">
        <v>0.47799999999999998</v>
      </c>
      <c r="R42" s="408">
        <v>0.46400000000000002</v>
      </c>
      <c r="S42" s="408">
        <v>0.8</v>
      </c>
      <c r="T42" s="408">
        <v>1.1000000000000001</v>
      </c>
      <c r="U42" s="408">
        <v>0.74299999999999999</v>
      </c>
      <c r="V42" s="408">
        <v>1.5</v>
      </c>
      <c r="W42" s="408">
        <v>3.7</v>
      </c>
      <c r="X42" s="408">
        <v>5.2</v>
      </c>
      <c r="Y42" s="408">
        <v>1</v>
      </c>
      <c r="Z42" s="408">
        <v>0.3</v>
      </c>
      <c r="AA42" s="408">
        <v>0.7</v>
      </c>
      <c r="AB42" s="408">
        <v>1</v>
      </c>
      <c r="AC42" s="408">
        <v>2.4</v>
      </c>
      <c r="AD42" s="408">
        <v>5.6</v>
      </c>
    </row>
    <row r="43" spans="1:30">
      <c r="A43">
        <v>36</v>
      </c>
      <c r="B43" s="1" t="s">
        <v>382</v>
      </c>
      <c r="C43" s="5" t="s">
        <v>26</v>
      </c>
      <c r="D43" s="408">
        <v>28</v>
      </c>
      <c r="E43" s="5" t="s">
        <v>149</v>
      </c>
      <c r="F43" s="408">
        <v>65</v>
      </c>
      <c r="G43" s="408">
        <v>65</v>
      </c>
      <c r="H43" s="408">
        <v>27.5</v>
      </c>
      <c r="I43" s="408">
        <v>4.4000000000000004</v>
      </c>
      <c r="J43" s="408">
        <v>10.4</v>
      </c>
      <c r="K43" s="408">
        <v>0.42</v>
      </c>
      <c r="L43" s="408">
        <v>1.7</v>
      </c>
      <c r="M43" s="408">
        <v>4.2</v>
      </c>
      <c r="N43" s="5">
        <v>0.39400000000000002</v>
      </c>
      <c r="O43" s="408">
        <v>2.7</v>
      </c>
      <c r="P43" s="408">
        <v>6.2</v>
      </c>
      <c r="Q43" s="408">
        <v>0.438</v>
      </c>
      <c r="R43" s="408">
        <v>0.5</v>
      </c>
      <c r="S43" s="408">
        <v>2.5</v>
      </c>
      <c r="T43" s="408">
        <v>3.1</v>
      </c>
      <c r="U43" s="408">
        <v>0.79600000000000004</v>
      </c>
      <c r="V43" s="408">
        <v>0.4</v>
      </c>
      <c r="W43" s="408">
        <v>3.4</v>
      </c>
      <c r="X43" s="408">
        <v>3.8</v>
      </c>
      <c r="Y43" s="408">
        <v>3.5</v>
      </c>
      <c r="Z43" s="408">
        <v>1.5</v>
      </c>
      <c r="AA43" s="408">
        <v>0.7</v>
      </c>
      <c r="AB43" s="408">
        <v>2.4</v>
      </c>
      <c r="AC43" s="408">
        <v>2.2999999999999998</v>
      </c>
      <c r="AD43" s="408">
        <v>12.9</v>
      </c>
    </row>
    <row r="44" spans="1:30">
      <c r="A44">
        <v>37</v>
      </c>
      <c r="B44" s="1" t="s">
        <v>318</v>
      </c>
      <c r="C44" s="5" t="s">
        <v>26</v>
      </c>
      <c r="D44" s="408">
        <v>24</v>
      </c>
      <c r="E44" s="5" t="s">
        <v>27</v>
      </c>
      <c r="F44" s="408">
        <v>70</v>
      </c>
      <c r="G44" s="408">
        <v>70</v>
      </c>
      <c r="H44" s="408">
        <v>36.5</v>
      </c>
      <c r="I44" s="408">
        <v>8.6</v>
      </c>
      <c r="J44" s="408">
        <v>18.5</v>
      </c>
      <c r="K44" s="408">
        <v>0.46300000000000002</v>
      </c>
      <c r="L44" s="408">
        <v>2.4</v>
      </c>
      <c r="M44" s="408">
        <v>6.5</v>
      </c>
      <c r="N44" s="5">
        <v>0.374</v>
      </c>
      <c r="O44" s="408">
        <v>6.1</v>
      </c>
      <c r="P44" s="408">
        <v>12</v>
      </c>
      <c r="Q44" s="408">
        <v>0.51</v>
      </c>
      <c r="R44" s="408">
        <v>0.52800000000000002</v>
      </c>
      <c r="S44" s="408">
        <v>3.7</v>
      </c>
      <c r="T44" s="408">
        <v>4.7</v>
      </c>
      <c r="U44" s="408">
        <v>0.79100000000000004</v>
      </c>
      <c r="V44" s="408">
        <v>0.8</v>
      </c>
      <c r="W44" s="408">
        <v>3.7</v>
      </c>
      <c r="X44" s="408">
        <v>4.5</v>
      </c>
      <c r="Y44" s="408">
        <v>4.7</v>
      </c>
      <c r="Z44" s="408">
        <v>1.2</v>
      </c>
      <c r="AA44" s="408">
        <v>0.5</v>
      </c>
      <c r="AB44" s="408">
        <v>2.6</v>
      </c>
      <c r="AC44" s="408">
        <v>1.9</v>
      </c>
      <c r="AD44" s="408">
        <v>23.3</v>
      </c>
    </row>
    <row r="45" spans="1:30">
      <c r="A45">
        <v>38</v>
      </c>
      <c r="B45" s="1" t="s">
        <v>520</v>
      </c>
      <c r="C45" s="5" t="s">
        <v>26</v>
      </c>
      <c r="D45" s="408">
        <v>21</v>
      </c>
      <c r="E45" s="5" t="s">
        <v>61</v>
      </c>
      <c r="F45" s="408">
        <v>58</v>
      </c>
      <c r="G45" s="408">
        <v>0</v>
      </c>
      <c r="H45" s="408">
        <v>9.6999999999999993</v>
      </c>
      <c r="I45" s="408">
        <v>1.2</v>
      </c>
      <c r="J45" s="408">
        <v>3</v>
      </c>
      <c r="K45" s="408">
        <v>0.40500000000000003</v>
      </c>
      <c r="L45" s="408">
        <v>0.4</v>
      </c>
      <c r="M45" s="408">
        <v>1.3</v>
      </c>
      <c r="N45" s="5">
        <v>0.32100000000000001</v>
      </c>
      <c r="O45" s="408">
        <v>0.8</v>
      </c>
      <c r="P45" s="408">
        <v>1.6</v>
      </c>
      <c r="Q45" s="408">
        <v>0.47399999999999998</v>
      </c>
      <c r="R45" s="408">
        <v>0.47699999999999998</v>
      </c>
      <c r="S45" s="408">
        <v>0.3</v>
      </c>
      <c r="T45" s="408">
        <v>0.5</v>
      </c>
      <c r="U45" s="408">
        <v>0.69</v>
      </c>
      <c r="V45" s="408">
        <v>0.2</v>
      </c>
      <c r="W45" s="408">
        <v>1</v>
      </c>
      <c r="X45" s="408">
        <v>1.2</v>
      </c>
      <c r="Y45" s="408">
        <v>0.5</v>
      </c>
      <c r="Z45" s="408">
        <v>0.3</v>
      </c>
      <c r="AA45" s="408">
        <v>0.1</v>
      </c>
      <c r="AB45" s="408">
        <v>0.4</v>
      </c>
      <c r="AC45" s="408">
        <v>0.6</v>
      </c>
      <c r="AD45" s="408">
        <v>3.2</v>
      </c>
    </row>
    <row r="46" spans="1:30">
      <c r="A46">
        <v>39</v>
      </c>
      <c r="B46" s="1" t="s">
        <v>211</v>
      </c>
      <c r="C46" s="5" t="s">
        <v>38</v>
      </c>
      <c r="D46" s="408">
        <v>29</v>
      </c>
      <c r="E46" s="5" t="s">
        <v>21</v>
      </c>
      <c r="F46" s="408">
        <v>64</v>
      </c>
      <c r="G46" s="408">
        <v>20</v>
      </c>
      <c r="H46" s="408">
        <v>21.7</v>
      </c>
      <c r="I46" s="408">
        <v>5.3</v>
      </c>
      <c r="J46" s="408">
        <v>10.4</v>
      </c>
      <c r="K46" s="408">
        <v>0.504</v>
      </c>
      <c r="L46" s="408">
        <v>0.4</v>
      </c>
      <c r="M46" s="408">
        <v>1</v>
      </c>
      <c r="N46" s="5">
        <v>0.39700000000000002</v>
      </c>
      <c r="O46" s="408">
        <v>4.9000000000000004</v>
      </c>
      <c r="P46" s="408">
        <v>9.4</v>
      </c>
      <c r="Q46" s="408">
        <v>0.51500000000000001</v>
      </c>
      <c r="R46" s="408">
        <v>0.52200000000000002</v>
      </c>
      <c r="S46" s="408">
        <v>1.7</v>
      </c>
      <c r="T46" s="408">
        <v>2.2000000000000002</v>
      </c>
      <c r="U46" s="408">
        <v>0.78200000000000003</v>
      </c>
      <c r="V46" s="408">
        <v>1.3</v>
      </c>
      <c r="W46" s="408">
        <v>4.2</v>
      </c>
      <c r="X46" s="408">
        <v>5.5</v>
      </c>
      <c r="Y46" s="408">
        <v>1.6</v>
      </c>
      <c r="Z46" s="408">
        <v>0.5</v>
      </c>
      <c r="AA46" s="408">
        <v>0.6</v>
      </c>
      <c r="AB46" s="408">
        <v>1.9</v>
      </c>
      <c r="AC46" s="408">
        <v>2</v>
      </c>
      <c r="AD46" s="408">
        <v>12.6</v>
      </c>
    </row>
    <row r="47" spans="1:30">
      <c r="A47">
        <v>40</v>
      </c>
      <c r="B47" s="1" t="s">
        <v>14</v>
      </c>
      <c r="C47" s="5" t="s">
        <v>26</v>
      </c>
      <c r="D47" s="408">
        <v>31</v>
      </c>
      <c r="E47" s="5" t="s">
        <v>357</v>
      </c>
      <c r="F47" s="408">
        <v>67</v>
      </c>
      <c r="G47" s="408">
        <v>1</v>
      </c>
      <c r="H47" s="408">
        <v>23.8</v>
      </c>
      <c r="I47" s="408">
        <v>3.9</v>
      </c>
      <c r="J47" s="408">
        <v>9.1999999999999993</v>
      </c>
      <c r="K47" s="408">
        <v>0.42199999999999999</v>
      </c>
      <c r="L47" s="408">
        <v>1.7</v>
      </c>
      <c r="M47" s="408">
        <v>4.7</v>
      </c>
      <c r="N47" s="5">
        <v>0.36799999999999999</v>
      </c>
      <c r="O47" s="408">
        <v>2.2000000000000002</v>
      </c>
      <c r="P47" s="408">
        <v>4.5</v>
      </c>
      <c r="Q47" s="408">
        <v>0.47699999999999998</v>
      </c>
      <c r="R47" s="408">
        <v>0.51500000000000001</v>
      </c>
      <c r="S47" s="408">
        <v>1.8</v>
      </c>
      <c r="T47" s="408">
        <v>2</v>
      </c>
      <c r="U47" s="408">
        <v>0.92400000000000004</v>
      </c>
      <c r="V47" s="408">
        <v>0.3</v>
      </c>
      <c r="W47" s="408">
        <v>1.6</v>
      </c>
      <c r="X47" s="408">
        <v>1.8</v>
      </c>
      <c r="Y47" s="408">
        <v>1.8</v>
      </c>
      <c r="Z47" s="408">
        <v>0.8</v>
      </c>
      <c r="AA47" s="408">
        <v>0.1</v>
      </c>
      <c r="AB47" s="408">
        <v>1.1000000000000001</v>
      </c>
      <c r="AC47" s="408">
        <v>0.9</v>
      </c>
      <c r="AD47" s="408">
        <v>11.3</v>
      </c>
    </row>
    <row r="48" spans="1:30">
      <c r="A48">
        <v>40</v>
      </c>
      <c r="B48" s="1" t="s">
        <v>14</v>
      </c>
      <c r="C48" s="5" t="s">
        <v>26</v>
      </c>
      <c r="D48" s="408">
        <v>31</v>
      </c>
      <c r="E48" s="5" t="s">
        <v>149</v>
      </c>
      <c r="F48" s="408">
        <v>52</v>
      </c>
      <c r="G48" s="408">
        <v>1</v>
      </c>
      <c r="H48" s="408">
        <v>23.3</v>
      </c>
      <c r="I48" s="408">
        <v>3.8</v>
      </c>
      <c r="J48" s="408">
        <v>9.3000000000000007</v>
      </c>
      <c r="K48" s="408">
        <v>0.41099999999999998</v>
      </c>
      <c r="L48" s="408">
        <v>1.8</v>
      </c>
      <c r="M48" s="408">
        <v>4.8</v>
      </c>
      <c r="N48" s="5">
        <v>0.372</v>
      </c>
      <c r="O48" s="408">
        <v>2.1</v>
      </c>
      <c r="P48" s="408">
        <v>4.5999999999999996</v>
      </c>
      <c r="Q48" s="408">
        <v>0.45100000000000001</v>
      </c>
      <c r="R48" s="408">
        <v>0.50600000000000001</v>
      </c>
      <c r="S48" s="408">
        <v>1.9</v>
      </c>
      <c r="T48" s="408">
        <v>2.1</v>
      </c>
      <c r="U48" s="408">
        <v>0.92700000000000005</v>
      </c>
      <c r="V48" s="408">
        <v>0.3</v>
      </c>
      <c r="W48" s="408">
        <v>1.7</v>
      </c>
      <c r="X48" s="408">
        <v>1.9</v>
      </c>
      <c r="Y48" s="408">
        <v>2</v>
      </c>
      <c r="Z48" s="408">
        <v>0.9</v>
      </c>
      <c r="AA48" s="408">
        <v>0.1</v>
      </c>
      <c r="AB48" s="408">
        <v>1</v>
      </c>
      <c r="AC48" s="408">
        <v>0.8</v>
      </c>
      <c r="AD48" s="408">
        <v>11.4</v>
      </c>
    </row>
    <row r="49" spans="1:30">
      <c r="A49">
        <v>40</v>
      </c>
      <c r="B49" s="1" t="s">
        <v>14</v>
      </c>
      <c r="C49" s="5" t="s">
        <v>26</v>
      </c>
      <c r="D49" s="408">
        <v>31</v>
      </c>
      <c r="E49" s="5" t="s">
        <v>118</v>
      </c>
      <c r="F49" s="408">
        <v>15</v>
      </c>
      <c r="G49" s="408">
        <v>0</v>
      </c>
      <c r="H49" s="408">
        <v>25.7</v>
      </c>
      <c r="I49" s="408">
        <v>4.0999999999999996</v>
      </c>
      <c r="J49" s="408">
        <v>9</v>
      </c>
      <c r="K49" s="408">
        <v>0.45900000000000002</v>
      </c>
      <c r="L49" s="408">
        <v>1.6</v>
      </c>
      <c r="M49" s="408">
        <v>4.5</v>
      </c>
      <c r="N49" s="5">
        <v>0.35299999999999998</v>
      </c>
      <c r="O49" s="408">
        <v>2.5</v>
      </c>
      <c r="P49" s="408">
        <v>4.5</v>
      </c>
      <c r="Q49" s="408">
        <v>0.56699999999999995</v>
      </c>
      <c r="R49" s="408">
        <v>0.54800000000000004</v>
      </c>
      <c r="S49" s="408">
        <v>1.3</v>
      </c>
      <c r="T49" s="408">
        <v>1.5</v>
      </c>
      <c r="U49" s="408">
        <v>0.90900000000000003</v>
      </c>
      <c r="V49" s="408">
        <v>0.3</v>
      </c>
      <c r="W49" s="408">
        <v>1.2</v>
      </c>
      <c r="X49" s="408">
        <v>1.5</v>
      </c>
      <c r="Y49" s="408">
        <v>1</v>
      </c>
      <c r="Z49" s="408">
        <v>0.5</v>
      </c>
      <c r="AA49" s="408">
        <v>0.2</v>
      </c>
      <c r="AB49" s="408">
        <v>1.1000000000000001</v>
      </c>
      <c r="AC49" s="408">
        <v>1.3</v>
      </c>
      <c r="AD49" s="408">
        <v>11.2</v>
      </c>
    </row>
    <row r="50" spans="1:30">
      <c r="A50">
        <v>41</v>
      </c>
      <c r="B50" s="1" t="s">
        <v>577</v>
      </c>
      <c r="C50" s="5" t="s">
        <v>83</v>
      </c>
      <c r="D50" s="408">
        <v>23</v>
      </c>
      <c r="E50" s="5" t="s">
        <v>73</v>
      </c>
      <c r="F50" s="408">
        <v>46</v>
      </c>
      <c r="G50" s="408">
        <v>11</v>
      </c>
      <c r="H50" s="408">
        <v>14.2</v>
      </c>
      <c r="I50" s="408">
        <v>2</v>
      </c>
      <c r="J50" s="408">
        <v>3.2</v>
      </c>
      <c r="K50" s="408">
        <v>0.64400000000000002</v>
      </c>
      <c r="L50" s="408">
        <v>0</v>
      </c>
      <c r="M50" s="408">
        <v>0.1</v>
      </c>
      <c r="N50" s="5">
        <v>0</v>
      </c>
      <c r="O50" s="408">
        <v>2</v>
      </c>
      <c r="P50" s="408">
        <v>3.1</v>
      </c>
      <c r="Q50" s="408">
        <v>0.65700000000000003</v>
      </c>
      <c r="R50" s="408">
        <v>0.64400000000000002</v>
      </c>
      <c r="S50" s="408">
        <v>0.6</v>
      </c>
      <c r="T50" s="408">
        <v>0.8</v>
      </c>
      <c r="U50" s="408">
        <v>0.69199999999999995</v>
      </c>
      <c r="V50" s="408">
        <v>1.1000000000000001</v>
      </c>
      <c r="W50" s="408">
        <v>2.6</v>
      </c>
      <c r="X50" s="408">
        <v>3.6</v>
      </c>
      <c r="Y50" s="408">
        <v>1.8</v>
      </c>
      <c r="Z50" s="408">
        <v>0.7</v>
      </c>
      <c r="AA50" s="408">
        <v>1</v>
      </c>
      <c r="AB50" s="408">
        <v>0.9</v>
      </c>
      <c r="AC50" s="408">
        <v>1.8</v>
      </c>
      <c r="AD50" s="408">
        <v>4.7</v>
      </c>
    </row>
    <row r="51" spans="1:30">
      <c r="A51">
        <v>42</v>
      </c>
      <c r="B51" s="1" t="s">
        <v>528</v>
      </c>
      <c r="C51" s="5" t="s">
        <v>46</v>
      </c>
      <c r="D51" s="408">
        <v>23</v>
      </c>
      <c r="E51" s="5" t="s">
        <v>149</v>
      </c>
      <c r="F51" s="408">
        <v>21</v>
      </c>
      <c r="G51" s="408">
        <v>0</v>
      </c>
      <c r="H51" s="408">
        <v>17.3</v>
      </c>
      <c r="I51" s="408">
        <v>1.9</v>
      </c>
      <c r="J51" s="408">
        <v>4.8</v>
      </c>
      <c r="K51" s="408">
        <v>0.39600000000000002</v>
      </c>
      <c r="L51" s="408">
        <v>0.4</v>
      </c>
      <c r="M51" s="408">
        <v>1.1000000000000001</v>
      </c>
      <c r="N51" s="5">
        <v>0.33300000000000002</v>
      </c>
      <c r="O51" s="408">
        <v>1.5</v>
      </c>
      <c r="P51" s="408">
        <v>3.7</v>
      </c>
      <c r="Q51" s="408">
        <v>0.41599999999999998</v>
      </c>
      <c r="R51" s="408">
        <v>0.436</v>
      </c>
      <c r="S51" s="408">
        <v>0.7</v>
      </c>
      <c r="T51" s="408">
        <v>1.2</v>
      </c>
      <c r="U51" s="408">
        <v>0.6</v>
      </c>
      <c r="V51" s="408">
        <v>0.4</v>
      </c>
      <c r="W51" s="408">
        <v>2.2999999999999998</v>
      </c>
      <c r="X51" s="408">
        <v>2.7</v>
      </c>
      <c r="Y51" s="408">
        <v>1.5</v>
      </c>
      <c r="Z51" s="408">
        <v>0.6</v>
      </c>
      <c r="AA51" s="408">
        <v>0.5</v>
      </c>
      <c r="AB51" s="408">
        <v>1.8</v>
      </c>
      <c r="AC51" s="408">
        <v>1.5</v>
      </c>
      <c r="AD51" s="408">
        <v>4.9000000000000004</v>
      </c>
    </row>
    <row r="52" spans="1:30">
      <c r="A52">
        <v>43</v>
      </c>
      <c r="B52" s="1" t="s">
        <v>402</v>
      </c>
      <c r="C52" s="5" t="s">
        <v>38</v>
      </c>
      <c r="D52" s="408">
        <v>20</v>
      </c>
      <c r="E52" s="5" t="s">
        <v>313</v>
      </c>
      <c r="F52" s="408">
        <v>71</v>
      </c>
      <c r="G52" s="408">
        <v>26</v>
      </c>
      <c r="H52" s="408">
        <v>24.5</v>
      </c>
      <c r="I52" s="408">
        <v>2.2000000000000002</v>
      </c>
      <c r="J52" s="408">
        <v>5.6</v>
      </c>
      <c r="K52" s="408">
        <v>0.38300000000000001</v>
      </c>
      <c r="L52" s="408">
        <v>1.4</v>
      </c>
      <c r="M52" s="408">
        <v>3.7</v>
      </c>
      <c r="N52" s="5">
        <v>0.377</v>
      </c>
      <c r="O52" s="408">
        <v>0.7</v>
      </c>
      <c r="P52" s="408">
        <v>1.9</v>
      </c>
      <c r="Q52" s="408">
        <v>0.39300000000000002</v>
      </c>
      <c r="R52" s="408">
        <v>0.50800000000000001</v>
      </c>
      <c r="S52" s="408">
        <v>0.5</v>
      </c>
      <c r="T52" s="408">
        <v>0.6</v>
      </c>
      <c r="U52" s="408">
        <v>0.77300000000000002</v>
      </c>
      <c r="V52" s="408">
        <v>0.4</v>
      </c>
      <c r="W52" s="408">
        <v>3.5</v>
      </c>
      <c r="X52" s="408">
        <v>3.9</v>
      </c>
      <c r="Y52" s="408">
        <v>1.6</v>
      </c>
      <c r="Z52" s="408">
        <v>0.3</v>
      </c>
      <c r="AA52" s="408">
        <v>0.6</v>
      </c>
      <c r="AB52" s="408">
        <v>1.3</v>
      </c>
      <c r="AC52" s="408">
        <v>2</v>
      </c>
      <c r="AD52" s="408">
        <v>6.2</v>
      </c>
    </row>
    <row r="53" spans="1:30">
      <c r="A53">
        <v>44</v>
      </c>
      <c r="B53" s="1" t="s">
        <v>141</v>
      </c>
      <c r="C53" s="5" t="s">
        <v>38</v>
      </c>
      <c r="D53" s="408">
        <v>25</v>
      </c>
      <c r="E53" s="5" t="s">
        <v>140</v>
      </c>
      <c r="F53" s="408">
        <v>67</v>
      </c>
      <c r="G53" s="408">
        <v>10</v>
      </c>
      <c r="H53" s="408">
        <v>15.2</v>
      </c>
      <c r="I53" s="408">
        <v>2.2000000000000002</v>
      </c>
      <c r="J53" s="408">
        <v>5.0999999999999996</v>
      </c>
      <c r="K53" s="408">
        <v>0.441</v>
      </c>
      <c r="L53" s="408">
        <v>1.3</v>
      </c>
      <c r="M53" s="408">
        <v>3.5</v>
      </c>
      <c r="N53" s="5">
        <v>0.372</v>
      </c>
      <c r="O53" s="408">
        <v>0.9</v>
      </c>
      <c r="P53" s="408">
        <v>1.6</v>
      </c>
      <c r="Q53" s="408">
        <v>0.59399999999999997</v>
      </c>
      <c r="R53" s="408">
        <v>0.56899999999999995</v>
      </c>
      <c r="S53" s="408">
        <v>0.6</v>
      </c>
      <c r="T53" s="408">
        <v>0.7</v>
      </c>
      <c r="U53" s="408">
        <v>0.81599999999999995</v>
      </c>
      <c r="V53" s="408">
        <v>0.3</v>
      </c>
      <c r="W53" s="408">
        <v>1.9</v>
      </c>
      <c r="X53" s="408">
        <v>2.2000000000000002</v>
      </c>
      <c r="Y53" s="408">
        <v>1</v>
      </c>
      <c r="Z53" s="408">
        <v>0.4</v>
      </c>
      <c r="AA53" s="408">
        <v>0.4</v>
      </c>
      <c r="AB53" s="408">
        <v>0.5</v>
      </c>
      <c r="AC53" s="408">
        <v>1.3</v>
      </c>
      <c r="AD53" s="408">
        <v>6.4</v>
      </c>
    </row>
    <row r="54" spans="1:30">
      <c r="A54">
        <v>45</v>
      </c>
      <c r="B54" s="1" t="s">
        <v>341</v>
      </c>
      <c r="C54" s="5" t="s">
        <v>26</v>
      </c>
      <c r="D54" s="408">
        <v>29</v>
      </c>
      <c r="E54" s="5" t="s">
        <v>64</v>
      </c>
      <c r="F54" s="408">
        <v>11</v>
      </c>
      <c r="G54" s="408">
        <v>11</v>
      </c>
      <c r="H54" s="408">
        <v>30.4</v>
      </c>
      <c r="I54" s="408">
        <v>4.4000000000000004</v>
      </c>
      <c r="J54" s="408">
        <v>10.8</v>
      </c>
      <c r="K54" s="408">
        <v>0.40300000000000002</v>
      </c>
      <c r="L54" s="408">
        <v>2.2000000000000002</v>
      </c>
      <c r="M54" s="408">
        <v>5.5</v>
      </c>
      <c r="N54" s="5">
        <v>0.4</v>
      </c>
      <c r="O54" s="408">
        <v>2.2000000000000002</v>
      </c>
      <c r="P54" s="408">
        <v>5.4</v>
      </c>
      <c r="Q54" s="408">
        <v>0.40699999999999997</v>
      </c>
      <c r="R54" s="408">
        <v>0.504</v>
      </c>
      <c r="S54" s="408">
        <v>1.3</v>
      </c>
      <c r="T54" s="408">
        <v>1.5</v>
      </c>
      <c r="U54" s="408">
        <v>0.82399999999999995</v>
      </c>
      <c r="V54" s="408">
        <v>1.5</v>
      </c>
      <c r="W54" s="408">
        <v>2.6</v>
      </c>
      <c r="X54" s="408">
        <v>4.0999999999999996</v>
      </c>
      <c r="Y54" s="408">
        <v>2.9</v>
      </c>
      <c r="Z54" s="408">
        <v>1.6</v>
      </c>
      <c r="AA54" s="408">
        <v>0.5</v>
      </c>
      <c r="AB54" s="408">
        <v>2.2999999999999998</v>
      </c>
      <c r="AC54" s="408">
        <v>3.1</v>
      </c>
      <c r="AD54" s="408">
        <v>12.2</v>
      </c>
    </row>
    <row r="55" spans="1:30">
      <c r="A55">
        <v>46</v>
      </c>
      <c r="B55" s="1" t="s">
        <v>639</v>
      </c>
      <c r="C55" s="5" t="s">
        <v>83</v>
      </c>
      <c r="D55" s="408">
        <v>25</v>
      </c>
      <c r="E55" s="5" t="s">
        <v>75</v>
      </c>
      <c r="F55" s="408">
        <v>30</v>
      </c>
      <c r="G55" s="408">
        <v>0</v>
      </c>
      <c r="H55" s="408">
        <v>12.4</v>
      </c>
      <c r="I55" s="408">
        <v>1.3</v>
      </c>
      <c r="J55" s="408">
        <v>2.5</v>
      </c>
      <c r="K55" s="408">
        <v>0.50700000000000001</v>
      </c>
      <c r="L55" s="408">
        <v>0</v>
      </c>
      <c r="M55" s="408">
        <v>0</v>
      </c>
      <c r="O55" s="408">
        <v>1.3</v>
      </c>
      <c r="P55" s="408">
        <v>2.5</v>
      </c>
      <c r="Q55" s="408">
        <v>0.50700000000000001</v>
      </c>
      <c r="R55" s="408">
        <v>0.50700000000000001</v>
      </c>
      <c r="S55" s="408">
        <v>0.6</v>
      </c>
      <c r="T55" s="408">
        <v>1</v>
      </c>
      <c r="U55" s="408">
        <v>0.63300000000000001</v>
      </c>
      <c r="V55" s="408">
        <v>1.4</v>
      </c>
      <c r="W55" s="408">
        <v>2.1</v>
      </c>
      <c r="X55" s="408">
        <v>3.6</v>
      </c>
      <c r="Y55" s="408">
        <v>0.7</v>
      </c>
      <c r="Z55" s="408">
        <v>0.4</v>
      </c>
      <c r="AA55" s="408">
        <v>0.4</v>
      </c>
      <c r="AB55" s="408">
        <v>0.5</v>
      </c>
      <c r="AC55" s="408">
        <v>1.3</v>
      </c>
      <c r="AD55" s="408">
        <v>3.2</v>
      </c>
    </row>
    <row r="56" spans="1:30">
      <c r="A56">
        <v>47</v>
      </c>
      <c r="B56" s="1" t="s">
        <v>573</v>
      </c>
      <c r="C56" s="5" t="s">
        <v>26</v>
      </c>
      <c r="D56" s="408">
        <v>23</v>
      </c>
      <c r="E56" s="5" t="s">
        <v>87</v>
      </c>
      <c r="F56" s="408">
        <v>5</v>
      </c>
      <c r="G56" s="408">
        <v>0</v>
      </c>
      <c r="H56" s="408">
        <v>5.2</v>
      </c>
      <c r="I56" s="408">
        <v>0.2</v>
      </c>
      <c r="J56" s="408">
        <v>0.8</v>
      </c>
      <c r="K56" s="408">
        <v>0.25</v>
      </c>
      <c r="L56" s="408">
        <v>0</v>
      </c>
      <c r="M56" s="408">
        <v>0.4</v>
      </c>
      <c r="N56" s="5">
        <v>0</v>
      </c>
      <c r="O56" s="408">
        <v>0.2</v>
      </c>
      <c r="P56" s="408">
        <v>0.4</v>
      </c>
      <c r="Q56" s="408">
        <v>0.5</v>
      </c>
      <c r="R56" s="408">
        <v>0.25</v>
      </c>
      <c r="S56" s="408">
        <v>0.6</v>
      </c>
      <c r="T56" s="408">
        <v>1</v>
      </c>
      <c r="U56" s="408">
        <v>0.6</v>
      </c>
      <c r="V56" s="408">
        <v>0.2</v>
      </c>
      <c r="W56" s="408">
        <v>0.4</v>
      </c>
      <c r="X56" s="408">
        <v>0.6</v>
      </c>
      <c r="Y56" s="408">
        <v>0.2</v>
      </c>
      <c r="Z56" s="408">
        <v>0.2</v>
      </c>
      <c r="AA56" s="408">
        <v>0</v>
      </c>
      <c r="AB56" s="408">
        <v>0.2</v>
      </c>
      <c r="AC56" s="408">
        <v>0.4</v>
      </c>
      <c r="AD56" s="408">
        <v>1</v>
      </c>
    </row>
    <row r="57" spans="1:30">
      <c r="A57">
        <v>48</v>
      </c>
      <c r="B57" s="1" t="s">
        <v>591</v>
      </c>
      <c r="C57" s="5" t="s">
        <v>83</v>
      </c>
      <c r="D57" s="408">
        <v>25</v>
      </c>
      <c r="E57" s="5" t="s">
        <v>75</v>
      </c>
      <c r="F57" s="408">
        <v>70</v>
      </c>
      <c r="G57" s="408">
        <v>23</v>
      </c>
      <c r="H57" s="408">
        <v>18.7</v>
      </c>
      <c r="I57" s="408">
        <v>2.1</v>
      </c>
      <c r="J57" s="408">
        <v>4.0999999999999996</v>
      </c>
      <c r="K57" s="408">
        <v>0.51900000000000002</v>
      </c>
      <c r="L57" s="408">
        <v>0</v>
      </c>
      <c r="M57" s="408">
        <v>0</v>
      </c>
      <c r="N57" s="5">
        <v>0</v>
      </c>
      <c r="O57" s="408">
        <v>2.1</v>
      </c>
      <c r="P57" s="408">
        <v>4.0999999999999996</v>
      </c>
      <c r="Q57" s="408">
        <v>0.52100000000000002</v>
      </c>
      <c r="R57" s="408">
        <v>0.51900000000000002</v>
      </c>
      <c r="S57" s="408">
        <v>1.2</v>
      </c>
      <c r="T57" s="408">
        <v>1.9</v>
      </c>
      <c r="U57" s="408">
        <v>0.65600000000000003</v>
      </c>
      <c r="V57" s="408">
        <v>1.7</v>
      </c>
      <c r="W57" s="408">
        <v>4</v>
      </c>
      <c r="X57" s="408">
        <v>5.7</v>
      </c>
      <c r="Y57" s="408">
        <v>0.8</v>
      </c>
      <c r="Z57" s="408">
        <v>0.3</v>
      </c>
      <c r="AA57" s="408">
        <v>1.2</v>
      </c>
      <c r="AB57" s="408">
        <v>1.1000000000000001</v>
      </c>
      <c r="AC57" s="408">
        <v>2</v>
      </c>
      <c r="AD57" s="408">
        <v>5.5</v>
      </c>
    </row>
    <row r="58" spans="1:30">
      <c r="A58">
        <v>49</v>
      </c>
      <c r="B58" s="1" t="s">
        <v>5</v>
      </c>
      <c r="C58" s="5" t="s">
        <v>38</v>
      </c>
      <c r="D58" s="408">
        <v>29</v>
      </c>
      <c r="E58" s="5" t="s">
        <v>56</v>
      </c>
      <c r="F58" s="408">
        <v>56</v>
      </c>
      <c r="G58" s="408">
        <v>13</v>
      </c>
      <c r="H58" s="408">
        <v>19.3</v>
      </c>
      <c r="I58" s="408">
        <v>2.6</v>
      </c>
      <c r="J58" s="408">
        <v>5.3</v>
      </c>
      <c r="K58" s="408">
        <v>0.49</v>
      </c>
      <c r="L58" s="408">
        <v>1.1000000000000001</v>
      </c>
      <c r="M58" s="408">
        <v>2.6</v>
      </c>
      <c r="N58" s="5">
        <v>0.441</v>
      </c>
      <c r="O58" s="408">
        <v>1.5</v>
      </c>
      <c r="P58" s="408">
        <v>2.7</v>
      </c>
      <c r="Q58" s="408">
        <v>0.53600000000000003</v>
      </c>
      <c r="R58" s="408">
        <v>0.59699999999999998</v>
      </c>
      <c r="S58" s="408">
        <v>0.6</v>
      </c>
      <c r="T58" s="408">
        <v>0.7</v>
      </c>
      <c r="U58" s="408">
        <v>0.82099999999999995</v>
      </c>
      <c r="V58" s="408">
        <v>0.7</v>
      </c>
      <c r="W58" s="408">
        <v>3.2</v>
      </c>
      <c r="X58" s="408">
        <v>3.9</v>
      </c>
      <c r="Y58" s="408">
        <v>1.3</v>
      </c>
      <c r="Z58" s="408">
        <v>0.7</v>
      </c>
      <c r="AA58" s="408">
        <v>0.2</v>
      </c>
      <c r="AB58" s="408">
        <v>0.8</v>
      </c>
      <c r="AC58" s="408">
        <v>2</v>
      </c>
      <c r="AD58" s="408">
        <v>6.9</v>
      </c>
    </row>
    <row r="59" spans="1:30">
      <c r="A59">
        <v>50</v>
      </c>
      <c r="B59" s="1" t="s">
        <v>93</v>
      </c>
      <c r="C59" s="5" t="s">
        <v>83</v>
      </c>
      <c r="D59" s="408">
        <v>26</v>
      </c>
      <c r="E59" s="5" t="s">
        <v>92</v>
      </c>
      <c r="F59" s="408">
        <v>42</v>
      </c>
      <c r="G59" s="408">
        <v>1</v>
      </c>
      <c r="H59" s="408">
        <v>10.3</v>
      </c>
      <c r="I59" s="408">
        <v>1.5</v>
      </c>
      <c r="J59" s="408">
        <v>2.6</v>
      </c>
      <c r="K59" s="408">
        <v>0.58699999999999997</v>
      </c>
      <c r="L59" s="408">
        <v>0</v>
      </c>
      <c r="M59" s="408">
        <v>0.2</v>
      </c>
      <c r="N59" s="5">
        <v>0</v>
      </c>
      <c r="O59" s="408">
        <v>1.5</v>
      </c>
      <c r="P59" s="408">
        <v>2.4</v>
      </c>
      <c r="Q59" s="408">
        <v>0.63400000000000001</v>
      </c>
      <c r="R59" s="408">
        <v>0.58699999999999997</v>
      </c>
      <c r="S59" s="408">
        <v>0.5</v>
      </c>
      <c r="T59" s="408">
        <v>1.2</v>
      </c>
      <c r="U59" s="408">
        <v>0.46</v>
      </c>
      <c r="V59" s="408">
        <v>1.3</v>
      </c>
      <c r="W59" s="408">
        <v>1.7</v>
      </c>
      <c r="X59" s="408">
        <v>3</v>
      </c>
      <c r="Y59" s="408">
        <v>0.2</v>
      </c>
      <c r="Z59" s="408">
        <v>0.4</v>
      </c>
      <c r="AA59" s="408">
        <v>0.6</v>
      </c>
      <c r="AB59" s="408">
        <v>0.7</v>
      </c>
      <c r="AC59" s="408">
        <v>2.2000000000000002</v>
      </c>
      <c r="AD59" s="408">
        <v>3.6</v>
      </c>
    </row>
    <row r="60" spans="1:30">
      <c r="A60">
        <v>51</v>
      </c>
      <c r="B60" s="1" t="s">
        <v>449</v>
      </c>
      <c r="C60" s="5" t="s">
        <v>26</v>
      </c>
      <c r="D60" s="408">
        <v>21</v>
      </c>
      <c r="E60" s="5" t="s">
        <v>43</v>
      </c>
      <c r="F60" s="408">
        <v>18</v>
      </c>
      <c r="G60" s="408">
        <v>0</v>
      </c>
      <c r="H60" s="408">
        <v>16.100000000000001</v>
      </c>
      <c r="I60" s="408">
        <v>2.8</v>
      </c>
      <c r="J60" s="408">
        <v>7.4</v>
      </c>
      <c r="K60" s="408">
        <v>0.373</v>
      </c>
      <c r="L60" s="408">
        <v>0.8</v>
      </c>
      <c r="M60" s="408">
        <v>2.8</v>
      </c>
      <c r="N60" s="5">
        <v>0.29399999999999998</v>
      </c>
      <c r="O60" s="408">
        <v>1.9</v>
      </c>
      <c r="P60" s="408">
        <v>4.5999999999999996</v>
      </c>
      <c r="Q60" s="408">
        <v>0.42199999999999999</v>
      </c>
      <c r="R60" s="408">
        <v>0.42899999999999999</v>
      </c>
      <c r="S60" s="408">
        <v>1.7</v>
      </c>
      <c r="T60" s="408">
        <v>2.2000000000000002</v>
      </c>
      <c r="U60" s="408">
        <v>0.76900000000000002</v>
      </c>
      <c r="V60" s="408">
        <v>0.2</v>
      </c>
      <c r="W60" s="408">
        <v>1.5</v>
      </c>
      <c r="X60" s="408">
        <v>1.7</v>
      </c>
      <c r="Y60" s="408">
        <v>0.9</v>
      </c>
      <c r="Z60" s="408">
        <v>0.4</v>
      </c>
      <c r="AA60" s="408">
        <v>0.1</v>
      </c>
      <c r="AB60" s="408">
        <v>0.6</v>
      </c>
      <c r="AC60" s="408">
        <v>0.9</v>
      </c>
      <c r="AD60" s="408">
        <v>8.1</v>
      </c>
    </row>
    <row r="61" spans="1:30">
      <c r="A61">
        <v>52</v>
      </c>
      <c r="B61" s="1" t="s">
        <v>356</v>
      </c>
      <c r="C61" s="5" t="s">
        <v>20</v>
      </c>
      <c r="D61" s="408">
        <v>28</v>
      </c>
      <c r="E61" s="5" t="s">
        <v>357</v>
      </c>
      <c r="F61" s="408">
        <v>62</v>
      </c>
      <c r="G61" s="408">
        <v>62</v>
      </c>
      <c r="H61" s="408">
        <v>31.3</v>
      </c>
      <c r="I61" s="408">
        <v>6.1</v>
      </c>
      <c r="J61" s="408">
        <v>13.5</v>
      </c>
      <c r="K61" s="408">
        <v>0.45200000000000001</v>
      </c>
      <c r="L61" s="408">
        <v>1.7</v>
      </c>
      <c r="M61" s="408">
        <v>5</v>
      </c>
      <c r="N61" s="5">
        <v>0.33300000000000002</v>
      </c>
      <c r="O61" s="408">
        <v>4.4000000000000004</v>
      </c>
      <c r="P61" s="408">
        <v>8.5</v>
      </c>
      <c r="Q61" s="408">
        <v>0.52200000000000002</v>
      </c>
      <c r="R61" s="408">
        <v>0.51400000000000001</v>
      </c>
      <c r="S61" s="408">
        <v>3.4</v>
      </c>
      <c r="T61" s="408">
        <v>4.4000000000000004</v>
      </c>
      <c r="U61" s="408">
        <v>0.78600000000000003</v>
      </c>
      <c r="V61" s="408">
        <v>0.7</v>
      </c>
      <c r="W61" s="408">
        <v>3</v>
      </c>
      <c r="X61" s="408">
        <v>3.8</v>
      </c>
      <c r="Y61" s="408">
        <v>4.8</v>
      </c>
      <c r="Z61" s="408">
        <v>2.1</v>
      </c>
      <c r="AA61" s="408">
        <v>0.6</v>
      </c>
      <c r="AB61" s="408">
        <v>3</v>
      </c>
      <c r="AC61" s="408">
        <v>2.5</v>
      </c>
      <c r="AD61" s="408">
        <v>17.3</v>
      </c>
    </row>
    <row r="62" spans="1:30">
      <c r="A62">
        <v>52</v>
      </c>
      <c r="B62" s="1" t="s">
        <v>356</v>
      </c>
      <c r="C62" s="5" t="s">
        <v>20</v>
      </c>
      <c r="D62" s="408">
        <v>28</v>
      </c>
      <c r="E62" s="5" t="s">
        <v>313</v>
      </c>
      <c r="F62" s="408">
        <v>3</v>
      </c>
      <c r="G62" s="408">
        <v>3</v>
      </c>
      <c r="H62" s="408">
        <v>27.7</v>
      </c>
      <c r="I62" s="408">
        <v>5.3</v>
      </c>
      <c r="J62" s="408">
        <v>13.3</v>
      </c>
      <c r="K62" s="408">
        <v>0.4</v>
      </c>
      <c r="L62" s="408">
        <v>1.3</v>
      </c>
      <c r="M62" s="408">
        <v>4.3</v>
      </c>
      <c r="N62" s="5">
        <v>0.308</v>
      </c>
      <c r="O62" s="408">
        <v>4</v>
      </c>
      <c r="P62" s="408">
        <v>9</v>
      </c>
      <c r="Q62" s="408">
        <v>0.44400000000000001</v>
      </c>
      <c r="R62" s="408">
        <v>0.45</v>
      </c>
      <c r="S62" s="408">
        <v>3.7</v>
      </c>
      <c r="T62" s="408">
        <v>4.7</v>
      </c>
      <c r="U62" s="408">
        <v>0.78600000000000003</v>
      </c>
      <c r="V62" s="408">
        <v>1</v>
      </c>
      <c r="W62" s="408">
        <v>1.3</v>
      </c>
      <c r="X62" s="408">
        <v>2.2999999999999998</v>
      </c>
      <c r="Y62" s="408">
        <v>3</v>
      </c>
      <c r="Z62" s="408">
        <v>1.3</v>
      </c>
      <c r="AA62" s="408">
        <v>0.7</v>
      </c>
      <c r="AB62" s="408">
        <v>3.3</v>
      </c>
      <c r="AC62" s="408">
        <v>2</v>
      </c>
      <c r="AD62" s="408">
        <v>15.7</v>
      </c>
    </row>
    <row r="63" spans="1:30">
      <c r="A63">
        <v>52</v>
      </c>
      <c r="B63" s="1" t="s">
        <v>356</v>
      </c>
      <c r="C63" s="5" t="s">
        <v>20</v>
      </c>
      <c r="D63" s="408">
        <v>28</v>
      </c>
      <c r="E63" s="5" t="s">
        <v>41</v>
      </c>
      <c r="F63" s="408">
        <v>59</v>
      </c>
      <c r="G63" s="408">
        <v>59</v>
      </c>
      <c r="H63" s="408">
        <v>31.5</v>
      </c>
      <c r="I63" s="408">
        <v>6.1</v>
      </c>
      <c r="J63" s="408">
        <v>13.5</v>
      </c>
      <c r="K63" s="408">
        <v>0.45500000000000002</v>
      </c>
      <c r="L63" s="408">
        <v>1.7</v>
      </c>
      <c r="M63" s="408">
        <v>5</v>
      </c>
      <c r="N63" s="5">
        <v>0.33400000000000002</v>
      </c>
      <c r="O63" s="408">
        <v>4.4000000000000004</v>
      </c>
      <c r="P63" s="408">
        <v>8.4</v>
      </c>
      <c r="Q63" s="408">
        <v>0.52600000000000002</v>
      </c>
      <c r="R63" s="408">
        <v>0.51700000000000002</v>
      </c>
      <c r="S63" s="408">
        <v>3.4</v>
      </c>
      <c r="T63" s="408">
        <v>4.4000000000000004</v>
      </c>
      <c r="U63" s="408">
        <v>0.78600000000000003</v>
      </c>
      <c r="V63" s="408">
        <v>0.7</v>
      </c>
      <c r="W63" s="408">
        <v>3.1</v>
      </c>
      <c r="X63" s="408">
        <v>3.8</v>
      </c>
      <c r="Y63" s="408">
        <v>4.8</v>
      </c>
      <c r="Z63" s="408">
        <v>2.1</v>
      </c>
      <c r="AA63" s="408">
        <v>0.6</v>
      </c>
      <c r="AB63" s="408">
        <v>3</v>
      </c>
      <c r="AC63" s="408">
        <v>2.5</v>
      </c>
      <c r="AD63" s="408">
        <v>17.3</v>
      </c>
    </row>
    <row r="64" spans="1:30">
      <c r="A64">
        <v>53</v>
      </c>
      <c r="B64" s="1" t="s">
        <v>590</v>
      </c>
      <c r="C64" s="5" t="s">
        <v>26</v>
      </c>
      <c r="D64" s="408">
        <v>25</v>
      </c>
      <c r="E64" s="5" t="s">
        <v>78</v>
      </c>
      <c r="F64" s="408">
        <v>5</v>
      </c>
      <c r="G64" s="408">
        <v>0</v>
      </c>
      <c r="H64" s="408">
        <v>9</v>
      </c>
      <c r="I64" s="408">
        <v>0.2</v>
      </c>
      <c r="J64" s="408">
        <v>1</v>
      </c>
      <c r="K64" s="408">
        <v>0.2</v>
      </c>
      <c r="L64" s="408">
        <v>0</v>
      </c>
      <c r="M64" s="408">
        <v>0.4</v>
      </c>
      <c r="N64" s="5">
        <v>0</v>
      </c>
      <c r="O64" s="408">
        <v>0.2</v>
      </c>
      <c r="P64" s="408">
        <v>0.6</v>
      </c>
      <c r="Q64" s="408">
        <v>0.33300000000000002</v>
      </c>
      <c r="R64" s="408">
        <v>0.2</v>
      </c>
      <c r="S64" s="408">
        <v>0.2</v>
      </c>
      <c r="T64" s="408">
        <v>0.4</v>
      </c>
      <c r="U64" s="408">
        <v>0.5</v>
      </c>
      <c r="V64" s="408">
        <v>0</v>
      </c>
      <c r="W64" s="408">
        <v>0.2</v>
      </c>
      <c r="X64" s="408">
        <v>0.2</v>
      </c>
      <c r="Y64" s="408">
        <v>0.6</v>
      </c>
      <c r="Z64" s="408">
        <v>0.2</v>
      </c>
      <c r="AA64" s="408">
        <v>0</v>
      </c>
      <c r="AB64" s="408">
        <v>0.6</v>
      </c>
      <c r="AC64" s="408">
        <v>0.4</v>
      </c>
      <c r="AD64" s="408">
        <v>0.6</v>
      </c>
    </row>
    <row r="65" spans="1:30">
      <c r="A65">
        <v>54</v>
      </c>
      <c r="B65" s="1" t="s">
        <v>406</v>
      </c>
      <c r="C65" s="5" t="s">
        <v>26</v>
      </c>
      <c r="D65" s="408">
        <v>25</v>
      </c>
      <c r="E65" s="5" t="s">
        <v>100</v>
      </c>
      <c r="F65" s="408">
        <v>68</v>
      </c>
      <c r="G65" s="408">
        <v>43</v>
      </c>
      <c r="H65" s="408">
        <v>27.6</v>
      </c>
      <c r="I65" s="408">
        <v>4.4000000000000004</v>
      </c>
      <c r="J65" s="408">
        <v>9.8000000000000007</v>
      </c>
      <c r="K65" s="408">
        <v>0.44500000000000001</v>
      </c>
      <c r="L65" s="408">
        <v>1.7</v>
      </c>
      <c r="M65" s="408">
        <v>4.2</v>
      </c>
      <c r="N65" s="5">
        <v>0.39900000000000002</v>
      </c>
      <c r="O65" s="408">
        <v>2.7</v>
      </c>
      <c r="P65" s="408">
        <v>5.6</v>
      </c>
      <c r="Q65" s="408">
        <v>0.48</v>
      </c>
      <c r="R65" s="408">
        <v>0.53100000000000003</v>
      </c>
      <c r="S65" s="408">
        <v>1.4</v>
      </c>
      <c r="T65" s="408">
        <v>1.6</v>
      </c>
      <c r="U65" s="408">
        <v>0.85199999999999998</v>
      </c>
      <c r="V65" s="408">
        <v>0.4</v>
      </c>
      <c r="W65" s="408">
        <v>2.5</v>
      </c>
      <c r="X65" s="408">
        <v>2.9</v>
      </c>
      <c r="Y65" s="408">
        <v>3.3</v>
      </c>
      <c r="Z65" s="408">
        <v>0.9</v>
      </c>
      <c r="AA65" s="408">
        <v>0.2</v>
      </c>
      <c r="AB65" s="408">
        <v>1.6</v>
      </c>
      <c r="AC65" s="408">
        <v>2.1</v>
      </c>
      <c r="AD65" s="408">
        <v>11.8</v>
      </c>
    </row>
    <row r="66" spans="1:30">
      <c r="A66">
        <v>55</v>
      </c>
      <c r="B66" s="1" t="s">
        <v>353</v>
      </c>
      <c r="C66" s="5" t="s">
        <v>46</v>
      </c>
      <c r="D66" s="408">
        <v>28</v>
      </c>
      <c r="E66" s="5" t="s">
        <v>30</v>
      </c>
      <c r="F66" s="408">
        <v>70</v>
      </c>
      <c r="G66" s="408">
        <v>70</v>
      </c>
      <c r="H66" s="408">
        <v>30.7</v>
      </c>
      <c r="I66" s="408">
        <v>4.9000000000000004</v>
      </c>
      <c r="J66" s="408">
        <v>10.4</v>
      </c>
      <c r="K66" s="408">
        <v>0.46600000000000003</v>
      </c>
      <c r="L66" s="408">
        <v>1.9</v>
      </c>
      <c r="M66" s="408">
        <v>4.8</v>
      </c>
      <c r="N66" s="5">
        <v>0.39400000000000002</v>
      </c>
      <c r="O66" s="408">
        <v>3</v>
      </c>
      <c r="P66" s="408">
        <v>5.7</v>
      </c>
      <c r="Q66" s="408">
        <v>0.52800000000000002</v>
      </c>
      <c r="R66" s="408">
        <v>0.55700000000000005</v>
      </c>
      <c r="S66" s="408">
        <v>2.2999999999999998</v>
      </c>
      <c r="T66" s="408">
        <v>2.6</v>
      </c>
      <c r="U66" s="408">
        <v>0.85899999999999999</v>
      </c>
      <c r="V66" s="408">
        <v>0.3</v>
      </c>
      <c r="W66" s="408">
        <v>3</v>
      </c>
      <c r="X66" s="408">
        <v>3.3</v>
      </c>
      <c r="Y66" s="408">
        <v>1.5</v>
      </c>
      <c r="Z66" s="408">
        <v>0.7</v>
      </c>
      <c r="AA66" s="408">
        <v>0.1</v>
      </c>
      <c r="AB66" s="408">
        <v>1.3</v>
      </c>
      <c r="AC66" s="408">
        <v>1.6</v>
      </c>
      <c r="AD66" s="408">
        <v>13.9</v>
      </c>
    </row>
    <row r="67" spans="1:30">
      <c r="A67">
        <v>56</v>
      </c>
      <c r="B67" s="1" t="s">
        <v>287</v>
      </c>
      <c r="C67" s="5" t="s">
        <v>83</v>
      </c>
      <c r="D67" s="408">
        <v>33</v>
      </c>
      <c r="E67" s="5" t="s">
        <v>78</v>
      </c>
      <c r="F67" s="408">
        <v>23</v>
      </c>
      <c r="G67" s="408">
        <v>5</v>
      </c>
      <c r="H67" s="408">
        <v>9.4</v>
      </c>
      <c r="I67" s="408">
        <v>0.7</v>
      </c>
      <c r="J67" s="408">
        <v>1.1000000000000001</v>
      </c>
      <c r="K67" s="408">
        <v>0.68</v>
      </c>
      <c r="L67" s="408">
        <v>0</v>
      </c>
      <c r="M67" s="408">
        <v>0</v>
      </c>
      <c r="O67" s="408">
        <v>0.7</v>
      </c>
      <c r="P67" s="408">
        <v>1.1000000000000001</v>
      </c>
      <c r="Q67" s="408">
        <v>0.68</v>
      </c>
      <c r="R67" s="408">
        <v>0.68</v>
      </c>
      <c r="S67" s="408">
        <v>0.1</v>
      </c>
      <c r="T67" s="408">
        <v>0.1</v>
      </c>
      <c r="U67" s="408">
        <v>1</v>
      </c>
      <c r="V67" s="408">
        <v>1.1000000000000001</v>
      </c>
      <c r="W67" s="408">
        <v>2.2999999999999998</v>
      </c>
      <c r="X67" s="408">
        <v>3.4</v>
      </c>
      <c r="Y67" s="408">
        <v>0.7</v>
      </c>
      <c r="Z67" s="408">
        <v>0.2</v>
      </c>
      <c r="AA67" s="408">
        <v>0.6</v>
      </c>
      <c r="AB67" s="408">
        <v>0.8</v>
      </c>
      <c r="AC67" s="408">
        <v>1.7</v>
      </c>
      <c r="AD67" s="408">
        <v>1.6</v>
      </c>
    </row>
    <row r="68" spans="1:30">
      <c r="A68">
        <v>57</v>
      </c>
      <c r="B68" s="1" t="s">
        <v>595</v>
      </c>
      <c r="C68" s="5" t="s">
        <v>38</v>
      </c>
      <c r="D68" s="408">
        <v>24</v>
      </c>
      <c r="E68" s="5" t="s">
        <v>41</v>
      </c>
      <c r="F68" s="408">
        <v>6</v>
      </c>
      <c r="G68" s="408">
        <v>0</v>
      </c>
      <c r="H68" s="408">
        <v>6.3</v>
      </c>
      <c r="I68" s="408">
        <v>0.5</v>
      </c>
      <c r="J68" s="408">
        <v>1</v>
      </c>
      <c r="K68" s="408">
        <v>0.5</v>
      </c>
      <c r="L68" s="408">
        <v>0</v>
      </c>
      <c r="M68" s="408">
        <v>0.2</v>
      </c>
      <c r="N68" s="5">
        <v>0</v>
      </c>
      <c r="O68" s="408">
        <v>0.5</v>
      </c>
      <c r="P68" s="408">
        <v>0.8</v>
      </c>
      <c r="Q68" s="408">
        <v>0.6</v>
      </c>
      <c r="R68" s="408">
        <v>0.5</v>
      </c>
      <c r="S68" s="408">
        <v>0.5</v>
      </c>
      <c r="T68" s="408">
        <v>1</v>
      </c>
      <c r="U68" s="408">
        <v>0.5</v>
      </c>
      <c r="V68" s="408">
        <v>1</v>
      </c>
      <c r="W68" s="408">
        <v>0.7</v>
      </c>
      <c r="X68" s="408">
        <v>1.7</v>
      </c>
      <c r="Y68" s="408">
        <v>0</v>
      </c>
      <c r="Z68" s="408">
        <v>0.3</v>
      </c>
      <c r="AA68" s="408">
        <v>0</v>
      </c>
      <c r="AB68" s="408">
        <v>0.3</v>
      </c>
      <c r="AC68" s="408">
        <v>0.5</v>
      </c>
      <c r="AD68" s="408">
        <v>1.5</v>
      </c>
    </row>
    <row r="69" spans="1:30">
      <c r="A69">
        <v>58</v>
      </c>
      <c r="B69" s="1" t="s">
        <v>312</v>
      </c>
      <c r="C69" s="5" t="s">
        <v>26</v>
      </c>
      <c r="D69" s="408">
        <v>21</v>
      </c>
      <c r="E69" s="5" t="s">
        <v>313</v>
      </c>
      <c r="F69" s="408">
        <v>54</v>
      </c>
      <c r="G69" s="408">
        <v>54</v>
      </c>
      <c r="H69" s="408">
        <v>34.5</v>
      </c>
      <c r="I69" s="408">
        <v>8.4</v>
      </c>
      <c r="J69" s="408">
        <v>19.5</v>
      </c>
      <c r="K69" s="408">
        <v>0.432</v>
      </c>
      <c r="L69" s="408">
        <v>2.7</v>
      </c>
      <c r="M69" s="408">
        <v>7.1</v>
      </c>
      <c r="N69" s="5">
        <v>0.38300000000000001</v>
      </c>
      <c r="O69" s="408">
        <v>5.7</v>
      </c>
      <c r="P69" s="408">
        <v>12.4</v>
      </c>
      <c r="Q69" s="408">
        <v>0.46</v>
      </c>
      <c r="R69" s="408">
        <v>0.501</v>
      </c>
      <c r="S69" s="408">
        <v>5.4</v>
      </c>
      <c r="T69" s="408">
        <v>6.1</v>
      </c>
      <c r="U69" s="408">
        <v>0.878</v>
      </c>
      <c r="V69" s="408">
        <v>0.5</v>
      </c>
      <c r="W69" s="408">
        <v>4</v>
      </c>
      <c r="X69" s="408">
        <v>4.5</v>
      </c>
      <c r="Y69" s="408">
        <v>4.7</v>
      </c>
      <c r="Z69" s="408">
        <v>0.9</v>
      </c>
      <c r="AA69" s="408">
        <v>0.3</v>
      </c>
      <c r="AB69" s="408">
        <v>3.6</v>
      </c>
      <c r="AC69" s="408">
        <v>3.1</v>
      </c>
      <c r="AD69" s="408">
        <v>24.9</v>
      </c>
    </row>
    <row r="70" spans="1:30">
      <c r="A70">
        <v>59</v>
      </c>
      <c r="B70" s="1" t="s">
        <v>178</v>
      </c>
      <c r="C70" s="5" t="s">
        <v>38</v>
      </c>
      <c r="D70" s="408">
        <v>30</v>
      </c>
      <c r="E70" s="5" t="s">
        <v>357</v>
      </c>
      <c r="F70" s="408">
        <v>58</v>
      </c>
      <c r="G70" s="408">
        <v>5</v>
      </c>
      <c r="H70" s="408">
        <v>17.399999999999999</v>
      </c>
      <c r="I70" s="408">
        <v>2.6</v>
      </c>
      <c r="J70" s="408">
        <v>5.0999999999999996</v>
      </c>
      <c r="K70" s="408">
        <v>0.51</v>
      </c>
      <c r="L70" s="408">
        <v>0.1</v>
      </c>
      <c r="M70" s="408">
        <v>0.5</v>
      </c>
      <c r="N70" s="5">
        <v>0.28599999999999998</v>
      </c>
      <c r="O70" s="408">
        <v>2.4</v>
      </c>
      <c r="P70" s="408">
        <v>4.5999999999999996</v>
      </c>
      <c r="Q70" s="408">
        <v>0.53400000000000003</v>
      </c>
      <c r="R70" s="408">
        <v>0.52400000000000002</v>
      </c>
      <c r="S70" s="408">
        <v>1</v>
      </c>
      <c r="T70" s="408">
        <v>1.4</v>
      </c>
      <c r="U70" s="408">
        <v>0.69</v>
      </c>
      <c r="V70" s="408">
        <v>1.7</v>
      </c>
      <c r="W70" s="408">
        <v>3.1</v>
      </c>
      <c r="X70" s="408">
        <v>4.8</v>
      </c>
      <c r="Y70" s="408">
        <v>1.3</v>
      </c>
      <c r="Z70" s="408">
        <v>0.4</v>
      </c>
      <c r="AA70" s="408">
        <v>0.3</v>
      </c>
      <c r="AB70" s="408">
        <v>1</v>
      </c>
      <c r="AC70" s="408">
        <v>1.8</v>
      </c>
      <c r="AD70" s="408">
        <v>6.3</v>
      </c>
    </row>
    <row r="71" spans="1:30">
      <c r="A71">
        <v>59</v>
      </c>
      <c r="B71" s="1" t="s">
        <v>178</v>
      </c>
      <c r="C71" s="5" t="s">
        <v>38</v>
      </c>
      <c r="D71" s="408">
        <v>30</v>
      </c>
      <c r="E71" s="5" t="s">
        <v>315</v>
      </c>
      <c r="F71" s="408">
        <v>18</v>
      </c>
      <c r="G71" s="408">
        <v>5</v>
      </c>
      <c r="H71" s="408">
        <v>21.9</v>
      </c>
      <c r="I71" s="408">
        <v>4.3</v>
      </c>
      <c r="J71" s="408">
        <v>8.3000000000000007</v>
      </c>
      <c r="K71" s="408">
        <v>0.51300000000000001</v>
      </c>
      <c r="L71" s="408">
        <v>0.2</v>
      </c>
      <c r="M71" s="408">
        <v>0.7</v>
      </c>
      <c r="N71" s="5">
        <v>0.25</v>
      </c>
      <c r="O71" s="408">
        <v>4.0999999999999996</v>
      </c>
      <c r="P71" s="408">
        <v>7.7</v>
      </c>
      <c r="Q71" s="408">
        <v>0.53600000000000003</v>
      </c>
      <c r="R71" s="408">
        <v>0.52300000000000002</v>
      </c>
      <c r="S71" s="408">
        <v>1.3</v>
      </c>
      <c r="T71" s="408">
        <v>2.4</v>
      </c>
      <c r="U71" s="408">
        <v>0.55800000000000005</v>
      </c>
      <c r="V71" s="408">
        <v>2.1</v>
      </c>
      <c r="W71" s="408">
        <v>4.5</v>
      </c>
      <c r="X71" s="408">
        <v>6.6</v>
      </c>
      <c r="Y71" s="408">
        <v>2.1</v>
      </c>
      <c r="Z71" s="408">
        <v>0.4</v>
      </c>
      <c r="AA71" s="408">
        <v>0.3</v>
      </c>
      <c r="AB71" s="408">
        <v>1.7</v>
      </c>
      <c r="AC71" s="408">
        <v>2.4</v>
      </c>
      <c r="AD71" s="408">
        <v>10.1</v>
      </c>
    </row>
    <row r="72" spans="1:30">
      <c r="A72">
        <v>59</v>
      </c>
      <c r="B72" s="1" t="s">
        <v>178</v>
      </c>
      <c r="C72" s="5" t="s">
        <v>38</v>
      </c>
      <c r="D72" s="408">
        <v>30</v>
      </c>
      <c r="E72" s="5" t="s">
        <v>118</v>
      </c>
      <c r="F72" s="408">
        <v>33</v>
      </c>
      <c r="G72" s="408">
        <v>0</v>
      </c>
      <c r="H72" s="408">
        <v>15</v>
      </c>
      <c r="I72" s="408">
        <v>1.8</v>
      </c>
      <c r="J72" s="408">
        <v>3.3</v>
      </c>
      <c r="K72" s="408">
        <v>0.56000000000000005</v>
      </c>
      <c r="L72" s="408">
        <v>0.1</v>
      </c>
      <c r="M72" s="408">
        <v>0.2</v>
      </c>
      <c r="N72" s="5">
        <v>0.28599999999999998</v>
      </c>
      <c r="O72" s="408">
        <v>1.8</v>
      </c>
      <c r="P72" s="408">
        <v>3.1</v>
      </c>
      <c r="Q72" s="408">
        <v>0.57799999999999996</v>
      </c>
      <c r="R72" s="408">
        <v>0.56899999999999995</v>
      </c>
      <c r="S72" s="408">
        <v>1</v>
      </c>
      <c r="T72" s="408">
        <v>1.2</v>
      </c>
      <c r="U72" s="408">
        <v>0.82099999999999995</v>
      </c>
      <c r="V72" s="408">
        <v>1.4</v>
      </c>
      <c r="W72" s="408">
        <v>2.2999999999999998</v>
      </c>
      <c r="X72" s="408">
        <v>3.7</v>
      </c>
      <c r="Y72" s="408">
        <v>0.8</v>
      </c>
      <c r="Z72" s="408">
        <v>0.5</v>
      </c>
      <c r="AA72" s="408">
        <v>0.3</v>
      </c>
      <c r="AB72" s="408">
        <v>0.6</v>
      </c>
      <c r="AC72" s="408">
        <v>1.5</v>
      </c>
      <c r="AD72" s="408">
        <v>4.7</v>
      </c>
    </row>
    <row r="73" spans="1:30">
      <c r="A73">
        <v>59</v>
      </c>
      <c r="B73" s="1" t="s">
        <v>178</v>
      </c>
      <c r="C73" s="5" t="s">
        <v>38</v>
      </c>
      <c r="D73" s="408">
        <v>30</v>
      </c>
      <c r="E73" s="5" t="s">
        <v>30</v>
      </c>
      <c r="F73" s="408">
        <v>7</v>
      </c>
      <c r="G73" s="408">
        <v>0</v>
      </c>
      <c r="H73" s="408">
        <v>17.399999999999999</v>
      </c>
      <c r="I73" s="408">
        <v>1.7</v>
      </c>
      <c r="J73" s="408">
        <v>5</v>
      </c>
      <c r="K73" s="408">
        <v>0.34300000000000003</v>
      </c>
      <c r="L73" s="408">
        <v>0.4</v>
      </c>
      <c r="M73" s="408">
        <v>1.3</v>
      </c>
      <c r="N73" s="5">
        <v>0.33300000000000002</v>
      </c>
      <c r="O73" s="408">
        <v>1.3</v>
      </c>
      <c r="P73" s="408">
        <v>3.7</v>
      </c>
      <c r="Q73" s="408">
        <v>0.34599999999999997</v>
      </c>
      <c r="R73" s="408">
        <v>0.38600000000000001</v>
      </c>
      <c r="S73" s="408">
        <v>0.3</v>
      </c>
      <c r="T73" s="408">
        <v>0.3</v>
      </c>
      <c r="U73" s="408">
        <v>1</v>
      </c>
      <c r="V73" s="408">
        <v>1.7</v>
      </c>
      <c r="W73" s="408">
        <v>3.3</v>
      </c>
      <c r="X73" s="408">
        <v>5</v>
      </c>
      <c r="Y73" s="408">
        <v>1.1000000000000001</v>
      </c>
      <c r="Z73" s="408">
        <v>0</v>
      </c>
      <c r="AA73" s="408">
        <v>0.4</v>
      </c>
      <c r="AB73" s="408">
        <v>0.9</v>
      </c>
      <c r="AC73" s="408">
        <v>1.4</v>
      </c>
      <c r="AD73" s="408">
        <v>4.0999999999999996</v>
      </c>
    </row>
    <row r="74" spans="1:30">
      <c r="A74">
        <v>60</v>
      </c>
      <c r="B74" s="1" t="s">
        <v>1267</v>
      </c>
      <c r="C74" s="5" t="s">
        <v>38</v>
      </c>
      <c r="D74" s="408">
        <v>25</v>
      </c>
      <c r="E74" s="5" t="s">
        <v>73</v>
      </c>
      <c r="F74" s="408">
        <v>1</v>
      </c>
      <c r="G74" s="408">
        <v>0</v>
      </c>
      <c r="H74" s="408">
        <v>1</v>
      </c>
      <c r="I74" s="408">
        <v>0</v>
      </c>
      <c r="J74" s="408">
        <v>1</v>
      </c>
      <c r="K74" s="408">
        <v>0</v>
      </c>
      <c r="L74" s="408">
        <v>0</v>
      </c>
      <c r="M74" s="408">
        <v>1</v>
      </c>
      <c r="N74" s="5">
        <v>0</v>
      </c>
      <c r="O74" s="408">
        <v>0</v>
      </c>
      <c r="P74" s="408">
        <v>0</v>
      </c>
      <c r="Q74" s="408"/>
      <c r="R74" s="408">
        <v>0</v>
      </c>
      <c r="S74" s="408">
        <v>0</v>
      </c>
      <c r="T74" s="408">
        <v>0</v>
      </c>
      <c r="U74" s="408"/>
      <c r="V74" s="408">
        <v>0</v>
      </c>
      <c r="W74" s="408">
        <v>1</v>
      </c>
      <c r="X74" s="408">
        <v>1</v>
      </c>
      <c r="Y74" s="408">
        <v>0</v>
      </c>
      <c r="Z74" s="408">
        <v>0</v>
      </c>
      <c r="AA74" s="408">
        <v>0</v>
      </c>
      <c r="AB74" s="408">
        <v>0</v>
      </c>
      <c r="AC74" s="408">
        <v>0</v>
      </c>
      <c r="AD74" s="408">
        <v>0</v>
      </c>
    </row>
    <row r="75" spans="1:30">
      <c r="A75">
        <v>61</v>
      </c>
      <c r="B75" s="1" t="s">
        <v>232</v>
      </c>
      <c r="C75" s="5" t="s">
        <v>26</v>
      </c>
      <c r="D75" s="408">
        <v>27</v>
      </c>
      <c r="E75" s="5" t="s">
        <v>357</v>
      </c>
      <c r="F75" s="408">
        <v>46</v>
      </c>
      <c r="G75" s="408">
        <v>46</v>
      </c>
      <c r="H75" s="408">
        <v>31.2</v>
      </c>
      <c r="I75" s="408">
        <v>5.6</v>
      </c>
      <c r="J75" s="408">
        <v>13.6</v>
      </c>
      <c r="K75" s="408">
        <v>0.41399999999999998</v>
      </c>
      <c r="L75" s="408">
        <v>1.6</v>
      </c>
      <c r="M75" s="408">
        <v>4.4000000000000004</v>
      </c>
      <c r="N75" s="5">
        <v>0.36899999999999999</v>
      </c>
      <c r="O75" s="408">
        <v>4</v>
      </c>
      <c r="P75" s="408">
        <v>9.1999999999999993</v>
      </c>
      <c r="Q75" s="408">
        <v>0.436</v>
      </c>
      <c r="R75" s="408">
        <v>0.47399999999999998</v>
      </c>
      <c r="S75" s="408">
        <v>1.4</v>
      </c>
      <c r="T75" s="408">
        <v>1.8</v>
      </c>
      <c r="U75" s="408">
        <v>0.76800000000000002</v>
      </c>
      <c r="V75" s="408">
        <v>0.5</v>
      </c>
      <c r="W75" s="408">
        <v>2</v>
      </c>
      <c r="X75" s="408">
        <v>2.5</v>
      </c>
      <c r="Y75" s="408">
        <v>2</v>
      </c>
      <c r="Z75" s="408">
        <v>1.1000000000000001</v>
      </c>
      <c r="AA75" s="408">
        <v>0.2</v>
      </c>
      <c r="AB75" s="408">
        <v>2.2000000000000002</v>
      </c>
      <c r="AC75" s="408">
        <v>2</v>
      </c>
      <c r="AD75" s="408">
        <v>14.3</v>
      </c>
    </row>
    <row r="76" spans="1:30">
      <c r="A76">
        <v>61</v>
      </c>
      <c r="B76" s="1" t="s">
        <v>232</v>
      </c>
      <c r="C76" s="5" t="s">
        <v>26</v>
      </c>
      <c r="D76" s="408">
        <v>27</v>
      </c>
      <c r="E76" s="5" t="s">
        <v>157</v>
      </c>
      <c r="F76" s="408">
        <v>40</v>
      </c>
      <c r="G76" s="408">
        <v>40</v>
      </c>
      <c r="H76" s="408">
        <v>31.7</v>
      </c>
      <c r="I76" s="408">
        <v>5.8</v>
      </c>
      <c r="J76" s="408">
        <v>14.3</v>
      </c>
      <c r="K76" s="408">
        <v>0.40899999999999997</v>
      </c>
      <c r="L76" s="408">
        <v>1.9</v>
      </c>
      <c r="M76" s="408">
        <v>4.9000000000000004</v>
      </c>
      <c r="N76" s="5">
        <v>0.38100000000000001</v>
      </c>
      <c r="O76" s="408">
        <v>4</v>
      </c>
      <c r="P76" s="408">
        <v>9.4</v>
      </c>
      <c r="Q76" s="408">
        <v>0.42299999999999999</v>
      </c>
      <c r="R76" s="408">
        <v>0.47399999999999998</v>
      </c>
      <c r="S76" s="408">
        <v>1.5</v>
      </c>
      <c r="T76" s="408">
        <v>2</v>
      </c>
      <c r="U76" s="408">
        <v>0.76300000000000001</v>
      </c>
      <c r="V76" s="408">
        <v>0.5</v>
      </c>
      <c r="W76" s="408">
        <v>1.9</v>
      </c>
      <c r="X76" s="408">
        <v>2.4</v>
      </c>
      <c r="Y76" s="408">
        <v>2.1</v>
      </c>
      <c r="Z76" s="408">
        <v>1.2</v>
      </c>
      <c r="AA76" s="408">
        <v>0.2</v>
      </c>
      <c r="AB76" s="408">
        <v>2.2999999999999998</v>
      </c>
      <c r="AC76" s="408">
        <v>2</v>
      </c>
      <c r="AD76" s="408">
        <v>15</v>
      </c>
    </row>
    <row r="77" spans="1:30">
      <c r="A77">
        <v>61</v>
      </c>
      <c r="B77" s="1" t="s">
        <v>232</v>
      </c>
      <c r="C77" s="5" t="s">
        <v>26</v>
      </c>
      <c r="D77" s="408">
        <v>27</v>
      </c>
      <c r="E77" s="5" t="s">
        <v>64</v>
      </c>
      <c r="F77" s="408">
        <v>6</v>
      </c>
      <c r="G77" s="408">
        <v>6</v>
      </c>
      <c r="H77" s="408">
        <v>27.5</v>
      </c>
      <c r="I77" s="408">
        <v>4.3</v>
      </c>
      <c r="J77" s="408">
        <v>9.1999999999999993</v>
      </c>
      <c r="K77" s="408">
        <v>0.47299999999999998</v>
      </c>
      <c r="L77" s="408">
        <v>0.2</v>
      </c>
      <c r="M77" s="408">
        <v>1.5</v>
      </c>
      <c r="N77" s="5">
        <v>0.111</v>
      </c>
      <c r="O77" s="408">
        <v>4.2</v>
      </c>
      <c r="P77" s="408">
        <v>7.7</v>
      </c>
      <c r="Q77" s="408">
        <v>0.54300000000000004</v>
      </c>
      <c r="R77" s="408">
        <v>0.48199999999999998</v>
      </c>
      <c r="S77" s="408">
        <v>0.3</v>
      </c>
      <c r="T77" s="408">
        <v>0.3</v>
      </c>
      <c r="U77" s="408">
        <v>1</v>
      </c>
      <c r="V77" s="408">
        <v>0.5</v>
      </c>
      <c r="W77" s="408">
        <v>3.2</v>
      </c>
      <c r="X77" s="408">
        <v>3.7</v>
      </c>
      <c r="Y77" s="408">
        <v>1.8</v>
      </c>
      <c r="Z77" s="408">
        <v>0.8</v>
      </c>
      <c r="AA77" s="408">
        <v>0.2</v>
      </c>
      <c r="AB77" s="408">
        <v>1.3</v>
      </c>
      <c r="AC77" s="408">
        <v>2</v>
      </c>
      <c r="AD77" s="408">
        <v>9.1999999999999993</v>
      </c>
    </row>
    <row r="78" spans="1:30">
      <c r="A78">
        <v>62</v>
      </c>
      <c r="B78" s="1" t="s">
        <v>304</v>
      </c>
      <c r="C78" s="5" t="s">
        <v>83</v>
      </c>
      <c r="D78" s="408">
        <v>20</v>
      </c>
      <c r="E78" s="5" t="s">
        <v>305</v>
      </c>
      <c r="F78" s="408">
        <v>9</v>
      </c>
      <c r="G78" s="408">
        <v>0</v>
      </c>
      <c r="H78" s="408">
        <v>3.2</v>
      </c>
      <c r="I78" s="408">
        <v>0.3</v>
      </c>
      <c r="J78" s="408">
        <v>1.2</v>
      </c>
      <c r="K78" s="408">
        <v>0.27300000000000002</v>
      </c>
      <c r="L78" s="408">
        <v>0</v>
      </c>
      <c r="M78" s="408">
        <v>0.1</v>
      </c>
      <c r="N78" s="5">
        <v>0</v>
      </c>
      <c r="O78" s="408">
        <v>0.3</v>
      </c>
      <c r="P78" s="408">
        <v>1.1000000000000001</v>
      </c>
      <c r="Q78" s="408">
        <v>0.3</v>
      </c>
      <c r="R78" s="408">
        <v>0.27300000000000002</v>
      </c>
      <c r="S78" s="408">
        <v>0.2</v>
      </c>
      <c r="T78" s="408">
        <v>0.2</v>
      </c>
      <c r="U78" s="408">
        <v>1</v>
      </c>
      <c r="V78" s="408">
        <v>0.4</v>
      </c>
      <c r="W78" s="408">
        <v>0.8</v>
      </c>
      <c r="X78" s="408">
        <v>1.2</v>
      </c>
      <c r="Y78" s="408">
        <v>0.1</v>
      </c>
      <c r="Z78" s="408">
        <v>0</v>
      </c>
      <c r="AA78" s="408">
        <v>0</v>
      </c>
      <c r="AB78" s="408">
        <v>0</v>
      </c>
      <c r="AC78" s="408">
        <v>0.1</v>
      </c>
      <c r="AD78" s="408">
        <v>0.9</v>
      </c>
    </row>
    <row r="79" spans="1:30">
      <c r="A79">
        <v>63</v>
      </c>
      <c r="B79" s="1" t="s">
        <v>79</v>
      </c>
      <c r="C79" s="5" t="s">
        <v>46</v>
      </c>
      <c r="D79" s="408">
        <v>31</v>
      </c>
      <c r="E79" s="5" t="s">
        <v>357</v>
      </c>
      <c r="F79" s="408">
        <v>62</v>
      </c>
      <c r="G79" s="408">
        <v>8</v>
      </c>
      <c r="H79" s="408">
        <v>14.7</v>
      </c>
      <c r="I79" s="408">
        <v>1.8</v>
      </c>
      <c r="J79" s="408">
        <v>3.8</v>
      </c>
      <c r="K79" s="408">
        <v>0.46200000000000002</v>
      </c>
      <c r="L79" s="408">
        <v>0.3</v>
      </c>
      <c r="M79" s="408">
        <v>1.1000000000000001</v>
      </c>
      <c r="N79" s="5">
        <v>0.28199999999999997</v>
      </c>
      <c r="O79" s="408">
        <v>1.4</v>
      </c>
      <c r="P79" s="408">
        <v>2.7</v>
      </c>
      <c r="Q79" s="408">
        <v>0.53900000000000003</v>
      </c>
      <c r="R79" s="408">
        <v>0.504</v>
      </c>
      <c r="S79" s="408">
        <v>0.9</v>
      </c>
      <c r="T79" s="408">
        <v>1.2</v>
      </c>
      <c r="U79" s="408">
        <v>0.75</v>
      </c>
      <c r="V79" s="408">
        <v>0.4</v>
      </c>
      <c r="W79" s="408">
        <v>1.4</v>
      </c>
      <c r="X79" s="408">
        <v>1.8</v>
      </c>
      <c r="Y79" s="408">
        <v>0.8</v>
      </c>
      <c r="Z79" s="408">
        <v>1</v>
      </c>
      <c r="AA79" s="408">
        <v>0.2</v>
      </c>
      <c r="AB79" s="408">
        <v>0.7</v>
      </c>
      <c r="AC79" s="408">
        <v>1.7</v>
      </c>
      <c r="AD79" s="408">
        <v>4.7</v>
      </c>
    </row>
    <row r="80" spans="1:30">
      <c r="A80">
        <v>63</v>
      </c>
      <c r="B80" s="1" t="s">
        <v>79</v>
      </c>
      <c r="C80" s="5" t="s">
        <v>46</v>
      </c>
      <c r="D80" s="408">
        <v>31</v>
      </c>
      <c r="E80" s="5" t="s">
        <v>78</v>
      </c>
      <c r="F80" s="408">
        <v>54</v>
      </c>
      <c r="G80" s="408">
        <v>2</v>
      </c>
      <c r="H80" s="408">
        <v>12.9</v>
      </c>
      <c r="I80" s="408">
        <v>1.4</v>
      </c>
      <c r="J80" s="408">
        <v>3.2</v>
      </c>
      <c r="K80" s="408">
        <v>0.45300000000000001</v>
      </c>
      <c r="L80" s="408">
        <v>0.1</v>
      </c>
      <c r="M80" s="408">
        <v>0.8</v>
      </c>
      <c r="N80" s="5">
        <v>0.186</v>
      </c>
      <c r="O80" s="408">
        <v>1.3</v>
      </c>
      <c r="P80" s="408">
        <v>2.4</v>
      </c>
      <c r="Q80" s="408">
        <v>0.54300000000000004</v>
      </c>
      <c r="R80" s="408">
        <v>0.47699999999999998</v>
      </c>
      <c r="S80" s="408">
        <v>0.6</v>
      </c>
      <c r="T80" s="408">
        <v>0.9</v>
      </c>
      <c r="U80" s="408">
        <v>0.66700000000000004</v>
      </c>
      <c r="V80" s="408">
        <v>0.4</v>
      </c>
      <c r="W80" s="408">
        <v>1.3</v>
      </c>
      <c r="X80" s="408">
        <v>1.7</v>
      </c>
      <c r="Y80" s="408">
        <v>0.8</v>
      </c>
      <c r="Z80" s="408">
        <v>0.8</v>
      </c>
      <c r="AA80" s="408">
        <v>0.1</v>
      </c>
      <c r="AB80" s="408">
        <v>0.7</v>
      </c>
      <c r="AC80" s="408">
        <v>1.5</v>
      </c>
      <c r="AD80" s="408">
        <v>3.7</v>
      </c>
    </row>
    <row r="81" spans="1:30">
      <c r="A81">
        <v>63</v>
      </c>
      <c r="B81" s="1" t="s">
        <v>79</v>
      </c>
      <c r="C81" s="5" t="s">
        <v>46</v>
      </c>
      <c r="D81" s="408">
        <v>31</v>
      </c>
      <c r="E81" s="5" t="s">
        <v>58</v>
      </c>
      <c r="F81" s="408">
        <v>8</v>
      </c>
      <c r="G81" s="408">
        <v>6</v>
      </c>
      <c r="H81" s="408">
        <v>27.4</v>
      </c>
      <c r="I81" s="408">
        <v>3.9</v>
      </c>
      <c r="J81" s="408">
        <v>8</v>
      </c>
      <c r="K81" s="408">
        <v>0.48399999999999999</v>
      </c>
      <c r="L81" s="408">
        <v>1.5</v>
      </c>
      <c r="M81" s="408">
        <v>3.5</v>
      </c>
      <c r="N81" s="5">
        <v>0.42899999999999999</v>
      </c>
      <c r="O81" s="408">
        <v>2.4</v>
      </c>
      <c r="P81" s="408">
        <v>4.5</v>
      </c>
      <c r="Q81" s="408">
        <v>0.52800000000000002</v>
      </c>
      <c r="R81" s="408">
        <v>0.57799999999999996</v>
      </c>
      <c r="S81" s="408">
        <v>2.5</v>
      </c>
      <c r="T81" s="408">
        <v>2.6</v>
      </c>
      <c r="U81" s="408">
        <v>0.95199999999999996</v>
      </c>
      <c r="V81" s="408">
        <v>0.5</v>
      </c>
      <c r="W81" s="408">
        <v>2</v>
      </c>
      <c r="X81" s="408">
        <v>2.5</v>
      </c>
      <c r="Y81" s="408">
        <v>1.3</v>
      </c>
      <c r="Z81" s="408">
        <v>2.2999999999999998</v>
      </c>
      <c r="AA81" s="408">
        <v>0.6</v>
      </c>
      <c r="AB81" s="408">
        <v>0.8</v>
      </c>
      <c r="AC81" s="408">
        <v>3.1</v>
      </c>
      <c r="AD81" s="408">
        <v>11.8</v>
      </c>
    </row>
    <row r="82" spans="1:30">
      <c r="A82">
        <v>64</v>
      </c>
      <c r="B82" s="1" t="s">
        <v>410</v>
      </c>
      <c r="C82" s="5" t="s">
        <v>20</v>
      </c>
      <c r="D82" s="408">
        <v>25</v>
      </c>
      <c r="E82" s="5" t="s">
        <v>41</v>
      </c>
      <c r="F82" s="408">
        <v>46</v>
      </c>
      <c r="G82" s="408">
        <v>20</v>
      </c>
      <c r="H82" s="408">
        <v>30.5</v>
      </c>
      <c r="I82" s="408">
        <v>5.2</v>
      </c>
      <c r="J82" s="408">
        <v>10.6</v>
      </c>
      <c r="K82" s="408">
        <v>0.48699999999999999</v>
      </c>
      <c r="L82" s="408">
        <v>1.3</v>
      </c>
      <c r="M82" s="408">
        <v>3.4</v>
      </c>
      <c r="N82" s="5">
        <v>0.378</v>
      </c>
      <c r="O82" s="408">
        <v>3.9</v>
      </c>
      <c r="P82" s="408">
        <v>7.2</v>
      </c>
      <c r="Q82" s="408">
        <v>0.53800000000000003</v>
      </c>
      <c r="R82" s="408">
        <v>0.54700000000000004</v>
      </c>
      <c r="S82" s="408">
        <v>1.6</v>
      </c>
      <c r="T82" s="408">
        <v>1.8</v>
      </c>
      <c r="U82" s="408">
        <v>0.88200000000000001</v>
      </c>
      <c r="V82" s="408">
        <v>0.5</v>
      </c>
      <c r="W82" s="408">
        <v>2.8</v>
      </c>
      <c r="X82" s="408">
        <v>3.3</v>
      </c>
      <c r="Y82" s="408">
        <v>3.2</v>
      </c>
      <c r="Z82" s="408">
        <v>0.9</v>
      </c>
      <c r="AA82" s="408">
        <v>0.3</v>
      </c>
      <c r="AB82" s="408">
        <v>1.4</v>
      </c>
      <c r="AC82" s="408">
        <v>2.8</v>
      </c>
      <c r="AD82" s="408">
        <v>13.3</v>
      </c>
    </row>
    <row r="83" spans="1:30">
      <c r="A83">
        <v>65</v>
      </c>
      <c r="B83" s="1" t="s">
        <v>3</v>
      </c>
      <c r="C83" s="5" t="s">
        <v>20</v>
      </c>
      <c r="D83" s="408">
        <v>33</v>
      </c>
      <c r="E83" s="5" t="s">
        <v>56</v>
      </c>
      <c r="F83" s="408">
        <v>29</v>
      </c>
      <c r="G83" s="408">
        <v>1</v>
      </c>
      <c r="H83" s="408">
        <v>5.5</v>
      </c>
      <c r="I83" s="408">
        <v>0.8</v>
      </c>
      <c r="J83" s="408">
        <v>1.8</v>
      </c>
      <c r="K83" s="408">
        <v>0.43099999999999999</v>
      </c>
      <c r="L83" s="408">
        <v>0.2</v>
      </c>
      <c r="M83" s="408">
        <v>0.7</v>
      </c>
      <c r="N83" s="5">
        <v>0.33300000000000002</v>
      </c>
      <c r="O83" s="408">
        <v>0.5</v>
      </c>
      <c r="P83" s="408">
        <v>1</v>
      </c>
      <c r="Q83" s="408">
        <v>0.5</v>
      </c>
      <c r="R83" s="408">
        <v>0.5</v>
      </c>
      <c r="S83" s="408">
        <v>0.1</v>
      </c>
      <c r="T83" s="408">
        <v>0.2</v>
      </c>
      <c r="U83" s="408">
        <v>0.66700000000000004</v>
      </c>
      <c r="V83" s="408">
        <v>0.2</v>
      </c>
      <c r="W83" s="408">
        <v>0.3</v>
      </c>
      <c r="X83" s="408">
        <v>0.4</v>
      </c>
      <c r="Y83" s="408">
        <v>0.6</v>
      </c>
      <c r="Z83" s="408">
        <v>0.2</v>
      </c>
      <c r="AA83" s="408">
        <v>0</v>
      </c>
      <c r="AB83" s="408">
        <v>0.3</v>
      </c>
      <c r="AC83" s="408">
        <v>0.7</v>
      </c>
      <c r="AD83" s="408">
        <v>1.9</v>
      </c>
    </row>
    <row r="84" spans="1:30">
      <c r="A84">
        <v>66</v>
      </c>
      <c r="B84" s="1" t="s">
        <v>457</v>
      </c>
      <c r="C84" s="5" t="s">
        <v>46</v>
      </c>
      <c r="D84" s="408">
        <v>22</v>
      </c>
      <c r="E84" s="5" t="s">
        <v>128</v>
      </c>
      <c r="F84" s="408">
        <v>70</v>
      </c>
      <c r="G84" s="408">
        <v>62</v>
      </c>
      <c r="H84" s="408">
        <v>28.8</v>
      </c>
      <c r="I84" s="408">
        <v>3.9</v>
      </c>
      <c r="J84" s="408">
        <v>8.9</v>
      </c>
      <c r="K84" s="408">
        <v>0.44</v>
      </c>
      <c r="L84" s="408">
        <v>1.1000000000000001</v>
      </c>
      <c r="M84" s="408">
        <v>3</v>
      </c>
      <c r="N84" s="5">
        <v>0.373</v>
      </c>
      <c r="O84" s="408">
        <v>2.8</v>
      </c>
      <c r="P84" s="408">
        <v>5.8</v>
      </c>
      <c r="Q84" s="408">
        <v>0.47399999999999998</v>
      </c>
      <c r="R84" s="408">
        <v>0.503</v>
      </c>
      <c r="S84" s="408">
        <v>1.3</v>
      </c>
      <c r="T84" s="408">
        <v>1.7</v>
      </c>
      <c r="U84" s="408">
        <v>0.76700000000000002</v>
      </c>
      <c r="V84" s="408">
        <v>0.6</v>
      </c>
      <c r="W84" s="408">
        <v>2.5</v>
      </c>
      <c r="X84" s="408">
        <v>3.1</v>
      </c>
      <c r="Y84" s="408">
        <v>1.5</v>
      </c>
      <c r="Z84" s="408">
        <v>0.8</v>
      </c>
      <c r="AA84" s="408">
        <v>0.2</v>
      </c>
      <c r="AB84" s="408">
        <v>1.4</v>
      </c>
      <c r="AC84" s="408">
        <v>3.1</v>
      </c>
      <c r="AD84" s="408">
        <v>10.199999999999999</v>
      </c>
    </row>
    <row r="85" spans="1:30">
      <c r="A85">
        <v>67</v>
      </c>
      <c r="B85" s="1" t="s">
        <v>594</v>
      </c>
      <c r="C85" s="5" t="s">
        <v>20</v>
      </c>
      <c r="D85" s="408">
        <v>33</v>
      </c>
      <c r="E85" s="5" t="s">
        <v>92</v>
      </c>
      <c r="F85" s="408">
        <v>20</v>
      </c>
      <c r="G85" s="408">
        <v>0</v>
      </c>
      <c r="H85" s="408">
        <v>5.8</v>
      </c>
      <c r="I85" s="408">
        <v>1</v>
      </c>
      <c r="J85" s="408">
        <v>2.9</v>
      </c>
      <c r="K85" s="408">
        <v>0.32800000000000001</v>
      </c>
      <c r="L85" s="408">
        <v>0.6</v>
      </c>
      <c r="M85" s="408">
        <v>2</v>
      </c>
      <c r="N85" s="5">
        <v>0.27500000000000002</v>
      </c>
      <c r="O85" s="408">
        <v>0.4</v>
      </c>
      <c r="P85" s="408">
        <v>0.9</v>
      </c>
      <c r="Q85" s="408">
        <v>0.44400000000000001</v>
      </c>
      <c r="R85" s="408">
        <v>0.42199999999999999</v>
      </c>
      <c r="S85" s="408">
        <v>0.1</v>
      </c>
      <c r="T85" s="408">
        <v>0.1</v>
      </c>
      <c r="U85" s="408">
        <v>0.5</v>
      </c>
      <c r="V85" s="408">
        <v>0</v>
      </c>
      <c r="W85" s="408">
        <v>0.4</v>
      </c>
      <c r="X85" s="408">
        <v>0.4</v>
      </c>
      <c r="Y85" s="408">
        <v>0.6</v>
      </c>
      <c r="Z85" s="408">
        <v>0.2</v>
      </c>
      <c r="AA85" s="408">
        <v>0</v>
      </c>
      <c r="AB85" s="408">
        <v>0.5</v>
      </c>
      <c r="AC85" s="408">
        <v>0.3</v>
      </c>
      <c r="AD85" s="408">
        <v>2.5</v>
      </c>
    </row>
    <row r="86" spans="1:30">
      <c r="A86">
        <v>68</v>
      </c>
      <c r="B86" s="1" t="s">
        <v>369</v>
      </c>
      <c r="C86" s="5" t="s">
        <v>46</v>
      </c>
      <c r="D86" s="408">
        <v>21</v>
      </c>
      <c r="E86" s="5" t="s">
        <v>87</v>
      </c>
      <c r="F86" s="408">
        <v>61</v>
      </c>
      <c r="G86" s="408">
        <v>61</v>
      </c>
      <c r="H86" s="408">
        <v>30.9</v>
      </c>
      <c r="I86" s="408">
        <v>5.2</v>
      </c>
      <c r="J86" s="408">
        <v>11.4</v>
      </c>
      <c r="K86" s="408">
        <v>0.46</v>
      </c>
      <c r="L86" s="408">
        <v>1.7</v>
      </c>
      <c r="M86" s="408">
        <v>4.4000000000000004</v>
      </c>
      <c r="N86" s="5">
        <v>0.373</v>
      </c>
      <c r="O86" s="408">
        <v>3.6</v>
      </c>
      <c r="P86" s="408">
        <v>6.9</v>
      </c>
      <c r="Q86" s="408">
        <v>0.51700000000000002</v>
      </c>
      <c r="R86" s="408">
        <v>0.53300000000000003</v>
      </c>
      <c r="S86" s="408">
        <v>2</v>
      </c>
      <c r="T86" s="408">
        <v>3.2</v>
      </c>
      <c r="U86" s="408">
        <v>0.63100000000000001</v>
      </c>
      <c r="V86" s="408">
        <v>1</v>
      </c>
      <c r="W86" s="408">
        <v>4.2</v>
      </c>
      <c r="X86" s="408">
        <v>5.2</v>
      </c>
      <c r="Y86" s="408">
        <v>1.6</v>
      </c>
      <c r="Z86" s="408">
        <v>0.9</v>
      </c>
      <c r="AA86" s="408">
        <v>0.4</v>
      </c>
      <c r="AB86" s="408">
        <v>1.6</v>
      </c>
      <c r="AC86" s="408">
        <v>2.7</v>
      </c>
      <c r="AD86" s="408">
        <v>14.1</v>
      </c>
    </row>
    <row r="87" spans="1:30">
      <c r="A87">
        <v>69</v>
      </c>
      <c r="B87" s="1" t="s">
        <v>643</v>
      </c>
      <c r="C87" s="5" t="s">
        <v>20</v>
      </c>
      <c r="D87" s="408">
        <v>27</v>
      </c>
      <c r="E87" s="5" t="s">
        <v>47</v>
      </c>
      <c r="F87" s="408">
        <v>12</v>
      </c>
      <c r="G87" s="408">
        <v>0</v>
      </c>
      <c r="H87" s="408">
        <v>7.9</v>
      </c>
      <c r="I87" s="408">
        <v>0.6</v>
      </c>
      <c r="J87" s="408">
        <v>1.8</v>
      </c>
      <c r="K87" s="408">
        <v>0.33300000000000002</v>
      </c>
      <c r="L87" s="408">
        <v>0</v>
      </c>
      <c r="M87" s="408">
        <v>0.6</v>
      </c>
      <c r="N87" s="5">
        <v>0</v>
      </c>
      <c r="O87" s="408">
        <v>0.6</v>
      </c>
      <c r="P87" s="408">
        <v>1.2</v>
      </c>
      <c r="Q87" s="408">
        <v>0.5</v>
      </c>
      <c r="R87" s="408">
        <v>0.33300000000000002</v>
      </c>
      <c r="S87" s="408">
        <v>0</v>
      </c>
      <c r="T87" s="408">
        <v>0</v>
      </c>
      <c r="U87" s="408"/>
      <c r="V87" s="408">
        <v>0</v>
      </c>
      <c r="W87" s="408">
        <v>0.8</v>
      </c>
      <c r="X87" s="408">
        <v>0.8</v>
      </c>
      <c r="Y87" s="408">
        <v>1</v>
      </c>
      <c r="Z87" s="408">
        <v>0.3</v>
      </c>
      <c r="AA87" s="408">
        <v>0</v>
      </c>
      <c r="AB87" s="408">
        <v>0.1</v>
      </c>
      <c r="AC87" s="408">
        <v>0.4</v>
      </c>
      <c r="AD87" s="408">
        <v>1.2</v>
      </c>
    </row>
    <row r="88" spans="1:30">
      <c r="A88">
        <v>70</v>
      </c>
      <c r="B88" s="1" t="s">
        <v>836</v>
      </c>
      <c r="C88" s="5" t="s">
        <v>26</v>
      </c>
      <c r="D88" s="408">
        <v>26</v>
      </c>
      <c r="E88" s="5" t="s">
        <v>92</v>
      </c>
      <c r="F88" s="408">
        <v>4</v>
      </c>
      <c r="G88" s="408">
        <v>0</v>
      </c>
      <c r="H88" s="408">
        <v>7.8</v>
      </c>
      <c r="I88" s="408">
        <v>0.5</v>
      </c>
      <c r="J88" s="408">
        <v>1.8</v>
      </c>
      <c r="K88" s="408">
        <v>0.28599999999999998</v>
      </c>
      <c r="L88" s="408">
        <v>0.3</v>
      </c>
      <c r="M88" s="408">
        <v>1.3</v>
      </c>
      <c r="N88" s="5">
        <v>0.2</v>
      </c>
      <c r="O88" s="408">
        <v>0.3</v>
      </c>
      <c r="P88" s="408">
        <v>0.5</v>
      </c>
      <c r="Q88" s="408">
        <v>0.5</v>
      </c>
      <c r="R88" s="408">
        <v>0.35699999999999998</v>
      </c>
      <c r="S88" s="408">
        <v>0</v>
      </c>
      <c r="T88" s="408">
        <v>0</v>
      </c>
      <c r="U88" s="408"/>
      <c r="V88" s="408">
        <v>0.3</v>
      </c>
      <c r="W88" s="408">
        <v>1</v>
      </c>
      <c r="X88" s="408">
        <v>1.3</v>
      </c>
      <c r="Y88" s="408">
        <v>0.5</v>
      </c>
      <c r="Z88" s="408">
        <v>0</v>
      </c>
      <c r="AA88" s="408">
        <v>0</v>
      </c>
      <c r="AB88" s="408">
        <v>0.5</v>
      </c>
      <c r="AC88" s="408">
        <v>1.5</v>
      </c>
      <c r="AD88" s="408">
        <v>1.3</v>
      </c>
    </row>
    <row r="89" spans="1:30">
      <c r="A89">
        <v>71</v>
      </c>
      <c r="B89" s="1" t="s">
        <v>476</v>
      </c>
      <c r="C89" s="5" t="s">
        <v>26</v>
      </c>
      <c r="D89" s="408">
        <v>22</v>
      </c>
      <c r="E89" s="5" t="s">
        <v>41</v>
      </c>
      <c r="F89" s="408">
        <v>45</v>
      </c>
      <c r="G89" s="408">
        <v>3</v>
      </c>
      <c r="H89" s="408">
        <v>14.9</v>
      </c>
      <c r="I89" s="408">
        <v>1.6</v>
      </c>
      <c r="J89" s="408">
        <v>3.9</v>
      </c>
      <c r="K89" s="408">
        <v>0.41799999999999998</v>
      </c>
      <c r="L89" s="408">
        <v>0.6</v>
      </c>
      <c r="M89" s="408">
        <v>1.7</v>
      </c>
      <c r="N89" s="5">
        <v>0.377</v>
      </c>
      <c r="O89" s="408">
        <v>1</v>
      </c>
      <c r="P89" s="408">
        <v>2.2000000000000002</v>
      </c>
      <c r="Q89" s="408">
        <v>0.45</v>
      </c>
      <c r="R89" s="408">
        <v>0.5</v>
      </c>
      <c r="S89" s="408">
        <v>0.4</v>
      </c>
      <c r="T89" s="408">
        <v>0.5</v>
      </c>
      <c r="U89" s="408">
        <v>0.86399999999999999</v>
      </c>
      <c r="V89" s="408">
        <v>0.5</v>
      </c>
      <c r="W89" s="408">
        <v>2.2999999999999998</v>
      </c>
      <c r="X89" s="408">
        <v>2.8</v>
      </c>
      <c r="Y89" s="408">
        <v>0.4</v>
      </c>
      <c r="Z89" s="408">
        <v>0.7</v>
      </c>
      <c r="AA89" s="408">
        <v>0.2</v>
      </c>
      <c r="AB89" s="408">
        <v>0.5</v>
      </c>
      <c r="AC89" s="408">
        <v>1.4</v>
      </c>
      <c r="AD89" s="408">
        <v>4.4000000000000004</v>
      </c>
    </row>
    <row r="90" spans="1:30">
      <c r="A90">
        <v>72</v>
      </c>
      <c r="B90" s="1" t="s">
        <v>647</v>
      </c>
      <c r="C90" s="5" t="s">
        <v>46</v>
      </c>
      <c r="D90" s="408">
        <v>24</v>
      </c>
      <c r="E90" s="5" t="s">
        <v>149</v>
      </c>
      <c r="F90" s="408">
        <v>4</v>
      </c>
      <c r="G90" s="408">
        <v>0</v>
      </c>
      <c r="H90" s="408">
        <v>2.5</v>
      </c>
      <c r="I90" s="408">
        <v>0</v>
      </c>
      <c r="J90" s="408">
        <v>0.5</v>
      </c>
      <c r="K90" s="408">
        <v>0</v>
      </c>
      <c r="L90" s="408">
        <v>0</v>
      </c>
      <c r="M90" s="408">
        <v>0.5</v>
      </c>
      <c r="N90" s="5">
        <v>0</v>
      </c>
      <c r="O90" s="408">
        <v>0</v>
      </c>
      <c r="P90" s="408">
        <v>0</v>
      </c>
      <c r="Q90" s="408"/>
      <c r="R90" s="408">
        <v>0</v>
      </c>
      <c r="S90" s="408">
        <v>0</v>
      </c>
      <c r="T90" s="408">
        <v>0</v>
      </c>
      <c r="U90" s="408"/>
      <c r="V90" s="408">
        <v>0</v>
      </c>
      <c r="W90" s="408">
        <v>0.8</v>
      </c>
      <c r="X90" s="408">
        <v>0.8</v>
      </c>
      <c r="Y90" s="408">
        <v>0</v>
      </c>
      <c r="Z90" s="408">
        <v>0</v>
      </c>
      <c r="AA90" s="408">
        <v>0</v>
      </c>
      <c r="AB90" s="408">
        <v>0</v>
      </c>
      <c r="AC90" s="408">
        <v>0</v>
      </c>
      <c r="AD90" s="408">
        <v>0</v>
      </c>
    </row>
    <row r="91" spans="1:30">
      <c r="A91">
        <v>73</v>
      </c>
      <c r="B91" s="1" t="s">
        <v>603</v>
      </c>
      <c r="C91" s="5" t="s">
        <v>83</v>
      </c>
      <c r="D91" s="408">
        <v>20</v>
      </c>
      <c r="E91" s="5" t="s">
        <v>78</v>
      </c>
      <c r="F91" s="408">
        <v>10</v>
      </c>
      <c r="G91" s="408">
        <v>0</v>
      </c>
      <c r="H91" s="408">
        <v>3.3</v>
      </c>
      <c r="I91" s="408">
        <v>0.3</v>
      </c>
      <c r="J91" s="408">
        <v>0.9</v>
      </c>
      <c r="K91" s="408">
        <v>0.33300000000000002</v>
      </c>
      <c r="L91" s="408">
        <v>0.1</v>
      </c>
      <c r="M91" s="408">
        <v>0.5</v>
      </c>
      <c r="N91" s="5">
        <v>0.2</v>
      </c>
      <c r="O91" s="408">
        <v>0.2</v>
      </c>
      <c r="P91" s="408">
        <v>0.4</v>
      </c>
      <c r="Q91" s="408">
        <v>0.5</v>
      </c>
      <c r="R91" s="408">
        <v>0.38900000000000001</v>
      </c>
      <c r="S91" s="408">
        <v>0.4</v>
      </c>
      <c r="T91" s="408">
        <v>0.6</v>
      </c>
      <c r="U91" s="408">
        <v>0.66700000000000004</v>
      </c>
      <c r="V91" s="408">
        <v>0.1</v>
      </c>
      <c r="W91" s="408">
        <v>0.5</v>
      </c>
      <c r="X91" s="408">
        <v>0.6</v>
      </c>
      <c r="Y91" s="408">
        <v>0.2</v>
      </c>
      <c r="Z91" s="408">
        <v>0</v>
      </c>
      <c r="AA91" s="408">
        <v>0</v>
      </c>
      <c r="AB91" s="408">
        <v>0.1</v>
      </c>
      <c r="AC91" s="408">
        <v>0.2</v>
      </c>
      <c r="AD91" s="408">
        <v>1.1000000000000001</v>
      </c>
    </row>
    <row r="92" spans="1:30">
      <c r="A92">
        <v>74</v>
      </c>
      <c r="B92" s="1" t="s">
        <v>428</v>
      </c>
      <c r="C92" s="5" t="s">
        <v>46</v>
      </c>
      <c r="D92" s="408">
        <v>26</v>
      </c>
      <c r="E92" s="5" t="s">
        <v>157</v>
      </c>
      <c r="F92" s="408">
        <v>54</v>
      </c>
      <c r="G92" s="408">
        <v>44</v>
      </c>
      <c r="H92" s="408">
        <v>27.5</v>
      </c>
      <c r="I92" s="408">
        <v>4.2</v>
      </c>
      <c r="J92" s="408">
        <v>8.5</v>
      </c>
      <c r="K92" s="408">
        <v>0.49199999999999999</v>
      </c>
      <c r="L92" s="408">
        <v>2</v>
      </c>
      <c r="M92" s="408">
        <v>4.5</v>
      </c>
      <c r="N92" s="5">
        <v>0.44</v>
      </c>
      <c r="O92" s="408">
        <v>2.2000000000000002</v>
      </c>
      <c r="P92" s="408">
        <v>4.0999999999999996</v>
      </c>
      <c r="Q92" s="408">
        <v>0.55000000000000004</v>
      </c>
      <c r="R92" s="408">
        <v>0.60699999999999998</v>
      </c>
      <c r="S92" s="408">
        <v>0.6</v>
      </c>
      <c r="T92" s="408">
        <v>0.8</v>
      </c>
      <c r="U92" s="408">
        <v>0.77300000000000002</v>
      </c>
      <c r="V92" s="408">
        <v>0.4</v>
      </c>
      <c r="W92" s="408">
        <v>1.9</v>
      </c>
      <c r="X92" s="408">
        <v>2.4</v>
      </c>
      <c r="Y92" s="408">
        <v>1.5</v>
      </c>
      <c r="Z92" s="408">
        <v>0.7</v>
      </c>
      <c r="AA92" s="408">
        <v>0.2</v>
      </c>
      <c r="AB92" s="408">
        <v>0.7</v>
      </c>
      <c r="AC92" s="408">
        <v>1.1000000000000001</v>
      </c>
      <c r="AD92" s="408">
        <v>11</v>
      </c>
    </row>
    <row r="93" spans="1:30">
      <c r="A93">
        <v>75</v>
      </c>
      <c r="B93" s="1" t="s">
        <v>22</v>
      </c>
      <c r="C93" s="5" t="s">
        <v>20</v>
      </c>
      <c r="D93" s="408">
        <v>25</v>
      </c>
      <c r="E93" s="5" t="s">
        <v>21</v>
      </c>
      <c r="F93" s="408">
        <v>25</v>
      </c>
      <c r="G93" s="408">
        <v>0</v>
      </c>
      <c r="H93" s="408">
        <v>17</v>
      </c>
      <c r="I93" s="408">
        <v>4.5</v>
      </c>
      <c r="J93" s="408">
        <v>8.8000000000000007</v>
      </c>
      <c r="K93" s="408">
        <v>0.51100000000000001</v>
      </c>
      <c r="L93" s="408">
        <v>0.8</v>
      </c>
      <c r="M93" s="408">
        <v>2.1</v>
      </c>
      <c r="N93" s="5">
        <v>0.377</v>
      </c>
      <c r="O93" s="408">
        <v>3.7</v>
      </c>
      <c r="P93" s="408">
        <v>6.6</v>
      </c>
      <c r="Q93" s="408">
        <v>0.55400000000000005</v>
      </c>
      <c r="R93" s="408">
        <v>0.55700000000000005</v>
      </c>
      <c r="S93" s="408">
        <v>0.7</v>
      </c>
      <c r="T93" s="408">
        <v>1.2</v>
      </c>
      <c r="U93" s="408">
        <v>0.58099999999999996</v>
      </c>
      <c r="V93" s="408">
        <v>0.3</v>
      </c>
      <c r="W93" s="408">
        <v>1.3</v>
      </c>
      <c r="X93" s="408">
        <v>1.6</v>
      </c>
      <c r="Y93" s="408">
        <v>3.6</v>
      </c>
      <c r="Z93" s="408">
        <v>0.4</v>
      </c>
      <c r="AA93" s="408">
        <v>0.2</v>
      </c>
      <c r="AB93" s="408">
        <v>0.8</v>
      </c>
      <c r="AC93" s="408">
        <v>0.9</v>
      </c>
      <c r="AD93" s="408">
        <v>10.5</v>
      </c>
    </row>
    <row r="94" spans="1:30">
      <c r="A94">
        <v>76</v>
      </c>
      <c r="B94" s="1" t="s">
        <v>445</v>
      </c>
      <c r="C94" s="5" t="s">
        <v>26</v>
      </c>
      <c r="D94" s="408">
        <v>26</v>
      </c>
      <c r="E94" s="5" t="s">
        <v>305</v>
      </c>
      <c r="F94" s="408">
        <v>59</v>
      </c>
      <c r="G94" s="408">
        <v>1</v>
      </c>
      <c r="H94" s="408">
        <v>17.100000000000001</v>
      </c>
      <c r="I94" s="408">
        <v>2.8</v>
      </c>
      <c r="J94" s="408">
        <v>6.7</v>
      </c>
      <c r="K94" s="408">
        <v>0.41099999999999998</v>
      </c>
      <c r="L94" s="408">
        <v>0.7</v>
      </c>
      <c r="M94" s="408">
        <v>2.2999999999999998</v>
      </c>
      <c r="N94" s="5">
        <v>0.32300000000000001</v>
      </c>
      <c r="O94" s="408">
        <v>2</v>
      </c>
      <c r="P94" s="408">
        <v>4.5</v>
      </c>
      <c r="Q94" s="408">
        <v>0.45500000000000002</v>
      </c>
      <c r="R94" s="408">
        <v>0.46500000000000002</v>
      </c>
      <c r="S94" s="408">
        <v>1.8</v>
      </c>
      <c r="T94" s="408">
        <v>2.1</v>
      </c>
      <c r="U94" s="408">
        <v>0.86099999999999999</v>
      </c>
      <c r="V94" s="408">
        <v>0.3</v>
      </c>
      <c r="W94" s="408">
        <v>2.8</v>
      </c>
      <c r="X94" s="408">
        <v>3.1</v>
      </c>
      <c r="Y94" s="408">
        <v>1.1000000000000001</v>
      </c>
      <c r="Z94" s="408">
        <v>0.6</v>
      </c>
      <c r="AA94" s="408">
        <v>0.1</v>
      </c>
      <c r="AB94" s="408">
        <v>0.9</v>
      </c>
      <c r="AC94" s="408">
        <v>1.2</v>
      </c>
      <c r="AD94" s="408">
        <v>8</v>
      </c>
    </row>
    <row r="95" spans="1:30">
      <c r="A95">
        <v>77</v>
      </c>
      <c r="B95" s="1" t="s">
        <v>13</v>
      </c>
      <c r="C95" s="5" t="s">
        <v>26</v>
      </c>
      <c r="D95" s="408">
        <v>28</v>
      </c>
      <c r="E95" s="5" t="s">
        <v>56</v>
      </c>
      <c r="F95" s="408">
        <v>56</v>
      </c>
      <c r="G95" s="408">
        <v>56</v>
      </c>
      <c r="H95" s="408">
        <v>37.1</v>
      </c>
      <c r="I95" s="408">
        <v>7.4</v>
      </c>
      <c r="J95" s="408">
        <v>15.8</v>
      </c>
      <c r="K95" s="408">
        <v>0.47299999999999998</v>
      </c>
      <c r="L95" s="408">
        <v>1.2</v>
      </c>
      <c r="M95" s="408">
        <v>3.5</v>
      </c>
      <c r="N95" s="5">
        <v>0.35599999999999998</v>
      </c>
      <c r="O95" s="408">
        <v>6.2</v>
      </c>
      <c r="P95" s="408">
        <v>12.3</v>
      </c>
      <c r="Q95" s="408">
        <v>0.50600000000000001</v>
      </c>
      <c r="R95" s="408">
        <v>0.51200000000000001</v>
      </c>
      <c r="S95" s="408">
        <v>6.1</v>
      </c>
      <c r="T95" s="408">
        <v>7</v>
      </c>
      <c r="U95" s="408">
        <v>0.86499999999999999</v>
      </c>
      <c r="V95" s="408">
        <v>1.3</v>
      </c>
      <c r="W95" s="408">
        <v>4.0999999999999996</v>
      </c>
      <c r="X95" s="408">
        <v>5.4</v>
      </c>
      <c r="Y95" s="408">
        <v>5</v>
      </c>
      <c r="Z95" s="408">
        <v>1.9</v>
      </c>
      <c r="AA95" s="408">
        <v>0.4</v>
      </c>
      <c r="AB95" s="408">
        <v>1.8</v>
      </c>
      <c r="AC95" s="408">
        <v>1.3</v>
      </c>
      <c r="AD95" s="408">
        <v>22.2</v>
      </c>
    </row>
    <row r="96" spans="1:30">
      <c r="A96">
        <v>78</v>
      </c>
      <c r="B96" s="1" t="s">
        <v>193</v>
      </c>
      <c r="C96" s="5" t="s">
        <v>20</v>
      </c>
      <c r="D96" s="408">
        <v>28</v>
      </c>
      <c r="E96" s="5" t="s">
        <v>157</v>
      </c>
      <c r="F96" s="408">
        <v>27</v>
      </c>
      <c r="G96" s="408">
        <v>0</v>
      </c>
      <c r="H96" s="408">
        <v>15.6</v>
      </c>
      <c r="I96" s="408">
        <v>3</v>
      </c>
      <c r="J96" s="408">
        <v>7.3</v>
      </c>
      <c r="K96" s="408">
        <v>0.41799999999999998</v>
      </c>
      <c r="L96" s="408">
        <v>0.6</v>
      </c>
      <c r="M96" s="408">
        <v>1.7</v>
      </c>
      <c r="N96" s="5">
        <v>0.33300000000000002</v>
      </c>
      <c r="O96" s="408">
        <v>2.5</v>
      </c>
      <c r="P96" s="408">
        <v>5.6</v>
      </c>
      <c r="Q96" s="408">
        <v>0.44400000000000001</v>
      </c>
      <c r="R96" s="408">
        <v>0.45700000000000002</v>
      </c>
      <c r="S96" s="408">
        <v>1.3</v>
      </c>
      <c r="T96" s="408">
        <v>1.5</v>
      </c>
      <c r="U96" s="408">
        <v>0.878</v>
      </c>
      <c r="V96" s="408">
        <v>0.4</v>
      </c>
      <c r="W96" s="408">
        <v>1.1000000000000001</v>
      </c>
      <c r="X96" s="408">
        <v>1.5</v>
      </c>
      <c r="Y96" s="408">
        <v>2.2000000000000002</v>
      </c>
      <c r="Z96" s="408">
        <v>0.7</v>
      </c>
      <c r="AA96" s="408">
        <v>0.1</v>
      </c>
      <c r="AB96" s="408">
        <v>1.4</v>
      </c>
      <c r="AC96" s="408">
        <v>1.4</v>
      </c>
      <c r="AD96" s="408">
        <v>8</v>
      </c>
    </row>
    <row r="97" spans="1:30">
      <c r="A97">
        <v>79</v>
      </c>
      <c r="B97" s="1" t="s">
        <v>48</v>
      </c>
      <c r="C97" s="5" t="s">
        <v>46</v>
      </c>
      <c r="D97" s="408">
        <v>22</v>
      </c>
      <c r="E97" s="5" t="s">
        <v>357</v>
      </c>
      <c r="F97" s="408">
        <v>7</v>
      </c>
      <c r="G97" s="408">
        <v>0</v>
      </c>
      <c r="H97" s="408">
        <v>7.7</v>
      </c>
      <c r="I97" s="408">
        <v>0.6</v>
      </c>
      <c r="J97" s="408">
        <v>2.4</v>
      </c>
      <c r="K97" s="408">
        <v>0.23499999999999999</v>
      </c>
      <c r="L97" s="408">
        <v>0</v>
      </c>
      <c r="M97" s="408">
        <v>1.3</v>
      </c>
      <c r="N97" s="5">
        <v>0</v>
      </c>
      <c r="O97" s="408">
        <v>0.6</v>
      </c>
      <c r="P97" s="408">
        <v>1.1000000000000001</v>
      </c>
      <c r="Q97" s="408">
        <v>0.5</v>
      </c>
      <c r="R97" s="408">
        <v>0.23499999999999999</v>
      </c>
      <c r="S97" s="408">
        <v>0.4</v>
      </c>
      <c r="T97" s="408">
        <v>0.6</v>
      </c>
      <c r="U97" s="408">
        <v>0.75</v>
      </c>
      <c r="V97" s="408">
        <v>0.7</v>
      </c>
      <c r="W97" s="408">
        <v>0.9</v>
      </c>
      <c r="X97" s="408">
        <v>1.6</v>
      </c>
      <c r="Y97" s="408">
        <v>0.6</v>
      </c>
      <c r="Z97" s="408">
        <v>0.4</v>
      </c>
      <c r="AA97" s="408">
        <v>0.1</v>
      </c>
      <c r="AB97" s="408">
        <v>0.1</v>
      </c>
      <c r="AC97" s="408">
        <v>1</v>
      </c>
      <c r="AD97" s="408">
        <v>1.6</v>
      </c>
    </row>
    <row r="98" spans="1:30">
      <c r="A98">
        <v>79</v>
      </c>
      <c r="B98" s="1" t="s">
        <v>48</v>
      </c>
      <c r="C98" s="5" t="s">
        <v>46</v>
      </c>
      <c r="D98" s="408">
        <v>22</v>
      </c>
      <c r="E98" s="5" t="s">
        <v>47</v>
      </c>
      <c r="F98" s="408">
        <v>2</v>
      </c>
      <c r="G98" s="408">
        <v>0</v>
      </c>
      <c r="H98" s="408">
        <v>3.5</v>
      </c>
      <c r="I98" s="408">
        <v>0</v>
      </c>
      <c r="J98" s="408">
        <v>1</v>
      </c>
      <c r="K98" s="408">
        <v>0</v>
      </c>
      <c r="L98" s="408">
        <v>0</v>
      </c>
      <c r="M98" s="408">
        <v>1</v>
      </c>
      <c r="N98" s="5">
        <v>0</v>
      </c>
      <c r="O98" s="408">
        <v>0</v>
      </c>
      <c r="P98" s="408">
        <v>0</v>
      </c>
      <c r="Q98" s="408"/>
      <c r="R98" s="408">
        <v>0</v>
      </c>
      <c r="S98" s="408">
        <v>0</v>
      </c>
      <c r="T98" s="408">
        <v>0</v>
      </c>
      <c r="U98" s="408"/>
      <c r="V98" s="408">
        <v>0</v>
      </c>
      <c r="W98" s="408">
        <v>0.5</v>
      </c>
      <c r="X98" s="408">
        <v>0.5</v>
      </c>
      <c r="Y98" s="408">
        <v>0.5</v>
      </c>
      <c r="Z98" s="408">
        <v>0.5</v>
      </c>
      <c r="AA98" s="408">
        <v>0</v>
      </c>
      <c r="AB98" s="408">
        <v>0</v>
      </c>
      <c r="AC98" s="408">
        <v>0.5</v>
      </c>
      <c r="AD98" s="408">
        <v>0</v>
      </c>
    </row>
    <row r="99" spans="1:30">
      <c r="A99">
        <v>79</v>
      </c>
      <c r="B99" s="1" t="s">
        <v>48</v>
      </c>
      <c r="C99" s="5" t="s">
        <v>46</v>
      </c>
      <c r="D99" s="408">
        <v>22</v>
      </c>
      <c r="E99" s="5" t="s">
        <v>100</v>
      </c>
      <c r="F99" s="408">
        <v>5</v>
      </c>
      <c r="G99" s="408">
        <v>0</v>
      </c>
      <c r="H99" s="408">
        <v>9.4</v>
      </c>
      <c r="I99" s="408">
        <v>0.8</v>
      </c>
      <c r="J99" s="408">
        <v>3</v>
      </c>
      <c r="K99" s="408">
        <v>0.26700000000000002</v>
      </c>
      <c r="L99" s="408">
        <v>0</v>
      </c>
      <c r="M99" s="408">
        <v>1.4</v>
      </c>
      <c r="N99" s="5">
        <v>0</v>
      </c>
      <c r="O99" s="408">
        <v>0.8</v>
      </c>
      <c r="P99" s="408">
        <v>1.6</v>
      </c>
      <c r="Q99" s="408">
        <v>0.5</v>
      </c>
      <c r="R99" s="408">
        <v>0.26700000000000002</v>
      </c>
      <c r="S99" s="408">
        <v>0.6</v>
      </c>
      <c r="T99" s="408">
        <v>0.8</v>
      </c>
      <c r="U99" s="408">
        <v>0.75</v>
      </c>
      <c r="V99" s="408">
        <v>1</v>
      </c>
      <c r="W99" s="408">
        <v>1</v>
      </c>
      <c r="X99" s="408">
        <v>2</v>
      </c>
      <c r="Y99" s="408">
        <v>0.6</v>
      </c>
      <c r="Z99" s="408">
        <v>0.4</v>
      </c>
      <c r="AA99" s="408">
        <v>0.2</v>
      </c>
      <c r="AB99" s="408">
        <v>0.2</v>
      </c>
      <c r="AC99" s="408">
        <v>1.2</v>
      </c>
      <c r="AD99" s="408">
        <v>2.2000000000000002</v>
      </c>
    </row>
    <row r="100" spans="1:30">
      <c r="A100">
        <v>80</v>
      </c>
      <c r="B100" s="1" t="s">
        <v>108</v>
      </c>
      <c r="C100" s="5" t="s">
        <v>20</v>
      </c>
      <c r="D100" s="408">
        <v>36</v>
      </c>
      <c r="E100" s="5" t="s">
        <v>102</v>
      </c>
      <c r="F100" s="408">
        <v>47</v>
      </c>
      <c r="G100" s="408">
        <v>26</v>
      </c>
      <c r="H100" s="408">
        <v>15.4</v>
      </c>
      <c r="I100" s="408">
        <v>1.4</v>
      </c>
      <c r="J100" s="408">
        <v>2.9</v>
      </c>
      <c r="K100" s="408">
        <v>0.49299999999999999</v>
      </c>
      <c r="L100" s="408">
        <v>0.7</v>
      </c>
      <c r="M100" s="408">
        <v>1.5</v>
      </c>
      <c r="N100" s="5">
        <v>0.44400000000000001</v>
      </c>
      <c r="O100" s="408">
        <v>0.7</v>
      </c>
      <c r="P100" s="408">
        <v>1.3</v>
      </c>
      <c r="Q100" s="408">
        <v>0.54800000000000004</v>
      </c>
      <c r="R100" s="408">
        <v>0.61199999999999999</v>
      </c>
      <c r="S100" s="408">
        <v>0.4</v>
      </c>
      <c r="T100" s="408">
        <v>0.6</v>
      </c>
      <c r="U100" s="408">
        <v>0.76900000000000002</v>
      </c>
      <c r="V100" s="408">
        <v>0.2</v>
      </c>
      <c r="W100" s="408">
        <v>1.3</v>
      </c>
      <c r="X100" s="408">
        <v>1.5</v>
      </c>
      <c r="Y100" s="408">
        <v>2</v>
      </c>
      <c r="Z100" s="408">
        <v>0.5</v>
      </c>
      <c r="AA100" s="408">
        <v>0</v>
      </c>
      <c r="AB100" s="408">
        <v>0.6</v>
      </c>
      <c r="AC100" s="408">
        <v>1.4</v>
      </c>
      <c r="AD100" s="408">
        <v>3.9</v>
      </c>
    </row>
    <row r="101" spans="1:30">
      <c r="A101">
        <v>81</v>
      </c>
      <c r="B101" s="1" t="s">
        <v>223</v>
      </c>
      <c r="C101" s="5" t="s">
        <v>26</v>
      </c>
      <c r="D101" s="408">
        <v>24</v>
      </c>
      <c r="E101" s="5" t="s">
        <v>78</v>
      </c>
      <c r="F101" s="408">
        <v>62</v>
      </c>
      <c r="G101" s="408">
        <v>62</v>
      </c>
      <c r="H101" s="408">
        <v>33.6</v>
      </c>
      <c r="I101" s="408">
        <v>4.5999999999999996</v>
      </c>
      <c r="J101" s="408">
        <v>10.9</v>
      </c>
      <c r="K101" s="408">
        <v>0.42799999999999999</v>
      </c>
      <c r="L101" s="408">
        <v>2.2000000000000002</v>
      </c>
      <c r="M101" s="408">
        <v>5.6</v>
      </c>
      <c r="N101" s="5">
        <v>0.38500000000000001</v>
      </c>
      <c r="O101" s="408">
        <v>2.5</v>
      </c>
      <c r="P101" s="408">
        <v>5.2</v>
      </c>
      <c r="Q101" s="408">
        <v>0.47399999999999998</v>
      </c>
      <c r="R101" s="408">
        <v>0.52700000000000002</v>
      </c>
      <c r="S101" s="408">
        <v>2</v>
      </c>
      <c r="T101" s="408">
        <v>2.7</v>
      </c>
      <c r="U101" s="408">
        <v>0.76400000000000001</v>
      </c>
      <c r="V101" s="408">
        <v>0.9</v>
      </c>
      <c r="W101" s="408">
        <v>4.5999999999999996</v>
      </c>
      <c r="X101" s="408">
        <v>5.5</v>
      </c>
      <c r="Y101" s="408">
        <v>2.2000000000000002</v>
      </c>
      <c r="Z101" s="408">
        <v>1.6</v>
      </c>
      <c r="AA101" s="408">
        <v>0.2</v>
      </c>
      <c r="AB101" s="408">
        <v>1.3</v>
      </c>
      <c r="AC101" s="408">
        <v>2</v>
      </c>
      <c r="AD101" s="408">
        <v>13.5</v>
      </c>
    </row>
    <row r="102" spans="1:30">
      <c r="A102">
        <v>82</v>
      </c>
      <c r="B102" s="1" t="s">
        <v>194</v>
      </c>
      <c r="C102" s="5" t="s">
        <v>429</v>
      </c>
      <c r="D102" s="408">
        <v>26</v>
      </c>
      <c r="E102" s="5" t="s">
        <v>357</v>
      </c>
      <c r="F102" s="408">
        <v>20</v>
      </c>
      <c r="G102" s="408">
        <v>1</v>
      </c>
      <c r="H102" s="408">
        <v>21.1</v>
      </c>
      <c r="I102" s="408">
        <v>2.6</v>
      </c>
      <c r="J102" s="408">
        <v>6.9</v>
      </c>
      <c r="K102" s="408">
        <v>0.38</v>
      </c>
      <c r="L102" s="408">
        <v>1.1000000000000001</v>
      </c>
      <c r="M102" s="408">
        <v>3.3</v>
      </c>
      <c r="N102" s="5">
        <v>0.33300000000000002</v>
      </c>
      <c r="O102" s="408">
        <v>1.5</v>
      </c>
      <c r="P102" s="408">
        <v>3.6</v>
      </c>
      <c r="Q102" s="408">
        <v>0.42299999999999999</v>
      </c>
      <c r="R102" s="408">
        <v>0.46</v>
      </c>
      <c r="S102" s="408">
        <v>2.2999999999999998</v>
      </c>
      <c r="T102" s="408">
        <v>2.6</v>
      </c>
      <c r="U102" s="408">
        <v>0.90200000000000002</v>
      </c>
      <c r="V102" s="408">
        <v>0.3</v>
      </c>
      <c r="W102" s="408">
        <v>2</v>
      </c>
      <c r="X102" s="408">
        <v>2.2999999999999998</v>
      </c>
      <c r="Y102" s="408">
        <v>3.8</v>
      </c>
      <c r="Z102" s="408">
        <v>0.8</v>
      </c>
      <c r="AA102" s="408">
        <v>0.1</v>
      </c>
      <c r="AB102" s="408">
        <v>1.5</v>
      </c>
      <c r="AC102" s="408">
        <v>1.8</v>
      </c>
      <c r="AD102" s="408">
        <v>8.6</v>
      </c>
    </row>
    <row r="103" spans="1:30">
      <c r="A103">
        <v>82</v>
      </c>
      <c r="B103" s="1" t="s">
        <v>194</v>
      </c>
      <c r="C103" s="5" t="s">
        <v>26</v>
      </c>
      <c r="D103" s="408">
        <v>26</v>
      </c>
      <c r="E103" s="5" t="s">
        <v>92</v>
      </c>
      <c r="F103" s="408">
        <v>1</v>
      </c>
      <c r="G103" s="408">
        <v>0</v>
      </c>
      <c r="H103" s="408">
        <v>4</v>
      </c>
      <c r="I103" s="408">
        <v>0</v>
      </c>
      <c r="J103" s="408">
        <v>1</v>
      </c>
      <c r="K103" s="408">
        <v>0</v>
      </c>
      <c r="L103" s="408">
        <v>0</v>
      </c>
      <c r="M103" s="408">
        <v>0</v>
      </c>
      <c r="O103" s="408">
        <v>0</v>
      </c>
      <c r="P103" s="408">
        <v>1</v>
      </c>
      <c r="Q103" s="408">
        <v>0</v>
      </c>
      <c r="R103" s="408">
        <v>0</v>
      </c>
      <c r="S103" s="408">
        <v>0</v>
      </c>
      <c r="T103" s="408">
        <v>0</v>
      </c>
      <c r="U103" s="408"/>
      <c r="V103" s="408">
        <v>0</v>
      </c>
      <c r="W103" s="408">
        <v>1</v>
      </c>
      <c r="X103" s="408">
        <v>1</v>
      </c>
      <c r="Y103" s="408">
        <v>0</v>
      </c>
      <c r="Z103" s="408">
        <v>0</v>
      </c>
      <c r="AA103" s="408">
        <v>0</v>
      </c>
      <c r="AB103" s="408">
        <v>0</v>
      </c>
      <c r="AC103" s="408">
        <v>0</v>
      </c>
      <c r="AD103" s="408">
        <v>0</v>
      </c>
    </row>
    <row r="104" spans="1:30">
      <c r="A104">
        <v>82</v>
      </c>
      <c r="B104" s="1" t="s">
        <v>194</v>
      </c>
      <c r="C104" s="5" t="s">
        <v>20</v>
      </c>
      <c r="D104" s="408">
        <v>26</v>
      </c>
      <c r="E104" s="5" t="s">
        <v>313</v>
      </c>
      <c r="F104" s="408">
        <v>19</v>
      </c>
      <c r="G104" s="408">
        <v>1</v>
      </c>
      <c r="H104" s="408">
        <v>22</v>
      </c>
      <c r="I104" s="408">
        <v>2.7</v>
      </c>
      <c r="J104" s="408">
        <v>7.2</v>
      </c>
      <c r="K104" s="408">
        <v>0.38200000000000001</v>
      </c>
      <c r="L104" s="408">
        <v>1.2</v>
      </c>
      <c r="M104" s="408">
        <v>3.5</v>
      </c>
      <c r="N104" s="5">
        <v>0.33300000000000002</v>
      </c>
      <c r="O104" s="408">
        <v>1.6</v>
      </c>
      <c r="P104" s="408">
        <v>3.7</v>
      </c>
      <c r="Q104" s="408">
        <v>0.42899999999999999</v>
      </c>
      <c r="R104" s="408">
        <v>0.46300000000000002</v>
      </c>
      <c r="S104" s="408">
        <v>2.4</v>
      </c>
      <c r="T104" s="408">
        <v>2.7</v>
      </c>
      <c r="U104" s="408">
        <v>0.90200000000000002</v>
      </c>
      <c r="V104" s="408">
        <v>0.3</v>
      </c>
      <c r="W104" s="408">
        <v>2</v>
      </c>
      <c r="X104" s="408">
        <v>2.2999999999999998</v>
      </c>
      <c r="Y104" s="408">
        <v>4</v>
      </c>
      <c r="Z104" s="408">
        <v>0.8</v>
      </c>
      <c r="AA104" s="408">
        <v>0.1</v>
      </c>
      <c r="AB104" s="408">
        <v>1.5</v>
      </c>
      <c r="AC104" s="408">
        <v>1.9</v>
      </c>
      <c r="AD104" s="408">
        <v>9.1</v>
      </c>
    </row>
    <row r="105" spans="1:30">
      <c r="A105">
        <v>83</v>
      </c>
      <c r="B105" s="1" t="s">
        <v>228</v>
      </c>
      <c r="C105" s="5" t="s">
        <v>83</v>
      </c>
      <c r="D105" s="408">
        <v>23</v>
      </c>
      <c r="E105" s="5" t="s">
        <v>92</v>
      </c>
      <c r="F105" s="408">
        <v>64</v>
      </c>
      <c r="G105" s="408">
        <v>64</v>
      </c>
      <c r="H105" s="408">
        <v>27.5</v>
      </c>
      <c r="I105" s="408">
        <v>6.1</v>
      </c>
      <c r="J105" s="408">
        <v>9.3000000000000007</v>
      </c>
      <c r="K105" s="408">
        <v>0.65200000000000002</v>
      </c>
      <c r="L105" s="408">
        <v>0</v>
      </c>
      <c r="M105" s="408">
        <v>0</v>
      </c>
      <c r="N105" s="5">
        <v>0</v>
      </c>
      <c r="O105" s="408">
        <v>6.1</v>
      </c>
      <c r="P105" s="408">
        <v>9.3000000000000007</v>
      </c>
      <c r="Q105" s="408">
        <v>0.65300000000000002</v>
      </c>
      <c r="R105" s="408">
        <v>0.65200000000000002</v>
      </c>
      <c r="S105" s="408">
        <v>2.1</v>
      </c>
      <c r="T105" s="408">
        <v>3.6</v>
      </c>
      <c r="U105" s="408">
        <v>0.56899999999999995</v>
      </c>
      <c r="V105" s="408">
        <v>3.3</v>
      </c>
      <c r="W105" s="408">
        <v>7.6</v>
      </c>
      <c r="X105" s="408">
        <v>11</v>
      </c>
      <c r="Y105" s="408">
        <v>0.9</v>
      </c>
      <c r="Z105" s="408">
        <v>0.7</v>
      </c>
      <c r="AA105" s="408">
        <v>1.8</v>
      </c>
      <c r="AB105" s="408">
        <v>1.4</v>
      </c>
      <c r="AC105" s="408">
        <v>2.6</v>
      </c>
      <c r="AD105" s="408">
        <v>14.2</v>
      </c>
    </row>
    <row r="106" spans="1:30">
      <c r="A106">
        <v>84</v>
      </c>
      <c r="B106" s="1" t="s">
        <v>355</v>
      </c>
      <c r="C106" s="5" t="s">
        <v>46</v>
      </c>
      <c r="D106" s="408">
        <v>31</v>
      </c>
      <c r="E106" s="5" t="s">
        <v>315</v>
      </c>
      <c r="F106" s="408">
        <v>66</v>
      </c>
      <c r="G106" s="408">
        <v>66</v>
      </c>
      <c r="H106" s="408">
        <v>29.9</v>
      </c>
      <c r="I106" s="408">
        <v>4.5</v>
      </c>
      <c r="J106" s="408">
        <v>10.9</v>
      </c>
      <c r="K106" s="408">
        <v>0.41699999999999998</v>
      </c>
      <c r="L106" s="408">
        <v>2</v>
      </c>
      <c r="M106" s="408">
        <v>5.4</v>
      </c>
      <c r="N106" s="5">
        <v>0.376</v>
      </c>
      <c r="O106" s="408">
        <v>2.5</v>
      </c>
      <c r="P106" s="408">
        <v>5.5</v>
      </c>
      <c r="Q106" s="408">
        <v>0.45700000000000002</v>
      </c>
      <c r="R106" s="408">
        <v>0.51</v>
      </c>
      <c r="S106" s="408">
        <v>2.6</v>
      </c>
      <c r="T106" s="408">
        <v>3.3</v>
      </c>
      <c r="U106" s="408">
        <v>0.78200000000000003</v>
      </c>
      <c r="V106" s="408">
        <v>1.5</v>
      </c>
      <c r="W106" s="408">
        <v>5.2</v>
      </c>
      <c r="X106" s="408">
        <v>6.7</v>
      </c>
      <c r="Y106" s="408">
        <v>2</v>
      </c>
      <c r="Z106" s="408">
        <v>0.8</v>
      </c>
      <c r="AA106" s="408">
        <v>0.4</v>
      </c>
      <c r="AB106" s="408">
        <v>1.4</v>
      </c>
      <c r="AC106" s="408">
        <v>2.2000000000000002</v>
      </c>
      <c r="AD106" s="408">
        <v>13.7</v>
      </c>
    </row>
    <row r="107" spans="1:30">
      <c r="A107">
        <v>85</v>
      </c>
      <c r="B107" s="1" t="s">
        <v>101</v>
      </c>
      <c r="C107" s="5" t="s">
        <v>46</v>
      </c>
      <c r="D107" s="408">
        <v>41</v>
      </c>
      <c r="E107" s="5" t="s">
        <v>100</v>
      </c>
      <c r="F107" s="408">
        <v>48</v>
      </c>
      <c r="G107" s="408">
        <v>4</v>
      </c>
      <c r="H107" s="408">
        <v>17.7</v>
      </c>
      <c r="I107" s="408">
        <v>2</v>
      </c>
      <c r="J107" s="408">
        <v>5</v>
      </c>
      <c r="K107" s="408">
        <v>0.40300000000000002</v>
      </c>
      <c r="L107" s="408">
        <v>1</v>
      </c>
      <c r="M107" s="408">
        <v>2.9</v>
      </c>
      <c r="N107" s="5">
        <v>0.34799999999999998</v>
      </c>
      <c r="O107" s="408">
        <v>1</v>
      </c>
      <c r="P107" s="408">
        <v>2.1</v>
      </c>
      <c r="Q107" s="408">
        <v>0.48</v>
      </c>
      <c r="R107" s="408">
        <v>0.504</v>
      </c>
      <c r="S107" s="408">
        <v>0.5</v>
      </c>
      <c r="T107" s="408">
        <v>0.6</v>
      </c>
      <c r="U107" s="408">
        <v>0.71</v>
      </c>
      <c r="V107" s="408">
        <v>0.3</v>
      </c>
      <c r="W107" s="408">
        <v>2.1</v>
      </c>
      <c r="X107" s="408">
        <v>2.4</v>
      </c>
      <c r="Y107" s="408">
        <v>1.2</v>
      </c>
      <c r="Z107" s="408">
        <v>0.9</v>
      </c>
      <c r="AA107" s="408">
        <v>0.5</v>
      </c>
      <c r="AB107" s="408">
        <v>0.6</v>
      </c>
      <c r="AC107" s="408">
        <v>1.7</v>
      </c>
      <c r="AD107" s="408">
        <v>5.5</v>
      </c>
    </row>
    <row r="108" spans="1:30">
      <c r="A108">
        <v>86</v>
      </c>
      <c r="B108" s="1" t="s">
        <v>105</v>
      </c>
      <c r="C108" s="5" t="s">
        <v>20</v>
      </c>
      <c r="D108" s="408">
        <v>26</v>
      </c>
      <c r="E108" s="5" t="s">
        <v>311</v>
      </c>
      <c r="F108" s="408">
        <v>52</v>
      </c>
      <c r="G108" s="408">
        <v>2</v>
      </c>
      <c r="H108" s="408">
        <v>16.100000000000001</v>
      </c>
      <c r="I108" s="408">
        <v>1.5</v>
      </c>
      <c r="J108" s="408">
        <v>4.4000000000000004</v>
      </c>
      <c r="K108" s="408">
        <v>0.33200000000000002</v>
      </c>
      <c r="L108" s="408">
        <v>0.3</v>
      </c>
      <c r="M108" s="408">
        <v>1.1000000000000001</v>
      </c>
      <c r="N108" s="5">
        <v>0.23699999999999999</v>
      </c>
      <c r="O108" s="408">
        <v>1.2</v>
      </c>
      <c r="P108" s="408">
        <v>3.3</v>
      </c>
      <c r="Q108" s="408">
        <v>0.36499999999999999</v>
      </c>
      <c r="R108" s="408">
        <v>0.36199999999999999</v>
      </c>
      <c r="S108" s="408">
        <v>1.4</v>
      </c>
      <c r="T108" s="408">
        <v>1.7</v>
      </c>
      <c r="U108" s="408">
        <v>0.82</v>
      </c>
      <c r="V108" s="408">
        <v>0.7</v>
      </c>
      <c r="W108" s="408">
        <v>1.9</v>
      </c>
      <c r="X108" s="408">
        <v>2.7</v>
      </c>
      <c r="Y108" s="408">
        <v>2.2000000000000002</v>
      </c>
      <c r="Z108" s="408">
        <v>0.8</v>
      </c>
      <c r="AA108" s="408">
        <v>0.4</v>
      </c>
      <c r="AB108" s="408">
        <v>1</v>
      </c>
      <c r="AC108" s="408">
        <v>1.9</v>
      </c>
      <c r="AD108" s="408">
        <v>4.5999999999999996</v>
      </c>
    </row>
    <row r="109" spans="1:30">
      <c r="A109">
        <v>87</v>
      </c>
      <c r="B109" s="1" t="s">
        <v>613</v>
      </c>
      <c r="C109" s="5" t="s">
        <v>20</v>
      </c>
      <c r="D109" s="408">
        <v>23</v>
      </c>
      <c r="E109" s="5" t="s">
        <v>78</v>
      </c>
      <c r="F109" s="408">
        <v>28</v>
      </c>
      <c r="G109" s="408">
        <v>0</v>
      </c>
      <c r="H109" s="408">
        <v>13.1</v>
      </c>
      <c r="I109" s="408">
        <v>1.1000000000000001</v>
      </c>
      <c r="J109" s="408">
        <v>2.4</v>
      </c>
      <c r="K109" s="408">
        <v>0.44800000000000001</v>
      </c>
      <c r="L109" s="408">
        <v>0.2</v>
      </c>
      <c r="M109" s="408">
        <v>0.8</v>
      </c>
      <c r="N109" s="5">
        <v>0.22700000000000001</v>
      </c>
      <c r="O109" s="408">
        <v>0.9</v>
      </c>
      <c r="P109" s="408">
        <v>1.6</v>
      </c>
      <c r="Q109" s="408">
        <v>0.55600000000000005</v>
      </c>
      <c r="R109" s="408">
        <v>0.48499999999999999</v>
      </c>
      <c r="S109" s="408">
        <v>0.4</v>
      </c>
      <c r="T109" s="408">
        <v>0.6</v>
      </c>
      <c r="U109" s="408">
        <v>0.68799999999999994</v>
      </c>
      <c r="V109" s="408">
        <v>0.3</v>
      </c>
      <c r="W109" s="408">
        <v>1</v>
      </c>
      <c r="X109" s="408">
        <v>1.3</v>
      </c>
      <c r="Y109" s="408">
        <v>1.7</v>
      </c>
      <c r="Z109" s="408">
        <v>0.6</v>
      </c>
      <c r="AA109" s="408">
        <v>0.3</v>
      </c>
      <c r="AB109" s="408">
        <v>0.9</v>
      </c>
      <c r="AC109" s="408">
        <v>1.2</v>
      </c>
      <c r="AD109" s="408">
        <v>2.7</v>
      </c>
    </row>
    <row r="110" spans="1:30">
      <c r="A110">
        <v>88</v>
      </c>
      <c r="B110" s="1" t="s">
        <v>165</v>
      </c>
      <c r="C110" s="5" t="s">
        <v>46</v>
      </c>
      <c r="D110" s="408">
        <v>29</v>
      </c>
      <c r="E110" s="5" t="s">
        <v>73</v>
      </c>
      <c r="F110" s="408">
        <v>53</v>
      </c>
      <c r="G110" s="408">
        <v>7</v>
      </c>
      <c r="H110" s="408">
        <v>14</v>
      </c>
      <c r="I110" s="408">
        <v>2.2999999999999998</v>
      </c>
      <c r="J110" s="408">
        <v>3.9</v>
      </c>
      <c r="K110" s="408">
        <v>0.57999999999999996</v>
      </c>
      <c r="L110" s="408">
        <v>0.2</v>
      </c>
      <c r="M110" s="408">
        <v>0.4</v>
      </c>
      <c r="N110" s="5">
        <v>0.45500000000000002</v>
      </c>
      <c r="O110" s="408">
        <v>2.1</v>
      </c>
      <c r="P110" s="408">
        <v>3.5</v>
      </c>
      <c r="Q110" s="408">
        <v>0.59499999999999997</v>
      </c>
      <c r="R110" s="408">
        <v>0.60399999999999998</v>
      </c>
      <c r="S110" s="408">
        <v>0.9</v>
      </c>
      <c r="T110" s="408">
        <v>1.3</v>
      </c>
      <c r="U110" s="408">
        <v>0.72499999999999998</v>
      </c>
      <c r="V110" s="408">
        <v>0.6</v>
      </c>
      <c r="W110" s="408">
        <v>3.2</v>
      </c>
      <c r="X110" s="408">
        <v>3.8</v>
      </c>
      <c r="Y110" s="408">
        <v>1</v>
      </c>
      <c r="Z110" s="408">
        <v>0.3</v>
      </c>
      <c r="AA110" s="408">
        <v>0.4</v>
      </c>
      <c r="AB110" s="408">
        <v>0.7</v>
      </c>
      <c r="AC110" s="408">
        <v>1.3</v>
      </c>
      <c r="AD110" s="408">
        <v>5.7</v>
      </c>
    </row>
    <row r="111" spans="1:30">
      <c r="A111">
        <v>89</v>
      </c>
      <c r="B111" s="1" t="s">
        <v>563</v>
      </c>
      <c r="C111" s="5" t="s">
        <v>83</v>
      </c>
      <c r="D111" s="408">
        <v>24</v>
      </c>
      <c r="E111" s="5" t="s">
        <v>100</v>
      </c>
      <c r="F111" s="408">
        <v>63</v>
      </c>
      <c r="G111" s="408">
        <v>48</v>
      </c>
      <c r="H111" s="408">
        <v>27.9</v>
      </c>
      <c r="I111" s="408">
        <v>5.0999999999999996</v>
      </c>
      <c r="J111" s="408">
        <v>10.4</v>
      </c>
      <c r="K111" s="408">
        <v>0.49099999999999999</v>
      </c>
      <c r="L111" s="408">
        <v>0</v>
      </c>
      <c r="M111" s="408">
        <v>0.2</v>
      </c>
      <c r="N111" s="5">
        <v>0.25</v>
      </c>
      <c r="O111" s="408">
        <v>5.0999999999999996</v>
      </c>
      <c r="P111" s="408">
        <v>10.199999999999999</v>
      </c>
      <c r="Q111" s="408">
        <v>0.495</v>
      </c>
      <c r="R111" s="408">
        <v>0.49299999999999999</v>
      </c>
      <c r="S111" s="408">
        <v>2.1</v>
      </c>
      <c r="T111" s="408">
        <v>3.3</v>
      </c>
      <c r="U111" s="408">
        <v>0.621</v>
      </c>
      <c r="V111" s="408">
        <v>1.8</v>
      </c>
      <c r="W111" s="408">
        <v>5</v>
      </c>
      <c r="X111" s="408">
        <v>6.9</v>
      </c>
      <c r="Y111" s="408">
        <v>2.2999999999999998</v>
      </c>
      <c r="Z111" s="408">
        <v>1.1000000000000001</v>
      </c>
      <c r="AA111" s="408">
        <v>1</v>
      </c>
      <c r="AB111" s="408">
        <v>1.5</v>
      </c>
      <c r="AC111" s="408">
        <v>2.5</v>
      </c>
      <c r="AD111" s="408">
        <v>12.3</v>
      </c>
    </row>
    <row r="112" spans="1:30">
      <c r="A112">
        <v>90</v>
      </c>
      <c r="B112" s="1" t="s">
        <v>456</v>
      </c>
      <c r="C112" s="5" t="s">
        <v>38</v>
      </c>
      <c r="D112" s="408">
        <v>23</v>
      </c>
      <c r="E112" s="5" t="s">
        <v>149</v>
      </c>
      <c r="F112" s="408">
        <v>33</v>
      </c>
      <c r="G112" s="408">
        <v>1</v>
      </c>
      <c r="H112" s="408">
        <v>13.6</v>
      </c>
      <c r="I112" s="408">
        <v>1.8</v>
      </c>
      <c r="J112" s="408">
        <v>3.8</v>
      </c>
      <c r="K112" s="408">
        <v>0.47199999999999998</v>
      </c>
      <c r="L112" s="408">
        <v>0.8</v>
      </c>
      <c r="M112" s="408">
        <v>2.2999999999999998</v>
      </c>
      <c r="N112" s="5">
        <v>0.373</v>
      </c>
      <c r="O112" s="408">
        <v>0.9</v>
      </c>
      <c r="P112" s="408">
        <v>1.5</v>
      </c>
      <c r="Q112" s="408">
        <v>0.62</v>
      </c>
      <c r="R112" s="408">
        <v>0.58399999999999996</v>
      </c>
      <c r="S112" s="408">
        <v>0.5</v>
      </c>
      <c r="T112" s="408">
        <v>0.6</v>
      </c>
      <c r="U112" s="408">
        <v>0.81</v>
      </c>
      <c r="V112" s="408">
        <v>1.2</v>
      </c>
      <c r="W112" s="408">
        <v>2.2000000000000002</v>
      </c>
      <c r="X112" s="408">
        <v>3.3</v>
      </c>
      <c r="Y112" s="408">
        <v>0.8</v>
      </c>
      <c r="Z112" s="408">
        <v>0.3</v>
      </c>
      <c r="AA112" s="408">
        <v>0.1</v>
      </c>
      <c r="AB112" s="408">
        <v>0.3</v>
      </c>
      <c r="AC112" s="408">
        <v>1.7</v>
      </c>
      <c r="AD112" s="408">
        <v>4.9000000000000004</v>
      </c>
    </row>
    <row r="113" spans="1:30">
      <c r="A113">
        <v>91</v>
      </c>
      <c r="B113" s="1" t="s">
        <v>175</v>
      </c>
      <c r="C113" s="5" t="s">
        <v>20</v>
      </c>
      <c r="D113" s="408">
        <v>31</v>
      </c>
      <c r="E113" s="5" t="s">
        <v>128</v>
      </c>
      <c r="F113" s="408">
        <v>57</v>
      </c>
      <c r="G113" s="408">
        <v>9</v>
      </c>
      <c r="H113" s="408">
        <v>22.3</v>
      </c>
      <c r="I113" s="408">
        <v>2.6</v>
      </c>
      <c r="J113" s="408">
        <v>6.9</v>
      </c>
      <c r="K113" s="408">
        <v>0.371</v>
      </c>
      <c r="L113" s="408">
        <v>0.8</v>
      </c>
      <c r="M113" s="408">
        <v>2.9</v>
      </c>
      <c r="N113" s="5">
        <v>0.27700000000000002</v>
      </c>
      <c r="O113" s="408">
        <v>1.8</v>
      </c>
      <c r="P113" s="408">
        <v>4</v>
      </c>
      <c r="Q113" s="408">
        <v>0.439</v>
      </c>
      <c r="R113" s="408">
        <v>0.42899999999999999</v>
      </c>
      <c r="S113" s="408">
        <v>1.8</v>
      </c>
      <c r="T113" s="408">
        <v>2.1</v>
      </c>
      <c r="U113" s="408">
        <v>0.85099999999999998</v>
      </c>
      <c r="V113" s="408">
        <v>0.2</v>
      </c>
      <c r="W113" s="408">
        <v>2.2000000000000002</v>
      </c>
      <c r="X113" s="408">
        <v>2.4</v>
      </c>
      <c r="Y113" s="408">
        <v>3.1</v>
      </c>
      <c r="Z113" s="408">
        <v>1.2</v>
      </c>
      <c r="AA113" s="408">
        <v>0.2</v>
      </c>
      <c r="AB113" s="408">
        <v>1.7</v>
      </c>
      <c r="AC113" s="408">
        <v>2.8</v>
      </c>
      <c r="AD113" s="408">
        <v>7.7</v>
      </c>
    </row>
    <row r="114" spans="1:30">
      <c r="A114">
        <v>92</v>
      </c>
      <c r="B114" s="1" t="s">
        <v>597</v>
      </c>
      <c r="C114" s="5" t="s">
        <v>83</v>
      </c>
      <c r="D114" s="408">
        <v>35</v>
      </c>
      <c r="E114" s="5" t="s">
        <v>313</v>
      </c>
      <c r="F114" s="408">
        <v>46</v>
      </c>
      <c r="G114" s="408">
        <v>46</v>
      </c>
      <c r="H114" s="408">
        <v>25</v>
      </c>
      <c r="I114" s="408">
        <v>2.6</v>
      </c>
      <c r="J114" s="408">
        <v>4.0999999999999996</v>
      </c>
      <c r="K114" s="408">
        <v>0.64700000000000002</v>
      </c>
      <c r="L114" s="408">
        <v>0</v>
      </c>
      <c r="M114" s="408">
        <v>0</v>
      </c>
      <c r="O114" s="408">
        <v>2.6</v>
      </c>
      <c r="P114" s="408">
        <v>4.0999999999999996</v>
      </c>
      <c r="Q114" s="408">
        <v>0.64700000000000002</v>
      </c>
      <c r="R114" s="408">
        <v>0.64700000000000002</v>
      </c>
      <c r="S114" s="408">
        <v>1.3</v>
      </c>
      <c r="T114" s="408">
        <v>2</v>
      </c>
      <c r="U114" s="408">
        <v>0.61699999999999999</v>
      </c>
      <c r="V114" s="408">
        <v>2.9</v>
      </c>
      <c r="W114" s="408">
        <v>6.2</v>
      </c>
      <c r="X114" s="408">
        <v>9.1</v>
      </c>
      <c r="Y114" s="408">
        <v>1.2</v>
      </c>
      <c r="Z114" s="408">
        <v>0.3</v>
      </c>
      <c r="AA114" s="408">
        <v>0.6</v>
      </c>
      <c r="AB114" s="408">
        <v>1.3</v>
      </c>
      <c r="AC114" s="408">
        <v>2.2999999999999998</v>
      </c>
      <c r="AD114" s="408">
        <v>6.5</v>
      </c>
    </row>
    <row r="115" spans="1:30">
      <c r="A115">
        <v>93</v>
      </c>
      <c r="B115" s="1" t="s">
        <v>412</v>
      </c>
      <c r="C115" s="5" t="s">
        <v>46</v>
      </c>
      <c r="D115" s="408">
        <v>30</v>
      </c>
      <c r="E115" s="5" t="s">
        <v>61</v>
      </c>
      <c r="F115" s="408">
        <v>64</v>
      </c>
      <c r="G115" s="408">
        <v>61</v>
      </c>
      <c r="H115" s="408">
        <v>31.4</v>
      </c>
      <c r="I115" s="408">
        <v>3.9</v>
      </c>
      <c r="J115" s="408">
        <v>8.6</v>
      </c>
      <c r="K115" s="408">
        <v>0.45</v>
      </c>
      <c r="L115" s="408">
        <v>1.2</v>
      </c>
      <c r="M115" s="408">
        <v>3.3</v>
      </c>
      <c r="N115" s="5">
        <v>0.34899999999999998</v>
      </c>
      <c r="O115" s="408">
        <v>2.7</v>
      </c>
      <c r="P115" s="408">
        <v>5.3</v>
      </c>
      <c r="Q115" s="408">
        <v>0.51300000000000001</v>
      </c>
      <c r="R115" s="408">
        <v>0.51700000000000002</v>
      </c>
      <c r="S115" s="408">
        <v>1.3</v>
      </c>
      <c r="T115" s="408">
        <v>1.6</v>
      </c>
      <c r="U115" s="408">
        <v>0.77900000000000003</v>
      </c>
      <c r="V115" s="408">
        <v>1.4</v>
      </c>
      <c r="W115" s="408">
        <v>3.8</v>
      </c>
      <c r="X115" s="408">
        <v>5.2</v>
      </c>
      <c r="Y115" s="408">
        <v>2.1</v>
      </c>
      <c r="Z115" s="408">
        <v>0.6</v>
      </c>
      <c r="AA115" s="408">
        <v>0.5</v>
      </c>
      <c r="AB115" s="408">
        <v>1.3</v>
      </c>
      <c r="AC115" s="408">
        <v>2.1</v>
      </c>
      <c r="AD115" s="408">
        <v>10.199999999999999</v>
      </c>
    </row>
    <row r="116" spans="1:30">
      <c r="A116">
        <v>94</v>
      </c>
      <c r="B116" s="1" t="s">
        <v>441</v>
      </c>
      <c r="C116" s="5" t="s">
        <v>38</v>
      </c>
      <c r="D116" s="408">
        <v>20</v>
      </c>
      <c r="E116" s="5" t="s">
        <v>313</v>
      </c>
      <c r="F116" s="408">
        <v>63</v>
      </c>
      <c r="G116" s="408">
        <v>41</v>
      </c>
      <c r="H116" s="408">
        <v>20.3</v>
      </c>
      <c r="I116" s="408">
        <v>2.5</v>
      </c>
      <c r="J116" s="408">
        <v>6.1</v>
      </c>
      <c r="K116" s="408">
        <v>0.40500000000000003</v>
      </c>
      <c r="L116" s="408">
        <v>0.8</v>
      </c>
      <c r="M116" s="408">
        <v>2.6</v>
      </c>
      <c r="N116" s="5">
        <v>0.307</v>
      </c>
      <c r="O116" s="408">
        <v>1.7</v>
      </c>
      <c r="P116" s="408">
        <v>3.5</v>
      </c>
      <c r="Q116" s="408">
        <v>0.47699999999999998</v>
      </c>
      <c r="R116" s="408">
        <v>0.47</v>
      </c>
      <c r="S116" s="408">
        <v>1.1000000000000001</v>
      </c>
      <c r="T116" s="408">
        <v>1.9</v>
      </c>
      <c r="U116" s="408">
        <v>0.56999999999999995</v>
      </c>
      <c r="V116" s="408">
        <v>1</v>
      </c>
      <c r="W116" s="408">
        <v>4.0999999999999996</v>
      </c>
      <c r="X116" s="408">
        <v>5</v>
      </c>
      <c r="Y116" s="408">
        <v>1.1000000000000001</v>
      </c>
      <c r="Z116" s="408">
        <v>0.7</v>
      </c>
      <c r="AA116" s="408">
        <v>0.9</v>
      </c>
      <c r="AB116" s="408">
        <v>1.4</v>
      </c>
      <c r="AC116" s="408">
        <v>2.9</v>
      </c>
      <c r="AD116" s="408">
        <v>6.8</v>
      </c>
    </row>
    <row r="117" spans="1:30">
      <c r="A117">
        <v>95</v>
      </c>
      <c r="B117" s="1" t="s">
        <v>125</v>
      </c>
      <c r="C117" s="5" t="s">
        <v>26</v>
      </c>
      <c r="D117" s="408">
        <v>26</v>
      </c>
      <c r="E117" s="5" t="s">
        <v>112</v>
      </c>
      <c r="F117" s="408">
        <v>64</v>
      </c>
      <c r="G117" s="408">
        <v>1</v>
      </c>
      <c r="H117" s="408">
        <v>19</v>
      </c>
      <c r="I117" s="408">
        <v>2.8</v>
      </c>
      <c r="J117" s="408">
        <v>6.2</v>
      </c>
      <c r="K117" s="408">
        <v>0.44600000000000001</v>
      </c>
      <c r="L117" s="408">
        <v>0.8</v>
      </c>
      <c r="M117" s="408">
        <v>2.6</v>
      </c>
      <c r="N117" s="5">
        <v>0.30299999999999999</v>
      </c>
      <c r="O117" s="408">
        <v>2</v>
      </c>
      <c r="P117" s="408">
        <v>3.7</v>
      </c>
      <c r="Q117" s="408">
        <v>0.54700000000000004</v>
      </c>
      <c r="R117" s="408">
        <v>0.50900000000000001</v>
      </c>
      <c r="S117" s="408">
        <v>0.6</v>
      </c>
      <c r="T117" s="408">
        <v>0.8</v>
      </c>
      <c r="U117" s="408">
        <v>0.73099999999999998</v>
      </c>
      <c r="V117" s="408">
        <v>0.2</v>
      </c>
      <c r="W117" s="408">
        <v>1.5</v>
      </c>
      <c r="X117" s="408">
        <v>1.7</v>
      </c>
      <c r="Y117" s="408">
        <v>1.4</v>
      </c>
      <c r="Z117" s="408">
        <v>0.4</v>
      </c>
      <c r="AA117" s="408">
        <v>0.2</v>
      </c>
      <c r="AB117" s="408">
        <v>0.7</v>
      </c>
      <c r="AC117" s="408">
        <v>1.6</v>
      </c>
      <c r="AD117" s="408">
        <v>6.9</v>
      </c>
    </row>
    <row r="118" spans="1:30">
      <c r="A118">
        <v>96</v>
      </c>
      <c r="B118" s="1" t="s">
        <v>397</v>
      </c>
      <c r="C118" s="5" t="s">
        <v>26</v>
      </c>
      <c r="D118" s="408">
        <v>25</v>
      </c>
      <c r="E118" s="5" t="s">
        <v>357</v>
      </c>
      <c r="F118" s="408">
        <v>69</v>
      </c>
      <c r="G118" s="408">
        <v>2</v>
      </c>
      <c r="H118" s="408">
        <v>23.6</v>
      </c>
      <c r="I118" s="408">
        <v>5.5</v>
      </c>
      <c r="J118" s="408">
        <v>12.1</v>
      </c>
      <c r="K118" s="408">
        <v>0.45500000000000002</v>
      </c>
      <c r="L118" s="408">
        <v>1.5</v>
      </c>
      <c r="M118" s="408">
        <v>4.2</v>
      </c>
      <c r="N118" s="5">
        <v>0.34899999999999998</v>
      </c>
      <c r="O118" s="408">
        <v>4</v>
      </c>
      <c r="P118" s="408">
        <v>7.9</v>
      </c>
      <c r="Q118" s="408">
        <v>0.51</v>
      </c>
      <c r="R118" s="408">
        <v>0.51500000000000001</v>
      </c>
      <c r="S118" s="408">
        <v>1.9</v>
      </c>
      <c r="T118" s="408">
        <v>2.4</v>
      </c>
      <c r="U118" s="408">
        <v>0.79200000000000004</v>
      </c>
      <c r="V118" s="408">
        <v>0.7</v>
      </c>
      <c r="W118" s="408">
        <v>2.2000000000000002</v>
      </c>
      <c r="X118" s="408">
        <v>2.9</v>
      </c>
      <c r="Y118" s="408">
        <v>3</v>
      </c>
      <c r="Z118" s="408">
        <v>0.7</v>
      </c>
      <c r="AA118" s="408">
        <v>0.1</v>
      </c>
      <c r="AB118" s="408">
        <v>1.7</v>
      </c>
      <c r="AC118" s="408">
        <v>1.3</v>
      </c>
      <c r="AD118" s="408">
        <v>14.4</v>
      </c>
    </row>
    <row r="119" spans="1:30">
      <c r="A119">
        <v>96</v>
      </c>
      <c r="B119" s="1" t="s">
        <v>397</v>
      </c>
      <c r="C119" s="5" t="s">
        <v>26</v>
      </c>
      <c r="D119" s="408">
        <v>25</v>
      </c>
      <c r="E119" s="5" t="s">
        <v>78</v>
      </c>
      <c r="F119" s="408">
        <v>53</v>
      </c>
      <c r="G119" s="408">
        <v>2</v>
      </c>
      <c r="H119" s="408">
        <v>23.7</v>
      </c>
      <c r="I119" s="408">
        <v>5.6</v>
      </c>
      <c r="J119" s="408">
        <v>12.6</v>
      </c>
      <c r="K119" s="408">
        <v>0.44800000000000001</v>
      </c>
      <c r="L119" s="408">
        <v>1.3</v>
      </c>
      <c r="M119" s="408">
        <v>4</v>
      </c>
      <c r="N119" s="5">
        <v>0.32400000000000001</v>
      </c>
      <c r="O119" s="408">
        <v>4.4000000000000004</v>
      </c>
      <c r="P119" s="408">
        <v>8.6</v>
      </c>
      <c r="Q119" s="408">
        <v>0.505</v>
      </c>
      <c r="R119" s="408">
        <v>0.499</v>
      </c>
      <c r="S119" s="408">
        <v>2</v>
      </c>
      <c r="T119" s="408">
        <v>2.5</v>
      </c>
      <c r="U119" s="408">
        <v>0.79500000000000004</v>
      </c>
      <c r="V119" s="408">
        <v>0.8</v>
      </c>
      <c r="W119" s="408">
        <v>2.2000000000000002</v>
      </c>
      <c r="X119" s="408">
        <v>3</v>
      </c>
      <c r="Y119" s="408">
        <v>3.3</v>
      </c>
      <c r="Z119" s="408">
        <v>0.7</v>
      </c>
      <c r="AA119" s="408">
        <v>0.1</v>
      </c>
      <c r="AB119" s="408">
        <v>1.8</v>
      </c>
      <c r="AC119" s="408">
        <v>1.2</v>
      </c>
      <c r="AD119" s="408">
        <v>14.5</v>
      </c>
    </row>
    <row r="120" spans="1:30">
      <c r="A120">
        <v>96</v>
      </c>
      <c r="B120" s="1" t="s">
        <v>397</v>
      </c>
      <c r="C120" s="5" t="s">
        <v>26</v>
      </c>
      <c r="D120" s="408">
        <v>25</v>
      </c>
      <c r="E120" s="5" t="s">
        <v>102</v>
      </c>
      <c r="F120" s="408">
        <v>16</v>
      </c>
      <c r="G120" s="408">
        <v>0</v>
      </c>
      <c r="H120" s="408">
        <v>23.1</v>
      </c>
      <c r="I120" s="408">
        <v>5.0999999999999996</v>
      </c>
      <c r="J120" s="408">
        <v>10.6</v>
      </c>
      <c r="K120" s="408">
        <v>0.47899999999999998</v>
      </c>
      <c r="L120" s="408">
        <v>2.1</v>
      </c>
      <c r="M120" s="408">
        <v>4.9000000000000004</v>
      </c>
      <c r="N120" s="5">
        <v>0.41799999999999998</v>
      </c>
      <c r="O120" s="408">
        <v>3</v>
      </c>
      <c r="P120" s="408">
        <v>5.6</v>
      </c>
      <c r="Q120" s="408">
        <v>0.53300000000000003</v>
      </c>
      <c r="R120" s="408">
        <v>0.57699999999999996</v>
      </c>
      <c r="S120" s="408">
        <v>1.8</v>
      </c>
      <c r="T120" s="408">
        <v>2.2999999999999998</v>
      </c>
      <c r="U120" s="408">
        <v>0.77800000000000002</v>
      </c>
      <c r="V120" s="408">
        <v>0.4</v>
      </c>
      <c r="W120" s="408">
        <v>2.1</v>
      </c>
      <c r="X120" s="408">
        <v>2.6</v>
      </c>
      <c r="Y120" s="408">
        <v>2</v>
      </c>
      <c r="Z120" s="408">
        <v>0.6</v>
      </c>
      <c r="AA120" s="408">
        <v>0.1</v>
      </c>
      <c r="AB120" s="408">
        <v>1.3</v>
      </c>
      <c r="AC120" s="408">
        <v>1.6</v>
      </c>
      <c r="AD120" s="408">
        <v>13.9</v>
      </c>
    </row>
    <row r="121" spans="1:30">
      <c r="A121">
        <v>97</v>
      </c>
      <c r="B121" s="1" t="s">
        <v>295</v>
      </c>
      <c r="C121" s="5" t="s">
        <v>26</v>
      </c>
      <c r="D121" s="408">
        <v>24</v>
      </c>
      <c r="E121" s="5" t="s">
        <v>33</v>
      </c>
      <c r="F121" s="408">
        <v>7</v>
      </c>
      <c r="G121" s="408">
        <v>0</v>
      </c>
      <c r="H121" s="408">
        <v>9.1</v>
      </c>
      <c r="I121" s="408">
        <v>0.9</v>
      </c>
      <c r="J121" s="408">
        <v>2.6</v>
      </c>
      <c r="K121" s="408">
        <v>0.33300000000000002</v>
      </c>
      <c r="L121" s="408">
        <v>0.9</v>
      </c>
      <c r="M121" s="408">
        <v>2.1</v>
      </c>
      <c r="N121" s="5">
        <v>0.4</v>
      </c>
      <c r="O121" s="408">
        <v>0</v>
      </c>
      <c r="P121" s="408">
        <v>0.4</v>
      </c>
      <c r="Q121" s="408">
        <v>0</v>
      </c>
      <c r="R121" s="408">
        <v>0.5</v>
      </c>
      <c r="S121" s="408">
        <v>0.3</v>
      </c>
      <c r="T121" s="408">
        <v>0.3</v>
      </c>
      <c r="U121" s="408">
        <v>1</v>
      </c>
      <c r="V121" s="408">
        <v>0.1</v>
      </c>
      <c r="W121" s="408">
        <v>0.9</v>
      </c>
      <c r="X121" s="408">
        <v>1</v>
      </c>
      <c r="Y121" s="408">
        <v>0.4</v>
      </c>
      <c r="Z121" s="408">
        <v>0.3</v>
      </c>
      <c r="AA121" s="408">
        <v>0</v>
      </c>
      <c r="AB121" s="408">
        <v>0.3</v>
      </c>
      <c r="AC121" s="408">
        <v>1.1000000000000001</v>
      </c>
      <c r="AD121" s="408">
        <v>2.9</v>
      </c>
    </row>
    <row r="122" spans="1:30">
      <c r="A122">
        <v>98</v>
      </c>
      <c r="B122" s="1" t="s">
        <v>598</v>
      </c>
      <c r="C122" s="5" t="s">
        <v>26</v>
      </c>
      <c r="D122" s="408">
        <v>23</v>
      </c>
      <c r="E122" s="5" t="s">
        <v>33</v>
      </c>
      <c r="F122" s="408">
        <v>13</v>
      </c>
      <c r="G122" s="408">
        <v>0</v>
      </c>
      <c r="H122" s="408">
        <v>6.2</v>
      </c>
      <c r="I122" s="408">
        <v>0.3</v>
      </c>
      <c r="J122" s="408">
        <v>1.1000000000000001</v>
      </c>
      <c r="K122" s="408">
        <v>0.28599999999999998</v>
      </c>
      <c r="L122" s="408">
        <v>0</v>
      </c>
      <c r="M122" s="408">
        <v>0.1</v>
      </c>
      <c r="N122" s="5">
        <v>0</v>
      </c>
      <c r="O122" s="408">
        <v>0.3</v>
      </c>
      <c r="P122" s="408">
        <v>1</v>
      </c>
      <c r="Q122" s="408">
        <v>0.308</v>
      </c>
      <c r="R122" s="408">
        <v>0.28599999999999998</v>
      </c>
      <c r="S122" s="408">
        <v>0.2</v>
      </c>
      <c r="T122" s="408">
        <v>0.3</v>
      </c>
      <c r="U122" s="408">
        <v>0.5</v>
      </c>
      <c r="V122" s="408">
        <v>0.2</v>
      </c>
      <c r="W122" s="408">
        <v>0.6</v>
      </c>
      <c r="X122" s="408">
        <v>0.8</v>
      </c>
      <c r="Y122" s="408">
        <v>0.2</v>
      </c>
      <c r="Z122" s="408">
        <v>0.5</v>
      </c>
      <c r="AA122" s="408">
        <v>0.3</v>
      </c>
      <c r="AB122" s="408">
        <v>0.2</v>
      </c>
      <c r="AC122" s="408">
        <v>0.8</v>
      </c>
      <c r="AD122" s="408">
        <v>0.8</v>
      </c>
    </row>
    <row r="123" spans="1:30">
      <c r="A123">
        <v>99</v>
      </c>
      <c r="B123" s="1" t="s">
        <v>571</v>
      </c>
      <c r="C123" s="5" t="s">
        <v>38</v>
      </c>
      <c r="D123" s="408">
        <v>20</v>
      </c>
      <c r="E123" s="5" t="s">
        <v>149</v>
      </c>
      <c r="F123" s="408">
        <v>64</v>
      </c>
      <c r="G123" s="408">
        <v>16</v>
      </c>
      <c r="H123" s="408">
        <v>23.2</v>
      </c>
      <c r="I123" s="408">
        <v>4.3</v>
      </c>
      <c r="J123" s="408">
        <v>7.3</v>
      </c>
      <c r="K123" s="408">
        <v>0.58399999999999996</v>
      </c>
      <c r="L123" s="408">
        <v>0.1</v>
      </c>
      <c r="M123" s="408">
        <v>0.4</v>
      </c>
      <c r="N123" s="5">
        <v>0.33300000000000002</v>
      </c>
      <c r="O123" s="408">
        <v>4.0999999999999996</v>
      </c>
      <c r="P123" s="408">
        <v>6.9</v>
      </c>
      <c r="Q123" s="408">
        <v>0.59899999999999998</v>
      </c>
      <c r="R123" s="408">
        <v>0.59299999999999997</v>
      </c>
      <c r="S123" s="408">
        <v>1.9</v>
      </c>
      <c r="T123" s="408">
        <v>2.5</v>
      </c>
      <c r="U123" s="408">
        <v>0.752</v>
      </c>
      <c r="V123" s="408">
        <v>2.5</v>
      </c>
      <c r="W123" s="408">
        <v>4.5999999999999996</v>
      </c>
      <c r="X123" s="408">
        <v>7.1</v>
      </c>
      <c r="Y123" s="408">
        <v>1.1000000000000001</v>
      </c>
      <c r="Z123" s="408">
        <v>0.6</v>
      </c>
      <c r="AA123" s="408">
        <v>1.1000000000000001</v>
      </c>
      <c r="AB123" s="408">
        <v>1.4</v>
      </c>
      <c r="AC123" s="408">
        <v>3</v>
      </c>
      <c r="AD123" s="408">
        <v>10.5</v>
      </c>
    </row>
    <row r="124" spans="1:30">
      <c r="A124">
        <v>100</v>
      </c>
      <c r="B124" s="1" t="s">
        <v>517</v>
      </c>
      <c r="C124" s="5" t="s">
        <v>83</v>
      </c>
      <c r="D124" s="408">
        <v>20</v>
      </c>
      <c r="E124" s="5" t="s">
        <v>96</v>
      </c>
      <c r="F124" s="408">
        <v>54</v>
      </c>
      <c r="G124" s="408">
        <v>1</v>
      </c>
      <c r="H124" s="408">
        <v>15.6</v>
      </c>
      <c r="I124" s="408">
        <v>1.7</v>
      </c>
      <c r="J124" s="408">
        <v>4.2</v>
      </c>
      <c r="K124" s="408">
        <v>0.40200000000000002</v>
      </c>
      <c r="L124" s="408">
        <v>0.6</v>
      </c>
      <c r="M124" s="408">
        <v>1.6</v>
      </c>
      <c r="N124" s="5">
        <v>0.34499999999999997</v>
      </c>
      <c r="O124" s="408">
        <v>1.1000000000000001</v>
      </c>
      <c r="P124" s="408">
        <v>2.6</v>
      </c>
      <c r="Q124" s="408">
        <v>0.437</v>
      </c>
      <c r="R124" s="408">
        <v>0.46700000000000003</v>
      </c>
      <c r="S124" s="408">
        <v>0.4</v>
      </c>
      <c r="T124" s="408">
        <v>0.6</v>
      </c>
      <c r="U124" s="408">
        <v>0.629</v>
      </c>
      <c r="V124" s="408">
        <v>0.7</v>
      </c>
      <c r="W124" s="408">
        <v>2.7</v>
      </c>
      <c r="X124" s="408">
        <v>3.4</v>
      </c>
      <c r="Y124" s="408">
        <v>0.8</v>
      </c>
      <c r="Z124" s="408">
        <v>0.3</v>
      </c>
      <c r="AA124" s="408">
        <v>0.5</v>
      </c>
      <c r="AB124" s="408">
        <v>0.9</v>
      </c>
      <c r="AC124" s="408">
        <v>2.1</v>
      </c>
      <c r="AD124" s="408">
        <v>4.4000000000000004</v>
      </c>
    </row>
    <row r="125" spans="1:30">
      <c r="A125">
        <v>101</v>
      </c>
      <c r="B125" s="1" t="s">
        <v>596</v>
      </c>
      <c r="C125" s="5" t="s">
        <v>46</v>
      </c>
      <c r="D125" s="408">
        <v>26</v>
      </c>
      <c r="E125" s="5" t="s">
        <v>33</v>
      </c>
      <c r="F125" s="408">
        <v>23</v>
      </c>
      <c r="G125" s="408">
        <v>1</v>
      </c>
      <c r="H125" s="408">
        <v>13.5</v>
      </c>
      <c r="I125" s="408">
        <v>1</v>
      </c>
      <c r="J125" s="408">
        <v>2.5</v>
      </c>
      <c r="K125" s="408">
        <v>0.40400000000000003</v>
      </c>
      <c r="L125" s="408">
        <v>0.1</v>
      </c>
      <c r="M125" s="408">
        <v>0.3</v>
      </c>
      <c r="N125" s="5">
        <v>0.42899999999999999</v>
      </c>
      <c r="O125" s="408">
        <v>0.9</v>
      </c>
      <c r="P125" s="408">
        <v>2.2000000000000002</v>
      </c>
      <c r="Q125" s="408">
        <v>0.4</v>
      </c>
      <c r="R125" s="408">
        <v>0.43</v>
      </c>
      <c r="S125" s="408">
        <v>0.4</v>
      </c>
      <c r="T125" s="408">
        <v>0.9</v>
      </c>
      <c r="U125" s="408">
        <v>0.42899999999999999</v>
      </c>
      <c r="V125" s="408">
        <v>1</v>
      </c>
      <c r="W125" s="408">
        <v>2</v>
      </c>
      <c r="X125" s="408">
        <v>3.1</v>
      </c>
      <c r="Y125" s="408">
        <v>1.2</v>
      </c>
      <c r="Z125" s="408">
        <v>0.7</v>
      </c>
      <c r="AA125" s="408">
        <v>0.1</v>
      </c>
      <c r="AB125" s="408">
        <v>0.7</v>
      </c>
      <c r="AC125" s="408">
        <v>1.5</v>
      </c>
      <c r="AD125" s="408">
        <v>2.5</v>
      </c>
    </row>
    <row r="126" spans="1:30">
      <c r="A126">
        <v>102</v>
      </c>
      <c r="B126" s="1" t="s">
        <v>430</v>
      </c>
      <c r="C126" s="5" t="s">
        <v>20</v>
      </c>
      <c r="D126" s="408">
        <v>30</v>
      </c>
      <c r="E126" s="5" t="s">
        <v>30</v>
      </c>
      <c r="F126" s="408">
        <v>58</v>
      </c>
      <c r="G126" s="408">
        <v>53</v>
      </c>
      <c r="H126" s="408">
        <v>29.8</v>
      </c>
      <c r="I126" s="408">
        <v>4.7</v>
      </c>
      <c r="J126" s="408">
        <v>9.4</v>
      </c>
      <c r="K126" s="408">
        <v>0.499</v>
      </c>
      <c r="L126" s="408">
        <v>1.4</v>
      </c>
      <c r="M126" s="408">
        <v>3.1</v>
      </c>
      <c r="N126" s="5">
        <v>0.44700000000000001</v>
      </c>
      <c r="O126" s="408">
        <v>3.3</v>
      </c>
      <c r="P126" s="408">
        <v>6.3</v>
      </c>
      <c r="Q126" s="408">
        <v>0.52500000000000002</v>
      </c>
      <c r="R126" s="408">
        <v>0.57299999999999995</v>
      </c>
      <c r="S126" s="408">
        <v>2</v>
      </c>
      <c r="T126" s="408">
        <v>2.2999999999999998</v>
      </c>
      <c r="U126" s="408">
        <v>0.873</v>
      </c>
      <c r="V126" s="408">
        <v>0.6</v>
      </c>
      <c r="W126" s="408">
        <v>2.1</v>
      </c>
      <c r="X126" s="408">
        <v>2.6</v>
      </c>
      <c r="Y126" s="408">
        <v>5.3</v>
      </c>
      <c r="Z126" s="408">
        <v>1.4</v>
      </c>
      <c r="AA126" s="408">
        <v>0.2</v>
      </c>
      <c r="AB126" s="408">
        <v>1.2</v>
      </c>
      <c r="AC126" s="408">
        <v>1.8</v>
      </c>
      <c r="AD126" s="408">
        <v>12.7</v>
      </c>
    </row>
    <row r="127" spans="1:30">
      <c r="A127">
        <v>103</v>
      </c>
      <c r="B127" s="1" t="s">
        <v>59</v>
      </c>
      <c r="C127" s="5" t="s">
        <v>38</v>
      </c>
      <c r="D127" s="408">
        <v>37</v>
      </c>
      <c r="E127" s="5" t="s">
        <v>58</v>
      </c>
      <c r="F127" s="408">
        <v>13</v>
      </c>
      <c r="G127" s="408">
        <v>0</v>
      </c>
      <c r="H127" s="408">
        <v>5.5</v>
      </c>
      <c r="I127" s="408">
        <v>1</v>
      </c>
      <c r="J127" s="408">
        <v>1.5</v>
      </c>
      <c r="K127" s="408">
        <v>0.68400000000000005</v>
      </c>
      <c r="L127" s="408">
        <v>0</v>
      </c>
      <c r="M127" s="408">
        <v>0</v>
      </c>
      <c r="O127" s="408">
        <v>1</v>
      </c>
      <c r="P127" s="408">
        <v>1.5</v>
      </c>
      <c r="Q127" s="408">
        <v>0.68400000000000005</v>
      </c>
      <c r="R127" s="408">
        <v>0.68400000000000005</v>
      </c>
      <c r="S127" s="408">
        <v>0.3</v>
      </c>
      <c r="T127" s="408">
        <v>0.6</v>
      </c>
      <c r="U127" s="408">
        <v>0.5</v>
      </c>
      <c r="V127" s="408">
        <v>0.5</v>
      </c>
      <c r="W127" s="408">
        <v>1</v>
      </c>
      <c r="X127" s="408">
        <v>1.5</v>
      </c>
      <c r="Y127" s="408">
        <v>0.3</v>
      </c>
      <c r="Z127" s="408">
        <v>0</v>
      </c>
      <c r="AA127" s="408">
        <v>0</v>
      </c>
      <c r="AB127" s="408">
        <v>0.5</v>
      </c>
      <c r="AC127" s="408">
        <v>0.5</v>
      </c>
      <c r="AD127" s="408">
        <v>2.2999999999999998</v>
      </c>
    </row>
    <row r="128" spans="1:30">
      <c r="A128">
        <v>104</v>
      </c>
      <c r="B128" s="1" t="s">
        <v>322</v>
      </c>
      <c r="C128" s="5" t="s">
        <v>20</v>
      </c>
      <c r="D128" s="408">
        <v>30</v>
      </c>
      <c r="E128" s="5" t="s">
        <v>128</v>
      </c>
      <c r="F128" s="408">
        <v>12</v>
      </c>
      <c r="G128" s="408">
        <v>12</v>
      </c>
      <c r="H128" s="408">
        <v>31.1</v>
      </c>
      <c r="I128" s="408">
        <v>5.3</v>
      </c>
      <c r="J128" s="408">
        <v>14</v>
      </c>
      <c r="K128" s="408">
        <v>0.38100000000000001</v>
      </c>
      <c r="L128" s="408">
        <v>2</v>
      </c>
      <c r="M128" s="408">
        <v>6.4</v>
      </c>
      <c r="N128" s="5">
        <v>0.312</v>
      </c>
      <c r="O128" s="408">
        <v>3.3</v>
      </c>
      <c r="P128" s="408">
        <v>7.6</v>
      </c>
      <c r="Q128" s="408">
        <v>0.44</v>
      </c>
      <c r="R128" s="408">
        <v>0.45200000000000001</v>
      </c>
      <c r="S128" s="408">
        <v>4.4000000000000004</v>
      </c>
      <c r="T128" s="408">
        <v>5.5</v>
      </c>
      <c r="U128" s="408">
        <v>0.80300000000000005</v>
      </c>
      <c r="V128" s="408">
        <v>0</v>
      </c>
      <c r="W128" s="408">
        <v>2.2999999999999998</v>
      </c>
      <c r="X128" s="408">
        <v>2.2999999999999998</v>
      </c>
      <c r="Y128" s="408">
        <v>4.0999999999999996</v>
      </c>
      <c r="Z128" s="408">
        <v>1</v>
      </c>
      <c r="AA128" s="408">
        <v>0.3</v>
      </c>
      <c r="AB128" s="408">
        <v>1.5</v>
      </c>
      <c r="AC128" s="408">
        <v>2</v>
      </c>
      <c r="AD128" s="408">
        <v>17.100000000000001</v>
      </c>
    </row>
    <row r="129" spans="1:30">
      <c r="A129">
        <v>105</v>
      </c>
      <c r="B129" s="1" t="s">
        <v>154</v>
      </c>
      <c r="C129" s="5" t="s">
        <v>26</v>
      </c>
      <c r="D129" s="408">
        <v>25</v>
      </c>
      <c r="E129" s="5" t="s">
        <v>96</v>
      </c>
      <c r="F129" s="408">
        <v>70</v>
      </c>
      <c r="G129" s="408">
        <v>5</v>
      </c>
      <c r="H129" s="408">
        <v>18.399999999999999</v>
      </c>
      <c r="I129" s="408">
        <v>2.1</v>
      </c>
      <c r="J129" s="408">
        <v>4.9000000000000004</v>
      </c>
      <c r="K129" s="408">
        <v>0.434</v>
      </c>
      <c r="L129" s="408">
        <v>0.9</v>
      </c>
      <c r="M129" s="408">
        <v>2.6</v>
      </c>
      <c r="N129" s="5">
        <v>0.36099999999999999</v>
      </c>
      <c r="O129" s="408">
        <v>1.2</v>
      </c>
      <c r="P129" s="408">
        <v>2.2999999999999998</v>
      </c>
      <c r="Q129" s="408">
        <v>0.51500000000000001</v>
      </c>
      <c r="R129" s="408">
        <v>0.52900000000000003</v>
      </c>
      <c r="S129" s="408">
        <v>0.5</v>
      </c>
      <c r="T129" s="408">
        <v>0.6</v>
      </c>
      <c r="U129" s="408">
        <v>0.85399999999999998</v>
      </c>
      <c r="V129" s="408">
        <v>0.4</v>
      </c>
      <c r="W129" s="408">
        <v>1.5</v>
      </c>
      <c r="X129" s="408">
        <v>1.9</v>
      </c>
      <c r="Y129" s="408">
        <v>1.2</v>
      </c>
      <c r="Z129" s="408">
        <v>0.3</v>
      </c>
      <c r="AA129" s="408">
        <v>0.3</v>
      </c>
      <c r="AB129" s="408">
        <v>0.5</v>
      </c>
      <c r="AC129" s="408">
        <v>1.4</v>
      </c>
      <c r="AD129" s="408">
        <v>5.7</v>
      </c>
    </row>
    <row r="130" spans="1:30">
      <c r="A130">
        <v>106</v>
      </c>
      <c r="B130" s="1" t="s">
        <v>515</v>
      </c>
      <c r="C130" s="5" t="s">
        <v>20</v>
      </c>
      <c r="D130" s="408">
        <v>24</v>
      </c>
      <c r="E130" s="5" t="s">
        <v>73</v>
      </c>
      <c r="F130" s="408">
        <v>22</v>
      </c>
      <c r="G130" s="408">
        <v>8</v>
      </c>
      <c r="H130" s="408">
        <v>16.5</v>
      </c>
      <c r="I130" s="408">
        <v>2.6</v>
      </c>
      <c r="J130" s="408">
        <v>5.5</v>
      </c>
      <c r="K130" s="408">
        <v>0.47499999999999998</v>
      </c>
      <c r="L130" s="408">
        <v>1</v>
      </c>
      <c r="M130" s="408">
        <v>2.4</v>
      </c>
      <c r="N130" s="5">
        <v>0.39600000000000002</v>
      </c>
      <c r="O130" s="408">
        <v>1.6</v>
      </c>
      <c r="P130" s="408">
        <v>3</v>
      </c>
      <c r="Q130" s="408">
        <v>0.53700000000000003</v>
      </c>
      <c r="R130" s="408">
        <v>0.56299999999999994</v>
      </c>
      <c r="S130" s="408">
        <v>0.5</v>
      </c>
      <c r="T130" s="408">
        <v>0.5</v>
      </c>
      <c r="U130" s="408">
        <v>0.83299999999999996</v>
      </c>
      <c r="V130" s="408">
        <v>0.2</v>
      </c>
      <c r="W130" s="408">
        <v>1.5</v>
      </c>
      <c r="X130" s="408">
        <v>1.6</v>
      </c>
      <c r="Y130" s="408">
        <v>1.5</v>
      </c>
      <c r="Z130" s="408">
        <v>0.2</v>
      </c>
      <c r="AA130" s="408">
        <v>0</v>
      </c>
      <c r="AB130" s="408">
        <v>0.8</v>
      </c>
      <c r="AC130" s="408">
        <v>1.4</v>
      </c>
      <c r="AD130" s="408">
        <v>6.6</v>
      </c>
    </row>
    <row r="131" spans="1:30">
      <c r="A131">
        <v>107</v>
      </c>
      <c r="B131" s="1" t="s">
        <v>600</v>
      </c>
      <c r="C131" s="5" t="s">
        <v>26</v>
      </c>
      <c r="D131" s="408">
        <v>23</v>
      </c>
      <c r="E131" s="5" t="s">
        <v>112</v>
      </c>
      <c r="F131" s="408">
        <v>10</v>
      </c>
      <c r="G131" s="408">
        <v>0</v>
      </c>
      <c r="H131" s="408">
        <v>2.7</v>
      </c>
      <c r="I131" s="408">
        <v>0.2</v>
      </c>
      <c r="J131" s="408">
        <v>1</v>
      </c>
      <c r="K131" s="408">
        <v>0.2</v>
      </c>
      <c r="L131" s="408">
        <v>0.1</v>
      </c>
      <c r="M131" s="408">
        <v>0.6</v>
      </c>
      <c r="N131" s="5">
        <v>0.16700000000000001</v>
      </c>
      <c r="O131" s="408">
        <v>0.1</v>
      </c>
      <c r="P131" s="408">
        <v>0.4</v>
      </c>
      <c r="Q131" s="408">
        <v>0.25</v>
      </c>
      <c r="R131" s="408">
        <v>0.25</v>
      </c>
      <c r="S131" s="408">
        <v>0.1</v>
      </c>
      <c r="T131" s="408">
        <v>0.2</v>
      </c>
      <c r="U131" s="408">
        <v>0.5</v>
      </c>
      <c r="V131" s="408">
        <v>0</v>
      </c>
      <c r="W131" s="408">
        <v>0.1</v>
      </c>
      <c r="X131" s="408">
        <v>0.1</v>
      </c>
      <c r="Y131" s="408">
        <v>0.1</v>
      </c>
      <c r="Z131" s="408">
        <v>0.1</v>
      </c>
      <c r="AA131" s="408">
        <v>0</v>
      </c>
      <c r="AB131" s="408">
        <v>0.1</v>
      </c>
      <c r="AC131" s="408">
        <v>0</v>
      </c>
      <c r="AD131" s="408">
        <v>0.6</v>
      </c>
    </row>
    <row r="132" spans="1:30">
      <c r="A132">
        <v>108</v>
      </c>
      <c r="B132" s="1" t="s">
        <v>306</v>
      </c>
      <c r="C132" s="5" t="s">
        <v>38</v>
      </c>
      <c r="D132" s="408">
        <v>26</v>
      </c>
      <c r="E132" s="5" t="s">
        <v>100</v>
      </c>
      <c r="F132" s="408">
        <v>2</v>
      </c>
      <c r="G132" s="408">
        <v>0</v>
      </c>
      <c r="H132" s="408">
        <v>5</v>
      </c>
      <c r="I132" s="408">
        <v>2</v>
      </c>
      <c r="J132" s="408">
        <v>3.5</v>
      </c>
      <c r="K132" s="408">
        <v>0.57099999999999995</v>
      </c>
      <c r="L132" s="408">
        <v>0</v>
      </c>
      <c r="M132" s="408">
        <v>0</v>
      </c>
      <c r="O132" s="408">
        <v>2</v>
      </c>
      <c r="P132" s="408">
        <v>3.5</v>
      </c>
      <c r="Q132" s="408">
        <v>0.57099999999999995</v>
      </c>
      <c r="R132" s="408">
        <v>0.57099999999999995</v>
      </c>
      <c r="S132" s="408">
        <v>1</v>
      </c>
      <c r="T132" s="408">
        <v>1</v>
      </c>
      <c r="U132" s="408">
        <v>1</v>
      </c>
      <c r="V132" s="408">
        <v>1.5</v>
      </c>
      <c r="W132" s="408">
        <v>0.5</v>
      </c>
      <c r="X132" s="408">
        <v>2</v>
      </c>
      <c r="Y132" s="408">
        <v>1</v>
      </c>
      <c r="Z132" s="408">
        <v>0</v>
      </c>
      <c r="AA132" s="408">
        <v>0</v>
      </c>
      <c r="AB132" s="408">
        <v>0</v>
      </c>
      <c r="AC132" s="408">
        <v>1</v>
      </c>
      <c r="AD132" s="408">
        <v>5</v>
      </c>
    </row>
    <row r="133" spans="1:30">
      <c r="A133">
        <v>109</v>
      </c>
      <c r="B133" s="1" t="s">
        <v>626</v>
      </c>
      <c r="C133" s="5" t="s">
        <v>83</v>
      </c>
      <c r="D133" s="408">
        <v>24</v>
      </c>
      <c r="E133" s="5" t="s">
        <v>140</v>
      </c>
      <c r="F133" s="408">
        <v>4</v>
      </c>
      <c r="G133" s="408">
        <v>0</v>
      </c>
      <c r="H133" s="408">
        <v>8</v>
      </c>
      <c r="I133" s="408">
        <v>0.5</v>
      </c>
      <c r="J133" s="408">
        <v>1</v>
      </c>
      <c r="K133" s="408">
        <v>0.5</v>
      </c>
      <c r="L133" s="408">
        <v>0</v>
      </c>
      <c r="M133" s="408">
        <v>0</v>
      </c>
      <c r="O133" s="408">
        <v>0.5</v>
      </c>
      <c r="P133" s="408">
        <v>1</v>
      </c>
      <c r="Q133" s="408">
        <v>0.5</v>
      </c>
      <c r="R133" s="408">
        <v>0.5</v>
      </c>
      <c r="S133" s="408">
        <v>0</v>
      </c>
      <c r="T133" s="408">
        <v>0</v>
      </c>
      <c r="U133" s="408"/>
      <c r="V133" s="408">
        <v>0.3</v>
      </c>
      <c r="W133" s="408">
        <v>2</v>
      </c>
      <c r="X133" s="408">
        <v>2.2999999999999998</v>
      </c>
      <c r="Y133" s="408">
        <v>0.5</v>
      </c>
      <c r="Z133" s="408">
        <v>0.5</v>
      </c>
      <c r="AA133" s="408">
        <v>0.5</v>
      </c>
      <c r="AB133" s="408">
        <v>0.3</v>
      </c>
      <c r="AC133" s="408">
        <v>1.8</v>
      </c>
      <c r="AD133" s="408">
        <v>1</v>
      </c>
    </row>
    <row r="134" spans="1:30">
      <c r="A134">
        <v>110</v>
      </c>
      <c r="B134" s="1" t="s">
        <v>245</v>
      </c>
      <c r="C134" s="5" t="s">
        <v>83</v>
      </c>
      <c r="D134" s="408">
        <v>27</v>
      </c>
      <c r="E134" s="5" t="s">
        <v>112</v>
      </c>
      <c r="F134" s="408">
        <v>48</v>
      </c>
      <c r="G134" s="408">
        <v>48</v>
      </c>
      <c r="H134" s="408">
        <v>36.200000000000003</v>
      </c>
      <c r="I134" s="408">
        <v>8.5</v>
      </c>
      <c r="J134" s="408">
        <v>18</v>
      </c>
      <c r="K134" s="408">
        <v>0.47</v>
      </c>
      <c r="L134" s="408">
        <v>2.2000000000000002</v>
      </c>
      <c r="M134" s="408">
        <v>6.1</v>
      </c>
      <c r="N134" s="5">
        <v>0.35399999999999998</v>
      </c>
      <c r="O134" s="408">
        <v>6.3</v>
      </c>
      <c r="P134" s="408">
        <v>11.9</v>
      </c>
      <c r="Q134" s="408">
        <v>0.53</v>
      </c>
      <c r="R134" s="408">
        <v>0.53</v>
      </c>
      <c r="S134" s="408">
        <v>6.1</v>
      </c>
      <c r="T134" s="408">
        <v>8.1999999999999993</v>
      </c>
      <c r="U134" s="408">
        <v>0.746</v>
      </c>
      <c r="V134" s="408">
        <v>2.2000000000000002</v>
      </c>
      <c r="W134" s="408">
        <v>10.7</v>
      </c>
      <c r="X134" s="408">
        <v>12.9</v>
      </c>
      <c r="Y134" s="408">
        <v>5.4</v>
      </c>
      <c r="Z134" s="408">
        <v>1.6</v>
      </c>
      <c r="AA134" s="408">
        <v>1.6</v>
      </c>
      <c r="AB134" s="408">
        <v>5</v>
      </c>
      <c r="AC134" s="408">
        <v>3.8</v>
      </c>
      <c r="AD134" s="408">
        <v>25.2</v>
      </c>
    </row>
    <row r="135" spans="1:30">
      <c r="A135">
        <v>111</v>
      </c>
      <c r="B135" s="1" t="s">
        <v>296</v>
      </c>
      <c r="C135" s="5" t="s">
        <v>38</v>
      </c>
      <c r="D135" s="408">
        <v>27</v>
      </c>
      <c r="E135" s="5" t="s">
        <v>118</v>
      </c>
      <c r="F135" s="408">
        <v>67</v>
      </c>
      <c r="G135" s="408">
        <v>67</v>
      </c>
      <c r="H135" s="408">
        <v>32.1</v>
      </c>
      <c r="I135" s="408">
        <v>4.3</v>
      </c>
      <c r="J135" s="408">
        <v>10.4</v>
      </c>
      <c r="K135" s="408">
        <v>0.41</v>
      </c>
      <c r="L135" s="408">
        <v>2.6</v>
      </c>
      <c r="M135" s="408">
        <v>6.9</v>
      </c>
      <c r="N135" s="5">
        <v>0.374</v>
      </c>
      <c r="O135" s="408">
        <v>1.7</v>
      </c>
      <c r="P135" s="408">
        <v>3.5</v>
      </c>
      <c r="Q135" s="408">
        <v>0.48099999999999998</v>
      </c>
      <c r="R135" s="408">
        <v>0.53400000000000003</v>
      </c>
      <c r="S135" s="408">
        <v>1.5</v>
      </c>
      <c r="T135" s="408">
        <v>1.8</v>
      </c>
      <c r="U135" s="408">
        <v>0.84399999999999997</v>
      </c>
      <c r="V135" s="408">
        <v>0.7</v>
      </c>
      <c r="W135" s="408">
        <v>4.7</v>
      </c>
      <c r="X135" s="408">
        <v>5.5</v>
      </c>
      <c r="Y135" s="408">
        <v>1.9</v>
      </c>
      <c r="Z135" s="408">
        <v>1.5</v>
      </c>
      <c r="AA135" s="408">
        <v>0.8</v>
      </c>
      <c r="AB135" s="408">
        <v>1.6</v>
      </c>
      <c r="AC135" s="408">
        <v>3</v>
      </c>
      <c r="AD135" s="408">
        <v>12.6</v>
      </c>
    </row>
    <row r="136" spans="1:30">
      <c r="A136">
        <v>112</v>
      </c>
      <c r="B136" s="1" t="s">
        <v>314</v>
      </c>
      <c r="C136" s="5" t="s">
        <v>26</v>
      </c>
      <c r="D136" s="408">
        <v>25</v>
      </c>
      <c r="E136" s="5" t="s">
        <v>315</v>
      </c>
      <c r="F136" s="408">
        <v>65</v>
      </c>
      <c r="G136" s="408">
        <v>58</v>
      </c>
      <c r="H136" s="408">
        <v>29.5</v>
      </c>
      <c r="I136" s="408">
        <v>4.4000000000000004</v>
      </c>
      <c r="J136" s="408">
        <v>11</v>
      </c>
      <c r="K136" s="408">
        <v>0.39700000000000002</v>
      </c>
      <c r="L136" s="408">
        <v>2.6</v>
      </c>
      <c r="M136" s="408">
        <v>7</v>
      </c>
      <c r="N136" s="5">
        <v>0.36499999999999999</v>
      </c>
      <c r="O136" s="408">
        <v>1.8</v>
      </c>
      <c r="P136" s="408">
        <v>4</v>
      </c>
      <c r="Q136" s="408">
        <v>0.45400000000000001</v>
      </c>
      <c r="R136" s="408">
        <v>0.51300000000000001</v>
      </c>
      <c r="S136" s="408">
        <v>1.4</v>
      </c>
      <c r="T136" s="408">
        <v>1.7</v>
      </c>
      <c r="U136" s="408">
        <v>0.85299999999999998</v>
      </c>
      <c r="V136" s="408">
        <v>0.4</v>
      </c>
      <c r="W136" s="408">
        <v>4</v>
      </c>
      <c r="X136" s="408">
        <v>4.4000000000000004</v>
      </c>
      <c r="Y136" s="408">
        <v>1.5</v>
      </c>
      <c r="Z136" s="408">
        <v>0.6</v>
      </c>
      <c r="AA136" s="408">
        <v>0.4</v>
      </c>
      <c r="AB136" s="408">
        <v>1.1000000000000001</v>
      </c>
      <c r="AC136" s="408">
        <v>2.2000000000000002</v>
      </c>
      <c r="AD136" s="408">
        <v>12.8</v>
      </c>
    </row>
    <row r="137" spans="1:30">
      <c r="A137">
        <v>113</v>
      </c>
      <c r="B137" s="1" t="s">
        <v>502</v>
      </c>
      <c r="C137" s="5" t="s">
        <v>46</v>
      </c>
      <c r="D137" s="408">
        <v>27</v>
      </c>
      <c r="E137" s="5" t="s">
        <v>61</v>
      </c>
      <c r="F137" s="408">
        <v>28</v>
      </c>
      <c r="G137" s="408">
        <v>4</v>
      </c>
      <c r="H137" s="408">
        <v>16.600000000000001</v>
      </c>
      <c r="I137" s="408">
        <v>1.7</v>
      </c>
      <c r="J137" s="408">
        <v>3.6</v>
      </c>
      <c r="K137" s="408">
        <v>0.46100000000000002</v>
      </c>
      <c r="L137" s="408">
        <v>0.5</v>
      </c>
      <c r="M137" s="408">
        <v>1.5</v>
      </c>
      <c r="N137" s="5">
        <v>0.31</v>
      </c>
      <c r="O137" s="408">
        <v>1.2</v>
      </c>
      <c r="P137" s="408">
        <v>2.1</v>
      </c>
      <c r="Q137" s="408">
        <v>0.56699999999999995</v>
      </c>
      <c r="R137" s="408">
        <v>0.52500000000000002</v>
      </c>
      <c r="S137" s="408">
        <v>0.7</v>
      </c>
      <c r="T137" s="408">
        <v>1</v>
      </c>
      <c r="U137" s="408">
        <v>0.65500000000000003</v>
      </c>
      <c r="V137" s="408">
        <v>1</v>
      </c>
      <c r="W137" s="408">
        <v>2.1</v>
      </c>
      <c r="X137" s="408">
        <v>3.1</v>
      </c>
      <c r="Y137" s="408">
        <v>0.6</v>
      </c>
      <c r="Z137" s="408">
        <v>0.3</v>
      </c>
      <c r="AA137" s="408">
        <v>0.3</v>
      </c>
      <c r="AB137" s="408">
        <v>0.4</v>
      </c>
      <c r="AC137" s="408">
        <v>1.5</v>
      </c>
      <c r="AD137" s="408">
        <v>4.5</v>
      </c>
    </row>
    <row r="138" spans="1:30">
      <c r="A138">
        <v>114</v>
      </c>
      <c r="B138" s="1" t="s">
        <v>7</v>
      </c>
      <c r="C138" s="5" t="s">
        <v>26</v>
      </c>
      <c r="D138" s="408">
        <v>37</v>
      </c>
      <c r="E138" s="5" t="s">
        <v>56</v>
      </c>
      <c r="F138" s="408">
        <v>69</v>
      </c>
      <c r="G138" s="408">
        <v>0</v>
      </c>
      <c r="H138" s="408">
        <v>19.899999999999999</v>
      </c>
      <c r="I138" s="408">
        <v>3.8</v>
      </c>
      <c r="J138" s="408">
        <v>9.1</v>
      </c>
      <c r="K138" s="408">
        <v>0.42</v>
      </c>
      <c r="L138" s="408">
        <v>1.3</v>
      </c>
      <c r="M138" s="408">
        <v>3.9</v>
      </c>
      <c r="N138" s="5">
        <v>0.34</v>
      </c>
      <c r="O138" s="408">
        <v>2.5</v>
      </c>
      <c r="P138" s="408">
        <v>5.2</v>
      </c>
      <c r="Q138" s="408">
        <v>0.47899999999999998</v>
      </c>
      <c r="R138" s="408">
        <v>0.49199999999999999</v>
      </c>
      <c r="S138" s="408">
        <v>1.3</v>
      </c>
      <c r="T138" s="408">
        <v>1.4</v>
      </c>
      <c r="U138" s="408">
        <v>0.89800000000000002</v>
      </c>
      <c r="V138" s="408">
        <v>0.2</v>
      </c>
      <c r="W138" s="408">
        <v>0.9</v>
      </c>
      <c r="X138" s="408">
        <v>1.1000000000000001</v>
      </c>
      <c r="Y138" s="408">
        <v>2.2999999999999998</v>
      </c>
      <c r="Z138" s="408">
        <v>0.5</v>
      </c>
      <c r="AA138" s="408">
        <v>0.1</v>
      </c>
      <c r="AB138" s="408">
        <v>1.1000000000000001</v>
      </c>
      <c r="AC138" s="408">
        <v>1.1000000000000001</v>
      </c>
      <c r="AD138" s="408">
        <v>10.199999999999999</v>
      </c>
    </row>
    <row r="139" spans="1:30">
      <c r="A139">
        <v>115</v>
      </c>
      <c r="B139" s="1" t="s">
        <v>454</v>
      </c>
      <c r="C139" s="5" t="s">
        <v>26</v>
      </c>
      <c r="D139" s="408">
        <v>29</v>
      </c>
      <c r="E139" s="5" t="s">
        <v>112</v>
      </c>
      <c r="F139" s="408">
        <v>2</v>
      </c>
      <c r="G139" s="408">
        <v>0</v>
      </c>
      <c r="H139" s="408">
        <v>18.5</v>
      </c>
      <c r="I139" s="408">
        <v>3.5</v>
      </c>
      <c r="J139" s="408">
        <v>7</v>
      </c>
      <c r="K139" s="408">
        <v>0.5</v>
      </c>
      <c r="L139" s="408">
        <v>2</v>
      </c>
      <c r="M139" s="408">
        <v>2.5</v>
      </c>
      <c r="N139" s="5">
        <v>0.8</v>
      </c>
      <c r="O139" s="408">
        <v>1.5</v>
      </c>
      <c r="P139" s="408">
        <v>4.5</v>
      </c>
      <c r="Q139" s="408">
        <v>0.33300000000000002</v>
      </c>
      <c r="R139" s="408">
        <v>0.64300000000000002</v>
      </c>
      <c r="S139" s="408">
        <v>0</v>
      </c>
      <c r="T139" s="408">
        <v>0</v>
      </c>
      <c r="U139" s="408"/>
      <c r="V139" s="408">
        <v>1</v>
      </c>
      <c r="W139" s="408">
        <v>0.5</v>
      </c>
      <c r="X139" s="408">
        <v>1.5</v>
      </c>
      <c r="Y139" s="408">
        <v>4.5</v>
      </c>
      <c r="Z139" s="408">
        <v>0</v>
      </c>
      <c r="AA139" s="408">
        <v>0.5</v>
      </c>
      <c r="AB139" s="408">
        <v>2</v>
      </c>
      <c r="AC139" s="408">
        <v>3</v>
      </c>
      <c r="AD139" s="408">
        <v>9</v>
      </c>
    </row>
    <row r="140" spans="1:30">
      <c r="A140">
        <v>116</v>
      </c>
      <c r="B140" s="1" t="s">
        <v>398</v>
      </c>
      <c r="C140" s="5" t="s">
        <v>46</v>
      </c>
      <c r="D140" s="408">
        <v>27</v>
      </c>
      <c r="E140" s="5" t="s">
        <v>357</v>
      </c>
      <c r="F140" s="408">
        <v>68</v>
      </c>
      <c r="G140" s="408">
        <v>47</v>
      </c>
      <c r="H140" s="408">
        <v>26.1</v>
      </c>
      <c r="I140" s="408">
        <v>3.3</v>
      </c>
      <c r="J140" s="408">
        <v>8</v>
      </c>
      <c r="K140" s="408">
        <v>0.40899999999999997</v>
      </c>
      <c r="L140" s="408">
        <v>1.4</v>
      </c>
      <c r="M140" s="408">
        <v>4.0999999999999996</v>
      </c>
      <c r="N140" s="5">
        <v>0.33100000000000002</v>
      </c>
      <c r="O140" s="408">
        <v>1.9</v>
      </c>
      <c r="P140" s="408">
        <v>3.9</v>
      </c>
      <c r="Q140" s="408">
        <v>0.49099999999999999</v>
      </c>
      <c r="R140" s="408">
        <v>0.49399999999999999</v>
      </c>
      <c r="S140" s="408">
        <v>1.6</v>
      </c>
      <c r="T140" s="408">
        <v>2</v>
      </c>
      <c r="U140" s="408">
        <v>0.82099999999999995</v>
      </c>
      <c r="V140" s="408">
        <v>0.7</v>
      </c>
      <c r="W140" s="408">
        <v>2.7</v>
      </c>
      <c r="X140" s="408">
        <v>3.4</v>
      </c>
      <c r="Y140" s="408">
        <v>1.2</v>
      </c>
      <c r="Z140" s="408">
        <v>0.8</v>
      </c>
      <c r="AA140" s="408">
        <v>0.3</v>
      </c>
      <c r="AB140" s="408">
        <v>0.9</v>
      </c>
      <c r="AC140" s="408">
        <v>2.2999999999999998</v>
      </c>
      <c r="AD140" s="408">
        <v>9.5</v>
      </c>
    </row>
    <row r="141" spans="1:30">
      <c r="A141">
        <v>116</v>
      </c>
      <c r="B141" s="1" t="s">
        <v>398</v>
      </c>
      <c r="C141" s="5" t="s">
        <v>46</v>
      </c>
      <c r="D141" s="408">
        <v>27</v>
      </c>
      <c r="E141" s="5" t="s">
        <v>102</v>
      </c>
      <c r="F141" s="408">
        <v>53</v>
      </c>
      <c r="G141" s="408">
        <v>47</v>
      </c>
      <c r="H141" s="408">
        <v>25.4</v>
      </c>
      <c r="I141" s="408">
        <v>3</v>
      </c>
      <c r="J141" s="408">
        <v>7.1</v>
      </c>
      <c r="K141" s="408">
        <v>0.41799999999999998</v>
      </c>
      <c r="L141" s="408">
        <v>1.2</v>
      </c>
      <c r="M141" s="408">
        <v>3.6</v>
      </c>
      <c r="N141" s="5">
        <v>0.32800000000000001</v>
      </c>
      <c r="O141" s="408">
        <v>1.8</v>
      </c>
      <c r="P141" s="408">
        <v>3.5</v>
      </c>
      <c r="Q141" s="408">
        <v>0.50800000000000001</v>
      </c>
      <c r="R141" s="408">
        <v>0.5</v>
      </c>
      <c r="S141" s="408">
        <v>1.5</v>
      </c>
      <c r="T141" s="408">
        <v>1.7</v>
      </c>
      <c r="U141" s="408">
        <v>0.84799999999999998</v>
      </c>
      <c r="V141" s="408">
        <v>0.8</v>
      </c>
      <c r="W141" s="408">
        <v>2.5</v>
      </c>
      <c r="X141" s="408">
        <v>3.3</v>
      </c>
      <c r="Y141" s="408">
        <v>1.1000000000000001</v>
      </c>
      <c r="Z141" s="408">
        <v>0.8</v>
      </c>
      <c r="AA141" s="408">
        <v>0.2</v>
      </c>
      <c r="AB141" s="408">
        <v>0.8</v>
      </c>
      <c r="AC141" s="408">
        <v>2.2999999999999998</v>
      </c>
      <c r="AD141" s="408">
        <v>8.6</v>
      </c>
    </row>
    <row r="142" spans="1:30">
      <c r="A142">
        <v>116</v>
      </c>
      <c r="B142" s="1" t="s">
        <v>398</v>
      </c>
      <c r="C142" s="5" t="s">
        <v>46</v>
      </c>
      <c r="D142" s="408">
        <v>27</v>
      </c>
      <c r="E142" s="5" t="s">
        <v>305</v>
      </c>
      <c r="F142" s="408">
        <v>15</v>
      </c>
      <c r="G142" s="408">
        <v>0</v>
      </c>
      <c r="H142" s="408">
        <v>28.8</v>
      </c>
      <c r="I142" s="408">
        <v>4.4000000000000004</v>
      </c>
      <c r="J142" s="408">
        <v>11.3</v>
      </c>
      <c r="K142" s="408">
        <v>0.39100000000000001</v>
      </c>
      <c r="L142" s="408">
        <v>2</v>
      </c>
      <c r="M142" s="408">
        <v>5.9</v>
      </c>
      <c r="N142" s="5">
        <v>0.33700000000000002</v>
      </c>
      <c r="O142" s="408">
        <v>2.4</v>
      </c>
      <c r="P142" s="408">
        <v>5.3</v>
      </c>
      <c r="Q142" s="408">
        <v>0.45</v>
      </c>
      <c r="R142" s="408">
        <v>0.47899999999999998</v>
      </c>
      <c r="S142" s="408">
        <v>2.1</v>
      </c>
      <c r="T142" s="408">
        <v>2.8</v>
      </c>
      <c r="U142" s="408">
        <v>0.76200000000000001</v>
      </c>
      <c r="V142" s="408">
        <v>0.4</v>
      </c>
      <c r="W142" s="408">
        <v>3.5</v>
      </c>
      <c r="X142" s="408">
        <v>3.9</v>
      </c>
      <c r="Y142" s="408">
        <v>1.7</v>
      </c>
      <c r="Z142" s="408">
        <v>0.7</v>
      </c>
      <c r="AA142" s="408">
        <v>0.3</v>
      </c>
      <c r="AB142" s="408">
        <v>1.3</v>
      </c>
      <c r="AC142" s="408">
        <v>2.1</v>
      </c>
      <c r="AD142" s="408">
        <v>12.9</v>
      </c>
    </row>
    <row r="143" spans="1:30">
      <c r="A143">
        <v>117</v>
      </c>
      <c r="B143" s="1" t="s">
        <v>131</v>
      </c>
      <c r="C143" s="5" t="s">
        <v>46</v>
      </c>
      <c r="D143" s="408">
        <v>30</v>
      </c>
      <c r="E143" s="5" t="s">
        <v>357</v>
      </c>
      <c r="F143" s="408">
        <v>64</v>
      </c>
      <c r="G143" s="408">
        <v>25</v>
      </c>
      <c r="H143" s="408">
        <v>21.6</v>
      </c>
      <c r="I143" s="408">
        <v>2.1</v>
      </c>
      <c r="J143" s="408">
        <v>4.7</v>
      </c>
      <c r="K143" s="408">
        <v>0.45400000000000001</v>
      </c>
      <c r="L143" s="408">
        <v>0.8</v>
      </c>
      <c r="M143" s="408">
        <v>2.2000000000000002</v>
      </c>
      <c r="N143" s="5">
        <v>0.36</v>
      </c>
      <c r="O143" s="408">
        <v>1.4</v>
      </c>
      <c r="P143" s="408">
        <v>2.5</v>
      </c>
      <c r="Q143" s="408">
        <v>0.53400000000000003</v>
      </c>
      <c r="R143" s="408">
        <v>0.53600000000000003</v>
      </c>
      <c r="S143" s="408">
        <v>0.4</v>
      </c>
      <c r="T143" s="408">
        <v>0.7</v>
      </c>
      <c r="U143" s="408">
        <v>0.59599999999999997</v>
      </c>
      <c r="V143" s="408">
        <v>1</v>
      </c>
      <c r="W143" s="408">
        <v>3</v>
      </c>
      <c r="X143" s="408">
        <v>4</v>
      </c>
      <c r="Y143" s="408">
        <v>0.6</v>
      </c>
      <c r="Z143" s="408">
        <v>0.6</v>
      </c>
      <c r="AA143" s="408">
        <v>0.3</v>
      </c>
      <c r="AB143" s="408">
        <v>0.4</v>
      </c>
      <c r="AC143" s="408">
        <v>1.5</v>
      </c>
      <c r="AD143" s="408">
        <v>5.5</v>
      </c>
    </row>
    <row r="144" spans="1:30">
      <c r="A144">
        <v>117</v>
      </c>
      <c r="B144" s="1" t="s">
        <v>131</v>
      </c>
      <c r="C144" s="5" t="s">
        <v>46</v>
      </c>
      <c r="D144" s="408">
        <v>30</v>
      </c>
      <c r="E144" s="5" t="s">
        <v>112</v>
      </c>
      <c r="F144" s="408">
        <v>51</v>
      </c>
      <c r="G144" s="408">
        <v>24</v>
      </c>
      <c r="H144" s="408">
        <v>21.9</v>
      </c>
      <c r="I144" s="408">
        <v>1.9</v>
      </c>
      <c r="J144" s="408">
        <v>4.4000000000000004</v>
      </c>
      <c r="K144" s="408">
        <v>0.44</v>
      </c>
      <c r="L144" s="408">
        <v>0.7</v>
      </c>
      <c r="M144" s="408">
        <v>2.1</v>
      </c>
      <c r="N144" s="5">
        <v>0.32400000000000001</v>
      </c>
      <c r="O144" s="408">
        <v>1.3</v>
      </c>
      <c r="P144" s="408">
        <v>2.2999999999999998</v>
      </c>
      <c r="Q144" s="408">
        <v>0.54700000000000004</v>
      </c>
      <c r="R144" s="408">
        <v>0.51800000000000002</v>
      </c>
      <c r="S144" s="408">
        <v>0.4</v>
      </c>
      <c r="T144" s="408">
        <v>0.7</v>
      </c>
      <c r="U144" s="408">
        <v>0.55600000000000005</v>
      </c>
      <c r="V144" s="408">
        <v>1</v>
      </c>
      <c r="W144" s="408">
        <v>2.8</v>
      </c>
      <c r="X144" s="408">
        <v>3.8</v>
      </c>
      <c r="Y144" s="408">
        <v>0.5</v>
      </c>
      <c r="Z144" s="408">
        <v>0.5</v>
      </c>
      <c r="AA144" s="408">
        <v>0.3</v>
      </c>
      <c r="AB144" s="408">
        <v>0.3</v>
      </c>
      <c r="AC144" s="408">
        <v>1.5</v>
      </c>
      <c r="AD144" s="408">
        <v>5</v>
      </c>
    </row>
    <row r="145" spans="1:30">
      <c r="A145">
        <v>117</v>
      </c>
      <c r="B145" s="1" t="s">
        <v>131</v>
      </c>
      <c r="C145" s="5" t="s">
        <v>46</v>
      </c>
      <c r="D145" s="408">
        <v>30</v>
      </c>
      <c r="E145" s="5" t="s">
        <v>315</v>
      </c>
      <c r="F145" s="408">
        <v>13</v>
      </c>
      <c r="G145" s="408">
        <v>1</v>
      </c>
      <c r="H145" s="408">
        <v>20.7</v>
      </c>
      <c r="I145" s="408">
        <v>2.9</v>
      </c>
      <c r="J145" s="408">
        <v>5.9</v>
      </c>
      <c r="K145" s="408">
        <v>0.49399999999999999</v>
      </c>
      <c r="L145" s="408">
        <v>1.2</v>
      </c>
      <c r="M145" s="408">
        <v>2.4</v>
      </c>
      <c r="N145" s="5">
        <v>0.48399999999999999</v>
      </c>
      <c r="O145" s="408">
        <v>1.8</v>
      </c>
      <c r="P145" s="408">
        <v>3.5</v>
      </c>
      <c r="Q145" s="408">
        <v>0.5</v>
      </c>
      <c r="R145" s="408">
        <v>0.59099999999999997</v>
      </c>
      <c r="S145" s="408">
        <v>0.6</v>
      </c>
      <c r="T145" s="408">
        <v>0.8</v>
      </c>
      <c r="U145" s="408">
        <v>0.72699999999999998</v>
      </c>
      <c r="V145" s="408">
        <v>1.3</v>
      </c>
      <c r="W145" s="408">
        <v>3.6</v>
      </c>
      <c r="X145" s="408">
        <v>4.9000000000000004</v>
      </c>
      <c r="Y145" s="408">
        <v>1.1000000000000001</v>
      </c>
      <c r="Z145" s="408">
        <v>0.8</v>
      </c>
      <c r="AA145" s="408">
        <v>0.5</v>
      </c>
      <c r="AB145" s="408">
        <v>0.9</v>
      </c>
      <c r="AC145" s="408">
        <v>1.6</v>
      </c>
      <c r="AD145" s="408">
        <v>7.6</v>
      </c>
    </row>
    <row r="146" spans="1:30">
      <c r="A146">
        <v>118</v>
      </c>
      <c r="B146" s="1" t="s">
        <v>288</v>
      </c>
      <c r="C146" s="5" t="s">
        <v>20</v>
      </c>
      <c r="D146" s="408">
        <v>29</v>
      </c>
      <c r="E146" s="5" t="s">
        <v>73</v>
      </c>
      <c r="F146" s="408">
        <v>50</v>
      </c>
      <c r="G146" s="408">
        <v>50</v>
      </c>
      <c r="H146" s="408">
        <v>32.1</v>
      </c>
      <c r="I146" s="408">
        <v>8.4</v>
      </c>
      <c r="J146" s="408">
        <v>16.899999999999999</v>
      </c>
      <c r="K146" s="408">
        <v>0.49399999999999999</v>
      </c>
      <c r="L146" s="408">
        <v>4.2</v>
      </c>
      <c r="M146" s="408">
        <v>9.9</v>
      </c>
      <c r="N146" s="5">
        <v>0.42399999999999999</v>
      </c>
      <c r="O146" s="408">
        <v>4.2</v>
      </c>
      <c r="P146" s="408">
        <v>7.1</v>
      </c>
      <c r="Q146" s="408">
        <v>0.59199999999999997</v>
      </c>
      <c r="R146" s="408">
        <v>0.61799999999999999</v>
      </c>
      <c r="S146" s="408">
        <v>5.4</v>
      </c>
      <c r="T146" s="408">
        <v>5.9</v>
      </c>
      <c r="U146" s="408">
        <v>0.91900000000000004</v>
      </c>
      <c r="V146" s="408">
        <v>0.7</v>
      </c>
      <c r="W146" s="408">
        <v>4.4000000000000004</v>
      </c>
      <c r="X146" s="408">
        <v>5.0999999999999996</v>
      </c>
      <c r="Y146" s="408">
        <v>6.2</v>
      </c>
      <c r="Z146" s="408">
        <v>1.6</v>
      </c>
      <c r="AA146" s="408">
        <v>0.1</v>
      </c>
      <c r="AB146" s="408">
        <v>3</v>
      </c>
      <c r="AC146" s="408">
        <v>2.2999999999999998</v>
      </c>
      <c r="AD146" s="408">
        <v>26.3</v>
      </c>
    </row>
    <row r="147" spans="1:30">
      <c r="A147">
        <v>119</v>
      </c>
      <c r="B147" s="1" t="s">
        <v>348</v>
      </c>
      <c r="C147" s="5" t="s">
        <v>26</v>
      </c>
      <c r="D147" s="408">
        <v>26</v>
      </c>
      <c r="E147" s="5" t="s">
        <v>313</v>
      </c>
      <c r="F147" s="408">
        <v>70</v>
      </c>
      <c r="G147" s="408">
        <v>6</v>
      </c>
      <c r="H147" s="408">
        <v>19.8</v>
      </c>
      <c r="I147" s="408">
        <v>2.8</v>
      </c>
      <c r="J147" s="408">
        <v>6.9</v>
      </c>
      <c r="K147" s="408">
        <v>0.4</v>
      </c>
      <c r="L147" s="408">
        <v>2.2000000000000002</v>
      </c>
      <c r="M147" s="408">
        <v>5.6</v>
      </c>
      <c r="N147" s="5">
        <v>0.39200000000000002</v>
      </c>
      <c r="O147" s="408">
        <v>0.6</v>
      </c>
      <c r="P147" s="408">
        <v>1.4</v>
      </c>
      <c r="Q147" s="408">
        <v>0.432</v>
      </c>
      <c r="R147" s="408">
        <v>0.55800000000000005</v>
      </c>
      <c r="S147" s="408">
        <v>0.7</v>
      </c>
      <c r="T147" s="408">
        <v>0.8</v>
      </c>
      <c r="U147" s="408">
        <v>0.89500000000000002</v>
      </c>
      <c r="V147" s="408">
        <v>0.1</v>
      </c>
      <c r="W147" s="408">
        <v>1.3</v>
      </c>
      <c r="X147" s="408">
        <v>1.4</v>
      </c>
      <c r="Y147" s="408">
        <v>0.7</v>
      </c>
      <c r="Z147" s="408">
        <v>0.3</v>
      </c>
      <c r="AA147" s="408">
        <v>0.1</v>
      </c>
      <c r="AB147" s="408">
        <v>0.7</v>
      </c>
      <c r="AC147" s="408">
        <v>1.8</v>
      </c>
      <c r="AD147" s="408">
        <v>8.5</v>
      </c>
    </row>
    <row r="148" spans="1:30">
      <c r="A148">
        <v>120</v>
      </c>
      <c r="B148" s="1" t="s">
        <v>485</v>
      </c>
      <c r="C148" s="5" t="s">
        <v>38</v>
      </c>
      <c r="D148" s="408">
        <v>24</v>
      </c>
      <c r="E148" s="5" t="s">
        <v>112</v>
      </c>
      <c r="F148" s="408">
        <v>63</v>
      </c>
      <c r="G148" s="408">
        <v>63</v>
      </c>
      <c r="H148" s="408">
        <v>36.5</v>
      </c>
      <c r="I148" s="408">
        <v>10.4</v>
      </c>
      <c r="J148" s="408">
        <v>19.399999999999999</v>
      </c>
      <c r="K148" s="408">
        <v>0.53400000000000003</v>
      </c>
      <c r="L148" s="408">
        <v>0.8</v>
      </c>
      <c r="M148" s="408">
        <v>2.2999999999999998</v>
      </c>
      <c r="N148" s="5">
        <v>0.33300000000000002</v>
      </c>
      <c r="O148" s="408">
        <v>9.6</v>
      </c>
      <c r="P148" s="408">
        <v>17.2</v>
      </c>
      <c r="Q148" s="408">
        <v>0.56100000000000005</v>
      </c>
      <c r="R148" s="408">
        <v>0.55300000000000005</v>
      </c>
      <c r="S148" s="408">
        <v>6.5</v>
      </c>
      <c r="T148" s="408">
        <v>7.8</v>
      </c>
      <c r="U148" s="408">
        <v>0.83099999999999996</v>
      </c>
      <c r="V148" s="408">
        <v>2.6</v>
      </c>
      <c r="W148" s="408">
        <v>8.6</v>
      </c>
      <c r="X148" s="408">
        <v>11.2</v>
      </c>
      <c r="Y148" s="408">
        <v>2.2999999999999998</v>
      </c>
      <c r="Z148" s="408">
        <v>1.5</v>
      </c>
      <c r="AA148" s="408">
        <v>2.4</v>
      </c>
      <c r="AB148" s="408">
        <v>2.2000000000000002</v>
      </c>
      <c r="AC148" s="408">
        <v>2.1</v>
      </c>
      <c r="AD148" s="408">
        <v>28</v>
      </c>
    </row>
    <row r="149" spans="1:30">
      <c r="A149">
        <v>121</v>
      </c>
      <c r="B149" s="1" t="s">
        <v>586</v>
      </c>
      <c r="C149" s="5" t="s">
        <v>83</v>
      </c>
      <c r="D149" s="408">
        <v>21</v>
      </c>
      <c r="E149" s="5" t="s">
        <v>128</v>
      </c>
      <c r="F149" s="408">
        <v>50</v>
      </c>
      <c r="G149" s="408">
        <v>3</v>
      </c>
      <c r="H149" s="408">
        <v>13.9</v>
      </c>
      <c r="I149" s="408">
        <v>2.4</v>
      </c>
      <c r="J149" s="408">
        <v>3.8</v>
      </c>
      <c r="K149" s="408">
        <v>0.628</v>
      </c>
      <c r="L149" s="408">
        <v>0</v>
      </c>
      <c r="M149" s="408">
        <v>0</v>
      </c>
      <c r="O149" s="408">
        <v>2.4</v>
      </c>
      <c r="P149" s="408">
        <v>3.8</v>
      </c>
      <c r="Q149" s="408">
        <v>0.628</v>
      </c>
      <c r="R149" s="408">
        <v>0.628</v>
      </c>
      <c r="S149" s="408">
        <v>0.6</v>
      </c>
      <c r="T149" s="408">
        <v>0.9</v>
      </c>
      <c r="U149" s="408">
        <v>0.71099999999999997</v>
      </c>
      <c r="V149" s="408">
        <v>1.1000000000000001</v>
      </c>
      <c r="W149" s="408">
        <v>2.6</v>
      </c>
      <c r="X149" s="408">
        <v>3.7</v>
      </c>
      <c r="Y149" s="408">
        <v>0.6</v>
      </c>
      <c r="Z149" s="408">
        <v>0.2</v>
      </c>
      <c r="AA149" s="408">
        <v>0.6</v>
      </c>
      <c r="AB149" s="408">
        <v>0.5</v>
      </c>
      <c r="AC149" s="408">
        <v>1.9</v>
      </c>
      <c r="AD149" s="408">
        <v>5.4</v>
      </c>
    </row>
    <row r="150" spans="1:30">
      <c r="A150">
        <v>122</v>
      </c>
      <c r="B150" s="1" t="s">
        <v>136</v>
      </c>
      <c r="C150" s="5" t="s">
        <v>83</v>
      </c>
      <c r="D150" s="408">
        <v>28</v>
      </c>
      <c r="E150" s="5" t="s">
        <v>96</v>
      </c>
      <c r="F150" s="408">
        <v>70</v>
      </c>
      <c r="G150" s="408">
        <v>0</v>
      </c>
      <c r="H150" s="408">
        <v>19.100000000000001</v>
      </c>
      <c r="I150" s="408">
        <v>2.2999999999999998</v>
      </c>
      <c r="J150" s="408">
        <v>3.9</v>
      </c>
      <c r="K150" s="408">
        <v>0.59</v>
      </c>
      <c r="L150" s="408">
        <v>0</v>
      </c>
      <c r="M150" s="408">
        <v>0</v>
      </c>
      <c r="O150" s="408">
        <v>2.2999999999999998</v>
      </c>
      <c r="P150" s="408">
        <v>3.9</v>
      </c>
      <c r="Q150" s="408">
        <v>0.59</v>
      </c>
      <c r="R150" s="408">
        <v>0.59</v>
      </c>
      <c r="S150" s="408">
        <v>1</v>
      </c>
      <c r="T150" s="408">
        <v>1.5</v>
      </c>
      <c r="U150" s="408">
        <v>0.66700000000000004</v>
      </c>
      <c r="V150" s="408">
        <v>2.5</v>
      </c>
      <c r="W150" s="408">
        <v>5.0999999999999996</v>
      </c>
      <c r="X150" s="408">
        <v>7.5</v>
      </c>
      <c r="Y150" s="408">
        <v>0.5</v>
      </c>
      <c r="Z150" s="408">
        <v>0.5</v>
      </c>
      <c r="AA150" s="408">
        <v>0.7</v>
      </c>
      <c r="AB150" s="408">
        <v>0.8</v>
      </c>
      <c r="AC150" s="408">
        <v>2.5</v>
      </c>
      <c r="AD150" s="408">
        <v>5.6</v>
      </c>
    </row>
    <row r="151" spans="1:30">
      <c r="A151">
        <v>123</v>
      </c>
      <c r="B151" s="1" t="s">
        <v>511</v>
      </c>
      <c r="C151" s="5" t="s">
        <v>83</v>
      </c>
      <c r="D151" s="408">
        <v>28</v>
      </c>
      <c r="E151" s="5" t="s">
        <v>149</v>
      </c>
      <c r="F151" s="408">
        <v>51</v>
      </c>
      <c r="G151" s="408">
        <v>35</v>
      </c>
      <c r="H151" s="408">
        <v>24.1</v>
      </c>
      <c r="I151" s="408">
        <v>3.9</v>
      </c>
      <c r="J151" s="408">
        <v>7.2</v>
      </c>
      <c r="K151" s="408">
        <v>0.54200000000000004</v>
      </c>
      <c r="L151" s="408">
        <v>0.8</v>
      </c>
      <c r="M151" s="408">
        <v>2.1</v>
      </c>
      <c r="N151" s="5">
        <v>0.374</v>
      </c>
      <c r="O151" s="408">
        <v>3.1</v>
      </c>
      <c r="P151" s="408">
        <v>5.0999999999999996</v>
      </c>
      <c r="Q151" s="408">
        <v>0.61199999999999999</v>
      </c>
      <c r="R151" s="408">
        <v>0.59699999999999998</v>
      </c>
      <c r="S151" s="408">
        <v>1</v>
      </c>
      <c r="T151" s="408">
        <v>1.3</v>
      </c>
      <c r="U151" s="408">
        <v>0.79100000000000004</v>
      </c>
      <c r="V151" s="408">
        <v>1.6</v>
      </c>
      <c r="W151" s="408">
        <v>5.7</v>
      </c>
      <c r="X151" s="408">
        <v>7.4</v>
      </c>
      <c r="Y151" s="408">
        <v>1.4</v>
      </c>
      <c r="Z151" s="408">
        <v>0.7</v>
      </c>
      <c r="AA151" s="408">
        <v>0.8</v>
      </c>
      <c r="AB151" s="408">
        <v>1.5</v>
      </c>
      <c r="AC151" s="408">
        <v>2.6</v>
      </c>
      <c r="AD151" s="408">
        <v>9.6</v>
      </c>
    </row>
    <row r="152" spans="1:30">
      <c r="A152">
        <v>124</v>
      </c>
      <c r="B152" s="1" t="s">
        <v>516</v>
      </c>
      <c r="C152" s="5" t="s">
        <v>38</v>
      </c>
      <c r="D152" s="408">
        <v>23</v>
      </c>
      <c r="E152" s="5" t="s">
        <v>64</v>
      </c>
      <c r="F152" s="408">
        <v>62</v>
      </c>
      <c r="G152" s="408">
        <v>1</v>
      </c>
      <c r="H152" s="408">
        <v>12.4</v>
      </c>
      <c r="I152" s="408">
        <v>1.7</v>
      </c>
      <c r="J152" s="408">
        <v>3.6</v>
      </c>
      <c r="K152" s="408">
        <v>0.47099999999999997</v>
      </c>
      <c r="L152" s="408">
        <v>0.1</v>
      </c>
      <c r="M152" s="408">
        <v>0.9</v>
      </c>
      <c r="N152" s="5">
        <v>0.155</v>
      </c>
      <c r="O152" s="408">
        <v>1.6</v>
      </c>
      <c r="P152" s="408">
        <v>2.7</v>
      </c>
      <c r="Q152" s="408">
        <v>0.58099999999999996</v>
      </c>
      <c r="R152" s="408">
        <v>0.49099999999999999</v>
      </c>
      <c r="S152" s="408">
        <v>0.5</v>
      </c>
      <c r="T152" s="408">
        <v>0.7</v>
      </c>
      <c r="U152" s="408">
        <v>0.69599999999999995</v>
      </c>
      <c r="V152" s="408">
        <v>0.6</v>
      </c>
      <c r="W152" s="408">
        <v>1.8</v>
      </c>
      <c r="X152" s="408">
        <v>2.4</v>
      </c>
      <c r="Y152" s="408">
        <v>0.5</v>
      </c>
      <c r="Z152" s="408">
        <v>0.4</v>
      </c>
      <c r="AA152" s="408">
        <v>0.1</v>
      </c>
      <c r="AB152" s="408">
        <v>0.5</v>
      </c>
      <c r="AC152" s="408">
        <v>1</v>
      </c>
      <c r="AD152" s="408">
        <v>4.0999999999999996</v>
      </c>
    </row>
    <row r="153" spans="1:30">
      <c r="A153">
        <v>125</v>
      </c>
      <c r="B153" s="1" t="s">
        <v>462</v>
      </c>
      <c r="C153" s="5" t="s">
        <v>20</v>
      </c>
      <c r="D153" s="408">
        <v>28</v>
      </c>
      <c r="E153" s="5" t="s">
        <v>149</v>
      </c>
      <c r="F153" s="408">
        <v>54</v>
      </c>
      <c r="G153" s="408">
        <v>3</v>
      </c>
      <c r="H153" s="408">
        <v>18.8</v>
      </c>
      <c r="I153" s="408">
        <v>2</v>
      </c>
      <c r="J153" s="408">
        <v>5.3</v>
      </c>
      <c r="K153" s="408">
        <v>0.38200000000000001</v>
      </c>
      <c r="L153" s="408">
        <v>0.9</v>
      </c>
      <c r="M153" s="408">
        <v>2.2999999999999998</v>
      </c>
      <c r="N153" s="5">
        <v>0.371</v>
      </c>
      <c r="O153" s="408">
        <v>1.2</v>
      </c>
      <c r="P153" s="408">
        <v>3</v>
      </c>
      <c r="Q153" s="408">
        <v>0.39100000000000001</v>
      </c>
      <c r="R153" s="408">
        <v>0.46300000000000002</v>
      </c>
      <c r="S153" s="408">
        <v>1.4</v>
      </c>
      <c r="T153" s="408">
        <v>1.7</v>
      </c>
      <c r="U153" s="408">
        <v>0.80400000000000005</v>
      </c>
      <c r="V153" s="408">
        <v>0.2</v>
      </c>
      <c r="W153" s="408">
        <v>1.7</v>
      </c>
      <c r="X153" s="408">
        <v>1.9</v>
      </c>
      <c r="Y153" s="408">
        <v>3</v>
      </c>
      <c r="Z153" s="408">
        <v>0.6</v>
      </c>
      <c r="AA153" s="408">
        <v>0.1</v>
      </c>
      <c r="AB153" s="408">
        <v>1.2</v>
      </c>
      <c r="AC153" s="408">
        <v>1.5</v>
      </c>
      <c r="AD153" s="408">
        <v>6.3</v>
      </c>
    </row>
    <row r="154" spans="1:30">
      <c r="A154">
        <v>126</v>
      </c>
      <c r="B154" s="1" t="s">
        <v>467</v>
      </c>
      <c r="C154" s="5" t="s">
        <v>20</v>
      </c>
      <c r="D154" s="408">
        <v>27</v>
      </c>
      <c r="E154" s="5" t="s">
        <v>41</v>
      </c>
      <c r="F154" s="408">
        <v>37</v>
      </c>
      <c r="G154" s="408">
        <v>3</v>
      </c>
      <c r="H154" s="408">
        <v>19</v>
      </c>
      <c r="I154" s="408">
        <v>1.5</v>
      </c>
      <c r="J154" s="408">
        <v>4</v>
      </c>
      <c r="K154" s="408">
        <v>0.36899999999999999</v>
      </c>
      <c r="L154" s="408">
        <v>0.8</v>
      </c>
      <c r="M154" s="408">
        <v>2.1</v>
      </c>
      <c r="N154" s="5">
        <v>0.377</v>
      </c>
      <c r="O154" s="408">
        <v>0.7</v>
      </c>
      <c r="P154" s="408">
        <v>1.9</v>
      </c>
      <c r="Q154" s="408">
        <v>0.36099999999999999</v>
      </c>
      <c r="R154" s="408">
        <v>0.46600000000000003</v>
      </c>
      <c r="S154" s="408">
        <v>0.6</v>
      </c>
      <c r="T154" s="408">
        <v>0.7</v>
      </c>
      <c r="U154" s="408">
        <v>0.92</v>
      </c>
      <c r="V154" s="408">
        <v>0.4</v>
      </c>
      <c r="W154" s="408">
        <v>1.4</v>
      </c>
      <c r="X154" s="408">
        <v>1.7</v>
      </c>
      <c r="Y154" s="408">
        <v>3.8</v>
      </c>
      <c r="Z154" s="408">
        <v>0.4</v>
      </c>
      <c r="AA154" s="408">
        <v>0</v>
      </c>
      <c r="AB154" s="408">
        <v>1.3</v>
      </c>
      <c r="AC154" s="408">
        <v>1.8</v>
      </c>
      <c r="AD154" s="408">
        <v>4.4000000000000004</v>
      </c>
    </row>
    <row r="155" spans="1:30">
      <c r="A155">
        <v>127</v>
      </c>
      <c r="B155" s="1" t="s">
        <v>624</v>
      </c>
      <c r="C155" s="5" t="s">
        <v>46</v>
      </c>
      <c r="D155" s="408">
        <v>32</v>
      </c>
      <c r="E155" s="5" t="s">
        <v>78</v>
      </c>
      <c r="F155" s="408">
        <v>1</v>
      </c>
      <c r="G155" s="408">
        <v>1</v>
      </c>
      <c r="H155" s="408">
        <v>13</v>
      </c>
      <c r="I155" s="408">
        <v>1</v>
      </c>
      <c r="J155" s="408">
        <v>2</v>
      </c>
      <c r="K155" s="408">
        <v>0.5</v>
      </c>
      <c r="L155" s="408">
        <v>0</v>
      </c>
      <c r="M155" s="408">
        <v>0</v>
      </c>
      <c r="O155" s="408">
        <v>1</v>
      </c>
      <c r="P155" s="408">
        <v>2</v>
      </c>
      <c r="Q155" s="408">
        <v>0.5</v>
      </c>
      <c r="R155" s="408">
        <v>0.5</v>
      </c>
      <c r="S155" s="408">
        <v>0</v>
      </c>
      <c r="T155" s="408">
        <v>0</v>
      </c>
      <c r="U155" s="408"/>
      <c r="V155" s="408">
        <v>0</v>
      </c>
      <c r="W155" s="408">
        <v>0</v>
      </c>
      <c r="X155" s="408">
        <v>0</v>
      </c>
      <c r="Y155" s="408">
        <v>1</v>
      </c>
      <c r="Z155" s="408">
        <v>1</v>
      </c>
      <c r="AA155" s="408">
        <v>0</v>
      </c>
      <c r="AB155" s="408">
        <v>1</v>
      </c>
      <c r="AC155" s="408">
        <v>0</v>
      </c>
      <c r="AD155" s="408">
        <v>2</v>
      </c>
    </row>
    <row r="156" spans="1:30">
      <c r="A156">
        <v>128</v>
      </c>
      <c r="B156" s="1" t="s">
        <v>419</v>
      </c>
      <c r="C156" s="5" t="s">
        <v>26</v>
      </c>
      <c r="D156" s="408">
        <v>28</v>
      </c>
      <c r="E156" s="5" t="s">
        <v>47</v>
      </c>
      <c r="F156" s="408">
        <v>70</v>
      </c>
      <c r="G156" s="408">
        <v>70</v>
      </c>
      <c r="H156" s="408">
        <v>34.1</v>
      </c>
      <c r="I156" s="408">
        <v>8.3000000000000007</v>
      </c>
      <c r="J156" s="408">
        <v>18</v>
      </c>
      <c r="K156" s="408">
        <v>0.46100000000000002</v>
      </c>
      <c r="L156" s="408">
        <v>1.2</v>
      </c>
      <c r="M156" s="408">
        <v>3.6</v>
      </c>
      <c r="N156" s="5">
        <v>0.32700000000000001</v>
      </c>
      <c r="O156" s="408">
        <v>7.1</v>
      </c>
      <c r="P156" s="408">
        <v>14.3</v>
      </c>
      <c r="Q156" s="408">
        <v>0.495</v>
      </c>
      <c r="R156" s="408">
        <v>0.49399999999999999</v>
      </c>
      <c r="S156" s="408">
        <v>6</v>
      </c>
      <c r="T156" s="408">
        <v>7.2</v>
      </c>
      <c r="U156" s="408">
        <v>0.82599999999999996</v>
      </c>
      <c r="V156" s="408">
        <v>0.8</v>
      </c>
      <c r="W156" s="408">
        <v>3.2</v>
      </c>
      <c r="X156" s="408">
        <v>4</v>
      </c>
      <c r="Y156" s="408">
        <v>5.0999999999999996</v>
      </c>
      <c r="Z156" s="408">
        <v>1.1000000000000001</v>
      </c>
      <c r="AA156" s="408">
        <v>0.3</v>
      </c>
      <c r="AB156" s="408">
        <v>2.2000000000000002</v>
      </c>
      <c r="AC156" s="408">
        <v>1.8</v>
      </c>
      <c r="AD156" s="408">
        <v>23.7</v>
      </c>
    </row>
    <row r="157" spans="1:30">
      <c r="A157">
        <v>129</v>
      </c>
      <c r="B157" s="1" t="s">
        <v>534</v>
      </c>
      <c r="C157" s="5" t="s">
        <v>38</v>
      </c>
      <c r="D157" s="408">
        <v>21</v>
      </c>
      <c r="E157" s="5" t="s">
        <v>112</v>
      </c>
      <c r="F157" s="408">
        <v>40</v>
      </c>
      <c r="G157" s="408">
        <v>0</v>
      </c>
      <c r="H157" s="408">
        <v>9.9</v>
      </c>
      <c r="I157" s="408">
        <v>1.9</v>
      </c>
      <c r="J157" s="408">
        <v>3.3</v>
      </c>
      <c r="K157" s="408">
        <v>0.57099999999999995</v>
      </c>
      <c r="L157" s="408">
        <v>0</v>
      </c>
      <c r="M157" s="408">
        <v>0</v>
      </c>
      <c r="O157" s="408">
        <v>1.9</v>
      </c>
      <c r="P157" s="408">
        <v>3.3</v>
      </c>
      <c r="Q157" s="408">
        <v>0.57099999999999995</v>
      </c>
      <c r="R157" s="408">
        <v>0.57099999999999995</v>
      </c>
      <c r="S157" s="408">
        <v>0.8</v>
      </c>
      <c r="T157" s="408">
        <v>1.1000000000000001</v>
      </c>
      <c r="U157" s="408">
        <v>0.73799999999999999</v>
      </c>
      <c r="V157" s="408">
        <v>0.6</v>
      </c>
      <c r="W157" s="408">
        <v>2.8</v>
      </c>
      <c r="X157" s="408">
        <v>3.4</v>
      </c>
      <c r="Y157" s="408">
        <v>0.3</v>
      </c>
      <c r="Z157" s="408">
        <v>0.2</v>
      </c>
      <c r="AA157" s="408">
        <v>0.4</v>
      </c>
      <c r="AB157" s="408">
        <v>0.5</v>
      </c>
      <c r="AC157" s="408">
        <v>1.3</v>
      </c>
      <c r="AD157" s="408">
        <v>4.5999999999999996</v>
      </c>
    </row>
    <row r="158" spans="1:30">
      <c r="A158">
        <v>130</v>
      </c>
      <c r="B158" s="1" t="s">
        <v>11</v>
      </c>
      <c r="C158" s="5" t="s">
        <v>83</v>
      </c>
      <c r="D158" s="408">
        <v>28</v>
      </c>
      <c r="E158" s="5" t="s">
        <v>56</v>
      </c>
      <c r="F158" s="408">
        <v>68</v>
      </c>
      <c r="G158" s="408">
        <v>0</v>
      </c>
      <c r="H158" s="408">
        <v>17.2</v>
      </c>
      <c r="I158" s="408">
        <v>2.2999999999999998</v>
      </c>
      <c r="J158" s="408">
        <v>4.9000000000000004</v>
      </c>
      <c r="K158" s="408">
        <v>0.47599999999999998</v>
      </c>
      <c r="L158" s="408">
        <v>0.2</v>
      </c>
      <c r="M158" s="408">
        <v>0.7</v>
      </c>
      <c r="N158" s="5">
        <v>0.27100000000000002</v>
      </c>
      <c r="O158" s="408">
        <v>2.1</v>
      </c>
      <c r="P158" s="408">
        <v>4.2</v>
      </c>
      <c r="Q158" s="408">
        <v>0.51</v>
      </c>
      <c r="R158" s="408">
        <v>0.496</v>
      </c>
      <c r="S158" s="408">
        <v>1.1000000000000001</v>
      </c>
      <c r="T158" s="408">
        <v>1.4</v>
      </c>
      <c r="U158" s="408">
        <v>0.76800000000000002</v>
      </c>
      <c r="V158" s="408">
        <v>1.3</v>
      </c>
      <c r="W158" s="408">
        <v>3.2</v>
      </c>
      <c r="X158" s="408">
        <v>4.5</v>
      </c>
      <c r="Y158" s="408">
        <v>0.9</v>
      </c>
      <c r="Z158" s="408">
        <v>0.6</v>
      </c>
      <c r="AA158" s="408">
        <v>0.5</v>
      </c>
      <c r="AB158" s="408">
        <v>0.8</v>
      </c>
      <c r="AC158" s="408">
        <v>1.9</v>
      </c>
      <c r="AD158" s="408">
        <v>5.9</v>
      </c>
    </row>
    <row r="159" spans="1:30">
      <c r="A159">
        <v>131</v>
      </c>
      <c r="B159" s="1" t="s">
        <v>339</v>
      </c>
      <c r="C159" s="5" t="s">
        <v>20</v>
      </c>
      <c r="D159" s="408">
        <v>24</v>
      </c>
      <c r="E159" s="5" t="s">
        <v>315</v>
      </c>
      <c r="F159" s="408">
        <v>70</v>
      </c>
      <c r="G159" s="408">
        <v>57</v>
      </c>
      <c r="H159" s="408">
        <v>29.2</v>
      </c>
      <c r="I159" s="408">
        <v>4.2</v>
      </c>
      <c r="J159" s="408">
        <v>10.8</v>
      </c>
      <c r="K159" s="408">
        <v>0.38600000000000001</v>
      </c>
      <c r="L159" s="408">
        <v>1.7</v>
      </c>
      <c r="M159" s="408">
        <v>5.4</v>
      </c>
      <c r="N159" s="5">
        <v>0.32100000000000001</v>
      </c>
      <c r="O159" s="408">
        <v>2.4</v>
      </c>
      <c r="P159" s="408">
        <v>5.4</v>
      </c>
      <c r="Q159" s="408">
        <v>0.45100000000000001</v>
      </c>
      <c r="R159" s="408">
        <v>0.46600000000000003</v>
      </c>
      <c r="S159" s="408">
        <v>2.8</v>
      </c>
      <c r="T159" s="408">
        <v>3.4</v>
      </c>
      <c r="U159" s="408">
        <v>0.83099999999999996</v>
      </c>
      <c r="V159" s="408">
        <v>0.5</v>
      </c>
      <c r="W159" s="408">
        <v>2.8</v>
      </c>
      <c r="X159" s="408">
        <v>3.3</v>
      </c>
      <c r="Y159" s="408">
        <v>6.8</v>
      </c>
      <c r="Z159" s="408">
        <v>0.9</v>
      </c>
      <c r="AA159" s="408">
        <v>0.3</v>
      </c>
      <c r="AB159" s="408">
        <v>1.6</v>
      </c>
      <c r="AC159" s="408">
        <v>2.4</v>
      </c>
      <c r="AD159" s="408">
        <v>12.9</v>
      </c>
    </row>
    <row r="160" spans="1:30">
      <c r="A160">
        <v>132</v>
      </c>
      <c r="B160" s="1" t="s">
        <v>480</v>
      </c>
      <c r="C160" s="5" t="s">
        <v>26</v>
      </c>
      <c r="D160" s="408">
        <v>21</v>
      </c>
      <c r="E160" s="5" t="s">
        <v>149</v>
      </c>
      <c r="F160" s="408">
        <v>44</v>
      </c>
      <c r="G160" s="408">
        <v>5</v>
      </c>
      <c r="H160" s="408">
        <v>15.1</v>
      </c>
      <c r="I160" s="408">
        <v>1.9</v>
      </c>
      <c r="J160" s="408">
        <v>5.5</v>
      </c>
      <c r="K160" s="408">
        <v>0.34799999999999998</v>
      </c>
      <c r="L160" s="408">
        <v>1</v>
      </c>
      <c r="M160" s="408">
        <v>3.1</v>
      </c>
      <c r="N160" s="5">
        <v>0.32600000000000001</v>
      </c>
      <c r="O160" s="408">
        <v>0.9</v>
      </c>
      <c r="P160" s="408">
        <v>2.5</v>
      </c>
      <c r="Q160" s="408">
        <v>0.376</v>
      </c>
      <c r="R160" s="408">
        <v>0.439</v>
      </c>
      <c r="S160" s="408">
        <v>0.7</v>
      </c>
      <c r="T160" s="408">
        <v>1</v>
      </c>
      <c r="U160" s="408">
        <v>0.71399999999999997</v>
      </c>
      <c r="V160" s="408">
        <v>0.3</v>
      </c>
      <c r="W160" s="408">
        <v>1.9</v>
      </c>
      <c r="X160" s="408">
        <v>2.1</v>
      </c>
      <c r="Y160" s="408">
        <v>1.3</v>
      </c>
      <c r="Z160" s="408">
        <v>0.3</v>
      </c>
      <c r="AA160" s="408">
        <v>0.1</v>
      </c>
      <c r="AB160" s="408">
        <v>0.5</v>
      </c>
      <c r="AC160" s="408">
        <v>0.9</v>
      </c>
      <c r="AD160" s="408">
        <v>5.5</v>
      </c>
    </row>
    <row r="161" spans="1:30">
      <c r="A161">
        <v>133</v>
      </c>
      <c r="B161" s="1" t="s">
        <v>548</v>
      </c>
      <c r="C161" s="5" t="s">
        <v>26</v>
      </c>
      <c r="D161" s="408">
        <v>23</v>
      </c>
      <c r="E161" s="5" t="s">
        <v>21</v>
      </c>
      <c r="F161" s="408">
        <v>37</v>
      </c>
      <c r="G161" s="408">
        <v>2</v>
      </c>
      <c r="H161" s="408">
        <v>8.5</v>
      </c>
      <c r="I161" s="408">
        <v>1.2</v>
      </c>
      <c r="J161" s="408">
        <v>2.7</v>
      </c>
      <c r="K161" s="408">
        <v>0.42599999999999999</v>
      </c>
      <c r="L161" s="408">
        <v>0.4</v>
      </c>
      <c r="M161" s="408">
        <v>1.1000000000000001</v>
      </c>
      <c r="N161" s="5">
        <v>0.317</v>
      </c>
      <c r="O161" s="408">
        <v>0.8</v>
      </c>
      <c r="P161" s="408">
        <v>1.6</v>
      </c>
      <c r="Q161" s="408">
        <v>0.5</v>
      </c>
      <c r="R161" s="408">
        <v>0.49</v>
      </c>
      <c r="S161" s="408">
        <v>0.3</v>
      </c>
      <c r="T161" s="408">
        <v>0.4</v>
      </c>
      <c r="U161" s="408">
        <v>0.71399999999999997</v>
      </c>
      <c r="V161" s="408">
        <v>0.2</v>
      </c>
      <c r="W161" s="408">
        <v>1.2</v>
      </c>
      <c r="X161" s="408">
        <v>1.4</v>
      </c>
      <c r="Y161" s="408">
        <v>0.6</v>
      </c>
      <c r="Z161" s="408">
        <v>0.2</v>
      </c>
      <c r="AA161" s="408">
        <v>0</v>
      </c>
      <c r="AB161" s="408">
        <v>0.3</v>
      </c>
      <c r="AC161" s="408">
        <v>0.6</v>
      </c>
      <c r="AD161" s="408">
        <v>2.9</v>
      </c>
    </row>
    <row r="162" spans="1:30">
      <c r="A162">
        <v>134</v>
      </c>
      <c r="B162" s="1" t="s">
        <v>455</v>
      </c>
      <c r="C162" s="5" t="s">
        <v>26</v>
      </c>
      <c r="D162" s="408">
        <v>24</v>
      </c>
      <c r="E162" s="5" t="s">
        <v>315</v>
      </c>
      <c r="F162" s="408">
        <v>6</v>
      </c>
      <c r="G162" s="408">
        <v>0</v>
      </c>
      <c r="H162" s="408">
        <v>10.5</v>
      </c>
      <c r="I162" s="408">
        <v>1.2</v>
      </c>
      <c r="J162" s="408">
        <v>4.2</v>
      </c>
      <c r="K162" s="408">
        <v>0.28000000000000003</v>
      </c>
      <c r="L162" s="408">
        <v>0.3</v>
      </c>
      <c r="M162" s="408">
        <v>2.2000000000000002</v>
      </c>
      <c r="N162" s="5">
        <v>0.154</v>
      </c>
      <c r="O162" s="408">
        <v>0.8</v>
      </c>
      <c r="P162" s="408">
        <v>2</v>
      </c>
      <c r="Q162" s="408">
        <v>0.41699999999999998</v>
      </c>
      <c r="R162" s="408">
        <v>0.32</v>
      </c>
      <c r="S162" s="408">
        <v>0.3</v>
      </c>
      <c r="T162" s="408">
        <v>0.5</v>
      </c>
      <c r="U162" s="408">
        <v>0.66700000000000004</v>
      </c>
      <c r="V162" s="408">
        <v>0.3</v>
      </c>
      <c r="W162" s="408">
        <v>1.2</v>
      </c>
      <c r="X162" s="408">
        <v>1.5</v>
      </c>
      <c r="Y162" s="408">
        <v>0.7</v>
      </c>
      <c r="Z162" s="408">
        <v>0.3</v>
      </c>
      <c r="AA162" s="408">
        <v>0.2</v>
      </c>
      <c r="AB162" s="408">
        <v>0.3</v>
      </c>
      <c r="AC162" s="408">
        <v>0.5</v>
      </c>
      <c r="AD162" s="408">
        <v>3</v>
      </c>
    </row>
    <row r="163" spans="1:30">
      <c r="A163">
        <v>135</v>
      </c>
      <c r="B163" s="1" t="s">
        <v>886</v>
      </c>
      <c r="C163" s="5" t="s">
        <v>20</v>
      </c>
      <c r="D163" s="408">
        <v>21</v>
      </c>
      <c r="E163" s="5" t="s">
        <v>58</v>
      </c>
      <c r="F163" s="408">
        <v>2</v>
      </c>
      <c r="G163" s="408">
        <v>0</v>
      </c>
      <c r="H163" s="408">
        <v>1.5</v>
      </c>
      <c r="I163" s="408">
        <v>0.5</v>
      </c>
      <c r="J163" s="408">
        <v>1</v>
      </c>
      <c r="K163" s="408">
        <v>0.5</v>
      </c>
      <c r="L163" s="408">
        <v>0</v>
      </c>
      <c r="M163" s="408">
        <v>0</v>
      </c>
      <c r="O163" s="408">
        <v>0.5</v>
      </c>
      <c r="P163" s="408">
        <v>1</v>
      </c>
      <c r="Q163" s="408">
        <v>0.5</v>
      </c>
      <c r="R163" s="408">
        <v>0.5</v>
      </c>
      <c r="S163" s="408">
        <v>0</v>
      </c>
      <c r="T163" s="408">
        <v>0</v>
      </c>
      <c r="U163" s="408"/>
      <c r="V163" s="408">
        <v>0</v>
      </c>
      <c r="W163" s="408">
        <v>0.5</v>
      </c>
      <c r="X163" s="408">
        <v>0.5</v>
      </c>
      <c r="Y163" s="408">
        <v>0</v>
      </c>
      <c r="Z163" s="408">
        <v>0</v>
      </c>
      <c r="AA163" s="408">
        <v>0</v>
      </c>
      <c r="AB163" s="408">
        <v>0.5</v>
      </c>
      <c r="AC163" s="408">
        <v>0.5</v>
      </c>
      <c r="AD163" s="408">
        <v>1</v>
      </c>
    </row>
    <row r="164" spans="1:30">
      <c r="A164">
        <v>136</v>
      </c>
      <c r="B164" s="1" t="s">
        <v>376</v>
      </c>
      <c r="C164" s="5" t="s">
        <v>20</v>
      </c>
      <c r="D164" s="408">
        <v>31</v>
      </c>
      <c r="E164" s="5" t="s">
        <v>50</v>
      </c>
      <c r="F164" s="408">
        <v>66</v>
      </c>
      <c r="G164" s="408">
        <v>66</v>
      </c>
      <c r="H164" s="408">
        <v>31.9</v>
      </c>
      <c r="I164" s="408">
        <v>6.6</v>
      </c>
      <c r="J164" s="408">
        <v>14.7</v>
      </c>
      <c r="K164" s="408">
        <v>0.44800000000000001</v>
      </c>
      <c r="L164" s="408">
        <v>1.5</v>
      </c>
      <c r="M164" s="408">
        <v>4.0999999999999996</v>
      </c>
      <c r="N164" s="5">
        <v>0.36499999999999999</v>
      </c>
      <c r="O164" s="408">
        <v>5.0999999999999996</v>
      </c>
      <c r="P164" s="408">
        <v>10.6</v>
      </c>
      <c r="Q164" s="408">
        <v>0.48</v>
      </c>
      <c r="R164" s="408">
        <v>0.499</v>
      </c>
      <c r="S164" s="408">
        <v>3</v>
      </c>
      <c r="T164" s="408">
        <v>3.8</v>
      </c>
      <c r="U164" s="408">
        <v>0.79400000000000004</v>
      </c>
      <c r="V164" s="408">
        <v>0.7</v>
      </c>
      <c r="W164" s="408">
        <v>3.3</v>
      </c>
      <c r="X164" s="408">
        <v>4</v>
      </c>
      <c r="Y164" s="408">
        <v>4.8</v>
      </c>
      <c r="Z164" s="408">
        <v>0.8</v>
      </c>
      <c r="AA164" s="408">
        <v>0.2</v>
      </c>
      <c r="AB164" s="408">
        <v>2.2000000000000002</v>
      </c>
      <c r="AC164" s="408">
        <v>2.4</v>
      </c>
      <c r="AD164" s="408">
        <v>17.7</v>
      </c>
    </row>
    <row r="165" spans="1:30">
      <c r="A165">
        <v>137</v>
      </c>
      <c r="B165" s="1" t="s">
        <v>806</v>
      </c>
      <c r="C165" s="5" t="s">
        <v>20</v>
      </c>
      <c r="D165" s="408">
        <v>27</v>
      </c>
      <c r="E165" s="5" t="s">
        <v>357</v>
      </c>
      <c r="F165" s="408">
        <v>5</v>
      </c>
      <c r="G165" s="408">
        <v>0</v>
      </c>
      <c r="H165" s="408">
        <v>5</v>
      </c>
      <c r="I165" s="408">
        <v>0.2</v>
      </c>
      <c r="J165" s="408">
        <v>2.2000000000000002</v>
      </c>
      <c r="K165" s="408">
        <v>9.0999999999999998E-2</v>
      </c>
      <c r="L165" s="408">
        <v>0</v>
      </c>
      <c r="M165" s="408">
        <v>0.8</v>
      </c>
      <c r="N165" s="5">
        <v>0</v>
      </c>
      <c r="O165" s="408">
        <v>0.2</v>
      </c>
      <c r="P165" s="408">
        <v>1.4</v>
      </c>
      <c r="Q165" s="408">
        <v>0.14299999999999999</v>
      </c>
      <c r="R165" s="408">
        <v>9.0999999999999998E-2</v>
      </c>
      <c r="S165" s="408">
        <v>0</v>
      </c>
      <c r="T165" s="408">
        <v>0</v>
      </c>
      <c r="U165" s="408"/>
      <c r="V165" s="408">
        <v>0.2</v>
      </c>
      <c r="W165" s="408">
        <v>0</v>
      </c>
      <c r="X165" s="408">
        <v>0.2</v>
      </c>
      <c r="Y165" s="408">
        <v>0.6</v>
      </c>
      <c r="Z165" s="408">
        <v>0</v>
      </c>
      <c r="AA165" s="408">
        <v>0</v>
      </c>
      <c r="AB165" s="408">
        <v>0.2</v>
      </c>
      <c r="AC165" s="408">
        <v>0.6</v>
      </c>
      <c r="AD165" s="408">
        <v>0.4</v>
      </c>
    </row>
    <row r="166" spans="1:30">
      <c r="A166">
        <v>137</v>
      </c>
      <c r="B166" s="1" t="s">
        <v>806</v>
      </c>
      <c r="C166" s="5" t="s">
        <v>20</v>
      </c>
      <c r="D166" s="408">
        <v>27</v>
      </c>
      <c r="E166" s="5" t="s">
        <v>118</v>
      </c>
      <c r="F166" s="408">
        <v>3</v>
      </c>
      <c r="G166" s="408">
        <v>0</v>
      </c>
      <c r="H166" s="408">
        <v>5</v>
      </c>
      <c r="I166" s="408">
        <v>0.3</v>
      </c>
      <c r="J166" s="408">
        <v>2.2999999999999998</v>
      </c>
      <c r="K166" s="408">
        <v>0.14299999999999999</v>
      </c>
      <c r="L166" s="408">
        <v>0</v>
      </c>
      <c r="M166" s="408">
        <v>1</v>
      </c>
      <c r="N166" s="5">
        <v>0</v>
      </c>
      <c r="O166" s="408">
        <v>0.3</v>
      </c>
      <c r="P166" s="408">
        <v>1.3</v>
      </c>
      <c r="Q166" s="408">
        <v>0.25</v>
      </c>
      <c r="R166" s="408">
        <v>0.14299999999999999</v>
      </c>
      <c r="S166" s="408">
        <v>0</v>
      </c>
      <c r="T166" s="408">
        <v>0</v>
      </c>
      <c r="U166" s="408"/>
      <c r="V166" s="408">
        <v>0.3</v>
      </c>
      <c r="W166" s="408">
        <v>0</v>
      </c>
      <c r="X166" s="408">
        <v>0.3</v>
      </c>
      <c r="Y166" s="408">
        <v>0.7</v>
      </c>
      <c r="Z166" s="408">
        <v>0</v>
      </c>
      <c r="AA166" s="408">
        <v>0</v>
      </c>
      <c r="AB166" s="408">
        <v>0.3</v>
      </c>
      <c r="AC166" s="408">
        <v>0.7</v>
      </c>
      <c r="AD166" s="408">
        <v>0.7</v>
      </c>
    </row>
    <row r="167" spans="1:30">
      <c r="A167">
        <v>137</v>
      </c>
      <c r="B167" s="1" t="s">
        <v>806</v>
      </c>
      <c r="C167" s="5" t="s">
        <v>20</v>
      </c>
      <c r="D167" s="408">
        <v>27</v>
      </c>
      <c r="E167" s="5" t="s">
        <v>112</v>
      </c>
      <c r="F167" s="408">
        <v>2</v>
      </c>
      <c r="G167" s="408">
        <v>0</v>
      </c>
      <c r="H167" s="408">
        <v>5</v>
      </c>
      <c r="I167" s="408">
        <v>0</v>
      </c>
      <c r="J167" s="408">
        <v>2</v>
      </c>
      <c r="K167" s="408">
        <v>0</v>
      </c>
      <c r="L167" s="408">
        <v>0</v>
      </c>
      <c r="M167" s="408">
        <v>0.5</v>
      </c>
      <c r="N167" s="5">
        <v>0</v>
      </c>
      <c r="O167" s="408">
        <v>0</v>
      </c>
      <c r="P167" s="408">
        <v>1.5</v>
      </c>
      <c r="Q167" s="408">
        <v>0</v>
      </c>
      <c r="R167" s="408">
        <v>0</v>
      </c>
      <c r="S167" s="408">
        <v>0</v>
      </c>
      <c r="T167" s="408">
        <v>0</v>
      </c>
      <c r="U167" s="408"/>
      <c r="V167" s="408">
        <v>0</v>
      </c>
      <c r="W167" s="408">
        <v>0</v>
      </c>
      <c r="X167" s="408">
        <v>0</v>
      </c>
      <c r="Y167" s="408">
        <v>0.5</v>
      </c>
      <c r="Z167" s="408">
        <v>0</v>
      </c>
      <c r="AA167" s="408">
        <v>0</v>
      </c>
      <c r="AB167" s="408">
        <v>0</v>
      </c>
      <c r="AC167" s="408">
        <v>0.5</v>
      </c>
      <c r="AD167" s="408">
        <v>0</v>
      </c>
    </row>
    <row r="168" spans="1:30">
      <c r="A168">
        <v>138</v>
      </c>
      <c r="B168" s="1" t="s">
        <v>578</v>
      </c>
      <c r="C168" s="5" t="s">
        <v>83</v>
      </c>
      <c r="D168" s="408">
        <v>24</v>
      </c>
      <c r="E168" s="5" t="s">
        <v>157</v>
      </c>
      <c r="F168" s="408">
        <v>68</v>
      </c>
      <c r="G168" s="408">
        <v>68</v>
      </c>
      <c r="H168" s="408">
        <v>33.200000000000003</v>
      </c>
      <c r="I168" s="408">
        <v>5.9</v>
      </c>
      <c r="J168" s="408">
        <v>11.2</v>
      </c>
      <c r="K168" s="408">
        <v>0.52900000000000003</v>
      </c>
      <c r="L168" s="408">
        <v>0</v>
      </c>
      <c r="M168" s="408">
        <v>0.1</v>
      </c>
      <c r="N168" s="5">
        <v>0</v>
      </c>
      <c r="O168" s="408">
        <v>5.9</v>
      </c>
      <c r="P168" s="408">
        <v>11.1</v>
      </c>
      <c r="Q168" s="408">
        <v>0.53400000000000003</v>
      </c>
      <c r="R168" s="408">
        <v>0.52900000000000003</v>
      </c>
      <c r="S168" s="408">
        <v>3</v>
      </c>
      <c r="T168" s="408">
        <v>4.9000000000000004</v>
      </c>
      <c r="U168" s="408">
        <v>0.61</v>
      </c>
      <c r="V168" s="408">
        <v>5.0999999999999996</v>
      </c>
      <c r="W168" s="408">
        <v>10.7</v>
      </c>
      <c r="X168" s="408">
        <v>15.8</v>
      </c>
      <c r="Y168" s="408">
        <v>3.1</v>
      </c>
      <c r="Z168" s="408">
        <v>1.5</v>
      </c>
      <c r="AA168" s="408">
        <v>1.6</v>
      </c>
      <c r="AB168" s="408">
        <v>2.6</v>
      </c>
      <c r="AC168" s="408">
        <v>3.2</v>
      </c>
      <c r="AD168" s="408">
        <v>14.9</v>
      </c>
    </row>
    <row r="169" spans="1:30">
      <c r="A169">
        <v>139</v>
      </c>
      <c r="B169" s="1" t="s">
        <v>506</v>
      </c>
      <c r="C169" s="5" t="s">
        <v>38</v>
      </c>
      <c r="D169" s="408">
        <v>32</v>
      </c>
      <c r="E169" s="5" t="s">
        <v>313</v>
      </c>
      <c r="F169" s="408">
        <v>40</v>
      </c>
      <c r="G169" s="408">
        <v>0</v>
      </c>
      <c r="H169" s="408">
        <v>14.1</v>
      </c>
      <c r="I169" s="408">
        <v>1</v>
      </c>
      <c r="J169" s="408">
        <v>2.4</v>
      </c>
      <c r="K169" s="408">
        <v>0.39600000000000002</v>
      </c>
      <c r="L169" s="408">
        <v>0.7</v>
      </c>
      <c r="M169" s="408">
        <v>1.7</v>
      </c>
      <c r="N169" s="5">
        <v>0.40300000000000002</v>
      </c>
      <c r="O169" s="408">
        <v>0.3</v>
      </c>
      <c r="P169" s="408">
        <v>0.7</v>
      </c>
      <c r="Q169" s="408">
        <v>0.379</v>
      </c>
      <c r="R169" s="408">
        <v>0.53600000000000003</v>
      </c>
      <c r="S169" s="408">
        <v>0.6</v>
      </c>
      <c r="T169" s="408">
        <v>0.7</v>
      </c>
      <c r="U169" s="408">
        <v>0.82799999999999996</v>
      </c>
      <c r="V169" s="408">
        <v>0.2</v>
      </c>
      <c r="W169" s="408">
        <v>1.7</v>
      </c>
      <c r="X169" s="408">
        <v>1.9</v>
      </c>
      <c r="Y169" s="408">
        <v>1.7</v>
      </c>
      <c r="Z169" s="408">
        <v>0.5</v>
      </c>
      <c r="AA169" s="408">
        <v>0.2</v>
      </c>
      <c r="AB169" s="408">
        <v>0.6</v>
      </c>
      <c r="AC169" s="408">
        <v>1.8</v>
      </c>
      <c r="AD169" s="408">
        <v>3.2</v>
      </c>
    </row>
    <row r="170" spans="1:30">
      <c r="A170">
        <v>140</v>
      </c>
      <c r="B170" s="1" t="s">
        <v>451</v>
      </c>
      <c r="C170" s="5" t="s">
        <v>20</v>
      </c>
      <c r="D170" s="408">
        <v>23</v>
      </c>
      <c r="E170" s="5" t="s">
        <v>43</v>
      </c>
      <c r="F170" s="408">
        <v>52</v>
      </c>
      <c r="G170" s="408">
        <v>43</v>
      </c>
      <c r="H170" s="408">
        <v>29.3</v>
      </c>
      <c r="I170" s="408">
        <v>5.5</v>
      </c>
      <c r="J170" s="408">
        <v>12.8</v>
      </c>
      <c r="K170" s="408">
        <v>0.42899999999999999</v>
      </c>
      <c r="L170" s="408">
        <v>0.8</v>
      </c>
      <c r="M170" s="408">
        <v>2.6</v>
      </c>
      <c r="N170" s="5">
        <v>0.32100000000000001</v>
      </c>
      <c r="O170" s="408">
        <v>4.7</v>
      </c>
      <c r="P170" s="408">
        <v>10.199999999999999</v>
      </c>
      <c r="Q170" s="408">
        <v>0.45700000000000002</v>
      </c>
      <c r="R170" s="408">
        <v>0.46200000000000002</v>
      </c>
      <c r="S170" s="408">
        <v>1.6</v>
      </c>
      <c r="T170" s="408">
        <v>2.2000000000000002</v>
      </c>
      <c r="U170" s="408">
        <v>0.73</v>
      </c>
      <c r="V170" s="408">
        <v>0.5</v>
      </c>
      <c r="W170" s="408">
        <v>3.8</v>
      </c>
      <c r="X170" s="408">
        <v>4.3</v>
      </c>
      <c r="Y170" s="408">
        <v>6</v>
      </c>
      <c r="Z170" s="408">
        <v>2</v>
      </c>
      <c r="AA170" s="408">
        <v>0.5</v>
      </c>
      <c r="AB170" s="408">
        <v>2.9</v>
      </c>
      <c r="AC170" s="408">
        <v>3.4</v>
      </c>
      <c r="AD170" s="408">
        <v>13.4</v>
      </c>
    </row>
    <row r="171" spans="1:30">
      <c r="A171">
        <v>141</v>
      </c>
      <c r="B171" s="1" t="s">
        <v>326</v>
      </c>
      <c r="C171" s="5" t="s">
        <v>38</v>
      </c>
      <c r="D171" s="408">
        <v>29</v>
      </c>
      <c r="E171" s="5" t="s">
        <v>73</v>
      </c>
      <c r="F171" s="408">
        <v>60</v>
      </c>
      <c r="G171" s="408">
        <v>60</v>
      </c>
      <c r="H171" s="408">
        <v>34.700000000000003</v>
      </c>
      <c r="I171" s="408">
        <v>9.4</v>
      </c>
      <c r="J171" s="408">
        <v>18</v>
      </c>
      <c r="K171" s="408">
        <v>0.52</v>
      </c>
      <c r="L171" s="408">
        <v>2.6</v>
      </c>
      <c r="M171" s="408">
        <v>6.1</v>
      </c>
      <c r="N171" s="5">
        <v>0.43</v>
      </c>
      <c r="O171" s="408">
        <v>6.8</v>
      </c>
      <c r="P171" s="408">
        <v>11.9</v>
      </c>
      <c r="Q171" s="408">
        <v>0.56599999999999995</v>
      </c>
      <c r="R171" s="408">
        <v>0.59299999999999997</v>
      </c>
      <c r="S171" s="408">
        <v>5.2</v>
      </c>
      <c r="T171" s="408">
        <v>5.9</v>
      </c>
      <c r="U171" s="408">
        <v>0.88700000000000001</v>
      </c>
      <c r="V171" s="408">
        <v>0.5</v>
      </c>
      <c r="W171" s="408">
        <v>6.3</v>
      </c>
      <c r="X171" s="408">
        <v>6.8</v>
      </c>
      <c r="Y171" s="408">
        <v>5.4</v>
      </c>
      <c r="Z171" s="408">
        <v>0.8</v>
      </c>
      <c r="AA171" s="408">
        <v>1.9</v>
      </c>
      <c r="AB171" s="408">
        <v>3.1</v>
      </c>
      <c r="AC171" s="408">
        <v>2</v>
      </c>
      <c r="AD171" s="408">
        <v>26.6</v>
      </c>
    </row>
    <row r="172" spans="1:30">
      <c r="A172">
        <v>142</v>
      </c>
      <c r="B172" s="1" t="s">
        <v>713</v>
      </c>
      <c r="C172" s="5" t="s">
        <v>46</v>
      </c>
      <c r="D172" s="408">
        <v>26</v>
      </c>
      <c r="E172" s="5" t="s">
        <v>357</v>
      </c>
      <c r="F172" s="408">
        <v>3</v>
      </c>
      <c r="G172" s="408">
        <v>0</v>
      </c>
      <c r="H172" s="408">
        <v>3</v>
      </c>
      <c r="I172" s="408">
        <v>0</v>
      </c>
      <c r="J172" s="408">
        <v>0.7</v>
      </c>
      <c r="K172" s="408">
        <v>0</v>
      </c>
      <c r="L172" s="408">
        <v>0</v>
      </c>
      <c r="M172" s="408">
        <v>0.7</v>
      </c>
      <c r="N172" s="5">
        <v>0</v>
      </c>
      <c r="O172" s="408">
        <v>0</v>
      </c>
      <c r="P172" s="408">
        <v>0</v>
      </c>
      <c r="Q172" s="408"/>
      <c r="R172" s="408">
        <v>0</v>
      </c>
      <c r="S172" s="408">
        <v>0</v>
      </c>
      <c r="T172" s="408">
        <v>0</v>
      </c>
      <c r="U172" s="408"/>
      <c r="V172" s="408">
        <v>0</v>
      </c>
      <c r="W172" s="408">
        <v>0.3</v>
      </c>
      <c r="X172" s="408">
        <v>0.3</v>
      </c>
      <c r="Y172" s="408">
        <v>0</v>
      </c>
      <c r="Z172" s="408">
        <v>0.3</v>
      </c>
      <c r="AA172" s="408">
        <v>0</v>
      </c>
      <c r="AB172" s="408">
        <v>0</v>
      </c>
      <c r="AC172" s="408">
        <v>0</v>
      </c>
      <c r="AD172" s="408">
        <v>0</v>
      </c>
    </row>
    <row r="173" spans="1:30">
      <c r="A173">
        <v>142</v>
      </c>
      <c r="B173" s="1" t="s">
        <v>713</v>
      </c>
      <c r="C173" s="5" t="s">
        <v>46</v>
      </c>
      <c r="D173" s="408">
        <v>26</v>
      </c>
      <c r="E173" s="5" t="s">
        <v>87</v>
      </c>
      <c r="F173" s="408">
        <v>2</v>
      </c>
      <c r="G173" s="408">
        <v>0</v>
      </c>
      <c r="H173" s="408">
        <v>3</v>
      </c>
      <c r="I173" s="408">
        <v>0</v>
      </c>
      <c r="J173" s="408">
        <v>0.5</v>
      </c>
      <c r="K173" s="408">
        <v>0</v>
      </c>
      <c r="L173" s="408">
        <v>0</v>
      </c>
      <c r="M173" s="408">
        <v>0.5</v>
      </c>
      <c r="N173" s="5">
        <v>0</v>
      </c>
      <c r="O173" s="408">
        <v>0</v>
      </c>
      <c r="P173" s="408">
        <v>0</v>
      </c>
      <c r="Q173" s="408"/>
      <c r="R173" s="408">
        <v>0</v>
      </c>
      <c r="S173" s="408">
        <v>0</v>
      </c>
      <c r="T173" s="408">
        <v>0</v>
      </c>
      <c r="U173" s="408"/>
      <c r="V173" s="408">
        <v>0</v>
      </c>
      <c r="W173" s="408">
        <v>0.5</v>
      </c>
      <c r="X173" s="408">
        <v>0.5</v>
      </c>
      <c r="Y173" s="408">
        <v>0</v>
      </c>
      <c r="Z173" s="408">
        <v>0.5</v>
      </c>
      <c r="AA173" s="408">
        <v>0</v>
      </c>
      <c r="AB173" s="408">
        <v>0</v>
      </c>
      <c r="AC173" s="408">
        <v>0</v>
      </c>
      <c r="AD173" s="408">
        <v>0</v>
      </c>
    </row>
    <row r="174" spans="1:30">
      <c r="A174">
        <v>142</v>
      </c>
      <c r="B174" s="1" t="s">
        <v>713</v>
      </c>
      <c r="C174" s="5" t="s">
        <v>46</v>
      </c>
      <c r="D174" s="408">
        <v>26</v>
      </c>
      <c r="E174" s="5" t="s">
        <v>43</v>
      </c>
      <c r="F174" s="408">
        <v>1</v>
      </c>
      <c r="G174" s="408">
        <v>0</v>
      </c>
      <c r="H174" s="408">
        <v>3</v>
      </c>
      <c r="I174" s="408">
        <v>0</v>
      </c>
      <c r="J174" s="408">
        <v>1</v>
      </c>
      <c r="K174" s="408">
        <v>0</v>
      </c>
      <c r="L174" s="408">
        <v>0</v>
      </c>
      <c r="M174" s="408">
        <v>1</v>
      </c>
      <c r="N174" s="5">
        <v>0</v>
      </c>
      <c r="O174" s="408">
        <v>0</v>
      </c>
      <c r="P174" s="408">
        <v>0</v>
      </c>
      <c r="Q174" s="408"/>
      <c r="R174" s="408">
        <v>0</v>
      </c>
      <c r="S174" s="408">
        <v>0</v>
      </c>
      <c r="T174" s="408">
        <v>0</v>
      </c>
      <c r="U174" s="408"/>
      <c r="V174" s="408">
        <v>0</v>
      </c>
      <c r="W174" s="408">
        <v>0</v>
      </c>
      <c r="X174" s="408">
        <v>0</v>
      </c>
      <c r="Y174" s="408">
        <v>0</v>
      </c>
      <c r="Z174" s="408">
        <v>0</v>
      </c>
      <c r="AA174" s="408">
        <v>0</v>
      </c>
      <c r="AB174" s="408">
        <v>0</v>
      </c>
      <c r="AC174" s="408">
        <v>0</v>
      </c>
      <c r="AD174" s="408">
        <v>0</v>
      </c>
    </row>
    <row r="175" spans="1:30">
      <c r="A175">
        <v>143</v>
      </c>
      <c r="B175" s="1" t="s">
        <v>614</v>
      </c>
      <c r="C175" s="5" t="s">
        <v>38</v>
      </c>
      <c r="D175" s="408">
        <v>21</v>
      </c>
      <c r="E175" s="5" t="s">
        <v>157</v>
      </c>
      <c r="F175" s="408">
        <v>28</v>
      </c>
      <c r="G175" s="408">
        <v>0</v>
      </c>
      <c r="H175" s="408">
        <v>6.2</v>
      </c>
      <c r="I175" s="408">
        <v>0.9</v>
      </c>
      <c r="J175" s="408">
        <v>3</v>
      </c>
      <c r="K175" s="408">
        <v>0.313</v>
      </c>
      <c r="L175" s="408">
        <v>0.3</v>
      </c>
      <c r="M175" s="408">
        <v>1.2</v>
      </c>
      <c r="N175" s="5">
        <v>0.27300000000000002</v>
      </c>
      <c r="O175" s="408">
        <v>0.6</v>
      </c>
      <c r="P175" s="408">
        <v>1.8</v>
      </c>
      <c r="Q175" s="408">
        <v>0.34</v>
      </c>
      <c r="R175" s="408">
        <v>0.36699999999999999</v>
      </c>
      <c r="S175" s="408">
        <v>0.3</v>
      </c>
      <c r="T175" s="408">
        <v>0.4</v>
      </c>
      <c r="U175" s="408">
        <v>0.7</v>
      </c>
      <c r="V175" s="408">
        <v>0.3</v>
      </c>
      <c r="W175" s="408">
        <v>1.4</v>
      </c>
      <c r="X175" s="408">
        <v>1.7</v>
      </c>
      <c r="Y175" s="408">
        <v>0.4</v>
      </c>
      <c r="Z175" s="408">
        <v>0.1</v>
      </c>
      <c r="AA175" s="408">
        <v>0</v>
      </c>
      <c r="AB175" s="408">
        <v>0.4</v>
      </c>
      <c r="AC175" s="408">
        <v>0.4</v>
      </c>
      <c r="AD175" s="408">
        <v>2.4</v>
      </c>
    </row>
    <row r="176" spans="1:30">
      <c r="A176">
        <v>144</v>
      </c>
      <c r="B176" s="1" t="s">
        <v>207</v>
      </c>
      <c r="C176" s="5" t="s">
        <v>26</v>
      </c>
      <c r="D176" s="408">
        <v>30</v>
      </c>
      <c r="E176" s="5" t="s">
        <v>50</v>
      </c>
      <c r="F176" s="408">
        <v>66</v>
      </c>
      <c r="G176" s="408">
        <v>2</v>
      </c>
      <c r="H176" s="408">
        <v>26.8</v>
      </c>
      <c r="I176" s="408">
        <v>3.7</v>
      </c>
      <c r="J176" s="408">
        <v>9.1999999999999993</v>
      </c>
      <c r="K176" s="408">
        <v>0.40300000000000002</v>
      </c>
      <c r="L176" s="408">
        <v>3</v>
      </c>
      <c r="M176" s="408">
        <v>7.7</v>
      </c>
      <c r="N176" s="5">
        <v>0.38900000000000001</v>
      </c>
      <c r="O176" s="408">
        <v>0.7</v>
      </c>
      <c r="P176" s="408">
        <v>1.5</v>
      </c>
      <c r="Q176" s="408">
        <v>0.47099999999999997</v>
      </c>
      <c r="R176" s="408">
        <v>0.56499999999999995</v>
      </c>
      <c r="S176" s="408">
        <v>0.9</v>
      </c>
      <c r="T176" s="408">
        <v>1.1000000000000001</v>
      </c>
      <c r="U176" s="408">
        <v>0.84499999999999997</v>
      </c>
      <c r="V176" s="408">
        <v>0.3</v>
      </c>
      <c r="W176" s="408">
        <v>2.7</v>
      </c>
      <c r="X176" s="408">
        <v>3</v>
      </c>
      <c r="Y176" s="408">
        <v>1.1000000000000001</v>
      </c>
      <c r="Z176" s="408">
        <v>0.7</v>
      </c>
      <c r="AA176" s="408">
        <v>0.1</v>
      </c>
      <c r="AB176" s="408">
        <v>0.7</v>
      </c>
      <c r="AC176" s="408">
        <v>1.2</v>
      </c>
      <c r="AD176" s="408">
        <v>11.3</v>
      </c>
    </row>
    <row r="177" spans="1:30">
      <c r="A177">
        <v>145</v>
      </c>
      <c r="B177" s="1" t="s">
        <v>424</v>
      </c>
      <c r="C177" s="5" t="s">
        <v>83</v>
      </c>
      <c r="D177" s="408">
        <v>23</v>
      </c>
      <c r="E177" s="5" t="s">
        <v>118</v>
      </c>
      <c r="F177" s="408">
        <v>58</v>
      </c>
      <c r="G177" s="408">
        <v>58</v>
      </c>
      <c r="H177" s="408">
        <v>31.3</v>
      </c>
      <c r="I177" s="408">
        <v>8.4</v>
      </c>
      <c r="J177" s="408">
        <v>17.3</v>
      </c>
      <c r="K177" s="408">
        <v>0.48399999999999999</v>
      </c>
      <c r="L177" s="408">
        <v>1.1000000000000001</v>
      </c>
      <c r="M177" s="408">
        <v>3.5</v>
      </c>
      <c r="N177" s="5">
        <v>0.315</v>
      </c>
      <c r="O177" s="408">
        <v>7.3</v>
      </c>
      <c r="P177" s="408">
        <v>13.8</v>
      </c>
      <c r="Q177" s="408">
        <v>0.52600000000000002</v>
      </c>
      <c r="R177" s="408">
        <v>0.51500000000000001</v>
      </c>
      <c r="S177" s="408">
        <v>5.8</v>
      </c>
      <c r="T177" s="408">
        <v>7.5</v>
      </c>
      <c r="U177" s="408">
        <v>0.76400000000000001</v>
      </c>
      <c r="V177" s="408">
        <v>2.4</v>
      </c>
      <c r="W177" s="408">
        <v>8.9</v>
      </c>
      <c r="X177" s="408">
        <v>11.2</v>
      </c>
      <c r="Y177" s="408">
        <v>3.2</v>
      </c>
      <c r="Z177" s="408">
        <v>0.6</v>
      </c>
      <c r="AA177" s="408">
        <v>1.8</v>
      </c>
      <c r="AB177" s="408">
        <v>3.9</v>
      </c>
      <c r="AC177" s="408">
        <v>3.4</v>
      </c>
      <c r="AD177" s="408">
        <v>23.6</v>
      </c>
    </row>
    <row r="178" spans="1:30">
      <c r="A178">
        <v>146</v>
      </c>
      <c r="B178" s="1" t="s">
        <v>163</v>
      </c>
      <c r="C178" s="5" t="s">
        <v>46</v>
      </c>
      <c r="D178" s="408">
        <v>27</v>
      </c>
      <c r="E178" s="5" t="s">
        <v>357</v>
      </c>
      <c r="F178" s="408">
        <v>61</v>
      </c>
      <c r="G178" s="408">
        <v>22</v>
      </c>
      <c r="H178" s="408">
        <v>23.2</v>
      </c>
      <c r="I178" s="408">
        <v>2.5</v>
      </c>
      <c r="J178" s="408">
        <v>5.3</v>
      </c>
      <c r="K178" s="408">
        <v>0.47699999999999998</v>
      </c>
      <c r="L178" s="408">
        <v>0.7</v>
      </c>
      <c r="M178" s="408">
        <v>2</v>
      </c>
      <c r="N178" s="5">
        <v>0.35199999999999998</v>
      </c>
      <c r="O178" s="408">
        <v>1.8</v>
      </c>
      <c r="P178" s="408">
        <v>3.2</v>
      </c>
      <c r="Q178" s="408">
        <v>0.55600000000000005</v>
      </c>
      <c r="R178" s="408">
        <v>0.54500000000000004</v>
      </c>
      <c r="S178" s="408">
        <v>1.5</v>
      </c>
      <c r="T178" s="408">
        <v>1.8</v>
      </c>
      <c r="U178" s="408">
        <v>0.85</v>
      </c>
      <c r="V178" s="408">
        <v>1.1000000000000001</v>
      </c>
      <c r="W178" s="408">
        <v>2.2000000000000002</v>
      </c>
      <c r="X178" s="408">
        <v>3.3</v>
      </c>
      <c r="Y178" s="408">
        <v>1</v>
      </c>
      <c r="Z178" s="408">
        <v>0.7</v>
      </c>
      <c r="AA178" s="408">
        <v>0.3</v>
      </c>
      <c r="AB178" s="408">
        <v>0.8</v>
      </c>
      <c r="AC178" s="408">
        <v>2</v>
      </c>
      <c r="AD178" s="408">
        <v>7.2</v>
      </c>
    </row>
    <row r="179" spans="1:30">
      <c r="A179">
        <v>146</v>
      </c>
      <c r="B179" s="1" t="s">
        <v>163</v>
      </c>
      <c r="C179" s="5" t="s">
        <v>46</v>
      </c>
      <c r="D179" s="408">
        <v>27</v>
      </c>
      <c r="E179" s="5" t="s">
        <v>128</v>
      </c>
      <c r="F179" s="408">
        <v>45</v>
      </c>
      <c r="G179" s="408">
        <v>14</v>
      </c>
      <c r="H179" s="408">
        <v>23.4</v>
      </c>
      <c r="I179" s="408">
        <v>2.4</v>
      </c>
      <c r="J179" s="408">
        <v>4.9000000000000004</v>
      </c>
      <c r="K179" s="408">
        <v>0.48599999999999999</v>
      </c>
      <c r="L179" s="408">
        <v>0.7</v>
      </c>
      <c r="M179" s="408">
        <v>1.9</v>
      </c>
      <c r="N179" s="5">
        <v>0.35699999999999998</v>
      </c>
      <c r="O179" s="408">
        <v>1.7</v>
      </c>
      <c r="P179" s="408">
        <v>3.1</v>
      </c>
      <c r="Q179" s="408">
        <v>0.56499999999999995</v>
      </c>
      <c r="R179" s="408">
        <v>0.55400000000000005</v>
      </c>
      <c r="S179" s="408">
        <v>1.4</v>
      </c>
      <c r="T179" s="408">
        <v>1.6</v>
      </c>
      <c r="U179" s="408">
        <v>0.877</v>
      </c>
      <c r="V179" s="408">
        <v>1.2</v>
      </c>
      <c r="W179" s="408">
        <v>2.2999999999999998</v>
      </c>
      <c r="X179" s="408">
        <v>3.5</v>
      </c>
      <c r="Y179" s="408">
        <v>1.1000000000000001</v>
      </c>
      <c r="Z179" s="408">
        <v>0.7</v>
      </c>
      <c r="AA179" s="408">
        <v>0.3</v>
      </c>
      <c r="AB179" s="408">
        <v>0.8</v>
      </c>
      <c r="AC179" s="408">
        <v>1.8</v>
      </c>
      <c r="AD179" s="408">
        <v>6.9</v>
      </c>
    </row>
    <row r="180" spans="1:30">
      <c r="A180">
        <v>146</v>
      </c>
      <c r="B180" s="1" t="s">
        <v>163</v>
      </c>
      <c r="C180" s="5" t="s">
        <v>46</v>
      </c>
      <c r="D180" s="408">
        <v>27</v>
      </c>
      <c r="E180" s="5" t="s">
        <v>157</v>
      </c>
      <c r="F180" s="408">
        <v>16</v>
      </c>
      <c r="G180" s="408">
        <v>8</v>
      </c>
      <c r="H180" s="408">
        <v>22.6</v>
      </c>
      <c r="I180" s="408">
        <v>2.8</v>
      </c>
      <c r="J180" s="408">
        <v>6.2</v>
      </c>
      <c r="K180" s="408">
        <v>0.45500000000000002</v>
      </c>
      <c r="L180" s="408">
        <v>0.9</v>
      </c>
      <c r="M180" s="408">
        <v>2.6</v>
      </c>
      <c r="N180" s="5">
        <v>0.34100000000000003</v>
      </c>
      <c r="O180" s="408">
        <v>1.9</v>
      </c>
      <c r="P180" s="408">
        <v>3.6</v>
      </c>
      <c r="Q180" s="408">
        <v>0.53400000000000003</v>
      </c>
      <c r="R180" s="408">
        <v>0.52500000000000002</v>
      </c>
      <c r="S180" s="408">
        <v>1.7</v>
      </c>
      <c r="T180" s="408">
        <v>2.1</v>
      </c>
      <c r="U180" s="408">
        <v>0.79400000000000004</v>
      </c>
      <c r="V180" s="408">
        <v>0.9</v>
      </c>
      <c r="W180" s="408">
        <v>2</v>
      </c>
      <c r="X180" s="408">
        <v>2.9</v>
      </c>
      <c r="Y180" s="408">
        <v>0.9</v>
      </c>
      <c r="Z180" s="408">
        <v>0.7</v>
      </c>
      <c r="AA180" s="408">
        <v>0.3</v>
      </c>
      <c r="AB180" s="408">
        <v>0.7</v>
      </c>
      <c r="AC180" s="408">
        <v>2.6</v>
      </c>
      <c r="AD180" s="408">
        <v>8.1999999999999993</v>
      </c>
    </row>
    <row r="181" spans="1:30">
      <c r="A181">
        <v>147</v>
      </c>
      <c r="B181" s="1" t="s">
        <v>538</v>
      </c>
      <c r="C181" s="5" t="s">
        <v>20</v>
      </c>
      <c r="D181" s="408">
        <v>23</v>
      </c>
      <c r="E181" s="5" t="s">
        <v>78</v>
      </c>
      <c r="F181" s="408">
        <v>43</v>
      </c>
      <c r="G181" s="408">
        <v>11</v>
      </c>
      <c r="H181" s="408">
        <v>10.5</v>
      </c>
      <c r="I181" s="408">
        <v>1.3</v>
      </c>
      <c r="J181" s="408">
        <v>3.2</v>
      </c>
      <c r="K181" s="408">
        <v>0.39600000000000002</v>
      </c>
      <c r="L181" s="408">
        <v>0.2</v>
      </c>
      <c r="M181" s="408">
        <v>0.9</v>
      </c>
      <c r="N181" s="5">
        <v>0.24299999999999999</v>
      </c>
      <c r="O181" s="408">
        <v>1.1000000000000001</v>
      </c>
      <c r="P181" s="408">
        <v>2.4</v>
      </c>
      <c r="Q181" s="408">
        <v>0.45100000000000001</v>
      </c>
      <c r="R181" s="408">
        <v>0.42799999999999999</v>
      </c>
      <c r="S181" s="408">
        <v>0.3</v>
      </c>
      <c r="T181" s="408">
        <v>0.5</v>
      </c>
      <c r="U181" s="408">
        <v>0.7</v>
      </c>
      <c r="V181" s="408">
        <v>0.3</v>
      </c>
      <c r="W181" s="408">
        <v>1.2</v>
      </c>
      <c r="X181" s="408">
        <v>1.4</v>
      </c>
      <c r="Y181" s="408">
        <v>1.5</v>
      </c>
      <c r="Z181" s="408">
        <v>0.4</v>
      </c>
      <c r="AA181" s="408">
        <v>0.1</v>
      </c>
      <c r="AB181" s="408">
        <v>0.5</v>
      </c>
      <c r="AC181" s="408">
        <v>1.3</v>
      </c>
      <c r="AD181" s="408">
        <v>3.1</v>
      </c>
    </row>
    <row r="182" spans="1:30">
      <c r="A182">
        <v>148</v>
      </c>
      <c r="B182" s="1" t="s">
        <v>518</v>
      </c>
      <c r="C182" s="5" t="s">
        <v>20</v>
      </c>
      <c r="D182" s="408">
        <v>21</v>
      </c>
      <c r="E182" s="5" t="s">
        <v>64</v>
      </c>
      <c r="F182" s="408">
        <v>44</v>
      </c>
      <c r="G182" s="408">
        <v>4</v>
      </c>
      <c r="H182" s="408">
        <v>17.399999999999999</v>
      </c>
      <c r="I182" s="408">
        <v>2</v>
      </c>
      <c r="J182" s="408">
        <v>5.7</v>
      </c>
      <c r="K182" s="408">
        <v>0.35299999999999998</v>
      </c>
      <c r="L182" s="408">
        <v>0.3</v>
      </c>
      <c r="M182" s="408">
        <v>1.2</v>
      </c>
      <c r="N182" s="5">
        <v>0.27800000000000002</v>
      </c>
      <c r="O182" s="408">
        <v>1.7</v>
      </c>
      <c r="P182" s="408">
        <v>4.5</v>
      </c>
      <c r="Q182" s="408">
        <v>0.374</v>
      </c>
      <c r="R182" s="408">
        <v>0.38300000000000001</v>
      </c>
      <c r="S182" s="408">
        <v>0.8</v>
      </c>
      <c r="T182" s="408">
        <v>1.1000000000000001</v>
      </c>
      <c r="U182" s="408">
        <v>0.78700000000000003</v>
      </c>
      <c r="V182" s="408">
        <v>0.2</v>
      </c>
      <c r="W182" s="408">
        <v>1.7</v>
      </c>
      <c r="X182" s="408">
        <v>1.9</v>
      </c>
      <c r="Y182" s="408">
        <v>2.2000000000000002</v>
      </c>
      <c r="Z182" s="408">
        <v>0.8</v>
      </c>
      <c r="AA182" s="408">
        <v>0.1</v>
      </c>
      <c r="AB182" s="408">
        <v>1</v>
      </c>
      <c r="AC182" s="408">
        <v>2.1</v>
      </c>
      <c r="AD182" s="408">
        <v>5.2</v>
      </c>
    </row>
    <row r="183" spans="1:30">
      <c r="A183">
        <v>149</v>
      </c>
      <c r="B183" s="1" t="s">
        <v>243</v>
      </c>
      <c r="C183" s="5" t="s">
        <v>20</v>
      </c>
      <c r="D183" s="408">
        <v>28</v>
      </c>
      <c r="E183" s="5" t="s">
        <v>128</v>
      </c>
      <c r="F183" s="408">
        <v>51</v>
      </c>
      <c r="G183" s="408">
        <v>31</v>
      </c>
      <c r="H183" s="408">
        <v>31.1</v>
      </c>
      <c r="I183" s="408">
        <v>7</v>
      </c>
      <c r="J183" s="408">
        <v>15.6</v>
      </c>
      <c r="K183" s="408">
        <v>0.45</v>
      </c>
      <c r="L183" s="408">
        <v>2.2000000000000002</v>
      </c>
      <c r="M183" s="408">
        <v>5.6</v>
      </c>
      <c r="N183" s="5">
        <v>0.39800000000000002</v>
      </c>
      <c r="O183" s="408">
        <v>4.8</v>
      </c>
      <c r="P183" s="408">
        <v>10.1</v>
      </c>
      <c r="Q183" s="408">
        <v>0.47899999999999998</v>
      </c>
      <c r="R183" s="408">
        <v>0.52100000000000002</v>
      </c>
      <c r="S183" s="408">
        <v>3.2</v>
      </c>
      <c r="T183" s="408">
        <v>4</v>
      </c>
      <c r="U183" s="408">
        <v>0.79500000000000004</v>
      </c>
      <c r="V183" s="408">
        <v>0.8</v>
      </c>
      <c r="W183" s="408">
        <v>4.2</v>
      </c>
      <c r="X183" s="408">
        <v>5.0999999999999996</v>
      </c>
      <c r="Y183" s="408">
        <v>5.2</v>
      </c>
      <c r="Z183" s="408">
        <v>1.1000000000000001</v>
      </c>
      <c r="AA183" s="408">
        <v>0.3</v>
      </c>
      <c r="AB183" s="408">
        <v>2.2000000000000002</v>
      </c>
      <c r="AC183" s="408">
        <v>1.8</v>
      </c>
      <c r="AD183" s="408">
        <v>19.5</v>
      </c>
    </row>
    <row r="184" spans="1:30">
      <c r="A184">
        <v>150</v>
      </c>
      <c r="B184" s="1" t="s">
        <v>37</v>
      </c>
      <c r="C184" s="5" t="s">
        <v>20</v>
      </c>
      <c r="D184" s="408">
        <v>22</v>
      </c>
      <c r="E184" s="5" t="s">
        <v>305</v>
      </c>
      <c r="F184" s="408">
        <v>2</v>
      </c>
      <c r="G184" s="408">
        <v>0</v>
      </c>
      <c r="H184" s="408">
        <v>13.5</v>
      </c>
      <c r="I184" s="408">
        <v>2</v>
      </c>
      <c r="J184" s="408">
        <v>5.5</v>
      </c>
      <c r="K184" s="408">
        <v>0.36399999999999999</v>
      </c>
      <c r="L184" s="408">
        <v>0</v>
      </c>
      <c r="M184" s="408">
        <v>1</v>
      </c>
      <c r="N184" s="5">
        <v>0</v>
      </c>
      <c r="O184" s="408">
        <v>2</v>
      </c>
      <c r="P184" s="408">
        <v>4.5</v>
      </c>
      <c r="Q184" s="408">
        <v>0.44400000000000001</v>
      </c>
      <c r="R184" s="408">
        <v>0.36399999999999999</v>
      </c>
      <c r="S184" s="408">
        <v>2</v>
      </c>
      <c r="T184" s="408">
        <v>3</v>
      </c>
      <c r="U184" s="408">
        <v>0.66700000000000004</v>
      </c>
      <c r="V184" s="408">
        <v>0.5</v>
      </c>
      <c r="W184" s="408">
        <v>1.5</v>
      </c>
      <c r="X184" s="408">
        <v>2</v>
      </c>
      <c r="Y184" s="408">
        <v>2</v>
      </c>
      <c r="Z184" s="408">
        <v>0.5</v>
      </c>
      <c r="AA184" s="408">
        <v>0</v>
      </c>
      <c r="AB184" s="408">
        <v>1.5</v>
      </c>
      <c r="AC184" s="408">
        <v>0.5</v>
      </c>
      <c r="AD184" s="408">
        <v>6</v>
      </c>
    </row>
    <row r="185" spans="1:30">
      <c r="A185">
        <v>151</v>
      </c>
      <c r="B185" s="1" t="s">
        <v>585</v>
      </c>
      <c r="C185" s="5" t="s">
        <v>38</v>
      </c>
      <c r="D185" s="408">
        <v>28</v>
      </c>
      <c r="E185" s="5" t="s">
        <v>61</v>
      </c>
      <c r="F185" s="408">
        <v>32</v>
      </c>
      <c r="G185" s="408">
        <v>7</v>
      </c>
      <c r="H185" s="408">
        <v>14.4</v>
      </c>
      <c r="I185" s="408">
        <v>2.4</v>
      </c>
      <c r="J185" s="408">
        <v>4.5999999999999996</v>
      </c>
      <c r="K185" s="408">
        <v>0.51400000000000001</v>
      </c>
      <c r="L185" s="408">
        <v>0</v>
      </c>
      <c r="M185" s="408">
        <v>0</v>
      </c>
      <c r="N185" s="5">
        <v>0</v>
      </c>
      <c r="O185" s="408">
        <v>2.4</v>
      </c>
      <c r="P185" s="408">
        <v>4.5999999999999996</v>
      </c>
      <c r="Q185" s="408">
        <v>0.51700000000000002</v>
      </c>
      <c r="R185" s="408">
        <v>0.51400000000000001</v>
      </c>
      <c r="S185" s="408">
        <v>1.1000000000000001</v>
      </c>
      <c r="T185" s="408">
        <v>1.6</v>
      </c>
      <c r="U185" s="408">
        <v>0.70599999999999996</v>
      </c>
      <c r="V185" s="408">
        <v>2.1</v>
      </c>
      <c r="W185" s="408">
        <v>2.7</v>
      </c>
      <c r="X185" s="408">
        <v>4.8</v>
      </c>
      <c r="Y185" s="408">
        <v>0.6</v>
      </c>
      <c r="Z185" s="408">
        <v>0.4</v>
      </c>
      <c r="AA185" s="408">
        <v>0.4</v>
      </c>
      <c r="AB185" s="408">
        <v>0.7</v>
      </c>
      <c r="AC185" s="408">
        <v>1.6</v>
      </c>
      <c r="AD185" s="408">
        <v>5.9</v>
      </c>
    </row>
    <row r="186" spans="1:30">
      <c r="A186">
        <v>152</v>
      </c>
      <c r="B186" s="1" t="s">
        <v>217</v>
      </c>
      <c r="C186" s="5" t="s">
        <v>83</v>
      </c>
      <c r="D186" s="408">
        <v>26</v>
      </c>
      <c r="E186" s="5" t="s">
        <v>305</v>
      </c>
      <c r="F186" s="408">
        <v>66</v>
      </c>
      <c r="G186" s="408">
        <v>66</v>
      </c>
      <c r="H186" s="408">
        <v>27.8</v>
      </c>
      <c r="I186" s="408">
        <v>5</v>
      </c>
      <c r="J186" s="408">
        <v>9</v>
      </c>
      <c r="K186" s="408">
        <v>0.55600000000000005</v>
      </c>
      <c r="L186" s="408">
        <v>0.2</v>
      </c>
      <c r="M186" s="408">
        <v>0.7</v>
      </c>
      <c r="N186" s="5">
        <v>0.22700000000000001</v>
      </c>
      <c r="O186" s="408">
        <v>4.8</v>
      </c>
      <c r="P186" s="408">
        <v>8.3000000000000007</v>
      </c>
      <c r="Q186" s="408">
        <v>0.58299999999999996</v>
      </c>
      <c r="R186" s="408">
        <v>0.56499999999999995</v>
      </c>
      <c r="S186" s="408">
        <v>1.8</v>
      </c>
      <c r="T186" s="408">
        <v>2.8</v>
      </c>
      <c r="U186" s="408">
        <v>0.66300000000000003</v>
      </c>
      <c r="V186" s="408">
        <v>2.6</v>
      </c>
      <c r="W186" s="408">
        <v>4.7</v>
      </c>
      <c r="X186" s="408">
        <v>7.2</v>
      </c>
      <c r="Y186" s="408">
        <v>1.3</v>
      </c>
      <c r="Z186" s="408">
        <v>0.8</v>
      </c>
      <c r="AA186" s="408">
        <v>1</v>
      </c>
      <c r="AB186" s="408">
        <v>1.2</v>
      </c>
      <c r="AC186" s="408">
        <v>2.1</v>
      </c>
      <c r="AD186" s="408">
        <v>12</v>
      </c>
    </row>
    <row r="187" spans="1:30">
      <c r="A187">
        <v>153</v>
      </c>
      <c r="B187" s="1" t="s">
        <v>320</v>
      </c>
      <c r="C187" s="5" t="s">
        <v>20</v>
      </c>
      <c r="D187" s="408">
        <v>22</v>
      </c>
      <c r="E187" s="5" t="s">
        <v>357</v>
      </c>
      <c r="F187" s="408">
        <v>15</v>
      </c>
      <c r="G187" s="408">
        <v>0</v>
      </c>
      <c r="H187" s="408">
        <v>9.1</v>
      </c>
      <c r="I187" s="408">
        <v>1.3</v>
      </c>
      <c r="J187" s="408">
        <v>4.5</v>
      </c>
      <c r="K187" s="408">
        <v>0.29399999999999998</v>
      </c>
      <c r="L187" s="408">
        <v>0.3</v>
      </c>
      <c r="M187" s="408">
        <v>1.3</v>
      </c>
      <c r="N187" s="5">
        <v>0.21099999999999999</v>
      </c>
      <c r="O187" s="408">
        <v>1.1000000000000001</v>
      </c>
      <c r="P187" s="408">
        <v>3.3</v>
      </c>
      <c r="Q187" s="408">
        <v>0.32700000000000001</v>
      </c>
      <c r="R187" s="408">
        <v>0.32400000000000001</v>
      </c>
      <c r="S187" s="408">
        <v>0.7</v>
      </c>
      <c r="T187" s="408">
        <v>0.8</v>
      </c>
      <c r="U187" s="408">
        <v>0.91700000000000004</v>
      </c>
      <c r="V187" s="408">
        <v>0.1</v>
      </c>
      <c r="W187" s="408">
        <v>0.9</v>
      </c>
      <c r="X187" s="408">
        <v>1</v>
      </c>
      <c r="Y187" s="408">
        <v>1.3</v>
      </c>
      <c r="Z187" s="408">
        <v>0.2</v>
      </c>
      <c r="AA187" s="408">
        <v>0.1</v>
      </c>
      <c r="AB187" s="408">
        <v>1.1000000000000001</v>
      </c>
      <c r="AC187" s="408">
        <v>0.7</v>
      </c>
      <c r="AD187" s="408">
        <v>3.7</v>
      </c>
    </row>
    <row r="188" spans="1:30">
      <c r="A188">
        <v>153</v>
      </c>
      <c r="B188" s="1" t="s">
        <v>320</v>
      </c>
      <c r="C188" s="5" t="s">
        <v>20</v>
      </c>
      <c r="D188" s="408">
        <v>22</v>
      </c>
      <c r="E188" s="5" t="s">
        <v>43</v>
      </c>
      <c r="F188" s="408">
        <v>14</v>
      </c>
      <c r="G188" s="408">
        <v>0</v>
      </c>
      <c r="H188" s="408">
        <v>9.6</v>
      </c>
      <c r="I188" s="408">
        <v>1.4</v>
      </c>
      <c r="J188" s="408">
        <v>4.7</v>
      </c>
      <c r="K188" s="408">
        <v>0.30299999999999999</v>
      </c>
      <c r="L188" s="408">
        <v>0.3</v>
      </c>
      <c r="M188" s="408">
        <v>1.3</v>
      </c>
      <c r="N188" s="5">
        <v>0.222</v>
      </c>
      <c r="O188" s="408">
        <v>1.1000000000000001</v>
      </c>
      <c r="P188" s="408">
        <v>3.4</v>
      </c>
      <c r="Q188" s="408">
        <v>0.33300000000000002</v>
      </c>
      <c r="R188" s="408">
        <v>0.33300000000000002</v>
      </c>
      <c r="S188" s="408">
        <v>0.8</v>
      </c>
      <c r="T188" s="408">
        <v>0.9</v>
      </c>
      <c r="U188" s="408">
        <v>0.91700000000000004</v>
      </c>
      <c r="V188" s="408">
        <v>0.1</v>
      </c>
      <c r="W188" s="408">
        <v>0.9</v>
      </c>
      <c r="X188" s="408">
        <v>1</v>
      </c>
      <c r="Y188" s="408">
        <v>1.4</v>
      </c>
      <c r="Z188" s="408">
        <v>0.2</v>
      </c>
      <c r="AA188" s="408">
        <v>0.1</v>
      </c>
      <c r="AB188" s="408">
        <v>1.1000000000000001</v>
      </c>
      <c r="AC188" s="408">
        <v>0.8</v>
      </c>
      <c r="AD188" s="408">
        <v>3.9</v>
      </c>
    </row>
    <row r="189" spans="1:30">
      <c r="A189">
        <v>153</v>
      </c>
      <c r="B189" s="1" t="s">
        <v>320</v>
      </c>
      <c r="C189" s="5" t="s">
        <v>20</v>
      </c>
      <c r="D189" s="408">
        <v>22</v>
      </c>
      <c r="E189" s="5" t="s">
        <v>157</v>
      </c>
      <c r="F189" s="408">
        <v>1</v>
      </c>
      <c r="G189" s="408">
        <v>0</v>
      </c>
      <c r="H189" s="408">
        <v>3</v>
      </c>
      <c r="I189" s="408">
        <v>0</v>
      </c>
      <c r="J189" s="408">
        <v>2</v>
      </c>
      <c r="K189" s="408">
        <v>0</v>
      </c>
      <c r="L189" s="408">
        <v>0</v>
      </c>
      <c r="M189" s="408">
        <v>1</v>
      </c>
      <c r="N189" s="5">
        <v>0</v>
      </c>
      <c r="O189" s="408">
        <v>0</v>
      </c>
      <c r="P189" s="408">
        <v>1</v>
      </c>
      <c r="Q189" s="408">
        <v>0</v>
      </c>
      <c r="R189" s="408">
        <v>0</v>
      </c>
      <c r="S189" s="408">
        <v>0</v>
      </c>
      <c r="T189" s="408">
        <v>0</v>
      </c>
      <c r="U189" s="408"/>
      <c r="V189" s="408">
        <v>1</v>
      </c>
      <c r="W189" s="408">
        <v>0</v>
      </c>
      <c r="X189" s="408">
        <v>1</v>
      </c>
      <c r="Y189" s="408">
        <v>0</v>
      </c>
      <c r="Z189" s="408">
        <v>0</v>
      </c>
      <c r="AA189" s="408">
        <v>0</v>
      </c>
      <c r="AB189" s="408">
        <v>1</v>
      </c>
      <c r="AC189" s="408">
        <v>0</v>
      </c>
      <c r="AD189" s="408">
        <v>0</v>
      </c>
    </row>
    <row r="190" spans="1:30">
      <c r="A190">
        <v>154</v>
      </c>
      <c r="B190" s="1" t="s">
        <v>605</v>
      </c>
      <c r="C190" s="5" t="s">
        <v>83</v>
      </c>
      <c r="D190" s="408">
        <v>25</v>
      </c>
      <c r="E190" s="5" t="s">
        <v>43</v>
      </c>
      <c r="F190" s="408">
        <v>44</v>
      </c>
      <c r="G190" s="408">
        <v>7</v>
      </c>
      <c r="H190" s="408">
        <v>15.7</v>
      </c>
      <c r="I190" s="408">
        <v>2</v>
      </c>
      <c r="J190" s="408">
        <v>3.3</v>
      </c>
      <c r="K190" s="408">
        <v>0.61099999999999999</v>
      </c>
      <c r="L190" s="408">
        <v>0</v>
      </c>
      <c r="M190" s="408">
        <v>0</v>
      </c>
      <c r="N190" s="5">
        <v>0</v>
      </c>
      <c r="O190" s="408">
        <v>2</v>
      </c>
      <c r="P190" s="408">
        <v>3.3</v>
      </c>
      <c r="Q190" s="408">
        <v>0.61499999999999999</v>
      </c>
      <c r="R190" s="408">
        <v>0.61099999999999999</v>
      </c>
      <c r="S190" s="408">
        <v>0.8</v>
      </c>
      <c r="T190" s="408">
        <v>1.3</v>
      </c>
      <c r="U190" s="408">
        <v>0.625</v>
      </c>
      <c r="V190" s="408">
        <v>1.1000000000000001</v>
      </c>
      <c r="W190" s="408">
        <v>2.1</v>
      </c>
      <c r="X190" s="408">
        <v>3.2</v>
      </c>
      <c r="Y190" s="408">
        <v>0.9</v>
      </c>
      <c r="Z190" s="408">
        <v>0.2</v>
      </c>
      <c r="AA190" s="408">
        <v>0.3</v>
      </c>
      <c r="AB190" s="408">
        <v>0.8</v>
      </c>
      <c r="AC190" s="408">
        <v>2</v>
      </c>
      <c r="AD190" s="408">
        <v>4.8</v>
      </c>
    </row>
    <row r="191" spans="1:30">
      <c r="A191">
        <v>155</v>
      </c>
      <c r="B191" s="1" t="s">
        <v>166</v>
      </c>
      <c r="C191" s="5" t="s">
        <v>20</v>
      </c>
      <c r="D191" s="408">
        <v>33</v>
      </c>
      <c r="E191" s="5" t="s">
        <v>58</v>
      </c>
      <c r="F191" s="408">
        <v>72</v>
      </c>
      <c r="G191" s="408">
        <v>2</v>
      </c>
      <c r="H191" s="408">
        <v>16.899999999999999</v>
      </c>
      <c r="I191" s="408">
        <v>2.8</v>
      </c>
      <c r="J191" s="408">
        <v>6.8</v>
      </c>
      <c r="K191" s="408">
        <v>0.41199999999999998</v>
      </c>
      <c r="L191" s="408">
        <v>1</v>
      </c>
      <c r="M191" s="408">
        <v>2.8</v>
      </c>
      <c r="N191" s="5">
        <v>0.35699999999999998</v>
      </c>
      <c r="O191" s="408">
        <v>1.8</v>
      </c>
      <c r="P191" s="408">
        <v>4</v>
      </c>
      <c r="Q191" s="408">
        <v>0.44900000000000001</v>
      </c>
      <c r="R191" s="408">
        <v>0.48499999999999999</v>
      </c>
      <c r="S191" s="408">
        <v>0.5</v>
      </c>
      <c r="T191" s="408">
        <v>0.6</v>
      </c>
      <c r="U191" s="408">
        <v>0.81</v>
      </c>
      <c r="V191" s="408">
        <v>0.3</v>
      </c>
      <c r="W191" s="408">
        <v>1.6</v>
      </c>
      <c r="X191" s="408">
        <v>2</v>
      </c>
      <c r="Y191" s="408">
        <v>2.7</v>
      </c>
      <c r="Z191" s="408">
        <v>0.6</v>
      </c>
      <c r="AA191" s="408">
        <v>0.2</v>
      </c>
      <c r="AB191" s="408">
        <v>0.9</v>
      </c>
      <c r="AC191" s="408">
        <v>1.1000000000000001</v>
      </c>
      <c r="AD191" s="408">
        <v>7</v>
      </c>
    </row>
    <row r="192" spans="1:30">
      <c r="A192">
        <v>156</v>
      </c>
      <c r="B192" s="1" t="s">
        <v>499</v>
      </c>
      <c r="C192" s="5" t="s">
        <v>26</v>
      </c>
      <c r="D192" s="408">
        <v>19</v>
      </c>
      <c r="E192" s="5" t="s">
        <v>58</v>
      </c>
      <c r="F192" s="408">
        <v>54</v>
      </c>
      <c r="G192" s="408">
        <v>12</v>
      </c>
      <c r="H192" s="408">
        <v>12.3</v>
      </c>
      <c r="I192" s="408">
        <v>1.1000000000000001</v>
      </c>
      <c r="J192" s="408">
        <v>2.7</v>
      </c>
      <c r="K192" s="408">
        <v>0.42199999999999999</v>
      </c>
      <c r="L192" s="408">
        <v>0.6</v>
      </c>
      <c r="M192" s="408">
        <v>1.8</v>
      </c>
      <c r="N192" s="5">
        <v>0.32300000000000001</v>
      </c>
      <c r="O192" s="408">
        <v>0.6</v>
      </c>
      <c r="P192" s="408">
        <v>0.9</v>
      </c>
      <c r="Q192" s="408">
        <v>0.625</v>
      </c>
      <c r="R192" s="408">
        <v>0.53100000000000003</v>
      </c>
      <c r="S192" s="408">
        <v>0.1</v>
      </c>
      <c r="T192" s="408">
        <v>0.1</v>
      </c>
      <c r="U192" s="408">
        <v>0.875</v>
      </c>
      <c r="V192" s="408">
        <v>0.3</v>
      </c>
      <c r="W192" s="408">
        <v>0.4</v>
      </c>
      <c r="X192" s="408">
        <v>0.8</v>
      </c>
      <c r="Y192" s="408">
        <v>0.3</v>
      </c>
      <c r="Z192" s="408">
        <v>0.4</v>
      </c>
      <c r="AA192" s="408">
        <v>0.2</v>
      </c>
      <c r="AB192" s="408">
        <v>0.2</v>
      </c>
      <c r="AC192" s="408">
        <v>1.4</v>
      </c>
      <c r="AD192" s="408">
        <v>3</v>
      </c>
    </row>
    <row r="193" spans="1:30">
      <c r="A193">
        <v>157</v>
      </c>
      <c r="B193" s="1" t="s">
        <v>205</v>
      </c>
      <c r="C193" s="5" t="s">
        <v>26</v>
      </c>
      <c r="D193" s="408">
        <v>24</v>
      </c>
      <c r="E193" s="5" t="s">
        <v>33</v>
      </c>
      <c r="F193" s="408">
        <v>70</v>
      </c>
      <c r="G193" s="408">
        <v>21</v>
      </c>
      <c r="H193" s="408">
        <v>29.1</v>
      </c>
      <c r="I193" s="408">
        <v>3.7</v>
      </c>
      <c r="J193" s="408">
        <v>8.6999999999999993</v>
      </c>
      <c r="K193" s="408">
        <v>0.42799999999999999</v>
      </c>
      <c r="L193" s="408">
        <v>1.6</v>
      </c>
      <c r="M193" s="408">
        <v>4.3</v>
      </c>
      <c r="N193" s="5">
        <v>0.38100000000000001</v>
      </c>
      <c r="O193" s="408">
        <v>2.1</v>
      </c>
      <c r="P193" s="408">
        <v>4.4000000000000004</v>
      </c>
      <c r="Q193" s="408">
        <v>0.47399999999999998</v>
      </c>
      <c r="R193" s="408">
        <v>0.52200000000000002</v>
      </c>
      <c r="S193" s="408">
        <v>1</v>
      </c>
      <c r="T193" s="408">
        <v>1.2</v>
      </c>
      <c r="U193" s="408">
        <v>0.81599999999999995</v>
      </c>
      <c r="V193" s="408">
        <v>0.4</v>
      </c>
      <c r="W193" s="408">
        <v>2.9</v>
      </c>
      <c r="X193" s="408">
        <v>3.2</v>
      </c>
      <c r="Y193" s="408">
        <v>2.4</v>
      </c>
      <c r="Z193" s="408">
        <v>0.8</v>
      </c>
      <c r="AA193" s="408">
        <v>0.1</v>
      </c>
      <c r="AB193" s="408">
        <v>1</v>
      </c>
      <c r="AC193" s="408">
        <v>2</v>
      </c>
      <c r="AD193" s="408">
        <v>10.1</v>
      </c>
    </row>
    <row r="194" spans="1:30">
      <c r="A194">
        <v>158</v>
      </c>
      <c r="B194" s="1" t="s">
        <v>491</v>
      </c>
      <c r="C194" s="5" t="s">
        <v>38</v>
      </c>
      <c r="D194" s="408">
        <v>24</v>
      </c>
      <c r="E194" s="5" t="s">
        <v>33</v>
      </c>
      <c r="F194" s="408">
        <v>11</v>
      </c>
      <c r="G194" s="408">
        <v>3</v>
      </c>
      <c r="H194" s="408">
        <v>14.2</v>
      </c>
      <c r="I194" s="408">
        <v>1.4</v>
      </c>
      <c r="J194" s="408">
        <v>3.2</v>
      </c>
      <c r="K194" s="408">
        <v>0.42899999999999999</v>
      </c>
      <c r="L194" s="408">
        <v>0.5</v>
      </c>
      <c r="M194" s="408">
        <v>1.9</v>
      </c>
      <c r="N194" s="5">
        <v>0.28599999999999998</v>
      </c>
      <c r="O194" s="408">
        <v>0.8</v>
      </c>
      <c r="P194" s="408">
        <v>1.3</v>
      </c>
      <c r="Q194" s="408">
        <v>0.64300000000000002</v>
      </c>
      <c r="R194" s="408">
        <v>0.51400000000000001</v>
      </c>
      <c r="S194" s="408">
        <v>0.5</v>
      </c>
      <c r="T194" s="408">
        <v>0.6</v>
      </c>
      <c r="U194" s="408">
        <v>0.71399999999999997</v>
      </c>
      <c r="V194" s="408">
        <v>1</v>
      </c>
      <c r="W194" s="408">
        <v>1.3</v>
      </c>
      <c r="X194" s="408">
        <v>2.2999999999999998</v>
      </c>
      <c r="Y194" s="408">
        <v>0.7</v>
      </c>
      <c r="Z194" s="408">
        <v>0.2</v>
      </c>
      <c r="AA194" s="408">
        <v>0.2</v>
      </c>
      <c r="AB194" s="408">
        <v>0.7</v>
      </c>
      <c r="AC194" s="408">
        <v>2</v>
      </c>
      <c r="AD194" s="408">
        <v>3.7</v>
      </c>
    </row>
    <row r="195" spans="1:30">
      <c r="A195">
        <v>159</v>
      </c>
      <c r="B195" s="1" t="s">
        <v>174</v>
      </c>
      <c r="C195" s="5" t="s">
        <v>26</v>
      </c>
      <c r="D195" s="408">
        <v>24</v>
      </c>
      <c r="E195" s="5" t="s">
        <v>140</v>
      </c>
      <c r="F195" s="408">
        <v>70</v>
      </c>
      <c r="G195" s="408">
        <v>12</v>
      </c>
      <c r="H195" s="408">
        <v>19.399999999999999</v>
      </c>
      <c r="I195" s="408">
        <v>2.7</v>
      </c>
      <c r="J195" s="408">
        <v>6.4</v>
      </c>
      <c r="K195" s="408">
        <v>0.42099999999999999</v>
      </c>
      <c r="L195" s="408">
        <v>1.2</v>
      </c>
      <c r="M195" s="408">
        <v>3.1</v>
      </c>
      <c r="N195" s="5">
        <v>0.38800000000000001</v>
      </c>
      <c r="O195" s="408">
        <v>1.5</v>
      </c>
      <c r="P195" s="408">
        <v>3.4</v>
      </c>
      <c r="Q195" s="408">
        <v>0.45100000000000001</v>
      </c>
      <c r="R195" s="408">
        <v>0.51300000000000001</v>
      </c>
      <c r="S195" s="408">
        <v>0.6</v>
      </c>
      <c r="T195" s="408">
        <v>0.9</v>
      </c>
      <c r="U195" s="408">
        <v>0.63900000000000001</v>
      </c>
      <c r="V195" s="408">
        <v>0.2</v>
      </c>
      <c r="W195" s="408">
        <v>1.3</v>
      </c>
      <c r="X195" s="408">
        <v>1.4</v>
      </c>
      <c r="Y195" s="408">
        <v>0.9</v>
      </c>
      <c r="Z195" s="408">
        <v>0.4</v>
      </c>
      <c r="AA195" s="408">
        <v>0</v>
      </c>
      <c r="AB195" s="408">
        <v>0.5</v>
      </c>
      <c r="AC195" s="408">
        <v>1.4</v>
      </c>
      <c r="AD195" s="408">
        <v>7.2</v>
      </c>
    </row>
    <row r="196" spans="1:30">
      <c r="A196">
        <v>160</v>
      </c>
      <c r="B196" s="1" t="s">
        <v>343</v>
      </c>
      <c r="C196" s="5" t="s">
        <v>46</v>
      </c>
      <c r="D196" s="408">
        <v>25</v>
      </c>
      <c r="E196" s="5" t="s">
        <v>75</v>
      </c>
      <c r="F196" s="408">
        <v>57</v>
      </c>
      <c r="G196" s="408">
        <v>57</v>
      </c>
      <c r="H196" s="408">
        <v>32.200000000000003</v>
      </c>
      <c r="I196" s="408">
        <v>6.5</v>
      </c>
      <c r="J196" s="408">
        <v>14.1</v>
      </c>
      <c r="K196" s="408">
        <v>0.45900000000000002</v>
      </c>
      <c r="L196" s="408">
        <v>2.2000000000000002</v>
      </c>
      <c r="M196" s="408">
        <v>5.9</v>
      </c>
      <c r="N196" s="5">
        <v>0.379</v>
      </c>
      <c r="O196" s="408">
        <v>4.2</v>
      </c>
      <c r="P196" s="408">
        <v>8.1999999999999993</v>
      </c>
      <c r="Q196" s="408">
        <v>0.51600000000000001</v>
      </c>
      <c r="R196" s="408">
        <v>0.53800000000000003</v>
      </c>
      <c r="S196" s="408">
        <v>2.6</v>
      </c>
      <c r="T196" s="408">
        <v>3</v>
      </c>
      <c r="U196" s="408">
        <v>0.86699999999999999</v>
      </c>
      <c r="V196" s="408">
        <v>0.4</v>
      </c>
      <c r="W196" s="408">
        <v>2.8</v>
      </c>
      <c r="X196" s="408">
        <v>3.2</v>
      </c>
      <c r="Y196" s="408">
        <v>2.9</v>
      </c>
      <c r="Z196" s="408">
        <v>0.8</v>
      </c>
      <c r="AA196" s="408">
        <v>0.3</v>
      </c>
      <c r="AB196" s="408">
        <v>1.7</v>
      </c>
      <c r="AC196" s="408">
        <v>2.4</v>
      </c>
      <c r="AD196" s="408">
        <v>17.8</v>
      </c>
    </row>
    <row r="197" spans="1:30">
      <c r="A197">
        <v>161</v>
      </c>
      <c r="B197" s="1" t="s">
        <v>503</v>
      </c>
      <c r="C197" s="5" t="s">
        <v>20</v>
      </c>
      <c r="D197" s="408">
        <v>20</v>
      </c>
      <c r="E197" s="5" t="s">
        <v>100</v>
      </c>
      <c r="F197" s="408">
        <v>63</v>
      </c>
      <c r="G197" s="408">
        <v>50</v>
      </c>
      <c r="H197" s="408">
        <v>27.5</v>
      </c>
      <c r="I197" s="408">
        <v>4.5</v>
      </c>
      <c r="J197" s="408">
        <v>10.7</v>
      </c>
      <c r="K197" s="408">
        <v>0.42099999999999999</v>
      </c>
      <c r="L197" s="408">
        <v>0.6</v>
      </c>
      <c r="M197" s="408">
        <v>1.9</v>
      </c>
      <c r="N197" s="5">
        <v>0.32800000000000001</v>
      </c>
      <c r="O197" s="408">
        <v>3.9</v>
      </c>
      <c r="P197" s="408">
        <v>8.8000000000000007</v>
      </c>
      <c r="Q197" s="408">
        <v>0.441</v>
      </c>
      <c r="R197" s="408">
        <v>0.45</v>
      </c>
      <c r="S197" s="408">
        <v>1.9</v>
      </c>
      <c r="T197" s="408">
        <v>2.7</v>
      </c>
      <c r="U197" s="408">
        <v>0.71399999999999997</v>
      </c>
      <c r="V197" s="408">
        <v>0.4</v>
      </c>
      <c r="W197" s="408">
        <v>2.1</v>
      </c>
      <c r="X197" s="408">
        <v>2.6</v>
      </c>
      <c r="Y197" s="408">
        <v>4.3</v>
      </c>
      <c r="Z197" s="408">
        <v>1</v>
      </c>
      <c r="AA197" s="408">
        <v>0.3</v>
      </c>
      <c r="AB197" s="408">
        <v>2.4</v>
      </c>
      <c r="AC197" s="408">
        <v>2.2000000000000002</v>
      </c>
      <c r="AD197" s="408">
        <v>11.6</v>
      </c>
    </row>
    <row r="198" spans="1:30">
      <c r="A198">
        <v>162</v>
      </c>
      <c r="B198" s="1" t="s">
        <v>81</v>
      </c>
      <c r="C198" s="5" t="s">
        <v>20</v>
      </c>
      <c r="D198" s="408">
        <v>27</v>
      </c>
      <c r="E198" s="5" t="s">
        <v>27</v>
      </c>
      <c r="F198" s="408">
        <v>52</v>
      </c>
      <c r="G198" s="408">
        <v>11</v>
      </c>
      <c r="H198" s="408">
        <v>14.8</v>
      </c>
      <c r="I198" s="408">
        <v>1.2</v>
      </c>
      <c r="J198" s="408">
        <v>3</v>
      </c>
      <c r="K198" s="408">
        <v>0.40400000000000003</v>
      </c>
      <c r="L198" s="408">
        <v>0.3</v>
      </c>
      <c r="M198" s="408">
        <v>1</v>
      </c>
      <c r="N198" s="5">
        <v>0.308</v>
      </c>
      <c r="O198" s="408">
        <v>0.9</v>
      </c>
      <c r="P198" s="408">
        <v>2</v>
      </c>
      <c r="Q198" s="408">
        <v>0.45200000000000001</v>
      </c>
      <c r="R198" s="408">
        <v>0.45500000000000002</v>
      </c>
      <c r="S198" s="408">
        <v>0.4</v>
      </c>
      <c r="T198" s="408">
        <v>0.5</v>
      </c>
      <c r="U198" s="408">
        <v>0.78600000000000003</v>
      </c>
      <c r="V198" s="408">
        <v>0.3</v>
      </c>
      <c r="W198" s="408">
        <v>1.7</v>
      </c>
      <c r="X198" s="408">
        <v>2</v>
      </c>
      <c r="Y198" s="408">
        <v>3.5</v>
      </c>
      <c r="Z198" s="408">
        <v>0.8</v>
      </c>
      <c r="AA198" s="408">
        <v>0.1</v>
      </c>
      <c r="AB198" s="408">
        <v>1.1000000000000001</v>
      </c>
      <c r="AC198" s="408">
        <v>1.7</v>
      </c>
      <c r="AD198" s="408">
        <v>3.2</v>
      </c>
    </row>
    <row r="199" spans="1:30">
      <c r="A199">
        <v>163</v>
      </c>
      <c r="B199" s="1" t="s">
        <v>103</v>
      </c>
      <c r="C199" s="5" t="s">
        <v>83</v>
      </c>
      <c r="D199" s="408">
        <v>34</v>
      </c>
      <c r="E199" s="5" t="s">
        <v>357</v>
      </c>
      <c r="F199" s="408">
        <v>45</v>
      </c>
      <c r="G199" s="408">
        <v>1</v>
      </c>
      <c r="H199" s="408">
        <v>12.4</v>
      </c>
      <c r="I199" s="408">
        <v>1.9</v>
      </c>
      <c r="J199" s="408">
        <v>3.8</v>
      </c>
      <c r="K199" s="408">
        <v>0.5</v>
      </c>
      <c r="L199" s="408">
        <v>0.7</v>
      </c>
      <c r="M199" s="408">
        <v>2</v>
      </c>
      <c r="N199" s="5">
        <v>0.34100000000000003</v>
      </c>
      <c r="O199" s="408">
        <v>1.2</v>
      </c>
      <c r="P199" s="408">
        <v>1.8</v>
      </c>
      <c r="Q199" s="408">
        <v>0.68400000000000005</v>
      </c>
      <c r="R199" s="408">
        <v>0.59099999999999997</v>
      </c>
      <c r="S199" s="408">
        <v>0.3</v>
      </c>
      <c r="T199" s="408">
        <v>0.3</v>
      </c>
      <c r="U199" s="408">
        <v>0.93300000000000005</v>
      </c>
      <c r="V199" s="408">
        <v>0.2</v>
      </c>
      <c r="W199" s="408">
        <v>2.2000000000000002</v>
      </c>
      <c r="X199" s="408">
        <v>2.4</v>
      </c>
      <c r="Y199" s="408">
        <v>0.6</v>
      </c>
      <c r="Z199" s="408">
        <v>0.4</v>
      </c>
      <c r="AA199" s="408">
        <v>0.3</v>
      </c>
      <c r="AB199" s="408">
        <v>0.4</v>
      </c>
      <c r="AC199" s="408">
        <v>1.2</v>
      </c>
      <c r="AD199" s="408">
        <v>4.8</v>
      </c>
    </row>
    <row r="200" spans="1:30">
      <c r="A200">
        <v>163</v>
      </c>
      <c r="B200" s="1" t="s">
        <v>103</v>
      </c>
      <c r="C200" s="5" t="s">
        <v>83</v>
      </c>
      <c r="D200" s="408">
        <v>34</v>
      </c>
      <c r="E200" s="5" t="s">
        <v>102</v>
      </c>
      <c r="F200" s="408">
        <v>44</v>
      </c>
      <c r="G200" s="408">
        <v>1</v>
      </c>
      <c r="H200" s="408">
        <v>12.4</v>
      </c>
      <c r="I200" s="408">
        <v>1.9</v>
      </c>
      <c r="J200" s="408">
        <v>3.8</v>
      </c>
      <c r="K200" s="408">
        <v>0.497</v>
      </c>
      <c r="L200" s="408">
        <v>0.7</v>
      </c>
      <c r="M200" s="408">
        <v>2</v>
      </c>
      <c r="N200" s="5">
        <v>0.33300000000000002</v>
      </c>
      <c r="O200" s="408">
        <v>1.2</v>
      </c>
      <c r="P200" s="408">
        <v>1.8</v>
      </c>
      <c r="Q200" s="408">
        <v>0.68400000000000005</v>
      </c>
      <c r="R200" s="408">
        <v>0.58599999999999997</v>
      </c>
      <c r="S200" s="408">
        <v>0.3</v>
      </c>
      <c r="T200" s="408">
        <v>0.3</v>
      </c>
      <c r="U200" s="408">
        <v>0.93300000000000005</v>
      </c>
      <c r="V200" s="408">
        <v>0.2</v>
      </c>
      <c r="W200" s="408">
        <v>2.2999999999999998</v>
      </c>
      <c r="X200" s="408">
        <v>2.5</v>
      </c>
      <c r="Y200" s="408">
        <v>0.6</v>
      </c>
      <c r="Z200" s="408">
        <v>0.4</v>
      </c>
      <c r="AA200" s="408">
        <v>0.3</v>
      </c>
      <c r="AB200" s="408">
        <v>0.4</v>
      </c>
      <c r="AC200" s="408">
        <v>1.2</v>
      </c>
      <c r="AD200" s="408">
        <v>4.8</v>
      </c>
    </row>
    <row r="201" spans="1:30">
      <c r="A201">
        <v>163</v>
      </c>
      <c r="B201" s="1" t="s">
        <v>103</v>
      </c>
      <c r="C201" s="5" t="s">
        <v>83</v>
      </c>
      <c r="D201" s="408">
        <v>34</v>
      </c>
      <c r="E201" s="5" t="s">
        <v>78</v>
      </c>
      <c r="F201" s="408">
        <v>1</v>
      </c>
      <c r="G201" s="408">
        <v>0</v>
      </c>
      <c r="H201" s="408">
        <v>11</v>
      </c>
      <c r="I201" s="408">
        <v>1</v>
      </c>
      <c r="J201" s="408">
        <v>1</v>
      </c>
      <c r="K201" s="408">
        <v>1</v>
      </c>
      <c r="L201" s="408">
        <v>1</v>
      </c>
      <c r="M201" s="408">
        <v>1</v>
      </c>
      <c r="N201" s="5">
        <v>1</v>
      </c>
      <c r="O201" s="408">
        <v>0</v>
      </c>
      <c r="P201" s="408">
        <v>0</v>
      </c>
      <c r="Q201" s="408"/>
      <c r="R201" s="408">
        <v>1.5</v>
      </c>
      <c r="S201" s="408">
        <v>0</v>
      </c>
      <c r="T201" s="408">
        <v>0</v>
      </c>
      <c r="U201" s="408"/>
      <c r="V201" s="408">
        <v>0</v>
      </c>
      <c r="W201" s="408">
        <v>0</v>
      </c>
      <c r="X201" s="408">
        <v>0</v>
      </c>
      <c r="Y201" s="408">
        <v>0</v>
      </c>
      <c r="Z201" s="408">
        <v>0</v>
      </c>
      <c r="AA201" s="408">
        <v>0</v>
      </c>
      <c r="AB201" s="408">
        <v>0</v>
      </c>
      <c r="AC201" s="408">
        <v>2</v>
      </c>
      <c r="AD201" s="408">
        <v>3</v>
      </c>
    </row>
    <row r="202" spans="1:30">
      <c r="A202">
        <v>164</v>
      </c>
      <c r="B202" s="1" t="s">
        <v>617</v>
      </c>
      <c r="C202" s="5" t="s">
        <v>26</v>
      </c>
      <c r="D202" s="408">
        <v>19</v>
      </c>
      <c r="E202" s="5" t="s">
        <v>118</v>
      </c>
      <c r="F202" s="408">
        <v>4</v>
      </c>
      <c r="G202" s="408">
        <v>0</v>
      </c>
      <c r="H202" s="408">
        <v>19</v>
      </c>
      <c r="I202" s="408">
        <v>2.2999999999999998</v>
      </c>
      <c r="J202" s="408">
        <v>6.8</v>
      </c>
      <c r="K202" s="408">
        <v>0.33300000000000002</v>
      </c>
      <c r="L202" s="408">
        <v>0</v>
      </c>
      <c r="M202" s="408">
        <v>0</v>
      </c>
      <c r="O202" s="408">
        <v>2.2999999999999998</v>
      </c>
      <c r="P202" s="408">
        <v>6.8</v>
      </c>
      <c r="Q202" s="408">
        <v>0.33300000000000002</v>
      </c>
      <c r="R202" s="408">
        <v>0.33300000000000002</v>
      </c>
      <c r="S202" s="408">
        <v>1.5</v>
      </c>
      <c r="T202" s="408">
        <v>3</v>
      </c>
      <c r="U202" s="408">
        <v>0.5</v>
      </c>
      <c r="V202" s="408">
        <v>0.8</v>
      </c>
      <c r="W202" s="408">
        <v>1.5</v>
      </c>
      <c r="X202" s="408">
        <v>2.2999999999999998</v>
      </c>
      <c r="Y202" s="408">
        <v>1.8</v>
      </c>
      <c r="Z202" s="408">
        <v>0.5</v>
      </c>
      <c r="AA202" s="408">
        <v>0.3</v>
      </c>
      <c r="AB202" s="408">
        <v>1.5</v>
      </c>
      <c r="AC202" s="408">
        <v>1.5</v>
      </c>
      <c r="AD202" s="408">
        <v>6</v>
      </c>
    </row>
    <row r="203" spans="1:30">
      <c r="A203">
        <v>165</v>
      </c>
      <c r="B203" s="1" t="s">
        <v>337</v>
      </c>
      <c r="C203" s="5" t="s">
        <v>46</v>
      </c>
      <c r="D203" s="408">
        <v>29</v>
      </c>
      <c r="E203" s="5" t="s">
        <v>64</v>
      </c>
      <c r="F203" s="408">
        <v>19</v>
      </c>
      <c r="G203" s="408">
        <v>19</v>
      </c>
      <c r="H203" s="408">
        <v>32.4</v>
      </c>
      <c r="I203" s="408">
        <v>5.2</v>
      </c>
      <c r="J203" s="408">
        <v>12.7</v>
      </c>
      <c r="K203" s="408">
        <v>0.40699999999999997</v>
      </c>
      <c r="L203" s="408">
        <v>1.8</v>
      </c>
      <c r="M203" s="408">
        <v>5.6</v>
      </c>
      <c r="N203" s="5">
        <v>0.32100000000000001</v>
      </c>
      <c r="O203" s="408">
        <v>3.4</v>
      </c>
      <c r="P203" s="408">
        <v>7.1</v>
      </c>
      <c r="Q203" s="408">
        <v>0.47399999999999998</v>
      </c>
      <c r="R203" s="408">
        <v>0.47699999999999998</v>
      </c>
      <c r="S203" s="408">
        <v>3.8</v>
      </c>
      <c r="T203" s="408">
        <v>4.0999999999999996</v>
      </c>
      <c r="U203" s="408">
        <v>0.94799999999999995</v>
      </c>
      <c r="V203" s="408">
        <v>0.4</v>
      </c>
      <c r="W203" s="408">
        <v>4.5</v>
      </c>
      <c r="X203" s="408">
        <v>4.9000000000000004</v>
      </c>
      <c r="Y203" s="408">
        <v>2.1</v>
      </c>
      <c r="Z203" s="408">
        <v>0.6</v>
      </c>
      <c r="AA203" s="408">
        <v>0.3</v>
      </c>
      <c r="AB203" s="408">
        <v>1.2</v>
      </c>
      <c r="AC203" s="408">
        <v>1.4</v>
      </c>
      <c r="AD203" s="408">
        <v>15.9</v>
      </c>
    </row>
    <row r="204" spans="1:30">
      <c r="A204">
        <v>166</v>
      </c>
      <c r="B204" s="1" t="s">
        <v>391</v>
      </c>
      <c r="C204" s="5" t="s">
        <v>26</v>
      </c>
      <c r="D204" s="408">
        <v>26</v>
      </c>
      <c r="E204" s="5" t="s">
        <v>157</v>
      </c>
      <c r="F204" s="408">
        <v>53</v>
      </c>
      <c r="G204" s="408">
        <v>2</v>
      </c>
      <c r="H204" s="408">
        <v>14.7</v>
      </c>
      <c r="I204" s="408">
        <v>2.2000000000000002</v>
      </c>
      <c r="J204" s="408">
        <v>5.7</v>
      </c>
      <c r="K204" s="408">
        <v>0.38</v>
      </c>
      <c r="L204" s="408">
        <v>1.3</v>
      </c>
      <c r="M204" s="408">
        <v>3.7</v>
      </c>
      <c r="N204" s="5">
        <v>0.34699999999999998</v>
      </c>
      <c r="O204" s="408">
        <v>0.9</v>
      </c>
      <c r="P204" s="408">
        <v>2</v>
      </c>
      <c r="Q204" s="408">
        <v>0.439</v>
      </c>
      <c r="R204" s="408">
        <v>0.49199999999999999</v>
      </c>
      <c r="S204" s="408">
        <v>0.5</v>
      </c>
      <c r="T204" s="408">
        <v>0.6</v>
      </c>
      <c r="U204" s="408">
        <v>0.79400000000000004</v>
      </c>
      <c r="V204" s="408">
        <v>0.2</v>
      </c>
      <c r="W204" s="408">
        <v>1.3</v>
      </c>
      <c r="X204" s="408">
        <v>1.5</v>
      </c>
      <c r="Y204" s="408">
        <v>1</v>
      </c>
      <c r="Z204" s="408">
        <v>0.6</v>
      </c>
      <c r="AA204" s="408">
        <v>0.1</v>
      </c>
      <c r="AB204" s="408">
        <v>0.3</v>
      </c>
      <c r="AC204" s="408">
        <v>0.7</v>
      </c>
      <c r="AD204" s="408">
        <v>6.1</v>
      </c>
    </row>
    <row r="205" spans="1:30">
      <c r="A205">
        <v>167</v>
      </c>
      <c r="B205" s="1" t="s">
        <v>375</v>
      </c>
      <c r="C205" s="5" t="s">
        <v>83</v>
      </c>
      <c r="D205" s="408">
        <v>33</v>
      </c>
      <c r="E205" s="5" t="s">
        <v>128</v>
      </c>
      <c r="F205" s="408">
        <v>65</v>
      </c>
      <c r="G205" s="408">
        <v>65</v>
      </c>
      <c r="H205" s="408">
        <v>33.799999999999997</v>
      </c>
      <c r="I205" s="408">
        <v>6.1</v>
      </c>
      <c r="J205" s="408">
        <v>14.6</v>
      </c>
      <c r="K205" s="408">
        <v>0.41599999999999998</v>
      </c>
      <c r="L205" s="408">
        <v>1.4</v>
      </c>
      <c r="M205" s="408">
        <v>4.4000000000000004</v>
      </c>
      <c r="N205" s="5">
        <v>0.32400000000000001</v>
      </c>
      <c r="O205" s="408">
        <v>4.5999999999999996</v>
      </c>
      <c r="P205" s="408">
        <v>10.199999999999999</v>
      </c>
      <c r="Q205" s="408">
        <v>0.45500000000000002</v>
      </c>
      <c r="R205" s="408">
        <v>0.46500000000000002</v>
      </c>
      <c r="S205" s="408">
        <v>4.2</v>
      </c>
      <c r="T205" s="408">
        <v>5</v>
      </c>
      <c r="U205" s="408">
        <v>0.83399999999999996</v>
      </c>
      <c r="V205" s="408">
        <v>1.1000000000000001</v>
      </c>
      <c r="W205" s="408">
        <v>7.3</v>
      </c>
      <c r="X205" s="408">
        <v>8.4</v>
      </c>
      <c r="Y205" s="408">
        <v>4.2</v>
      </c>
      <c r="Z205" s="408">
        <v>0.7</v>
      </c>
      <c r="AA205" s="408">
        <v>1.5</v>
      </c>
      <c r="AB205" s="408">
        <v>2.8</v>
      </c>
      <c r="AC205" s="408">
        <v>2.5</v>
      </c>
      <c r="AD205" s="408">
        <v>17.7</v>
      </c>
    </row>
    <row r="206" spans="1:30">
      <c r="A206">
        <v>168</v>
      </c>
      <c r="B206" s="1" t="s">
        <v>477</v>
      </c>
      <c r="C206" s="5" t="s">
        <v>83</v>
      </c>
      <c r="D206" s="408">
        <v>37</v>
      </c>
      <c r="E206" s="5" t="s">
        <v>140</v>
      </c>
      <c r="F206" s="408">
        <v>66</v>
      </c>
      <c r="G206" s="408">
        <v>59</v>
      </c>
      <c r="H206" s="408">
        <v>24.3</v>
      </c>
      <c r="I206" s="408">
        <v>3.8</v>
      </c>
      <c r="J206" s="408">
        <v>8.4</v>
      </c>
      <c r="K206" s="408">
        <v>0.45700000000000002</v>
      </c>
      <c r="L206" s="408">
        <v>0.6</v>
      </c>
      <c r="M206" s="408">
        <v>1.7</v>
      </c>
      <c r="N206" s="5">
        <v>0.376</v>
      </c>
      <c r="O206" s="408">
        <v>3.2</v>
      </c>
      <c r="P206" s="408">
        <v>6.8</v>
      </c>
      <c r="Q206" s="408">
        <v>0.47699999999999998</v>
      </c>
      <c r="R206" s="408">
        <v>0.49399999999999999</v>
      </c>
      <c r="S206" s="408">
        <v>2.1</v>
      </c>
      <c r="T206" s="408">
        <v>2.7</v>
      </c>
      <c r="U206" s="408">
        <v>0.77300000000000002</v>
      </c>
      <c r="V206" s="408">
        <v>1.6</v>
      </c>
      <c r="W206" s="408">
        <v>6.6</v>
      </c>
      <c r="X206" s="408">
        <v>8.1999999999999993</v>
      </c>
      <c r="Y206" s="408">
        <v>3.3</v>
      </c>
      <c r="Z206" s="408">
        <v>0.3</v>
      </c>
      <c r="AA206" s="408">
        <v>1.1000000000000001</v>
      </c>
      <c r="AB206" s="408">
        <v>1.5</v>
      </c>
      <c r="AC206" s="408">
        <v>1.5</v>
      </c>
      <c r="AD206" s="408">
        <v>10.4</v>
      </c>
    </row>
    <row r="207" spans="1:30">
      <c r="A207">
        <v>169</v>
      </c>
      <c r="B207" s="1" t="s">
        <v>482</v>
      </c>
      <c r="C207" s="5" t="s">
        <v>38</v>
      </c>
      <c r="D207" s="408">
        <v>31</v>
      </c>
      <c r="E207" s="5" t="s">
        <v>140</v>
      </c>
      <c r="F207" s="408">
        <v>46</v>
      </c>
      <c r="G207" s="408">
        <v>6</v>
      </c>
      <c r="H207" s="408">
        <v>21.5</v>
      </c>
      <c r="I207" s="408">
        <v>4.3</v>
      </c>
      <c r="J207" s="408">
        <v>9.1999999999999993</v>
      </c>
      <c r="K207" s="408">
        <v>0.46800000000000003</v>
      </c>
      <c r="L207" s="408">
        <v>0.7</v>
      </c>
      <c r="M207" s="408">
        <v>2</v>
      </c>
      <c r="N207" s="5">
        <v>0.32300000000000001</v>
      </c>
      <c r="O207" s="408">
        <v>3.7</v>
      </c>
      <c r="P207" s="408">
        <v>7.2</v>
      </c>
      <c r="Q207" s="408">
        <v>0.50900000000000001</v>
      </c>
      <c r="R207" s="408">
        <v>0.504</v>
      </c>
      <c r="S207" s="408">
        <v>1.9</v>
      </c>
      <c r="T207" s="408">
        <v>2.4</v>
      </c>
      <c r="U207" s="408">
        <v>0.79100000000000004</v>
      </c>
      <c r="V207" s="408">
        <v>1.2</v>
      </c>
      <c r="W207" s="408">
        <v>3.8</v>
      </c>
      <c r="X207" s="408">
        <v>5</v>
      </c>
      <c r="Y207" s="408">
        <v>1.3</v>
      </c>
      <c r="Z207" s="408">
        <v>0.7</v>
      </c>
      <c r="AA207" s="408">
        <v>0.7</v>
      </c>
      <c r="AB207" s="408">
        <v>1.5</v>
      </c>
      <c r="AC207" s="408">
        <v>1.8</v>
      </c>
      <c r="AD207" s="408">
        <v>11.2</v>
      </c>
    </row>
    <row r="208" spans="1:30">
      <c r="A208">
        <v>170</v>
      </c>
      <c r="B208" s="1" t="s">
        <v>307</v>
      </c>
      <c r="C208" s="5" t="s">
        <v>46</v>
      </c>
      <c r="D208" s="408">
        <v>27</v>
      </c>
      <c r="E208" s="5" t="s">
        <v>58</v>
      </c>
      <c r="F208" s="408">
        <v>69</v>
      </c>
      <c r="G208" s="408">
        <v>69</v>
      </c>
      <c r="H208" s="408">
        <v>36.4</v>
      </c>
      <c r="I208" s="408">
        <v>7.3</v>
      </c>
      <c r="J208" s="408">
        <v>16.8</v>
      </c>
      <c r="K208" s="408">
        <v>0.438</v>
      </c>
      <c r="L208" s="408">
        <v>3.1</v>
      </c>
      <c r="M208" s="408">
        <v>7.6</v>
      </c>
      <c r="N208" s="5">
        <v>0.40600000000000003</v>
      </c>
      <c r="O208" s="408">
        <v>4.3</v>
      </c>
      <c r="P208" s="408">
        <v>9.1999999999999993</v>
      </c>
      <c r="Q208" s="408">
        <v>0.46400000000000002</v>
      </c>
      <c r="R208" s="408">
        <v>0.53</v>
      </c>
      <c r="S208" s="408">
        <v>4</v>
      </c>
      <c r="T208" s="408">
        <v>5</v>
      </c>
      <c r="U208" s="408">
        <v>0.80800000000000005</v>
      </c>
      <c r="V208" s="408">
        <v>0.9</v>
      </c>
      <c r="W208" s="408">
        <v>4.7</v>
      </c>
      <c r="X208" s="408">
        <v>5.6</v>
      </c>
      <c r="Y208" s="408">
        <v>3.4</v>
      </c>
      <c r="Z208" s="408">
        <v>2.1</v>
      </c>
      <c r="AA208" s="408">
        <v>0.5</v>
      </c>
      <c r="AB208" s="408">
        <v>2.7</v>
      </c>
      <c r="AC208" s="408">
        <v>2.9</v>
      </c>
      <c r="AD208" s="408">
        <v>21.8</v>
      </c>
    </row>
    <row r="209" spans="1:30">
      <c r="A209">
        <v>171</v>
      </c>
      <c r="B209" s="1" t="s">
        <v>0</v>
      </c>
      <c r="C209" s="5" t="s">
        <v>26</v>
      </c>
      <c r="D209" s="408">
        <v>23</v>
      </c>
      <c r="E209" s="5" t="s">
        <v>56</v>
      </c>
      <c r="F209" s="408">
        <v>39</v>
      </c>
      <c r="G209" s="408">
        <v>0</v>
      </c>
      <c r="H209" s="408">
        <v>5.2</v>
      </c>
      <c r="I209" s="408">
        <v>0.4</v>
      </c>
      <c r="J209" s="408">
        <v>1.1000000000000001</v>
      </c>
      <c r="K209" s="408">
        <v>0.40500000000000003</v>
      </c>
      <c r="L209" s="408">
        <v>0.1</v>
      </c>
      <c r="M209" s="408">
        <v>0.4</v>
      </c>
      <c r="N209" s="5">
        <v>0.214</v>
      </c>
      <c r="O209" s="408">
        <v>0.4</v>
      </c>
      <c r="P209" s="408">
        <v>0.7</v>
      </c>
      <c r="Q209" s="408">
        <v>0.5</v>
      </c>
      <c r="R209" s="408">
        <v>0.44</v>
      </c>
      <c r="S209" s="408">
        <v>0.2</v>
      </c>
      <c r="T209" s="408">
        <v>0.4</v>
      </c>
      <c r="U209" s="408">
        <v>0.5</v>
      </c>
      <c r="V209" s="408">
        <v>0.2</v>
      </c>
      <c r="W209" s="408">
        <v>0.2</v>
      </c>
      <c r="X209" s="408">
        <v>0.4</v>
      </c>
      <c r="Y209" s="408">
        <v>0.2</v>
      </c>
      <c r="Z209" s="408">
        <v>0.1</v>
      </c>
      <c r="AA209" s="408">
        <v>0</v>
      </c>
      <c r="AB209" s="408">
        <v>0.1</v>
      </c>
      <c r="AC209" s="408">
        <v>0.8</v>
      </c>
      <c r="AD209" s="408">
        <v>1.2</v>
      </c>
    </row>
    <row r="210" spans="1:30">
      <c r="A210">
        <v>172</v>
      </c>
      <c r="B210" s="1" t="s">
        <v>10</v>
      </c>
      <c r="C210" s="5" t="s">
        <v>38</v>
      </c>
      <c r="D210" s="408">
        <v>32</v>
      </c>
      <c r="E210" s="5" t="s">
        <v>56</v>
      </c>
      <c r="F210" s="408">
        <v>71</v>
      </c>
      <c r="G210" s="408">
        <v>71</v>
      </c>
      <c r="H210" s="408">
        <v>33.4</v>
      </c>
      <c r="I210" s="408">
        <v>5.2</v>
      </c>
      <c r="J210" s="408">
        <v>9.1</v>
      </c>
      <c r="K210" s="408">
        <v>0.57899999999999996</v>
      </c>
      <c r="L210" s="408">
        <v>0.1</v>
      </c>
      <c r="M210" s="408">
        <v>0.5</v>
      </c>
      <c r="N210" s="5">
        <v>0.21199999999999999</v>
      </c>
      <c r="O210" s="408">
        <v>5.0999999999999996</v>
      </c>
      <c r="P210" s="408">
        <v>8.6</v>
      </c>
      <c r="Q210" s="408">
        <v>0.59799999999999998</v>
      </c>
      <c r="R210" s="408">
        <v>0.58399999999999996</v>
      </c>
      <c r="S210" s="408">
        <v>1.7</v>
      </c>
      <c r="T210" s="408">
        <v>2.2000000000000002</v>
      </c>
      <c r="U210" s="408">
        <v>0.76100000000000001</v>
      </c>
      <c r="V210" s="408">
        <v>2.4</v>
      </c>
      <c r="W210" s="408">
        <v>4.7</v>
      </c>
      <c r="X210" s="408">
        <v>7.1</v>
      </c>
      <c r="Y210" s="408">
        <v>1.3</v>
      </c>
      <c r="Z210" s="408">
        <v>0.8</v>
      </c>
      <c r="AA210" s="408">
        <v>0.7</v>
      </c>
      <c r="AB210" s="408">
        <v>1.1000000000000001</v>
      </c>
      <c r="AC210" s="408">
        <v>2.7</v>
      </c>
      <c r="AD210" s="408">
        <v>12.2</v>
      </c>
    </row>
    <row r="211" spans="1:30">
      <c r="A211">
        <v>173</v>
      </c>
      <c r="B211" s="1" t="s">
        <v>418</v>
      </c>
      <c r="C211" s="5" t="s">
        <v>26</v>
      </c>
      <c r="D211" s="408">
        <v>40</v>
      </c>
      <c r="E211" s="5" t="s">
        <v>140</v>
      </c>
      <c r="F211" s="408">
        <v>55</v>
      </c>
      <c r="G211" s="408">
        <v>0</v>
      </c>
      <c r="H211" s="408">
        <v>20.100000000000001</v>
      </c>
      <c r="I211" s="408">
        <v>3.1</v>
      </c>
      <c r="J211" s="408">
        <v>7.2</v>
      </c>
      <c r="K211" s="408">
        <v>0.433</v>
      </c>
      <c r="L211" s="408">
        <v>0.9</v>
      </c>
      <c r="M211" s="408">
        <v>3</v>
      </c>
      <c r="N211" s="5">
        <v>0.315</v>
      </c>
      <c r="O211" s="408">
        <v>2.2000000000000002</v>
      </c>
      <c r="P211" s="408">
        <v>4.2</v>
      </c>
      <c r="Q211" s="408">
        <v>0.51700000000000002</v>
      </c>
      <c r="R211" s="408">
        <v>0.499</v>
      </c>
      <c r="S211" s="408">
        <v>1.6</v>
      </c>
      <c r="T211" s="408">
        <v>1.9</v>
      </c>
      <c r="U211" s="408">
        <v>0.84899999999999998</v>
      </c>
      <c r="V211" s="408">
        <v>0.3</v>
      </c>
      <c r="W211" s="408">
        <v>1.8</v>
      </c>
      <c r="X211" s="408">
        <v>2.1</v>
      </c>
      <c r="Y211" s="408">
        <v>2.5</v>
      </c>
      <c r="Z211" s="408">
        <v>0.7</v>
      </c>
      <c r="AA211" s="408">
        <v>0.3</v>
      </c>
      <c r="AB211" s="408">
        <v>1.7</v>
      </c>
      <c r="AC211" s="408">
        <v>1.9</v>
      </c>
      <c r="AD211" s="408">
        <v>8.8000000000000007</v>
      </c>
    </row>
    <row r="212" spans="1:30">
      <c r="A212">
        <v>174</v>
      </c>
      <c r="B212" s="1" t="s">
        <v>588</v>
      </c>
      <c r="C212" s="5" t="s">
        <v>83</v>
      </c>
      <c r="D212" s="408">
        <v>25</v>
      </c>
      <c r="E212" s="5" t="s">
        <v>305</v>
      </c>
      <c r="F212" s="408">
        <v>44</v>
      </c>
      <c r="G212" s="408">
        <v>44</v>
      </c>
      <c r="H212" s="408">
        <v>32.299999999999997</v>
      </c>
      <c r="I212" s="408">
        <v>5.0999999999999996</v>
      </c>
      <c r="J212" s="408">
        <v>8.1999999999999993</v>
      </c>
      <c r="K212" s="408">
        <v>0.61899999999999999</v>
      </c>
      <c r="L212" s="408">
        <v>0</v>
      </c>
      <c r="M212" s="408">
        <v>0</v>
      </c>
      <c r="O212" s="408">
        <v>5.0999999999999996</v>
      </c>
      <c r="P212" s="408">
        <v>8.1999999999999993</v>
      </c>
      <c r="Q212" s="408">
        <v>0.61899999999999999</v>
      </c>
      <c r="R212" s="408">
        <v>0.61899999999999999</v>
      </c>
      <c r="S212" s="408">
        <v>3.9</v>
      </c>
      <c r="T212" s="408">
        <v>5.6</v>
      </c>
      <c r="U212" s="408">
        <v>0.69399999999999995</v>
      </c>
      <c r="V212" s="408">
        <v>2.9</v>
      </c>
      <c r="W212" s="408">
        <v>7.8</v>
      </c>
      <c r="X212" s="408">
        <v>10.7</v>
      </c>
      <c r="Y212" s="408">
        <v>1.3</v>
      </c>
      <c r="Z212" s="408">
        <v>0.7</v>
      </c>
      <c r="AA212" s="408">
        <v>2.2999999999999998</v>
      </c>
      <c r="AB212" s="408">
        <v>1.8</v>
      </c>
      <c r="AC212" s="408">
        <v>2.7</v>
      </c>
      <c r="AD212" s="408">
        <v>14</v>
      </c>
    </row>
    <row r="213" spans="1:30">
      <c r="A213">
        <v>175</v>
      </c>
      <c r="B213" s="1" t="s">
        <v>242</v>
      </c>
      <c r="C213" s="5" t="s">
        <v>38</v>
      </c>
      <c r="D213" s="408">
        <v>22</v>
      </c>
      <c r="E213" s="5" t="s">
        <v>75</v>
      </c>
      <c r="F213" s="408">
        <v>47</v>
      </c>
      <c r="G213" s="408">
        <v>46</v>
      </c>
      <c r="H213" s="408">
        <v>33.700000000000003</v>
      </c>
      <c r="I213" s="408">
        <v>6.6</v>
      </c>
      <c r="J213" s="408">
        <v>15</v>
      </c>
      <c r="K213" s="408">
        <v>0.443</v>
      </c>
      <c r="L213" s="408">
        <v>2</v>
      </c>
      <c r="M213" s="408">
        <v>5.8</v>
      </c>
      <c r="N213" s="5">
        <v>0.34799999999999998</v>
      </c>
      <c r="O213" s="408">
        <v>4.5999999999999996</v>
      </c>
      <c r="P213" s="408">
        <v>9.1999999999999993</v>
      </c>
      <c r="Q213" s="408">
        <v>0.503</v>
      </c>
      <c r="R213" s="408">
        <v>0.51100000000000001</v>
      </c>
      <c r="S213" s="408">
        <v>3</v>
      </c>
      <c r="T213" s="408">
        <v>4.2</v>
      </c>
      <c r="U213" s="408">
        <v>0.70199999999999996</v>
      </c>
      <c r="V213" s="408">
        <v>1.7</v>
      </c>
      <c r="W213" s="408">
        <v>6.7</v>
      </c>
      <c r="X213" s="408">
        <v>8.4</v>
      </c>
      <c r="Y213" s="408">
        <v>2.2999999999999998</v>
      </c>
      <c r="Z213" s="408">
        <v>0.9</v>
      </c>
      <c r="AA213" s="408">
        <v>0.8</v>
      </c>
      <c r="AB213" s="408">
        <v>1.9</v>
      </c>
      <c r="AC213" s="408">
        <v>2</v>
      </c>
      <c r="AD213" s="408">
        <v>18.3</v>
      </c>
    </row>
    <row r="214" spans="1:30">
      <c r="A214">
        <v>176</v>
      </c>
      <c r="B214" s="1" t="s">
        <v>289</v>
      </c>
      <c r="C214" s="5" t="s">
        <v>26</v>
      </c>
      <c r="D214" s="408">
        <v>29</v>
      </c>
      <c r="E214" s="5" t="s">
        <v>92</v>
      </c>
      <c r="F214" s="408">
        <v>61</v>
      </c>
      <c r="G214" s="408">
        <v>25</v>
      </c>
      <c r="H214" s="408">
        <v>31.3</v>
      </c>
      <c r="I214" s="408">
        <v>5.9</v>
      </c>
      <c r="J214" s="408">
        <v>14.1</v>
      </c>
      <c r="K214" s="408">
        <v>0.42199999999999999</v>
      </c>
      <c r="L214" s="408">
        <v>3.1</v>
      </c>
      <c r="M214" s="408">
        <v>8.8000000000000007</v>
      </c>
      <c r="N214" s="5">
        <v>0.35299999999999998</v>
      </c>
      <c r="O214" s="408">
        <v>2.8</v>
      </c>
      <c r="P214" s="408">
        <v>5.2</v>
      </c>
      <c r="Q214" s="408">
        <v>0.53800000000000003</v>
      </c>
      <c r="R214" s="408">
        <v>0.53300000000000003</v>
      </c>
      <c r="S214" s="408">
        <v>3</v>
      </c>
      <c r="T214" s="408">
        <v>3.7</v>
      </c>
      <c r="U214" s="408">
        <v>0.81799999999999995</v>
      </c>
      <c r="V214" s="408">
        <v>0.4</v>
      </c>
      <c r="W214" s="408">
        <v>2.1</v>
      </c>
      <c r="X214" s="408">
        <v>2.5</v>
      </c>
      <c r="Y214" s="408">
        <v>2.2000000000000002</v>
      </c>
      <c r="Z214" s="408">
        <v>0.6</v>
      </c>
      <c r="AA214" s="408">
        <v>0.4</v>
      </c>
      <c r="AB214" s="408">
        <v>1.9</v>
      </c>
      <c r="AC214" s="408">
        <v>1.7</v>
      </c>
      <c r="AD214" s="408">
        <v>18</v>
      </c>
    </row>
    <row r="215" spans="1:30">
      <c r="A215">
        <v>177</v>
      </c>
      <c r="B215" s="1" t="s">
        <v>604</v>
      </c>
      <c r="C215" s="5" t="s">
        <v>83</v>
      </c>
      <c r="D215" s="408">
        <v>33</v>
      </c>
      <c r="E215" s="5" t="s">
        <v>27</v>
      </c>
      <c r="F215" s="408">
        <v>70</v>
      </c>
      <c r="G215" s="408">
        <v>70</v>
      </c>
      <c r="H215" s="408">
        <v>25.5</v>
      </c>
      <c r="I215" s="408">
        <v>3.6</v>
      </c>
      <c r="J215" s="408">
        <v>6.9</v>
      </c>
      <c r="K215" s="408">
        <v>0.51700000000000002</v>
      </c>
      <c r="L215" s="408">
        <v>0</v>
      </c>
      <c r="M215" s="408">
        <v>0</v>
      </c>
      <c r="O215" s="408">
        <v>3.6</v>
      </c>
      <c r="P215" s="408">
        <v>6.9</v>
      </c>
      <c r="Q215" s="408">
        <v>0.51700000000000002</v>
      </c>
      <c r="R215" s="408">
        <v>0.51700000000000002</v>
      </c>
      <c r="S215" s="408">
        <v>1.4</v>
      </c>
      <c r="T215" s="408">
        <v>2.1</v>
      </c>
      <c r="U215" s="408">
        <v>0.66700000000000004</v>
      </c>
      <c r="V215" s="408">
        <v>2.2000000000000002</v>
      </c>
      <c r="W215" s="408">
        <v>5.4</v>
      </c>
      <c r="X215" s="408">
        <v>7.6</v>
      </c>
      <c r="Y215" s="408">
        <v>1.8</v>
      </c>
      <c r="Z215" s="408">
        <v>0.5</v>
      </c>
      <c r="AA215" s="408">
        <v>0.8</v>
      </c>
      <c r="AB215" s="408">
        <v>1.2</v>
      </c>
      <c r="AC215" s="408">
        <v>2.1</v>
      </c>
      <c r="AD215" s="408">
        <v>8.5</v>
      </c>
    </row>
    <row r="216" spans="1:30">
      <c r="A216">
        <v>178</v>
      </c>
      <c r="B216" s="1" t="s">
        <v>133</v>
      </c>
      <c r="C216" s="5" t="s">
        <v>26</v>
      </c>
      <c r="D216" s="408">
        <v>24</v>
      </c>
      <c r="E216" s="5" t="s">
        <v>311</v>
      </c>
      <c r="F216" s="408">
        <v>58</v>
      </c>
      <c r="G216" s="408">
        <v>2</v>
      </c>
      <c r="H216" s="408">
        <v>16.899999999999999</v>
      </c>
      <c r="I216" s="408">
        <v>1.6</v>
      </c>
      <c r="J216" s="408">
        <v>3.6</v>
      </c>
      <c r="K216" s="408">
        <v>0.442</v>
      </c>
      <c r="L216" s="408">
        <v>0.7</v>
      </c>
      <c r="M216" s="408">
        <v>1.6</v>
      </c>
      <c r="N216" s="5">
        <v>0.42899999999999999</v>
      </c>
      <c r="O216" s="408">
        <v>0.9</v>
      </c>
      <c r="P216" s="408">
        <v>2</v>
      </c>
      <c r="Q216" s="408">
        <v>0.45300000000000001</v>
      </c>
      <c r="R216" s="408">
        <v>0.53600000000000003</v>
      </c>
      <c r="S216" s="408">
        <v>0.7</v>
      </c>
      <c r="T216" s="408">
        <v>0.9</v>
      </c>
      <c r="U216" s="408">
        <v>0.72699999999999998</v>
      </c>
      <c r="V216" s="408">
        <v>0.6</v>
      </c>
      <c r="W216" s="408">
        <v>1.3</v>
      </c>
      <c r="X216" s="408">
        <v>2</v>
      </c>
      <c r="Y216" s="408">
        <v>0.9</v>
      </c>
      <c r="Z216" s="408">
        <v>0.5</v>
      </c>
      <c r="AA216" s="408">
        <v>0</v>
      </c>
      <c r="AB216" s="408">
        <v>0.4</v>
      </c>
      <c r="AC216" s="408">
        <v>1.7</v>
      </c>
      <c r="AD216" s="408">
        <v>4.5</v>
      </c>
    </row>
    <row r="217" spans="1:30">
      <c r="A217">
        <v>179</v>
      </c>
      <c r="B217" s="1" t="s">
        <v>173</v>
      </c>
      <c r="C217" s="5" t="s">
        <v>38</v>
      </c>
      <c r="D217" s="408">
        <v>23</v>
      </c>
      <c r="E217" s="5" t="s">
        <v>58</v>
      </c>
      <c r="F217" s="408">
        <v>71</v>
      </c>
      <c r="G217" s="408">
        <v>1</v>
      </c>
      <c r="H217" s="408">
        <v>20.6</v>
      </c>
      <c r="I217" s="408">
        <v>3</v>
      </c>
      <c r="J217" s="408">
        <v>5.7</v>
      </c>
      <c r="K217" s="408">
        <v>0.52600000000000002</v>
      </c>
      <c r="L217" s="408">
        <v>0.4</v>
      </c>
      <c r="M217" s="408">
        <v>1.4</v>
      </c>
      <c r="N217" s="5">
        <v>0.27300000000000002</v>
      </c>
      <c r="O217" s="408">
        <v>2.6</v>
      </c>
      <c r="P217" s="408">
        <v>4.3</v>
      </c>
      <c r="Q217" s="408">
        <v>0.60899999999999999</v>
      </c>
      <c r="R217" s="408">
        <v>0.56000000000000005</v>
      </c>
      <c r="S217" s="408">
        <v>1.8</v>
      </c>
      <c r="T217" s="408">
        <v>2.8</v>
      </c>
      <c r="U217" s="408">
        <v>0.64300000000000002</v>
      </c>
      <c r="V217" s="408">
        <v>1.1000000000000001</v>
      </c>
      <c r="W217" s="408">
        <v>2.9</v>
      </c>
      <c r="X217" s="408">
        <v>4.0999999999999996</v>
      </c>
      <c r="Y217" s="408">
        <v>0.7</v>
      </c>
      <c r="Z217" s="408">
        <v>0.4</v>
      </c>
      <c r="AA217" s="408">
        <v>0.9</v>
      </c>
      <c r="AB217" s="408">
        <v>0.7</v>
      </c>
      <c r="AC217" s="408">
        <v>2</v>
      </c>
      <c r="AD217" s="408">
        <v>8.1999999999999993</v>
      </c>
    </row>
    <row r="218" spans="1:30">
      <c r="A218">
        <v>180</v>
      </c>
      <c r="B218" s="1" t="s">
        <v>450</v>
      </c>
      <c r="C218" s="5" t="s">
        <v>20</v>
      </c>
      <c r="D218" s="408">
        <v>25</v>
      </c>
      <c r="E218" s="5" t="s">
        <v>43</v>
      </c>
      <c r="F218" s="408">
        <v>62</v>
      </c>
      <c r="G218" s="408">
        <v>26</v>
      </c>
      <c r="H218" s="408">
        <v>22.5</v>
      </c>
      <c r="I218" s="408">
        <v>2.7</v>
      </c>
      <c r="J218" s="408">
        <v>6.5</v>
      </c>
      <c r="K218" s="408">
        <v>0.42299999999999999</v>
      </c>
      <c r="L218" s="408">
        <v>0.8</v>
      </c>
      <c r="M218" s="408">
        <v>2.4</v>
      </c>
      <c r="N218" s="5">
        <v>0.34</v>
      </c>
      <c r="O218" s="408">
        <v>1.9</v>
      </c>
      <c r="P218" s="408">
        <v>4.0999999999999996</v>
      </c>
      <c r="Q218" s="408">
        <v>0.47</v>
      </c>
      <c r="R218" s="408">
        <v>0.48499999999999999</v>
      </c>
      <c r="S218" s="408">
        <v>2</v>
      </c>
      <c r="T218" s="408">
        <v>2.6</v>
      </c>
      <c r="U218" s="408">
        <v>0.75800000000000001</v>
      </c>
      <c r="V218" s="408">
        <v>0.5</v>
      </c>
      <c r="W218" s="408">
        <v>2</v>
      </c>
      <c r="X218" s="408">
        <v>2.5</v>
      </c>
      <c r="Y218" s="408">
        <v>4.7</v>
      </c>
      <c r="Z218" s="408">
        <v>0.8</v>
      </c>
      <c r="AA218" s="408">
        <v>0.1</v>
      </c>
      <c r="AB218" s="408">
        <v>1.2</v>
      </c>
      <c r="AC218" s="408">
        <v>1.7</v>
      </c>
      <c r="AD218" s="408">
        <v>8.1999999999999993</v>
      </c>
    </row>
    <row r="219" spans="1:30">
      <c r="A219">
        <v>181</v>
      </c>
      <c r="B219" s="1" t="s">
        <v>837</v>
      </c>
      <c r="C219" s="5" t="s">
        <v>20</v>
      </c>
      <c r="D219" s="408">
        <v>24</v>
      </c>
      <c r="E219" s="5" t="s">
        <v>313</v>
      </c>
      <c r="F219" s="408">
        <v>5</v>
      </c>
      <c r="G219" s="408">
        <v>0</v>
      </c>
      <c r="H219" s="408">
        <v>17.2</v>
      </c>
      <c r="I219" s="408">
        <v>2.2000000000000002</v>
      </c>
      <c r="J219" s="408">
        <v>8.1999999999999993</v>
      </c>
      <c r="K219" s="408">
        <v>0.26800000000000002</v>
      </c>
      <c r="L219" s="408">
        <v>0.6</v>
      </c>
      <c r="M219" s="408">
        <v>2.6</v>
      </c>
      <c r="N219" s="5">
        <v>0.23100000000000001</v>
      </c>
      <c r="O219" s="408">
        <v>1.6</v>
      </c>
      <c r="P219" s="408">
        <v>5.6</v>
      </c>
      <c r="Q219" s="408">
        <v>0.28599999999999998</v>
      </c>
      <c r="R219" s="408">
        <v>0.30499999999999999</v>
      </c>
      <c r="S219" s="408">
        <v>1.4</v>
      </c>
      <c r="T219" s="408">
        <v>2.2000000000000002</v>
      </c>
      <c r="U219" s="408">
        <v>0.63600000000000001</v>
      </c>
      <c r="V219" s="408">
        <v>0.4</v>
      </c>
      <c r="W219" s="408">
        <v>1.6</v>
      </c>
      <c r="X219" s="408">
        <v>2</v>
      </c>
      <c r="Y219" s="408">
        <v>2.4</v>
      </c>
      <c r="Z219" s="408">
        <v>1.6</v>
      </c>
      <c r="AA219" s="408">
        <v>0.4</v>
      </c>
      <c r="AB219" s="408">
        <v>1.4</v>
      </c>
      <c r="AC219" s="408">
        <v>1.6</v>
      </c>
      <c r="AD219" s="408">
        <v>6.4</v>
      </c>
    </row>
    <row r="220" spans="1:30">
      <c r="A220">
        <v>182</v>
      </c>
      <c r="B220" s="1" t="s">
        <v>371</v>
      </c>
      <c r="C220" s="5" t="s">
        <v>26</v>
      </c>
      <c r="D220" s="408">
        <v>30</v>
      </c>
      <c r="E220" s="5" t="s">
        <v>140</v>
      </c>
      <c r="F220" s="408">
        <v>59</v>
      </c>
      <c r="G220" s="408">
        <v>52</v>
      </c>
      <c r="H220" s="408">
        <v>25.9</v>
      </c>
      <c r="I220" s="408">
        <v>3.2</v>
      </c>
      <c r="J220" s="408">
        <v>8.1</v>
      </c>
      <c r="K220" s="408">
        <v>0.39700000000000002</v>
      </c>
      <c r="L220" s="408">
        <v>1.7</v>
      </c>
      <c r="M220" s="408">
        <v>4.5999999999999996</v>
      </c>
      <c r="N220" s="5">
        <v>0.374</v>
      </c>
      <c r="O220" s="408">
        <v>1.5</v>
      </c>
      <c r="P220" s="408">
        <v>3.5</v>
      </c>
      <c r="Q220" s="408">
        <v>0.42699999999999999</v>
      </c>
      <c r="R220" s="408">
        <v>0.503</v>
      </c>
      <c r="S220" s="408">
        <v>0.6</v>
      </c>
      <c r="T220" s="408">
        <v>0.8</v>
      </c>
      <c r="U220" s="408">
        <v>0.77600000000000002</v>
      </c>
      <c r="V220" s="408">
        <v>0.6</v>
      </c>
      <c r="W220" s="408">
        <v>3</v>
      </c>
      <c r="X220" s="408">
        <v>3.6</v>
      </c>
      <c r="Y220" s="408">
        <v>1.6</v>
      </c>
      <c r="Z220" s="408">
        <v>0.9</v>
      </c>
      <c r="AA220" s="408">
        <v>1.1000000000000001</v>
      </c>
      <c r="AB220" s="408">
        <v>1</v>
      </c>
      <c r="AC220" s="408">
        <v>1.6</v>
      </c>
      <c r="AD220" s="408">
        <v>8.8000000000000007</v>
      </c>
    </row>
    <row r="221" spans="1:30">
      <c r="A221">
        <v>183</v>
      </c>
      <c r="B221" s="1" t="s">
        <v>396</v>
      </c>
      <c r="C221" s="5" t="s">
        <v>38</v>
      </c>
      <c r="D221" s="408">
        <v>27</v>
      </c>
      <c r="E221" s="5" t="s">
        <v>73</v>
      </c>
      <c r="F221" s="408">
        <v>62</v>
      </c>
      <c r="G221" s="408">
        <v>62</v>
      </c>
      <c r="H221" s="408">
        <v>32.9</v>
      </c>
      <c r="I221" s="408">
        <v>4.0999999999999996</v>
      </c>
      <c r="J221" s="408">
        <v>9.1</v>
      </c>
      <c r="K221" s="408">
        <v>0.45100000000000001</v>
      </c>
      <c r="L221" s="408">
        <v>1.1000000000000001</v>
      </c>
      <c r="M221" s="408">
        <v>3.7</v>
      </c>
      <c r="N221" s="5">
        <v>0.3</v>
      </c>
      <c r="O221" s="408">
        <v>3</v>
      </c>
      <c r="P221" s="408">
        <v>5.4</v>
      </c>
      <c r="Q221" s="408">
        <v>0.55500000000000005</v>
      </c>
      <c r="R221" s="408">
        <v>0.51200000000000001</v>
      </c>
      <c r="S221" s="408">
        <v>1.9</v>
      </c>
      <c r="T221" s="408">
        <v>2.5</v>
      </c>
      <c r="U221" s="408">
        <v>0.76800000000000002</v>
      </c>
      <c r="V221" s="408">
        <v>1.2</v>
      </c>
      <c r="W221" s="408">
        <v>6.7</v>
      </c>
      <c r="X221" s="408">
        <v>7.9</v>
      </c>
      <c r="Y221" s="408">
        <v>7.3</v>
      </c>
      <c r="Z221" s="408">
        <v>1.4</v>
      </c>
      <c r="AA221" s="408">
        <v>1.4</v>
      </c>
      <c r="AB221" s="408">
        <v>2.8</v>
      </c>
      <c r="AC221" s="408">
        <v>2.6</v>
      </c>
      <c r="AD221" s="408">
        <v>11.3</v>
      </c>
    </row>
    <row r="222" spans="1:30">
      <c r="A222">
        <v>184</v>
      </c>
      <c r="B222" s="1" t="s">
        <v>234</v>
      </c>
      <c r="C222" s="5" t="s">
        <v>26</v>
      </c>
      <c r="D222" s="408">
        <v>32</v>
      </c>
      <c r="E222" s="5" t="s">
        <v>92</v>
      </c>
      <c r="F222" s="408">
        <v>29</v>
      </c>
      <c r="G222" s="408">
        <v>0</v>
      </c>
      <c r="H222" s="408">
        <v>21.3</v>
      </c>
      <c r="I222" s="408">
        <v>3.8</v>
      </c>
      <c r="J222" s="408">
        <v>9.6</v>
      </c>
      <c r="K222" s="408">
        <v>0.40100000000000002</v>
      </c>
      <c r="L222" s="408">
        <v>2.6</v>
      </c>
      <c r="M222" s="408">
        <v>6.9</v>
      </c>
      <c r="N222" s="5">
        <v>0.377</v>
      </c>
      <c r="O222" s="408">
        <v>1.2</v>
      </c>
      <c r="P222" s="408">
        <v>2.7</v>
      </c>
      <c r="Q222" s="408">
        <v>0.46200000000000002</v>
      </c>
      <c r="R222" s="408">
        <v>0.53600000000000003</v>
      </c>
      <c r="S222" s="408">
        <v>1.1000000000000001</v>
      </c>
      <c r="T222" s="408">
        <v>1.4</v>
      </c>
      <c r="U222" s="408">
        <v>0.78</v>
      </c>
      <c r="V222" s="408">
        <v>0.4</v>
      </c>
      <c r="W222" s="408">
        <v>2.6</v>
      </c>
      <c r="X222" s="408">
        <v>3</v>
      </c>
      <c r="Y222" s="408">
        <v>0.4</v>
      </c>
      <c r="Z222" s="408">
        <v>0.6</v>
      </c>
      <c r="AA222" s="408">
        <v>0.4</v>
      </c>
      <c r="AB222" s="408">
        <v>0.6</v>
      </c>
      <c r="AC222" s="408">
        <v>2.1</v>
      </c>
      <c r="AD222" s="408">
        <v>11.3</v>
      </c>
    </row>
    <row r="223" spans="1:30">
      <c r="A223">
        <v>185</v>
      </c>
      <c r="B223" s="1" t="s">
        <v>471</v>
      </c>
      <c r="C223" s="5" t="s">
        <v>38</v>
      </c>
      <c r="D223" s="408">
        <v>27</v>
      </c>
      <c r="E223" s="5" t="s">
        <v>128</v>
      </c>
      <c r="F223" s="408">
        <v>49</v>
      </c>
      <c r="G223" s="408">
        <v>48</v>
      </c>
      <c r="H223" s="408">
        <v>27.9</v>
      </c>
      <c r="I223" s="408">
        <v>4.0999999999999996</v>
      </c>
      <c r="J223" s="408">
        <v>9</v>
      </c>
      <c r="K223" s="408">
        <v>0.45800000000000002</v>
      </c>
      <c r="L223" s="408">
        <v>0.7</v>
      </c>
      <c r="M223" s="408">
        <v>2.2999999999999998</v>
      </c>
      <c r="N223" s="5">
        <v>0.32100000000000001</v>
      </c>
      <c r="O223" s="408">
        <v>3.4</v>
      </c>
      <c r="P223" s="408">
        <v>6.7</v>
      </c>
      <c r="Q223" s="408">
        <v>0.505</v>
      </c>
      <c r="R223" s="408">
        <v>0.499</v>
      </c>
      <c r="S223" s="408">
        <v>1.5</v>
      </c>
      <c r="T223" s="408">
        <v>2.1</v>
      </c>
      <c r="U223" s="408">
        <v>0.73299999999999998</v>
      </c>
      <c r="V223" s="408">
        <v>2.8</v>
      </c>
      <c r="W223" s="408">
        <v>5.6</v>
      </c>
      <c r="X223" s="408">
        <v>8.3000000000000007</v>
      </c>
      <c r="Y223" s="408">
        <v>1.5</v>
      </c>
      <c r="Z223" s="408">
        <v>0.7</v>
      </c>
      <c r="AA223" s="408">
        <v>0.4</v>
      </c>
      <c r="AB223" s="408">
        <v>1.4</v>
      </c>
      <c r="AC223" s="408">
        <v>2.7</v>
      </c>
      <c r="AD223" s="408">
        <v>10.5</v>
      </c>
    </row>
    <row r="224" spans="1:30">
      <c r="A224">
        <v>186</v>
      </c>
      <c r="B224" s="1" t="s">
        <v>209</v>
      </c>
      <c r="C224" s="5" t="s">
        <v>38</v>
      </c>
      <c r="D224" s="408">
        <v>31</v>
      </c>
      <c r="E224" s="5" t="s">
        <v>102</v>
      </c>
      <c r="F224" s="408">
        <v>67</v>
      </c>
      <c r="G224" s="408">
        <v>5</v>
      </c>
      <c r="H224" s="408">
        <v>22.9</v>
      </c>
      <c r="I224" s="408">
        <v>3.7</v>
      </c>
      <c r="J224" s="408">
        <v>7.9</v>
      </c>
      <c r="K224" s="408">
        <v>0.47599999999999998</v>
      </c>
      <c r="L224" s="408">
        <v>0.6</v>
      </c>
      <c r="M224" s="408">
        <v>2</v>
      </c>
      <c r="N224" s="5">
        <v>0.29399999999999998</v>
      </c>
      <c r="O224" s="408">
        <v>3.1</v>
      </c>
      <c r="P224" s="408">
        <v>5.8</v>
      </c>
      <c r="Q224" s="408">
        <v>0.54</v>
      </c>
      <c r="R224" s="408">
        <v>0.51400000000000001</v>
      </c>
      <c r="S224" s="408">
        <v>2.6</v>
      </c>
      <c r="T224" s="408">
        <v>3</v>
      </c>
      <c r="U224" s="408">
        <v>0.86299999999999999</v>
      </c>
      <c r="V224" s="408">
        <v>0.8</v>
      </c>
      <c r="W224" s="408">
        <v>2.5</v>
      </c>
      <c r="X224" s="408">
        <v>3.3</v>
      </c>
      <c r="Y224" s="408">
        <v>1.3</v>
      </c>
      <c r="Z224" s="408">
        <v>0.5</v>
      </c>
      <c r="AA224" s="408">
        <v>0.4</v>
      </c>
      <c r="AB224" s="408">
        <v>1</v>
      </c>
      <c r="AC224" s="408">
        <v>1.9</v>
      </c>
      <c r="AD224" s="408">
        <v>10.7</v>
      </c>
    </row>
    <row r="225" spans="1:30">
      <c r="A225">
        <v>187</v>
      </c>
      <c r="B225" s="1" t="s">
        <v>335</v>
      </c>
      <c r="C225" s="5" t="s">
        <v>38</v>
      </c>
      <c r="D225" s="408">
        <v>28</v>
      </c>
      <c r="E225" s="5" t="s">
        <v>357</v>
      </c>
      <c r="F225" s="408">
        <v>54</v>
      </c>
      <c r="G225" s="408">
        <v>54</v>
      </c>
      <c r="H225" s="408">
        <v>34.200000000000003</v>
      </c>
      <c r="I225" s="408">
        <v>7.6</v>
      </c>
      <c r="J225" s="408">
        <v>17.399999999999999</v>
      </c>
      <c r="K225" s="408">
        <v>0.433</v>
      </c>
      <c r="L225" s="408">
        <v>1.9</v>
      </c>
      <c r="M225" s="408">
        <v>5.6</v>
      </c>
      <c r="N225" s="5">
        <v>0.34300000000000003</v>
      </c>
      <c r="O225" s="408">
        <v>5.6</v>
      </c>
      <c r="P225" s="408">
        <v>11.9</v>
      </c>
      <c r="Q225" s="408">
        <v>0.47499999999999998</v>
      </c>
      <c r="R225" s="408">
        <v>0.48799999999999999</v>
      </c>
      <c r="S225" s="408">
        <v>4.5999999999999996</v>
      </c>
      <c r="T225" s="408">
        <v>5.9</v>
      </c>
      <c r="U225" s="408">
        <v>0.78700000000000003</v>
      </c>
      <c r="V225" s="408">
        <v>1.3</v>
      </c>
      <c r="W225" s="408">
        <v>6.1</v>
      </c>
      <c r="X225" s="408">
        <v>7.4</v>
      </c>
      <c r="Y225" s="408">
        <v>5.6</v>
      </c>
      <c r="Z225" s="408">
        <v>0.7</v>
      </c>
      <c r="AA225" s="408">
        <v>0.3</v>
      </c>
      <c r="AB225" s="408">
        <v>2.9</v>
      </c>
      <c r="AC225" s="408">
        <v>2.4</v>
      </c>
      <c r="AD225" s="408">
        <v>21.7</v>
      </c>
    </row>
    <row r="226" spans="1:30">
      <c r="A226">
        <v>187</v>
      </c>
      <c r="B226" s="1" t="s">
        <v>335</v>
      </c>
      <c r="C226" s="5" t="s">
        <v>38</v>
      </c>
      <c r="D226" s="408">
        <v>28</v>
      </c>
      <c r="E226" s="5" t="s">
        <v>64</v>
      </c>
      <c r="F226" s="408">
        <v>33</v>
      </c>
      <c r="G226" s="408">
        <v>33</v>
      </c>
      <c r="H226" s="408">
        <v>34.5</v>
      </c>
      <c r="I226" s="408">
        <v>7.7</v>
      </c>
      <c r="J226" s="408">
        <v>17.5</v>
      </c>
      <c r="K226" s="408">
        <v>0.441</v>
      </c>
      <c r="L226" s="408">
        <v>1.9</v>
      </c>
      <c r="M226" s="408">
        <v>5.7</v>
      </c>
      <c r="N226" s="5">
        <v>0.34200000000000003</v>
      </c>
      <c r="O226" s="408">
        <v>5.8</v>
      </c>
      <c r="P226" s="408">
        <v>11.8</v>
      </c>
      <c r="Q226" s="408">
        <v>0.48799999999999999</v>
      </c>
      <c r="R226" s="408">
        <v>0.497</v>
      </c>
      <c r="S226" s="408">
        <v>5.2</v>
      </c>
      <c r="T226" s="408">
        <v>6.6</v>
      </c>
      <c r="U226" s="408">
        <v>0.78500000000000003</v>
      </c>
      <c r="V226" s="408">
        <v>1.4</v>
      </c>
      <c r="W226" s="408">
        <v>6.5</v>
      </c>
      <c r="X226" s="408">
        <v>7.9</v>
      </c>
      <c r="Y226" s="408">
        <v>5.4</v>
      </c>
      <c r="Z226" s="408">
        <v>0.9</v>
      </c>
      <c r="AA226" s="408">
        <v>0.3</v>
      </c>
      <c r="AB226" s="408">
        <v>3</v>
      </c>
      <c r="AC226" s="408">
        <v>2.4</v>
      </c>
      <c r="AD226" s="408">
        <v>22.6</v>
      </c>
    </row>
    <row r="227" spans="1:30">
      <c r="A227">
        <v>187</v>
      </c>
      <c r="B227" s="1" t="s">
        <v>335</v>
      </c>
      <c r="C227" s="5" t="s">
        <v>38</v>
      </c>
      <c r="D227" s="408">
        <v>28</v>
      </c>
      <c r="E227" s="5" t="s">
        <v>157</v>
      </c>
      <c r="F227" s="408">
        <v>21</v>
      </c>
      <c r="G227" s="408">
        <v>21</v>
      </c>
      <c r="H227" s="408">
        <v>33.6</v>
      </c>
      <c r="I227" s="408">
        <v>7.3</v>
      </c>
      <c r="J227" s="408">
        <v>17.3</v>
      </c>
      <c r="K227" s="408">
        <v>0.42</v>
      </c>
      <c r="L227" s="408">
        <v>1.9</v>
      </c>
      <c r="M227" s="408">
        <v>5.4</v>
      </c>
      <c r="N227" s="5">
        <v>0.34499999999999997</v>
      </c>
      <c r="O227" s="408">
        <v>5.4</v>
      </c>
      <c r="P227" s="408">
        <v>12</v>
      </c>
      <c r="Q227" s="408">
        <v>0.45400000000000001</v>
      </c>
      <c r="R227" s="408">
        <v>0.47399999999999998</v>
      </c>
      <c r="S227" s="408">
        <v>3.8</v>
      </c>
      <c r="T227" s="408">
        <v>4.8</v>
      </c>
      <c r="U227" s="408">
        <v>0.79</v>
      </c>
      <c r="V227" s="408">
        <v>1</v>
      </c>
      <c r="W227" s="408">
        <v>5.5</v>
      </c>
      <c r="X227" s="408">
        <v>6.6</v>
      </c>
      <c r="Y227" s="408">
        <v>5.9</v>
      </c>
      <c r="Z227" s="408">
        <v>0.4</v>
      </c>
      <c r="AA227" s="408">
        <v>0.4</v>
      </c>
      <c r="AB227" s="408">
        <v>2.7</v>
      </c>
      <c r="AC227" s="408">
        <v>2.2999999999999998</v>
      </c>
      <c r="AD227" s="408">
        <v>20.2</v>
      </c>
    </row>
    <row r="228" spans="1:30">
      <c r="A228">
        <v>188</v>
      </c>
      <c r="B228" s="1" t="s">
        <v>645</v>
      </c>
      <c r="C228" s="5" t="s">
        <v>26</v>
      </c>
      <c r="D228" s="408">
        <v>22</v>
      </c>
      <c r="E228" s="5" t="s">
        <v>58</v>
      </c>
      <c r="F228" s="408">
        <v>5</v>
      </c>
      <c r="G228" s="408">
        <v>0</v>
      </c>
      <c r="H228" s="408">
        <v>5.2</v>
      </c>
      <c r="I228" s="408">
        <v>1</v>
      </c>
      <c r="J228" s="408">
        <v>2.2000000000000002</v>
      </c>
      <c r="K228" s="408">
        <v>0.45500000000000002</v>
      </c>
      <c r="L228" s="408">
        <v>0.4</v>
      </c>
      <c r="M228" s="408">
        <v>1</v>
      </c>
      <c r="N228" s="5">
        <v>0.4</v>
      </c>
      <c r="O228" s="408">
        <v>0.6</v>
      </c>
      <c r="P228" s="408">
        <v>1.2</v>
      </c>
      <c r="Q228" s="408">
        <v>0.5</v>
      </c>
      <c r="R228" s="408">
        <v>0.54500000000000004</v>
      </c>
      <c r="S228" s="408">
        <v>0</v>
      </c>
      <c r="T228" s="408">
        <v>0</v>
      </c>
      <c r="U228" s="408"/>
      <c r="V228" s="408">
        <v>0</v>
      </c>
      <c r="W228" s="408">
        <v>1</v>
      </c>
      <c r="X228" s="408">
        <v>1</v>
      </c>
      <c r="Y228" s="408">
        <v>1.4</v>
      </c>
      <c r="Z228" s="408">
        <v>0.2</v>
      </c>
      <c r="AA228" s="408">
        <v>0</v>
      </c>
      <c r="AB228" s="408">
        <v>0.4</v>
      </c>
      <c r="AC228" s="408">
        <v>0</v>
      </c>
      <c r="AD228" s="408">
        <v>2.4</v>
      </c>
    </row>
    <row r="229" spans="1:30">
      <c r="A229">
        <v>189</v>
      </c>
      <c r="B229" s="1" t="s">
        <v>309</v>
      </c>
      <c r="C229" s="5" t="s">
        <v>26</v>
      </c>
      <c r="D229" s="408">
        <v>25</v>
      </c>
      <c r="E229" s="5" t="s">
        <v>21</v>
      </c>
      <c r="F229" s="408">
        <v>49</v>
      </c>
      <c r="G229" s="408">
        <v>46</v>
      </c>
      <c r="H229" s="408">
        <v>32.9</v>
      </c>
      <c r="I229" s="408">
        <v>6.3</v>
      </c>
      <c r="J229" s="408">
        <v>15</v>
      </c>
      <c r="K229" s="408">
        <v>0.42099999999999999</v>
      </c>
      <c r="L229" s="408">
        <v>2.2000000000000002</v>
      </c>
      <c r="M229" s="408">
        <v>7.1</v>
      </c>
      <c r="N229" s="5">
        <v>0.315</v>
      </c>
      <c r="O229" s="408">
        <v>4.0999999999999996</v>
      </c>
      <c r="P229" s="408">
        <v>7.9</v>
      </c>
      <c r="Q229" s="408">
        <v>0.51700000000000002</v>
      </c>
      <c r="R229" s="408">
        <v>0.496</v>
      </c>
      <c r="S229" s="408">
        <v>2.6</v>
      </c>
      <c r="T229" s="408">
        <v>3.2</v>
      </c>
      <c r="U229" s="408">
        <v>0.82199999999999995</v>
      </c>
      <c r="V229" s="408">
        <v>0.5</v>
      </c>
      <c r="W229" s="408">
        <v>3.4</v>
      </c>
      <c r="X229" s="408">
        <v>3.9</v>
      </c>
      <c r="Y229" s="408">
        <v>2.7</v>
      </c>
      <c r="Z229" s="408">
        <v>1</v>
      </c>
      <c r="AA229" s="408">
        <v>0.2</v>
      </c>
      <c r="AB229" s="408">
        <v>1.6</v>
      </c>
      <c r="AC229" s="408">
        <v>2.2000000000000002</v>
      </c>
      <c r="AD229" s="408">
        <v>17.5</v>
      </c>
    </row>
    <row r="230" spans="1:30">
      <c r="A230">
        <v>190</v>
      </c>
      <c r="B230" s="1" t="s">
        <v>286</v>
      </c>
      <c r="C230" s="5" t="s">
        <v>26</v>
      </c>
      <c r="D230" s="408">
        <v>28</v>
      </c>
      <c r="E230" s="5" t="s">
        <v>92</v>
      </c>
      <c r="F230" s="408">
        <v>62</v>
      </c>
      <c r="G230" s="408">
        <v>62</v>
      </c>
      <c r="H230" s="408">
        <v>35.6</v>
      </c>
      <c r="I230" s="408">
        <v>9.1999999999999993</v>
      </c>
      <c r="J230" s="408">
        <v>20.399999999999999</v>
      </c>
      <c r="K230" s="408">
        <v>0.45100000000000001</v>
      </c>
      <c r="L230" s="408">
        <v>3.9</v>
      </c>
      <c r="M230" s="408">
        <v>10.4</v>
      </c>
      <c r="N230" s="5">
        <v>0.372</v>
      </c>
      <c r="O230" s="408">
        <v>5.3</v>
      </c>
      <c r="P230" s="408">
        <v>10</v>
      </c>
      <c r="Q230" s="408">
        <v>0.53300000000000003</v>
      </c>
      <c r="R230" s="408">
        <v>0.54600000000000004</v>
      </c>
      <c r="S230" s="408">
        <v>8.8000000000000007</v>
      </c>
      <c r="T230" s="408">
        <v>10.1</v>
      </c>
      <c r="U230" s="408">
        <v>0.87</v>
      </c>
      <c r="V230" s="408">
        <v>0.6</v>
      </c>
      <c r="W230" s="408">
        <v>4.5999999999999996</v>
      </c>
      <c r="X230" s="408">
        <v>5.2</v>
      </c>
      <c r="Y230" s="408">
        <v>8.6999999999999993</v>
      </c>
      <c r="Z230" s="408">
        <v>1.9</v>
      </c>
      <c r="AA230" s="408">
        <v>0.7</v>
      </c>
      <c r="AB230" s="408">
        <v>4.3</v>
      </c>
      <c r="AC230" s="408">
        <v>2.4</v>
      </c>
      <c r="AD230" s="408">
        <v>31</v>
      </c>
    </row>
    <row r="231" spans="1:30">
      <c r="A231">
        <v>191</v>
      </c>
      <c r="B231" s="1" t="s">
        <v>494</v>
      </c>
      <c r="C231" s="5" t="s">
        <v>46</v>
      </c>
      <c r="D231" s="408">
        <v>24</v>
      </c>
      <c r="E231" s="5" t="s">
        <v>96</v>
      </c>
      <c r="F231" s="408">
        <v>56</v>
      </c>
      <c r="G231" s="408">
        <v>33</v>
      </c>
      <c r="H231" s="408">
        <v>20.9</v>
      </c>
      <c r="I231" s="408">
        <v>2.4</v>
      </c>
      <c r="J231" s="408">
        <v>4.9000000000000004</v>
      </c>
      <c r="K231" s="408">
        <v>0.48199999999999998</v>
      </c>
      <c r="L231" s="408">
        <v>0.8</v>
      </c>
      <c r="M231" s="408">
        <v>1.9</v>
      </c>
      <c r="N231" s="5">
        <v>0.39800000000000002</v>
      </c>
      <c r="O231" s="408">
        <v>1.6</v>
      </c>
      <c r="P231" s="408">
        <v>3</v>
      </c>
      <c r="Q231" s="408">
        <v>0.53600000000000003</v>
      </c>
      <c r="R231" s="408">
        <v>0.56000000000000005</v>
      </c>
      <c r="S231" s="408">
        <v>0.7</v>
      </c>
      <c r="T231" s="408">
        <v>0.9</v>
      </c>
      <c r="U231" s="408">
        <v>0.72499999999999998</v>
      </c>
      <c r="V231" s="408">
        <v>0.8</v>
      </c>
      <c r="W231" s="408">
        <v>1.9</v>
      </c>
      <c r="X231" s="408">
        <v>2.7</v>
      </c>
      <c r="Y231" s="408">
        <v>0.8</v>
      </c>
      <c r="Z231" s="408">
        <v>0.9</v>
      </c>
      <c r="AA231" s="408">
        <v>0.7</v>
      </c>
      <c r="AB231" s="408">
        <v>0.7</v>
      </c>
      <c r="AC231" s="408">
        <v>1.6</v>
      </c>
      <c r="AD231" s="408">
        <v>6.1</v>
      </c>
    </row>
    <row r="232" spans="1:30">
      <c r="A232">
        <v>192</v>
      </c>
      <c r="B232" s="1" t="s">
        <v>180</v>
      </c>
      <c r="C232" s="5" t="s">
        <v>83</v>
      </c>
      <c r="D232" s="408">
        <v>24</v>
      </c>
      <c r="E232" s="5" t="s">
        <v>64</v>
      </c>
      <c r="F232" s="408">
        <v>63</v>
      </c>
      <c r="G232" s="408">
        <v>3</v>
      </c>
      <c r="H232" s="408">
        <v>16.100000000000001</v>
      </c>
      <c r="I232" s="408">
        <v>4.3</v>
      </c>
      <c r="J232" s="408">
        <v>6.7</v>
      </c>
      <c r="K232" s="408">
        <v>0.63600000000000001</v>
      </c>
      <c r="L232" s="408">
        <v>0</v>
      </c>
      <c r="M232" s="408">
        <v>0.1</v>
      </c>
      <c r="N232" s="5">
        <v>0</v>
      </c>
      <c r="O232" s="408">
        <v>4.3</v>
      </c>
      <c r="P232" s="408">
        <v>6.7</v>
      </c>
      <c r="Q232" s="408">
        <v>0.64200000000000002</v>
      </c>
      <c r="R232" s="408">
        <v>0.63600000000000001</v>
      </c>
      <c r="S232" s="408">
        <v>1.9</v>
      </c>
      <c r="T232" s="408">
        <v>3</v>
      </c>
      <c r="U232" s="408">
        <v>0.64500000000000002</v>
      </c>
      <c r="V232" s="408">
        <v>1.3</v>
      </c>
      <c r="W232" s="408">
        <v>2.6</v>
      </c>
      <c r="X232" s="408">
        <v>3.9</v>
      </c>
      <c r="Y232" s="408">
        <v>0.8</v>
      </c>
      <c r="Z232" s="408">
        <v>0.5</v>
      </c>
      <c r="AA232" s="408">
        <v>0.7</v>
      </c>
      <c r="AB232" s="408">
        <v>0.9</v>
      </c>
      <c r="AC232" s="408">
        <v>1.8</v>
      </c>
      <c r="AD232" s="408">
        <v>10.4</v>
      </c>
    </row>
    <row r="233" spans="1:30">
      <c r="A233">
        <v>193</v>
      </c>
      <c r="B233" s="1" t="s">
        <v>187</v>
      </c>
      <c r="C233" s="5" t="s">
        <v>20</v>
      </c>
      <c r="D233" s="408">
        <v>34</v>
      </c>
      <c r="E233" s="5" t="s">
        <v>357</v>
      </c>
      <c r="F233" s="408">
        <v>60</v>
      </c>
      <c r="G233" s="408">
        <v>1</v>
      </c>
      <c r="H233" s="408">
        <v>18.3</v>
      </c>
      <c r="I233" s="408">
        <v>2.6</v>
      </c>
      <c r="J233" s="408">
        <v>6.3</v>
      </c>
      <c r="K233" s="408">
        <v>0.41299999999999998</v>
      </c>
      <c r="L233" s="408">
        <v>1.1000000000000001</v>
      </c>
      <c r="M233" s="408">
        <v>3.1</v>
      </c>
      <c r="N233" s="5">
        <v>0.34399999999999997</v>
      </c>
      <c r="O233" s="408">
        <v>1.6</v>
      </c>
      <c r="P233" s="408">
        <v>3.3</v>
      </c>
      <c r="Q233" s="408">
        <v>0.47699999999999998</v>
      </c>
      <c r="R233" s="408">
        <v>0.496</v>
      </c>
      <c r="S233" s="408">
        <v>2.1</v>
      </c>
      <c r="T233" s="408">
        <v>2.5</v>
      </c>
      <c r="U233" s="408">
        <v>0.83699999999999997</v>
      </c>
      <c r="V233" s="408">
        <v>0.2</v>
      </c>
      <c r="W233" s="408">
        <v>1.6</v>
      </c>
      <c r="X233" s="408">
        <v>1.8</v>
      </c>
      <c r="Y233" s="408">
        <v>2</v>
      </c>
      <c r="Z233" s="408">
        <v>0.7</v>
      </c>
      <c r="AA233" s="408">
        <v>0.2</v>
      </c>
      <c r="AB233" s="408">
        <v>1</v>
      </c>
      <c r="AC233" s="408">
        <v>2.4</v>
      </c>
      <c r="AD233" s="408">
        <v>8.3000000000000007</v>
      </c>
    </row>
    <row r="234" spans="1:30">
      <c r="A234">
        <v>193</v>
      </c>
      <c r="B234" s="1" t="s">
        <v>187</v>
      </c>
      <c r="C234" s="5" t="s">
        <v>20</v>
      </c>
      <c r="D234" s="408">
        <v>34</v>
      </c>
      <c r="E234" s="5" t="s">
        <v>33</v>
      </c>
      <c r="F234" s="408">
        <v>44</v>
      </c>
      <c r="G234" s="408">
        <v>1</v>
      </c>
      <c r="H234" s="408">
        <v>18.3</v>
      </c>
      <c r="I234" s="408">
        <v>2.7</v>
      </c>
      <c r="J234" s="408">
        <v>6.5</v>
      </c>
      <c r="K234" s="408">
        <v>0.41499999999999998</v>
      </c>
      <c r="L234" s="408">
        <v>1</v>
      </c>
      <c r="M234" s="408">
        <v>2.8</v>
      </c>
      <c r="N234" s="5">
        <v>0.35199999999999998</v>
      </c>
      <c r="O234" s="408">
        <v>1.7</v>
      </c>
      <c r="P234" s="408">
        <v>3.6</v>
      </c>
      <c r="Q234" s="408">
        <v>0.46500000000000002</v>
      </c>
      <c r="R234" s="408">
        <v>0.49299999999999999</v>
      </c>
      <c r="S234" s="408">
        <v>2.1</v>
      </c>
      <c r="T234" s="408">
        <v>2.5</v>
      </c>
      <c r="U234" s="408">
        <v>0.83</v>
      </c>
      <c r="V234" s="408">
        <v>0.2</v>
      </c>
      <c r="W234" s="408">
        <v>1.7</v>
      </c>
      <c r="X234" s="408">
        <v>1.9</v>
      </c>
      <c r="Y234" s="408">
        <v>1.9</v>
      </c>
      <c r="Z234" s="408">
        <v>0.8</v>
      </c>
      <c r="AA234" s="408">
        <v>0.2</v>
      </c>
      <c r="AB234" s="408">
        <v>1.1000000000000001</v>
      </c>
      <c r="AC234" s="408">
        <v>2.2999999999999998</v>
      </c>
      <c r="AD234" s="408">
        <v>8.5</v>
      </c>
    </row>
    <row r="235" spans="1:30">
      <c r="A235">
        <v>193</v>
      </c>
      <c r="B235" s="1" t="s">
        <v>187</v>
      </c>
      <c r="C235" s="5" t="s">
        <v>20</v>
      </c>
      <c r="D235" s="408">
        <v>34</v>
      </c>
      <c r="E235" s="5" t="s">
        <v>61</v>
      </c>
      <c r="F235" s="408">
        <v>16</v>
      </c>
      <c r="G235" s="408">
        <v>0</v>
      </c>
      <c r="H235" s="408">
        <v>18.3</v>
      </c>
      <c r="I235" s="408">
        <v>2.4</v>
      </c>
      <c r="J235" s="408">
        <v>5.9</v>
      </c>
      <c r="K235" s="408">
        <v>0.40400000000000003</v>
      </c>
      <c r="L235" s="408">
        <v>1.2</v>
      </c>
      <c r="M235" s="408">
        <v>3.6</v>
      </c>
      <c r="N235" s="5">
        <v>0.32800000000000001</v>
      </c>
      <c r="O235" s="408">
        <v>1.2</v>
      </c>
      <c r="P235" s="408">
        <v>2.2999999999999998</v>
      </c>
      <c r="Q235" s="408">
        <v>0.52800000000000002</v>
      </c>
      <c r="R235" s="408">
        <v>0.505</v>
      </c>
      <c r="S235" s="408">
        <v>1.9</v>
      </c>
      <c r="T235" s="408">
        <v>2.2000000000000002</v>
      </c>
      <c r="U235" s="408">
        <v>0.85699999999999998</v>
      </c>
      <c r="V235" s="408">
        <v>0.1</v>
      </c>
      <c r="W235" s="408">
        <v>1.3</v>
      </c>
      <c r="X235" s="408">
        <v>1.4</v>
      </c>
      <c r="Y235" s="408">
        <v>2.2999999999999998</v>
      </c>
      <c r="Z235" s="408">
        <v>0.6</v>
      </c>
      <c r="AA235" s="408">
        <v>0.2</v>
      </c>
      <c r="AB235" s="408">
        <v>0.8</v>
      </c>
      <c r="AC235" s="408">
        <v>2.4</v>
      </c>
      <c r="AD235" s="408">
        <v>7.8</v>
      </c>
    </row>
    <row r="236" spans="1:30">
      <c r="A236">
        <v>194</v>
      </c>
      <c r="B236" s="1" t="s">
        <v>332</v>
      </c>
      <c r="C236" s="5" t="s">
        <v>26</v>
      </c>
      <c r="D236" s="408">
        <v>23</v>
      </c>
      <c r="E236" s="5" t="s">
        <v>61</v>
      </c>
      <c r="F236" s="408">
        <v>65</v>
      </c>
      <c r="G236" s="408">
        <v>65</v>
      </c>
      <c r="H236" s="408">
        <v>34.799999999999997</v>
      </c>
      <c r="I236" s="408">
        <v>6.6</v>
      </c>
      <c r="J236" s="408">
        <v>13.7</v>
      </c>
      <c r="K236" s="408">
        <v>0.48599999999999999</v>
      </c>
      <c r="L236" s="408">
        <v>2.4</v>
      </c>
      <c r="M236" s="408">
        <v>6</v>
      </c>
      <c r="N236" s="5">
        <v>0.39900000000000002</v>
      </c>
      <c r="O236" s="408">
        <v>4.3</v>
      </c>
      <c r="P236" s="408">
        <v>7.7</v>
      </c>
      <c r="Q236" s="408">
        <v>0.55300000000000005</v>
      </c>
      <c r="R236" s="408">
        <v>0.57299999999999995</v>
      </c>
      <c r="S236" s="408">
        <v>2</v>
      </c>
      <c r="T236" s="408">
        <v>2.4</v>
      </c>
      <c r="U236" s="408">
        <v>0.82699999999999996</v>
      </c>
      <c r="V236" s="408">
        <v>0.6</v>
      </c>
      <c r="W236" s="408">
        <v>2.1</v>
      </c>
      <c r="X236" s="408">
        <v>2.7</v>
      </c>
      <c r="Y236" s="408">
        <v>3</v>
      </c>
      <c r="Z236" s="408">
        <v>1.8</v>
      </c>
      <c r="AA236" s="408">
        <v>0.2</v>
      </c>
      <c r="AB236" s="408">
        <v>1.8</v>
      </c>
      <c r="AC236" s="408">
        <v>1.8</v>
      </c>
      <c r="AD236" s="408">
        <v>17.7</v>
      </c>
    </row>
    <row r="237" spans="1:30">
      <c r="A237">
        <v>195</v>
      </c>
      <c r="B237" s="1" t="s">
        <v>203</v>
      </c>
      <c r="C237" s="5" t="s">
        <v>26</v>
      </c>
      <c r="D237" s="408">
        <v>26</v>
      </c>
      <c r="E237" s="5" t="s">
        <v>315</v>
      </c>
      <c r="F237" s="408">
        <v>69</v>
      </c>
      <c r="G237" s="408">
        <v>11</v>
      </c>
      <c r="H237" s="408">
        <v>25.2</v>
      </c>
      <c r="I237" s="408">
        <v>3.7</v>
      </c>
      <c r="J237" s="408">
        <v>7.8</v>
      </c>
      <c r="K237" s="408">
        <v>0.47399999999999998</v>
      </c>
      <c r="L237" s="408">
        <v>1.8</v>
      </c>
      <c r="M237" s="408">
        <v>4.5999999999999996</v>
      </c>
      <c r="N237" s="5">
        <v>0.40300000000000002</v>
      </c>
      <c r="O237" s="408">
        <v>1.9</v>
      </c>
      <c r="P237" s="408">
        <v>3.3</v>
      </c>
      <c r="Q237" s="408">
        <v>0.57299999999999995</v>
      </c>
      <c r="R237" s="408">
        <v>0.59199999999999997</v>
      </c>
      <c r="S237" s="408">
        <v>1</v>
      </c>
      <c r="T237" s="408">
        <v>1.3</v>
      </c>
      <c r="U237" s="408">
        <v>0.81599999999999995</v>
      </c>
      <c r="V237" s="408">
        <v>0.7</v>
      </c>
      <c r="W237" s="408">
        <v>2.6</v>
      </c>
      <c r="X237" s="408">
        <v>3.3</v>
      </c>
      <c r="Y237" s="408">
        <v>1.5</v>
      </c>
      <c r="Z237" s="408">
        <v>0.4</v>
      </c>
      <c r="AA237" s="408">
        <v>0.2</v>
      </c>
      <c r="AB237" s="408">
        <v>1.1000000000000001</v>
      </c>
      <c r="AC237" s="408">
        <v>2</v>
      </c>
      <c r="AD237" s="408">
        <v>10.3</v>
      </c>
    </row>
    <row r="238" spans="1:30">
      <c r="A238">
        <v>196</v>
      </c>
      <c r="B238" s="1" t="s">
        <v>331</v>
      </c>
      <c r="C238" s="5" t="s">
        <v>38</v>
      </c>
      <c r="D238" s="408">
        <v>25</v>
      </c>
      <c r="E238" s="5" t="s">
        <v>357</v>
      </c>
      <c r="F238" s="408">
        <v>67</v>
      </c>
      <c r="G238" s="408">
        <v>67</v>
      </c>
      <c r="H238" s="408">
        <v>33.4</v>
      </c>
      <c r="I238" s="408">
        <v>7</v>
      </c>
      <c r="J238" s="408">
        <v>15.2</v>
      </c>
      <c r="K238" s="408">
        <v>0.46</v>
      </c>
      <c r="L238" s="408">
        <v>2.4</v>
      </c>
      <c r="M238" s="408">
        <v>5.8</v>
      </c>
      <c r="N238" s="5">
        <v>0.41199999999999998</v>
      </c>
      <c r="O238" s="408">
        <v>4.5999999999999996</v>
      </c>
      <c r="P238" s="408">
        <v>9.4</v>
      </c>
      <c r="Q238" s="408">
        <v>0.49</v>
      </c>
      <c r="R238" s="408">
        <v>0.53800000000000003</v>
      </c>
      <c r="S238" s="408">
        <v>2.2999999999999998</v>
      </c>
      <c r="T238" s="408">
        <v>2.7</v>
      </c>
      <c r="U238" s="408">
        <v>0.83699999999999997</v>
      </c>
      <c r="V238" s="408">
        <v>0.8</v>
      </c>
      <c r="W238" s="408">
        <v>4.8</v>
      </c>
      <c r="X238" s="408">
        <v>5.5</v>
      </c>
      <c r="Y238" s="408">
        <v>2.2999999999999998</v>
      </c>
      <c r="Z238" s="408">
        <v>0.9</v>
      </c>
      <c r="AA238" s="408">
        <v>0.4</v>
      </c>
      <c r="AB238" s="408">
        <v>1.3</v>
      </c>
      <c r="AC238" s="408">
        <v>2</v>
      </c>
      <c r="AD238" s="408">
        <v>18.600000000000001</v>
      </c>
    </row>
    <row r="239" spans="1:30">
      <c r="A239">
        <v>196</v>
      </c>
      <c r="B239" s="1" t="s">
        <v>331</v>
      </c>
      <c r="C239" s="5" t="s">
        <v>38</v>
      </c>
      <c r="D239" s="408">
        <v>25</v>
      </c>
      <c r="E239" s="5" t="s">
        <v>157</v>
      </c>
      <c r="F239" s="408">
        <v>48</v>
      </c>
      <c r="G239" s="408">
        <v>48</v>
      </c>
      <c r="H239" s="408">
        <v>32.6</v>
      </c>
      <c r="I239" s="408">
        <v>6.7</v>
      </c>
      <c r="J239" s="408">
        <v>14.8</v>
      </c>
      <c r="K239" s="408">
        <v>0.45100000000000001</v>
      </c>
      <c r="L239" s="408">
        <v>2.4</v>
      </c>
      <c r="M239" s="408">
        <v>5.8</v>
      </c>
      <c r="N239" s="5">
        <v>0.40899999999999997</v>
      </c>
      <c r="O239" s="408">
        <v>4.3</v>
      </c>
      <c r="P239" s="408">
        <v>9</v>
      </c>
      <c r="Q239" s="408">
        <v>0.47799999999999998</v>
      </c>
      <c r="R239" s="408">
        <v>0.53100000000000003</v>
      </c>
      <c r="S239" s="408">
        <v>2.4</v>
      </c>
      <c r="T239" s="408">
        <v>2.8</v>
      </c>
      <c r="U239" s="408">
        <v>0.84599999999999997</v>
      </c>
      <c r="V239" s="408">
        <v>0.8</v>
      </c>
      <c r="W239" s="408">
        <v>4.3</v>
      </c>
      <c r="X239" s="408">
        <v>5.0999999999999996</v>
      </c>
      <c r="Y239" s="408">
        <v>2</v>
      </c>
      <c r="Z239" s="408">
        <v>0.7</v>
      </c>
      <c r="AA239" s="408">
        <v>0.3</v>
      </c>
      <c r="AB239" s="408">
        <v>1.1000000000000001</v>
      </c>
      <c r="AC239" s="408">
        <v>1.9</v>
      </c>
      <c r="AD239" s="408">
        <v>18.100000000000001</v>
      </c>
    </row>
    <row r="240" spans="1:30">
      <c r="A240">
        <v>196</v>
      </c>
      <c r="B240" s="1" t="s">
        <v>331</v>
      </c>
      <c r="C240" s="5" t="s">
        <v>38</v>
      </c>
      <c r="D240" s="408">
        <v>25</v>
      </c>
      <c r="E240" s="5" t="s">
        <v>64</v>
      </c>
      <c r="F240" s="408">
        <v>19</v>
      </c>
      <c r="G240" s="408">
        <v>19</v>
      </c>
      <c r="H240" s="408">
        <v>35.5</v>
      </c>
      <c r="I240" s="408">
        <v>7.8</v>
      </c>
      <c r="J240" s="408">
        <v>16.2</v>
      </c>
      <c r="K240" s="408">
        <v>0.48099999999999998</v>
      </c>
      <c r="L240" s="408">
        <v>2.4</v>
      </c>
      <c r="M240" s="408">
        <v>5.8</v>
      </c>
      <c r="N240" s="5">
        <v>0.41799999999999998</v>
      </c>
      <c r="O240" s="408">
        <v>5.4</v>
      </c>
      <c r="P240" s="408">
        <v>10.4</v>
      </c>
      <c r="Q240" s="408">
        <v>0.51500000000000001</v>
      </c>
      <c r="R240" s="408">
        <v>0.55500000000000005</v>
      </c>
      <c r="S240" s="408">
        <v>2.1</v>
      </c>
      <c r="T240" s="408">
        <v>2.5</v>
      </c>
      <c r="U240" s="408">
        <v>0.81299999999999994</v>
      </c>
      <c r="V240" s="408">
        <v>0.8</v>
      </c>
      <c r="W240" s="408">
        <v>5.8</v>
      </c>
      <c r="X240" s="408">
        <v>6.7</v>
      </c>
      <c r="Y240" s="408">
        <v>3.1</v>
      </c>
      <c r="Z240" s="408">
        <v>1.4</v>
      </c>
      <c r="AA240" s="408">
        <v>0.7</v>
      </c>
      <c r="AB240" s="408">
        <v>1.7</v>
      </c>
      <c r="AC240" s="408">
        <v>2.2999999999999998</v>
      </c>
      <c r="AD240" s="408">
        <v>20.100000000000001</v>
      </c>
    </row>
    <row r="241" spans="1:30">
      <c r="A241">
        <v>197</v>
      </c>
      <c r="B241" s="1" t="s">
        <v>470</v>
      </c>
      <c r="C241" s="5" t="s">
        <v>20</v>
      </c>
      <c r="D241" s="408">
        <v>23</v>
      </c>
      <c r="E241" s="5" t="s">
        <v>128</v>
      </c>
      <c r="F241" s="408">
        <v>53</v>
      </c>
      <c r="G241" s="408">
        <v>43</v>
      </c>
      <c r="H241" s="408">
        <v>23.4</v>
      </c>
      <c r="I241" s="408">
        <v>3.2</v>
      </c>
      <c r="J241" s="408">
        <v>7.5</v>
      </c>
      <c r="K241" s="408">
        <v>0.42199999999999999</v>
      </c>
      <c r="L241" s="408">
        <v>0.8</v>
      </c>
      <c r="M241" s="408">
        <v>2.5</v>
      </c>
      <c r="N241" s="5">
        <v>0.34399999999999997</v>
      </c>
      <c r="O241" s="408">
        <v>2.2999999999999998</v>
      </c>
      <c r="P241" s="408">
        <v>5</v>
      </c>
      <c r="Q241" s="408">
        <v>0.46100000000000002</v>
      </c>
      <c r="R241" s="408">
        <v>0.47899999999999998</v>
      </c>
      <c r="S241" s="408">
        <v>2.2000000000000002</v>
      </c>
      <c r="T241" s="408">
        <v>2.9</v>
      </c>
      <c r="U241" s="408">
        <v>0.77800000000000002</v>
      </c>
      <c r="V241" s="408">
        <v>0.4</v>
      </c>
      <c r="W241" s="408">
        <v>2</v>
      </c>
      <c r="X241" s="408">
        <v>2.4</v>
      </c>
      <c r="Y241" s="408">
        <v>3.1</v>
      </c>
      <c r="Z241" s="408">
        <v>0.7</v>
      </c>
      <c r="AA241" s="408">
        <v>0.5</v>
      </c>
      <c r="AB241" s="408">
        <v>1.4</v>
      </c>
      <c r="AC241" s="408">
        <v>2.5</v>
      </c>
      <c r="AD241" s="408">
        <v>9.4</v>
      </c>
    </row>
    <row r="242" spans="1:30">
      <c r="A242">
        <v>198</v>
      </c>
      <c r="B242" s="1" t="s">
        <v>1041</v>
      </c>
      <c r="C242" s="5" t="s">
        <v>20</v>
      </c>
      <c r="D242" s="408">
        <v>24</v>
      </c>
      <c r="E242" s="5" t="s">
        <v>313</v>
      </c>
      <c r="F242" s="408">
        <v>12</v>
      </c>
      <c r="G242" s="408">
        <v>1</v>
      </c>
      <c r="H242" s="408">
        <v>14.2</v>
      </c>
      <c r="I242" s="408">
        <v>1.9</v>
      </c>
      <c r="J242" s="408">
        <v>4.3</v>
      </c>
      <c r="K242" s="408">
        <v>0.442</v>
      </c>
      <c r="L242" s="408">
        <v>0.3</v>
      </c>
      <c r="M242" s="408">
        <v>0.9</v>
      </c>
      <c r="N242" s="5">
        <v>0.27300000000000002</v>
      </c>
      <c r="O242" s="408">
        <v>1.7</v>
      </c>
      <c r="P242" s="408">
        <v>3.4</v>
      </c>
      <c r="Q242" s="408">
        <v>0.48799999999999999</v>
      </c>
      <c r="R242" s="408">
        <v>0.47099999999999997</v>
      </c>
      <c r="S242" s="408">
        <v>1.1000000000000001</v>
      </c>
      <c r="T242" s="408">
        <v>1.7</v>
      </c>
      <c r="U242" s="408">
        <v>0.65</v>
      </c>
      <c r="V242" s="408">
        <v>0.4</v>
      </c>
      <c r="W242" s="408">
        <v>2.7</v>
      </c>
      <c r="X242" s="408">
        <v>3.1</v>
      </c>
      <c r="Y242" s="408">
        <v>1.8</v>
      </c>
      <c r="Z242" s="408">
        <v>1.1000000000000001</v>
      </c>
      <c r="AA242" s="408">
        <v>0.4</v>
      </c>
      <c r="AB242" s="408">
        <v>0.8</v>
      </c>
      <c r="AC242" s="408">
        <v>2</v>
      </c>
      <c r="AD242" s="408">
        <v>5.2</v>
      </c>
    </row>
    <row r="243" spans="1:30">
      <c r="A243">
        <v>199</v>
      </c>
      <c r="B243" s="1" t="s">
        <v>464</v>
      </c>
      <c r="C243" s="5" t="s">
        <v>26</v>
      </c>
      <c r="D243" s="408">
        <v>22</v>
      </c>
      <c r="E243" s="5" t="s">
        <v>78</v>
      </c>
      <c r="F243" s="408">
        <v>55</v>
      </c>
      <c r="G243" s="408">
        <v>20</v>
      </c>
      <c r="H243" s="408">
        <v>21.5</v>
      </c>
      <c r="I243" s="408">
        <v>2.4</v>
      </c>
      <c r="J243" s="408">
        <v>5.2</v>
      </c>
      <c r="K243" s="408">
        <v>0.46100000000000002</v>
      </c>
      <c r="L243" s="408">
        <v>1.1000000000000001</v>
      </c>
      <c r="M243" s="408">
        <v>2.7</v>
      </c>
      <c r="N243" s="5">
        <v>0.39700000000000002</v>
      </c>
      <c r="O243" s="408">
        <v>1.3</v>
      </c>
      <c r="P243" s="408">
        <v>2.4</v>
      </c>
      <c r="Q243" s="408">
        <v>0.53400000000000003</v>
      </c>
      <c r="R243" s="408">
        <v>0.56699999999999995</v>
      </c>
      <c r="S243" s="408">
        <v>0.8</v>
      </c>
      <c r="T243" s="408">
        <v>1.2</v>
      </c>
      <c r="U243" s="408">
        <v>0.65600000000000003</v>
      </c>
      <c r="V243" s="408">
        <v>0.6</v>
      </c>
      <c r="W243" s="408">
        <v>3.1</v>
      </c>
      <c r="X243" s="408">
        <v>3.7</v>
      </c>
      <c r="Y243" s="408">
        <v>1.2</v>
      </c>
      <c r="Z243" s="408">
        <v>0.7</v>
      </c>
      <c r="AA243" s="408">
        <v>0.2</v>
      </c>
      <c r="AB243" s="408">
        <v>0.6</v>
      </c>
      <c r="AC243" s="408">
        <v>1.6</v>
      </c>
      <c r="AD243" s="408">
        <v>6.6</v>
      </c>
    </row>
    <row r="244" spans="1:30">
      <c r="A244">
        <v>200</v>
      </c>
      <c r="B244" s="1" t="s">
        <v>51</v>
      </c>
      <c r="C244" s="5" t="s">
        <v>83</v>
      </c>
      <c r="D244" s="408">
        <v>37</v>
      </c>
      <c r="E244" s="5" t="s">
        <v>50</v>
      </c>
      <c r="F244" s="408">
        <v>12</v>
      </c>
      <c r="G244" s="408">
        <v>0</v>
      </c>
      <c r="H244" s="408">
        <v>5.0999999999999996</v>
      </c>
      <c r="I244" s="408">
        <v>0.3</v>
      </c>
      <c r="J244" s="408">
        <v>1</v>
      </c>
      <c r="K244" s="408">
        <v>0.25</v>
      </c>
      <c r="L244" s="408">
        <v>0.1</v>
      </c>
      <c r="M244" s="408">
        <v>0.5</v>
      </c>
      <c r="N244" s="5">
        <v>0.16700000000000001</v>
      </c>
      <c r="O244" s="408">
        <v>0.2</v>
      </c>
      <c r="P244" s="408">
        <v>0.5</v>
      </c>
      <c r="Q244" s="408">
        <v>0.33300000000000002</v>
      </c>
      <c r="R244" s="408">
        <v>0.29199999999999998</v>
      </c>
      <c r="S244" s="408">
        <v>0</v>
      </c>
      <c r="T244" s="408">
        <v>0</v>
      </c>
      <c r="U244" s="408"/>
      <c r="V244" s="408">
        <v>0.3</v>
      </c>
      <c r="W244" s="408">
        <v>0.5</v>
      </c>
      <c r="X244" s="408">
        <v>0.8</v>
      </c>
      <c r="Y244" s="408">
        <v>0.4</v>
      </c>
      <c r="Z244" s="408">
        <v>0</v>
      </c>
      <c r="AA244" s="408">
        <v>0.2</v>
      </c>
      <c r="AB244" s="408">
        <v>0.2</v>
      </c>
      <c r="AC244" s="408">
        <v>0.2</v>
      </c>
      <c r="AD244" s="408">
        <v>0.6</v>
      </c>
    </row>
    <row r="245" spans="1:30">
      <c r="A245">
        <v>201</v>
      </c>
      <c r="B245" s="1" t="s">
        <v>721</v>
      </c>
      <c r="C245" s="5" t="s">
        <v>46</v>
      </c>
      <c r="D245" s="408">
        <v>23</v>
      </c>
      <c r="E245" s="5" t="s">
        <v>357</v>
      </c>
      <c r="F245" s="408">
        <v>4</v>
      </c>
      <c r="G245" s="408">
        <v>0</v>
      </c>
      <c r="H245" s="408">
        <v>4.3</v>
      </c>
      <c r="I245" s="408">
        <v>0.8</v>
      </c>
      <c r="J245" s="408">
        <v>1.3</v>
      </c>
      <c r="K245" s="408">
        <v>0.6</v>
      </c>
      <c r="L245" s="408">
        <v>0.5</v>
      </c>
      <c r="M245" s="408">
        <v>1</v>
      </c>
      <c r="N245" s="5">
        <v>0.5</v>
      </c>
      <c r="O245" s="408">
        <v>0.3</v>
      </c>
      <c r="P245" s="408">
        <v>0.3</v>
      </c>
      <c r="Q245" s="408">
        <v>1</v>
      </c>
      <c r="R245" s="408">
        <v>0.8</v>
      </c>
      <c r="S245" s="408">
        <v>0.3</v>
      </c>
      <c r="T245" s="408">
        <v>0.3</v>
      </c>
      <c r="U245" s="408">
        <v>1</v>
      </c>
      <c r="V245" s="408">
        <v>0</v>
      </c>
      <c r="W245" s="408">
        <v>0</v>
      </c>
      <c r="X245" s="408">
        <v>0</v>
      </c>
      <c r="Y245" s="408">
        <v>0.5</v>
      </c>
      <c r="Z245" s="408">
        <v>0</v>
      </c>
      <c r="AA245" s="408">
        <v>0</v>
      </c>
      <c r="AB245" s="408">
        <v>0.3</v>
      </c>
      <c r="AC245" s="408">
        <v>0</v>
      </c>
      <c r="AD245" s="408">
        <v>2.2999999999999998</v>
      </c>
    </row>
    <row r="246" spans="1:30">
      <c r="A246">
        <v>201</v>
      </c>
      <c r="B246" s="1" t="s">
        <v>721</v>
      </c>
      <c r="C246" s="5" t="s">
        <v>46</v>
      </c>
      <c r="D246" s="408">
        <v>23</v>
      </c>
      <c r="E246" s="5" t="s">
        <v>78</v>
      </c>
      <c r="F246" s="408">
        <v>2</v>
      </c>
      <c r="G246" s="408">
        <v>0</v>
      </c>
      <c r="H246" s="408">
        <v>5.5</v>
      </c>
      <c r="I246" s="408">
        <v>0.5</v>
      </c>
      <c r="J246" s="408">
        <v>1.5</v>
      </c>
      <c r="K246" s="408">
        <v>0.33300000000000002</v>
      </c>
      <c r="L246" s="408">
        <v>0</v>
      </c>
      <c r="M246" s="408">
        <v>1</v>
      </c>
      <c r="N246" s="5">
        <v>0</v>
      </c>
      <c r="O246" s="408">
        <v>0.5</v>
      </c>
      <c r="P246" s="408">
        <v>0.5</v>
      </c>
      <c r="Q246" s="408">
        <v>1</v>
      </c>
      <c r="R246" s="408">
        <v>0.33300000000000002</v>
      </c>
      <c r="S246" s="408">
        <v>0.5</v>
      </c>
      <c r="T246" s="408">
        <v>0.5</v>
      </c>
      <c r="U246" s="408">
        <v>1</v>
      </c>
      <c r="V246" s="408">
        <v>0</v>
      </c>
      <c r="W246" s="408">
        <v>0</v>
      </c>
      <c r="X246" s="408">
        <v>0</v>
      </c>
      <c r="Y246" s="408">
        <v>1</v>
      </c>
      <c r="Z246" s="408">
        <v>0</v>
      </c>
      <c r="AA246" s="408">
        <v>0</v>
      </c>
      <c r="AB246" s="408">
        <v>0</v>
      </c>
      <c r="AC246" s="408">
        <v>0</v>
      </c>
      <c r="AD246" s="408">
        <v>1.5</v>
      </c>
    </row>
    <row r="247" spans="1:30">
      <c r="A247">
        <v>201</v>
      </c>
      <c r="B247" s="1" t="s">
        <v>721</v>
      </c>
      <c r="C247" s="5" t="s">
        <v>46</v>
      </c>
      <c r="D247" s="408">
        <v>23</v>
      </c>
      <c r="E247" s="5" t="s">
        <v>47</v>
      </c>
      <c r="F247" s="408">
        <v>2</v>
      </c>
      <c r="G247" s="408">
        <v>0</v>
      </c>
      <c r="H247" s="408">
        <v>3</v>
      </c>
      <c r="I247" s="408">
        <v>1</v>
      </c>
      <c r="J247" s="408">
        <v>1</v>
      </c>
      <c r="K247" s="408">
        <v>1</v>
      </c>
      <c r="L247" s="408">
        <v>1</v>
      </c>
      <c r="M247" s="408">
        <v>1</v>
      </c>
      <c r="N247" s="5">
        <v>1</v>
      </c>
      <c r="O247" s="408">
        <v>0</v>
      </c>
      <c r="P247" s="408">
        <v>0</v>
      </c>
      <c r="Q247" s="408"/>
      <c r="R247" s="408">
        <v>1.5</v>
      </c>
      <c r="S247" s="408">
        <v>0</v>
      </c>
      <c r="T247" s="408">
        <v>0</v>
      </c>
      <c r="U247" s="408"/>
      <c r="V247" s="408">
        <v>0</v>
      </c>
      <c r="W247" s="408">
        <v>0</v>
      </c>
      <c r="X247" s="408">
        <v>0</v>
      </c>
      <c r="Y247" s="408">
        <v>0</v>
      </c>
      <c r="Z247" s="408">
        <v>0</v>
      </c>
      <c r="AA247" s="408">
        <v>0</v>
      </c>
      <c r="AB247" s="408">
        <v>0.5</v>
      </c>
      <c r="AC247" s="408">
        <v>0</v>
      </c>
      <c r="AD247" s="408">
        <v>3</v>
      </c>
    </row>
    <row r="248" spans="1:30">
      <c r="A248">
        <v>202</v>
      </c>
      <c r="B248" s="1" t="s">
        <v>635</v>
      </c>
      <c r="C248" s="5" t="s">
        <v>46</v>
      </c>
      <c r="D248" s="408">
        <v>27</v>
      </c>
      <c r="E248" s="5" t="s">
        <v>87</v>
      </c>
      <c r="F248" s="408">
        <v>1</v>
      </c>
      <c r="G248" s="408">
        <v>1</v>
      </c>
      <c r="H248" s="408">
        <v>5</v>
      </c>
      <c r="I248" s="408">
        <v>1</v>
      </c>
      <c r="J248" s="408">
        <v>2</v>
      </c>
      <c r="K248" s="408">
        <v>0.5</v>
      </c>
      <c r="L248" s="408">
        <v>0</v>
      </c>
      <c r="M248" s="408">
        <v>1</v>
      </c>
      <c r="N248" s="5">
        <v>0</v>
      </c>
      <c r="O248" s="408">
        <v>1</v>
      </c>
      <c r="P248" s="408">
        <v>1</v>
      </c>
      <c r="Q248" s="408">
        <v>1</v>
      </c>
      <c r="R248" s="408">
        <v>0.5</v>
      </c>
      <c r="S248" s="408">
        <v>0</v>
      </c>
      <c r="T248" s="408">
        <v>0</v>
      </c>
      <c r="U248" s="408"/>
      <c r="V248" s="408">
        <v>0</v>
      </c>
      <c r="W248" s="408">
        <v>1</v>
      </c>
      <c r="X248" s="408">
        <v>1</v>
      </c>
      <c r="Y248" s="408">
        <v>0</v>
      </c>
      <c r="Z248" s="408">
        <v>0</v>
      </c>
      <c r="AA248" s="408">
        <v>0</v>
      </c>
      <c r="AB248" s="408">
        <v>0</v>
      </c>
      <c r="AC248" s="408">
        <v>1</v>
      </c>
      <c r="AD248" s="408">
        <v>2</v>
      </c>
    </row>
    <row r="249" spans="1:30">
      <c r="A249">
        <v>203</v>
      </c>
      <c r="B249" s="1" t="s">
        <v>839</v>
      </c>
      <c r="C249" s="5" t="s">
        <v>26</v>
      </c>
      <c r="D249" s="408">
        <v>26</v>
      </c>
      <c r="E249" s="5" t="s">
        <v>157</v>
      </c>
      <c r="F249" s="408">
        <v>2</v>
      </c>
      <c r="G249" s="408">
        <v>0</v>
      </c>
      <c r="H249" s="408">
        <v>1.5</v>
      </c>
      <c r="I249" s="408">
        <v>0.5</v>
      </c>
      <c r="J249" s="408">
        <v>0.5</v>
      </c>
      <c r="K249" s="408">
        <v>1</v>
      </c>
      <c r="L249" s="408">
        <v>0.5</v>
      </c>
      <c r="M249" s="408">
        <v>0.5</v>
      </c>
      <c r="N249" s="5">
        <v>1</v>
      </c>
      <c r="O249" s="408">
        <v>0</v>
      </c>
      <c r="P249" s="408">
        <v>0</v>
      </c>
      <c r="Q249" s="408"/>
      <c r="R249" s="408">
        <v>1.5</v>
      </c>
      <c r="S249" s="408">
        <v>0</v>
      </c>
      <c r="T249" s="408">
        <v>0</v>
      </c>
      <c r="U249" s="408"/>
      <c r="V249" s="408">
        <v>0</v>
      </c>
      <c r="W249" s="408">
        <v>0</v>
      </c>
      <c r="X249" s="408">
        <v>0</v>
      </c>
      <c r="Y249" s="408">
        <v>0</v>
      </c>
      <c r="Z249" s="408">
        <v>0</v>
      </c>
      <c r="AA249" s="408">
        <v>0</v>
      </c>
      <c r="AB249" s="408">
        <v>0</v>
      </c>
      <c r="AC249" s="408">
        <v>0</v>
      </c>
      <c r="AD249" s="408">
        <v>1.5</v>
      </c>
    </row>
    <row r="250" spans="1:30">
      <c r="A250">
        <v>204</v>
      </c>
      <c r="B250" s="1" t="s">
        <v>793</v>
      </c>
      <c r="C250" s="5" t="s">
        <v>46</v>
      </c>
      <c r="D250" s="408">
        <v>25</v>
      </c>
      <c r="E250" s="5" t="s">
        <v>128</v>
      </c>
      <c r="F250" s="408">
        <v>15</v>
      </c>
      <c r="G250" s="408">
        <v>0</v>
      </c>
      <c r="H250" s="408">
        <v>18.600000000000001</v>
      </c>
      <c r="I250" s="408">
        <v>2</v>
      </c>
      <c r="J250" s="408">
        <v>5.2</v>
      </c>
      <c r="K250" s="408">
        <v>0.38500000000000001</v>
      </c>
      <c r="L250" s="408">
        <v>1</v>
      </c>
      <c r="M250" s="408">
        <v>2.9</v>
      </c>
      <c r="N250" s="5">
        <v>0.34899999999999998</v>
      </c>
      <c r="O250" s="408">
        <v>1</v>
      </c>
      <c r="P250" s="408">
        <v>2.2999999999999998</v>
      </c>
      <c r="Q250" s="408">
        <v>0.42899999999999999</v>
      </c>
      <c r="R250" s="408">
        <v>0.48099999999999998</v>
      </c>
      <c r="S250" s="408">
        <v>0.4</v>
      </c>
      <c r="T250" s="408">
        <v>0.7</v>
      </c>
      <c r="U250" s="408">
        <v>0.6</v>
      </c>
      <c r="V250" s="408">
        <v>0.5</v>
      </c>
      <c r="W250" s="408">
        <v>1.2</v>
      </c>
      <c r="X250" s="408">
        <v>1.7</v>
      </c>
      <c r="Y250" s="408">
        <v>1.1000000000000001</v>
      </c>
      <c r="Z250" s="408">
        <v>1.4</v>
      </c>
      <c r="AA250" s="408">
        <v>0.3</v>
      </c>
      <c r="AB250" s="408">
        <v>0.9</v>
      </c>
      <c r="AC250" s="408">
        <v>1.4</v>
      </c>
      <c r="AD250" s="408">
        <v>5.4</v>
      </c>
    </row>
    <row r="251" spans="1:30">
      <c r="A251">
        <v>205</v>
      </c>
      <c r="B251" s="1" t="s">
        <v>582</v>
      </c>
      <c r="C251" s="5" t="s">
        <v>83</v>
      </c>
      <c r="D251" s="408">
        <v>27</v>
      </c>
      <c r="E251" s="5" t="s">
        <v>41</v>
      </c>
      <c r="F251" s="408">
        <v>65</v>
      </c>
      <c r="G251" s="408">
        <v>58</v>
      </c>
      <c r="H251" s="408">
        <v>25.7</v>
      </c>
      <c r="I251" s="408">
        <v>3.7</v>
      </c>
      <c r="J251" s="408">
        <v>6.5</v>
      </c>
      <c r="K251" s="408">
        <v>0.57299999999999995</v>
      </c>
      <c r="L251" s="408">
        <v>0</v>
      </c>
      <c r="M251" s="408">
        <v>0.1</v>
      </c>
      <c r="N251" s="5">
        <v>0</v>
      </c>
      <c r="O251" s="408">
        <v>3.7</v>
      </c>
      <c r="P251" s="408">
        <v>6.5</v>
      </c>
      <c r="Q251" s="408">
        <v>0.57899999999999996</v>
      </c>
      <c r="R251" s="408">
        <v>0.57299999999999995</v>
      </c>
      <c r="S251" s="408">
        <v>1.3</v>
      </c>
      <c r="T251" s="408">
        <v>2.2000000000000002</v>
      </c>
      <c r="U251" s="408">
        <v>0.59199999999999997</v>
      </c>
      <c r="V251" s="408">
        <v>2</v>
      </c>
      <c r="W251" s="408">
        <v>4.8</v>
      </c>
      <c r="X251" s="408">
        <v>6.8</v>
      </c>
      <c r="Y251" s="408">
        <v>1.3</v>
      </c>
      <c r="Z251" s="408">
        <v>0.5</v>
      </c>
      <c r="AA251" s="408">
        <v>1.4</v>
      </c>
      <c r="AB251" s="408">
        <v>1.2</v>
      </c>
      <c r="AC251" s="408">
        <v>2.8</v>
      </c>
      <c r="AD251" s="408">
        <v>8.8000000000000007</v>
      </c>
    </row>
    <row r="252" spans="1:30">
      <c r="A252">
        <v>206</v>
      </c>
      <c r="B252" s="1" t="s">
        <v>474</v>
      </c>
      <c r="C252" s="5" t="s">
        <v>38</v>
      </c>
      <c r="D252" s="408">
        <v>22</v>
      </c>
      <c r="E252" s="5" t="s">
        <v>61</v>
      </c>
      <c r="F252" s="408">
        <v>22</v>
      </c>
      <c r="G252" s="408">
        <v>3</v>
      </c>
      <c r="H252" s="408">
        <v>11.4</v>
      </c>
      <c r="I252" s="408">
        <v>1.2</v>
      </c>
      <c r="J252" s="408">
        <v>3</v>
      </c>
      <c r="K252" s="408">
        <v>0.38800000000000001</v>
      </c>
      <c r="L252" s="408">
        <v>0.5</v>
      </c>
      <c r="M252" s="408">
        <v>1.9</v>
      </c>
      <c r="N252" s="5">
        <v>0.26200000000000001</v>
      </c>
      <c r="O252" s="408">
        <v>0.7</v>
      </c>
      <c r="P252" s="408">
        <v>1.1000000000000001</v>
      </c>
      <c r="Q252" s="408">
        <v>0.6</v>
      </c>
      <c r="R252" s="408">
        <v>0.47</v>
      </c>
      <c r="S252" s="408">
        <v>0.5</v>
      </c>
      <c r="T252" s="408">
        <v>0.5</v>
      </c>
      <c r="U252" s="408">
        <v>0.83299999999999996</v>
      </c>
      <c r="V252" s="408">
        <v>0.8</v>
      </c>
      <c r="W252" s="408">
        <v>1.6</v>
      </c>
      <c r="X252" s="408">
        <v>2.4</v>
      </c>
      <c r="Y252" s="408">
        <v>0.4</v>
      </c>
      <c r="Z252" s="408">
        <v>0.3</v>
      </c>
      <c r="AA252" s="408">
        <v>0.1</v>
      </c>
      <c r="AB252" s="408">
        <v>0.4</v>
      </c>
      <c r="AC252" s="408">
        <v>0.9</v>
      </c>
      <c r="AD252" s="408">
        <v>3.3</v>
      </c>
    </row>
    <row r="253" spans="1:30">
      <c r="A253">
        <v>207</v>
      </c>
      <c r="B253" s="1" t="s">
        <v>612</v>
      </c>
      <c r="C253" s="5" t="s">
        <v>83</v>
      </c>
      <c r="D253" s="408">
        <v>23</v>
      </c>
      <c r="E253" s="5" t="s">
        <v>357</v>
      </c>
      <c r="F253" s="408">
        <v>37</v>
      </c>
      <c r="G253" s="408">
        <v>0</v>
      </c>
      <c r="H253" s="408">
        <v>8.4</v>
      </c>
      <c r="I253" s="408">
        <v>1.6</v>
      </c>
      <c r="J253" s="408">
        <v>2.9</v>
      </c>
      <c r="K253" s="408">
        <v>0.56100000000000005</v>
      </c>
      <c r="L253" s="408">
        <v>0.1</v>
      </c>
      <c r="M253" s="408">
        <v>0.2</v>
      </c>
      <c r="N253" s="5">
        <v>0.375</v>
      </c>
      <c r="O253" s="408">
        <v>1.5</v>
      </c>
      <c r="P253" s="408">
        <v>2.7</v>
      </c>
      <c r="Q253" s="408">
        <v>0.57599999999999996</v>
      </c>
      <c r="R253" s="408">
        <v>0.57499999999999996</v>
      </c>
      <c r="S253" s="408">
        <v>0.7</v>
      </c>
      <c r="T253" s="408">
        <v>1.3</v>
      </c>
      <c r="U253" s="408">
        <v>0.52100000000000002</v>
      </c>
      <c r="V253" s="408">
        <v>0.8</v>
      </c>
      <c r="W253" s="408">
        <v>1.7</v>
      </c>
      <c r="X253" s="408">
        <v>2.5</v>
      </c>
      <c r="Y253" s="408">
        <v>0.6</v>
      </c>
      <c r="Z253" s="408">
        <v>0.3</v>
      </c>
      <c r="AA253" s="408">
        <v>0.3</v>
      </c>
      <c r="AB253" s="408">
        <v>0.8</v>
      </c>
      <c r="AC253" s="408">
        <v>1.2</v>
      </c>
      <c r="AD253" s="408">
        <v>4</v>
      </c>
    </row>
    <row r="254" spans="1:30">
      <c r="A254">
        <v>207</v>
      </c>
      <c r="B254" s="1" t="s">
        <v>612</v>
      </c>
      <c r="C254" s="5" t="s">
        <v>83</v>
      </c>
      <c r="D254" s="408">
        <v>23</v>
      </c>
      <c r="E254" s="5" t="s">
        <v>21</v>
      </c>
      <c r="F254" s="408">
        <v>26</v>
      </c>
      <c r="G254" s="408">
        <v>0</v>
      </c>
      <c r="H254" s="408">
        <v>9</v>
      </c>
      <c r="I254" s="408">
        <v>1.9</v>
      </c>
      <c r="J254" s="408">
        <v>3.1</v>
      </c>
      <c r="K254" s="408">
        <v>0.60499999999999998</v>
      </c>
      <c r="L254" s="408">
        <v>0</v>
      </c>
      <c r="M254" s="408">
        <v>0.2</v>
      </c>
      <c r="N254" s="5">
        <v>0.2</v>
      </c>
      <c r="O254" s="408">
        <v>1.8</v>
      </c>
      <c r="P254" s="408">
        <v>2.9</v>
      </c>
      <c r="Q254" s="408">
        <v>0.63200000000000001</v>
      </c>
      <c r="R254" s="408">
        <v>0.61099999999999999</v>
      </c>
      <c r="S254" s="408">
        <v>0.5</v>
      </c>
      <c r="T254" s="408">
        <v>1.1000000000000001</v>
      </c>
      <c r="U254" s="408">
        <v>0.42899999999999999</v>
      </c>
      <c r="V254" s="408">
        <v>0.8</v>
      </c>
      <c r="W254" s="408">
        <v>1.7</v>
      </c>
      <c r="X254" s="408">
        <v>2.6</v>
      </c>
      <c r="Y254" s="408">
        <v>0.8</v>
      </c>
      <c r="Z254" s="408">
        <v>0.3</v>
      </c>
      <c r="AA254" s="408">
        <v>0.3</v>
      </c>
      <c r="AB254" s="408">
        <v>1</v>
      </c>
      <c r="AC254" s="408">
        <v>1.2</v>
      </c>
      <c r="AD254" s="408">
        <v>4.3</v>
      </c>
    </row>
    <row r="255" spans="1:30">
      <c r="A255">
        <v>207</v>
      </c>
      <c r="B255" s="1" t="s">
        <v>612</v>
      </c>
      <c r="C255" s="5" t="s">
        <v>83</v>
      </c>
      <c r="D255" s="408">
        <v>23</v>
      </c>
      <c r="E255" s="5" t="s">
        <v>311</v>
      </c>
      <c r="F255" s="408">
        <v>11</v>
      </c>
      <c r="G255" s="408">
        <v>0</v>
      </c>
      <c r="H255" s="408">
        <v>7</v>
      </c>
      <c r="I255" s="408">
        <v>1</v>
      </c>
      <c r="J255" s="408">
        <v>2.4</v>
      </c>
      <c r="K255" s="408">
        <v>0.42299999999999999</v>
      </c>
      <c r="L255" s="408">
        <v>0.2</v>
      </c>
      <c r="M255" s="408">
        <v>0.3</v>
      </c>
      <c r="N255" s="5">
        <v>0.66700000000000004</v>
      </c>
      <c r="O255" s="408">
        <v>0.8</v>
      </c>
      <c r="P255" s="408">
        <v>2.1</v>
      </c>
      <c r="Q255" s="408">
        <v>0.39100000000000001</v>
      </c>
      <c r="R255" s="408">
        <v>0.46200000000000002</v>
      </c>
      <c r="S255" s="408">
        <v>1.2</v>
      </c>
      <c r="T255" s="408">
        <v>1.8</v>
      </c>
      <c r="U255" s="408">
        <v>0.65</v>
      </c>
      <c r="V255" s="408">
        <v>0.8</v>
      </c>
      <c r="W255" s="408">
        <v>1.6</v>
      </c>
      <c r="X255" s="408">
        <v>2.5</v>
      </c>
      <c r="Y255" s="408">
        <v>0.2</v>
      </c>
      <c r="Z255" s="408">
        <v>0.3</v>
      </c>
      <c r="AA255" s="408">
        <v>0.3</v>
      </c>
      <c r="AB255" s="408">
        <v>0.4</v>
      </c>
      <c r="AC255" s="408">
        <v>1</v>
      </c>
      <c r="AD255" s="408">
        <v>3.4</v>
      </c>
    </row>
    <row r="256" spans="1:30">
      <c r="A256">
        <v>208</v>
      </c>
      <c r="B256" s="1" t="s">
        <v>160</v>
      </c>
      <c r="C256" s="5" t="s">
        <v>46</v>
      </c>
      <c r="D256" s="408">
        <v>22</v>
      </c>
      <c r="E256" s="5" t="s">
        <v>75</v>
      </c>
      <c r="F256" s="408">
        <v>63</v>
      </c>
      <c r="G256" s="408">
        <v>21</v>
      </c>
      <c r="H256" s="408">
        <v>20.7</v>
      </c>
      <c r="I256" s="408">
        <v>3.5</v>
      </c>
      <c r="J256" s="408">
        <v>7.7</v>
      </c>
      <c r="K256" s="408">
        <v>0.45</v>
      </c>
      <c r="L256" s="408">
        <v>1.1000000000000001</v>
      </c>
      <c r="M256" s="408">
        <v>3.3</v>
      </c>
      <c r="N256" s="5">
        <v>0.33300000000000002</v>
      </c>
      <c r="O256" s="408">
        <v>2.4</v>
      </c>
      <c r="P256" s="408">
        <v>4.4000000000000004</v>
      </c>
      <c r="Q256" s="408">
        <v>0.53800000000000003</v>
      </c>
      <c r="R256" s="408">
        <v>0.52200000000000002</v>
      </c>
      <c r="S256" s="408">
        <v>1</v>
      </c>
      <c r="T256" s="408">
        <v>1.2</v>
      </c>
      <c r="U256" s="408">
        <v>0.82399999999999995</v>
      </c>
      <c r="V256" s="408">
        <v>0.6</v>
      </c>
      <c r="W256" s="408">
        <v>2.9</v>
      </c>
      <c r="X256" s="408">
        <v>3.5</v>
      </c>
      <c r="Y256" s="408">
        <v>1.2</v>
      </c>
      <c r="Z256" s="408">
        <v>1</v>
      </c>
      <c r="AA256" s="408">
        <v>0.3</v>
      </c>
      <c r="AB256" s="408">
        <v>1</v>
      </c>
      <c r="AC256" s="408">
        <v>1.7</v>
      </c>
      <c r="AD256" s="408">
        <v>9</v>
      </c>
    </row>
    <row r="257" spans="1:30">
      <c r="A257">
        <v>209</v>
      </c>
      <c r="B257" s="1" t="s">
        <v>887</v>
      </c>
      <c r="C257" s="5" t="s">
        <v>38</v>
      </c>
      <c r="D257" s="408">
        <v>23</v>
      </c>
      <c r="E257" s="5" t="s">
        <v>21</v>
      </c>
      <c r="F257" s="408">
        <v>9</v>
      </c>
      <c r="G257" s="408">
        <v>0</v>
      </c>
      <c r="H257" s="408">
        <v>13.3</v>
      </c>
      <c r="I257" s="408">
        <v>1.9</v>
      </c>
      <c r="J257" s="408">
        <v>3.8</v>
      </c>
      <c r="K257" s="408">
        <v>0.5</v>
      </c>
      <c r="L257" s="408">
        <v>0.1</v>
      </c>
      <c r="M257" s="408">
        <v>0.6</v>
      </c>
      <c r="N257" s="5">
        <v>0.2</v>
      </c>
      <c r="O257" s="408">
        <v>1.8</v>
      </c>
      <c r="P257" s="408">
        <v>3.2</v>
      </c>
      <c r="Q257" s="408">
        <v>0.55200000000000005</v>
      </c>
      <c r="R257" s="408">
        <v>0.51500000000000001</v>
      </c>
      <c r="S257" s="408">
        <v>0.6</v>
      </c>
      <c r="T257" s="408">
        <v>0.9</v>
      </c>
      <c r="U257" s="408">
        <v>0.625</v>
      </c>
      <c r="V257" s="408">
        <v>0.7</v>
      </c>
      <c r="W257" s="408">
        <v>1.9</v>
      </c>
      <c r="X257" s="408">
        <v>2.6</v>
      </c>
      <c r="Y257" s="408">
        <v>0.4</v>
      </c>
      <c r="Z257" s="408">
        <v>0.2</v>
      </c>
      <c r="AA257" s="408">
        <v>0.1</v>
      </c>
      <c r="AB257" s="408">
        <v>0.9</v>
      </c>
      <c r="AC257" s="408">
        <v>2.7</v>
      </c>
      <c r="AD257" s="408">
        <v>4.4000000000000004</v>
      </c>
    </row>
    <row r="258" spans="1:30">
      <c r="A258">
        <v>210</v>
      </c>
      <c r="B258" s="1" t="s">
        <v>359</v>
      </c>
      <c r="C258" s="5" t="s">
        <v>26</v>
      </c>
      <c r="D258" s="408">
        <v>24</v>
      </c>
      <c r="E258" s="5" t="s">
        <v>100</v>
      </c>
      <c r="F258" s="408">
        <v>70</v>
      </c>
      <c r="G258" s="408">
        <v>12</v>
      </c>
      <c r="H258" s="408">
        <v>24.8</v>
      </c>
      <c r="I258" s="408">
        <v>5</v>
      </c>
      <c r="J258" s="408">
        <v>11.4</v>
      </c>
      <c r="K258" s="408">
        <v>0.44</v>
      </c>
      <c r="L258" s="408">
        <v>2.1</v>
      </c>
      <c r="M258" s="408">
        <v>5.0999999999999996</v>
      </c>
      <c r="N258" s="5">
        <v>0.42</v>
      </c>
      <c r="O258" s="408">
        <v>2.9</v>
      </c>
      <c r="P258" s="408">
        <v>6.3</v>
      </c>
      <c r="Q258" s="408">
        <v>0.45700000000000002</v>
      </c>
      <c r="R258" s="408">
        <v>0.53500000000000003</v>
      </c>
      <c r="S258" s="408">
        <v>0.9</v>
      </c>
      <c r="T258" s="408">
        <v>1</v>
      </c>
      <c r="U258" s="408">
        <v>0.88700000000000001</v>
      </c>
      <c r="V258" s="408">
        <v>0.6</v>
      </c>
      <c r="W258" s="408">
        <v>3.2</v>
      </c>
      <c r="X258" s="408">
        <v>3.8</v>
      </c>
      <c r="Y258" s="408">
        <v>1.8</v>
      </c>
      <c r="Z258" s="408">
        <v>0.9</v>
      </c>
      <c r="AA258" s="408">
        <v>0.3</v>
      </c>
      <c r="AB258" s="408">
        <v>1.4</v>
      </c>
      <c r="AC258" s="408">
        <v>1.8</v>
      </c>
      <c r="AD258" s="408">
        <v>13.1</v>
      </c>
    </row>
    <row r="259" spans="1:30">
      <c r="A259">
        <v>211</v>
      </c>
      <c r="B259" s="1" t="s">
        <v>575</v>
      </c>
      <c r="C259" s="5" t="s">
        <v>83</v>
      </c>
      <c r="D259" s="408">
        <v>35</v>
      </c>
      <c r="E259" s="5" t="s">
        <v>92</v>
      </c>
      <c r="F259" s="408">
        <v>47</v>
      </c>
      <c r="G259" s="408">
        <v>3</v>
      </c>
      <c r="H259" s="408">
        <v>14.5</v>
      </c>
      <c r="I259" s="408">
        <v>2.7</v>
      </c>
      <c r="J259" s="408">
        <v>4.5999999999999996</v>
      </c>
      <c r="K259" s="408">
        <v>0.58699999999999997</v>
      </c>
      <c r="L259" s="408">
        <v>0</v>
      </c>
      <c r="M259" s="408">
        <v>0</v>
      </c>
      <c r="N259" s="5">
        <v>0</v>
      </c>
      <c r="O259" s="408">
        <v>2.7</v>
      </c>
      <c r="P259" s="408">
        <v>4.5999999999999996</v>
      </c>
      <c r="Q259" s="408">
        <v>0.59299999999999997</v>
      </c>
      <c r="R259" s="408">
        <v>0.58699999999999997</v>
      </c>
      <c r="S259" s="408">
        <v>1.3</v>
      </c>
      <c r="T259" s="408">
        <v>2</v>
      </c>
      <c r="U259" s="408">
        <v>0.64900000000000002</v>
      </c>
      <c r="V259" s="408">
        <v>1</v>
      </c>
      <c r="W259" s="408">
        <v>2.2999999999999998</v>
      </c>
      <c r="X259" s="408">
        <v>3.3</v>
      </c>
      <c r="Y259" s="408">
        <v>0.9</v>
      </c>
      <c r="Z259" s="408">
        <v>0.5</v>
      </c>
      <c r="AA259" s="408">
        <v>0.3</v>
      </c>
      <c r="AB259" s="408">
        <v>0.8</v>
      </c>
      <c r="AC259" s="408">
        <v>2.4</v>
      </c>
      <c r="AD259" s="408">
        <v>6.7</v>
      </c>
    </row>
    <row r="260" spans="1:30">
      <c r="A260">
        <v>212</v>
      </c>
      <c r="B260" s="1" t="s">
        <v>432</v>
      </c>
      <c r="C260" s="5" t="s">
        <v>20</v>
      </c>
      <c r="D260" s="408">
        <v>31</v>
      </c>
      <c r="E260" s="5" t="s">
        <v>357</v>
      </c>
      <c r="F260" s="408">
        <v>59</v>
      </c>
      <c r="G260" s="408">
        <v>52</v>
      </c>
      <c r="H260" s="408">
        <v>27.1</v>
      </c>
      <c r="I260" s="408">
        <v>3.5</v>
      </c>
      <c r="J260" s="408">
        <v>7.7</v>
      </c>
      <c r="K260" s="408">
        <v>0.45</v>
      </c>
      <c r="L260" s="408">
        <v>1.3</v>
      </c>
      <c r="M260" s="408">
        <v>3.1</v>
      </c>
      <c r="N260" s="5">
        <v>0.41599999999999998</v>
      </c>
      <c r="O260" s="408">
        <v>2.2000000000000002</v>
      </c>
      <c r="P260" s="408">
        <v>4.5</v>
      </c>
      <c r="Q260" s="408">
        <v>0.47399999999999998</v>
      </c>
      <c r="R260" s="408">
        <v>0.53500000000000003</v>
      </c>
      <c r="S260" s="408">
        <v>1.8</v>
      </c>
      <c r="T260" s="408">
        <v>2.2999999999999998</v>
      </c>
      <c r="U260" s="408">
        <v>0.77900000000000003</v>
      </c>
      <c r="V260" s="408">
        <v>0.7</v>
      </c>
      <c r="W260" s="408">
        <v>2.1</v>
      </c>
      <c r="X260" s="408">
        <v>2.7</v>
      </c>
      <c r="Y260" s="408">
        <v>2.9</v>
      </c>
      <c r="Z260" s="408">
        <v>0.9</v>
      </c>
      <c r="AA260" s="408">
        <v>0.4</v>
      </c>
      <c r="AB260" s="408">
        <v>1.4</v>
      </c>
      <c r="AC260" s="408">
        <v>1.9</v>
      </c>
      <c r="AD260" s="408">
        <v>10</v>
      </c>
    </row>
    <row r="261" spans="1:30">
      <c r="A261">
        <v>212</v>
      </c>
      <c r="B261" s="1" t="s">
        <v>432</v>
      </c>
      <c r="C261" s="5" t="s">
        <v>20</v>
      </c>
      <c r="D261" s="408">
        <v>31</v>
      </c>
      <c r="E261" s="5" t="s">
        <v>100</v>
      </c>
      <c r="F261" s="408">
        <v>43</v>
      </c>
      <c r="G261" s="408">
        <v>36</v>
      </c>
      <c r="H261" s="408">
        <v>26.6</v>
      </c>
      <c r="I261" s="408">
        <v>3.6</v>
      </c>
      <c r="J261" s="408">
        <v>7.6</v>
      </c>
      <c r="K261" s="408">
        <v>0.46899999999999997</v>
      </c>
      <c r="L261" s="408">
        <v>1.3</v>
      </c>
      <c r="M261" s="408">
        <v>3</v>
      </c>
      <c r="N261" s="5">
        <v>0.45300000000000001</v>
      </c>
      <c r="O261" s="408">
        <v>2.2000000000000002</v>
      </c>
      <c r="P261" s="408">
        <v>4.5999999999999996</v>
      </c>
      <c r="Q261" s="408">
        <v>0.48</v>
      </c>
      <c r="R261" s="408">
        <v>0.55800000000000005</v>
      </c>
      <c r="S261" s="408">
        <v>1.8</v>
      </c>
      <c r="T261" s="408">
        <v>2.2999999999999998</v>
      </c>
      <c r="U261" s="408">
        <v>0.77800000000000002</v>
      </c>
      <c r="V261" s="408">
        <v>0.5</v>
      </c>
      <c r="W261" s="408">
        <v>2.2000000000000002</v>
      </c>
      <c r="X261" s="408">
        <v>2.7</v>
      </c>
      <c r="Y261" s="408">
        <v>2.8</v>
      </c>
      <c r="Z261" s="408">
        <v>0.9</v>
      </c>
      <c r="AA261" s="408">
        <v>0.3</v>
      </c>
      <c r="AB261" s="408">
        <v>1.4</v>
      </c>
      <c r="AC261" s="408">
        <v>1.7</v>
      </c>
      <c r="AD261" s="408">
        <v>10.3</v>
      </c>
    </row>
    <row r="262" spans="1:30">
      <c r="A262">
        <v>212</v>
      </c>
      <c r="B262" s="1" t="s">
        <v>432</v>
      </c>
      <c r="C262" s="5" t="s">
        <v>20</v>
      </c>
      <c r="D262" s="408">
        <v>31</v>
      </c>
      <c r="E262" s="5" t="s">
        <v>102</v>
      </c>
      <c r="F262" s="408">
        <v>16</v>
      </c>
      <c r="G262" s="408">
        <v>16</v>
      </c>
      <c r="H262" s="408">
        <v>28.6</v>
      </c>
      <c r="I262" s="408">
        <v>3.2</v>
      </c>
      <c r="J262" s="408">
        <v>7.9</v>
      </c>
      <c r="K262" s="408">
        <v>0.40200000000000002</v>
      </c>
      <c r="L262" s="408">
        <v>1.2</v>
      </c>
      <c r="M262" s="408">
        <v>3.6</v>
      </c>
      <c r="N262" s="5">
        <v>0.33300000000000002</v>
      </c>
      <c r="O262" s="408">
        <v>2</v>
      </c>
      <c r="P262" s="408">
        <v>4.4000000000000004</v>
      </c>
      <c r="Q262" s="408">
        <v>0.45700000000000002</v>
      </c>
      <c r="R262" s="408">
        <v>0.47599999999999998</v>
      </c>
      <c r="S262" s="408">
        <v>1.8</v>
      </c>
      <c r="T262" s="408">
        <v>2.2999999999999998</v>
      </c>
      <c r="U262" s="408">
        <v>0.78400000000000003</v>
      </c>
      <c r="V262" s="408">
        <v>1.1000000000000001</v>
      </c>
      <c r="W262" s="408">
        <v>1.7</v>
      </c>
      <c r="X262" s="408">
        <v>2.8</v>
      </c>
      <c r="Y262" s="408">
        <v>3.1</v>
      </c>
      <c r="Z262" s="408">
        <v>0.8</v>
      </c>
      <c r="AA262" s="408">
        <v>0.6</v>
      </c>
      <c r="AB262" s="408">
        <v>1.3</v>
      </c>
      <c r="AC262" s="408">
        <v>2.4</v>
      </c>
      <c r="AD262" s="408">
        <v>9.4</v>
      </c>
    </row>
    <row r="263" spans="1:30">
      <c r="A263">
        <v>213</v>
      </c>
      <c r="B263" s="1" t="s">
        <v>785</v>
      </c>
      <c r="C263" s="5" t="s">
        <v>46</v>
      </c>
      <c r="D263" s="408">
        <v>26</v>
      </c>
      <c r="E263" s="5" t="s">
        <v>112</v>
      </c>
      <c r="F263" s="408">
        <v>1</v>
      </c>
      <c r="G263" s="408">
        <v>0</v>
      </c>
      <c r="H263" s="408">
        <v>8</v>
      </c>
      <c r="I263" s="408">
        <v>0</v>
      </c>
      <c r="J263" s="408">
        <v>0</v>
      </c>
      <c r="K263" s="408"/>
      <c r="L263" s="408">
        <v>0</v>
      </c>
      <c r="M263" s="408">
        <v>0</v>
      </c>
      <c r="O263" s="408">
        <v>0</v>
      </c>
      <c r="P263" s="408">
        <v>0</v>
      </c>
      <c r="Q263" s="408"/>
      <c r="R263" s="408"/>
      <c r="S263" s="408">
        <v>0</v>
      </c>
      <c r="T263" s="408">
        <v>0</v>
      </c>
      <c r="U263" s="408"/>
      <c r="V263" s="408">
        <v>0</v>
      </c>
      <c r="W263" s="408">
        <v>0</v>
      </c>
      <c r="X263" s="408">
        <v>0</v>
      </c>
      <c r="Y263" s="408">
        <v>1</v>
      </c>
      <c r="Z263" s="408">
        <v>0</v>
      </c>
      <c r="AA263" s="408">
        <v>0</v>
      </c>
      <c r="AB263" s="408">
        <v>0</v>
      </c>
      <c r="AC263" s="408">
        <v>0</v>
      </c>
      <c r="AD263" s="408">
        <v>0</v>
      </c>
    </row>
    <row r="264" spans="1:30">
      <c r="A264">
        <v>214</v>
      </c>
      <c r="B264" s="1" t="s">
        <v>593</v>
      </c>
      <c r="C264" s="5" t="s">
        <v>26</v>
      </c>
      <c r="D264" s="408">
        <v>24</v>
      </c>
      <c r="E264" s="5" t="s">
        <v>140</v>
      </c>
      <c r="F264" s="408">
        <v>14</v>
      </c>
      <c r="G264" s="408">
        <v>0</v>
      </c>
      <c r="H264" s="408">
        <v>6.8</v>
      </c>
      <c r="I264" s="408">
        <v>0.4</v>
      </c>
      <c r="J264" s="408">
        <v>1.4</v>
      </c>
      <c r="K264" s="408">
        <v>0.26300000000000001</v>
      </c>
      <c r="L264" s="408">
        <v>0</v>
      </c>
      <c r="M264" s="408">
        <v>0.4</v>
      </c>
      <c r="N264" s="5">
        <v>0</v>
      </c>
      <c r="O264" s="408">
        <v>0.4</v>
      </c>
      <c r="P264" s="408">
        <v>0.9</v>
      </c>
      <c r="Q264" s="408">
        <v>0.38500000000000001</v>
      </c>
      <c r="R264" s="408">
        <v>0.26300000000000001</v>
      </c>
      <c r="S264" s="408">
        <v>0.4</v>
      </c>
      <c r="T264" s="408">
        <v>0.5</v>
      </c>
      <c r="U264" s="408">
        <v>0.85699999999999998</v>
      </c>
      <c r="V264" s="408">
        <v>0</v>
      </c>
      <c r="W264" s="408">
        <v>0.5</v>
      </c>
      <c r="X264" s="408">
        <v>0.5</v>
      </c>
      <c r="Y264" s="408">
        <v>0.8</v>
      </c>
      <c r="Z264" s="408">
        <v>0.1</v>
      </c>
      <c r="AA264" s="408">
        <v>0</v>
      </c>
      <c r="AB264" s="408">
        <v>0.3</v>
      </c>
      <c r="AC264" s="408">
        <v>0.5</v>
      </c>
      <c r="AD264" s="408">
        <v>1.1000000000000001</v>
      </c>
    </row>
    <row r="265" spans="1:30">
      <c r="A265">
        <v>215</v>
      </c>
      <c r="B265" s="1" t="s">
        <v>350</v>
      </c>
      <c r="C265" s="5" t="s">
        <v>26</v>
      </c>
      <c r="D265" s="408">
        <v>27</v>
      </c>
      <c r="E265" s="5" t="s">
        <v>112</v>
      </c>
      <c r="F265" s="408">
        <v>70</v>
      </c>
      <c r="G265" s="408">
        <v>70</v>
      </c>
      <c r="H265" s="408">
        <v>36.5</v>
      </c>
      <c r="I265" s="408">
        <v>7.6</v>
      </c>
      <c r="J265" s="408">
        <v>15.6</v>
      </c>
      <c r="K265" s="408">
        <v>0.48799999999999999</v>
      </c>
      <c r="L265" s="408">
        <v>1.6</v>
      </c>
      <c r="M265" s="408">
        <v>4.5999999999999996</v>
      </c>
      <c r="N265" s="5">
        <v>0.34100000000000003</v>
      </c>
      <c r="O265" s="408">
        <v>6</v>
      </c>
      <c r="P265" s="408">
        <v>11</v>
      </c>
      <c r="Q265" s="408">
        <v>0.54900000000000004</v>
      </c>
      <c r="R265" s="408">
        <v>0.53800000000000003</v>
      </c>
      <c r="S265" s="408">
        <v>2.4</v>
      </c>
      <c r="T265" s="408">
        <v>3</v>
      </c>
      <c r="U265" s="408">
        <v>0.79700000000000004</v>
      </c>
      <c r="V265" s="408">
        <v>0.7</v>
      </c>
      <c r="W265" s="408">
        <v>3.7</v>
      </c>
      <c r="X265" s="408">
        <v>4.4000000000000004</v>
      </c>
      <c r="Y265" s="408">
        <v>5.9</v>
      </c>
      <c r="Z265" s="408">
        <v>1.4</v>
      </c>
      <c r="AA265" s="408">
        <v>0.8</v>
      </c>
      <c r="AB265" s="408">
        <v>2.5</v>
      </c>
      <c r="AC265" s="408">
        <v>2.5</v>
      </c>
      <c r="AD265" s="408">
        <v>19.100000000000001</v>
      </c>
    </row>
    <row r="266" spans="1:30">
      <c r="A266">
        <v>216</v>
      </c>
      <c r="B266" s="1" t="s">
        <v>321</v>
      </c>
      <c r="C266" s="5" t="s">
        <v>26</v>
      </c>
      <c r="D266" s="408">
        <v>28</v>
      </c>
      <c r="E266" s="5" t="s">
        <v>43</v>
      </c>
      <c r="F266" s="408">
        <v>61</v>
      </c>
      <c r="G266" s="408">
        <v>61</v>
      </c>
      <c r="H266" s="408">
        <v>32.9</v>
      </c>
      <c r="I266" s="408">
        <v>4.0999999999999996</v>
      </c>
      <c r="J266" s="408">
        <v>11</v>
      </c>
      <c r="K266" s="408">
        <v>0.375</v>
      </c>
      <c r="L266" s="408">
        <v>2.2999999999999998</v>
      </c>
      <c r="M266" s="408">
        <v>6.3</v>
      </c>
      <c r="N266" s="5">
        <v>0.36799999999999999</v>
      </c>
      <c r="O266" s="408">
        <v>1.8</v>
      </c>
      <c r="P266" s="408">
        <v>4.7</v>
      </c>
      <c r="Q266" s="408">
        <v>0.38500000000000001</v>
      </c>
      <c r="R266" s="408">
        <v>0.48099999999999998</v>
      </c>
      <c r="S266" s="408">
        <v>2</v>
      </c>
      <c r="T266" s="408">
        <v>2.4</v>
      </c>
      <c r="U266" s="408">
        <v>0.82299999999999995</v>
      </c>
      <c r="V266" s="408">
        <v>0.5</v>
      </c>
      <c r="W266" s="408">
        <v>3.8</v>
      </c>
      <c r="X266" s="408">
        <v>4.3</v>
      </c>
      <c r="Y266" s="408">
        <v>2.2000000000000002</v>
      </c>
      <c r="Z266" s="408">
        <v>1.1000000000000001</v>
      </c>
      <c r="AA266" s="408">
        <v>0.5</v>
      </c>
      <c r="AB266" s="408">
        <v>1.4</v>
      </c>
      <c r="AC266" s="408">
        <v>1.9</v>
      </c>
      <c r="AD266" s="408">
        <v>12.6</v>
      </c>
    </row>
    <row r="267" spans="1:30">
      <c r="A267">
        <v>217</v>
      </c>
      <c r="B267" s="1" t="s">
        <v>632</v>
      </c>
      <c r="C267" s="5" t="s">
        <v>46</v>
      </c>
      <c r="D267" s="408">
        <v>29</v>
      </c>
      <c r="E267" s="5" t="s">
        <v>102</v>
      </c>
      <c r="F267" s="408">
        <v>16</v>
      </c>
      <c r="G267" s="408">
        <v>0</v>
      </c>
      <c r="H267" s="408">
        <v>7.4</v>
      </c>
      <c r="I267" s="408">
        <v>0.6</v>
      </c>
      <c r="J267" s="408">
        <v>2.2000000000000002</v>
      </c>
      <c r="K267" s="408">
        <v>0.28599999999999998</v>
      </c>
      <c r="L267" s="408">
        <v>0.4</v>
      </c>
      <c r="M267" s="408">
        <v>1.4</v>
      </c>
      <c r="N267" s="5">
        <v>0.30399999999999999</v>
      </c>
      <c r="O267" s="408">
        <v>0.2</v>
      </c>
      <c r="P267" s="408">
        <v>0.8</v>
      </c>
      <c r="Q267" s="408">
        <v>0.25</v>
      </c>
      <c r="R267" s="408">
        <v>0.38600000000000001</v>
      </c>
      <c r="S267" s="408">
        <v>0.2</v>
      </c>
      <c r="T267" s="408">
        <v>0.3</v>
      </c>
      <c r="U267" s="408">
        <v>0.75</v>
      </c>
      <c r="V267" s="408">
        <v>0.2</v>
      </c>
      <c r="W267" s="408">
        <v>0.9</v>
      </c>
      <c r="X267" s="408">
        <v>1.1000000000000001</v>
      </c>
      <c r="Y267" s="408">
        <v>0.3</v>
      </c>
      <c r="Z267" s="408">
        <v>0.4</v>
      </c>
      <c r="AA267" s="408">
        <v>0.1</v>
      </c>
      <c r="AB267" s="408">
        <v>0.3</v>
      </c>
      <c r="AC267" s="408">
        <v>0.4</v>
      </c>
      <c r="AD267" s="408">
        <v>1.9</v>
      </c>
    </row>
    <row r="268" spans="1:30">
      <c r="A268">
        <v>218</v>
      </c>
      <c r="B268" s="1" t="s">
        <v>540</v>
      </c>
      <c r="C268" s="5" t="s">
        <v>46</v>
      </c>
      <c r="D268" s="408">
        <v>23</v>
      </c>
      <c r="E268" s="5" t="s">
        <v>315</v>
      </c>
      <c r="F268" s="408">
        <v>57</v>
      </c>
      <c r="G268" s="408">
        <v>48</v>
      </c>
      <c r="H268" s="408">
        <v>28</v>
      </c>
      <c r="I268" s="408">
        <v>5.2</v>
      </c>
      <c r="J268" s="408">
        <v>10.9</v>
      </c>
      <c r="K268" s="408">
        <v>0.47599999999999998</v>
      </c>
      <c r="L268" s="408">
        <v>0.2</v>
      </c>
      <c r="M268" s="408">
        <v>0.9</v>
      </c>
      <c r="N268" s="5">
        <v>0.245</v>
      </c>
      <c r="O268" s="408">
        <v>5</v>
      </c>
      <c r="P268" s="408">
        <v>10.1</v>
      </c>
      <c r="Q268" s="408">
        <v>0.496</v>
      </c>
      <c r="R268" s="408">
        <v>0.48599999999999999</v>
      </c>
      <c r="S268" s="408">
        <v>3.8</v>
      </c>
      <c r="T268" s="408">
        <v>4.8</v>
      </c>
      <c r="U268" s="408">
        <v>0.78600000000000003</v>
      </c>
      <c r="V268" s="408">
        <v>1.6</v>
      </c>
      <c r="W268" s="408">
        <v>5.0999999999999996</v>
      </c>
      <c r="X268" s="408">
        <v>6.7</v>
      </c>
      <c r="Y268" s="408">
        <v>2.4</v>
      </c>
      <c r="Z268" s="408">
        <v>0.9</v>
      </c>
      <c r="AA268" s="408">
        <v>0.7</v>
      </c>
      <c r="AB268" s="408">
        <v>1.7</v>
      </c>
      <c r="AC268" s="408">
        <v>2.1</v>
      </c>
      <c r="AD268" s="408">
        <v>14.4</v>
      </c>
    </row>
    <row r="269" spans="1:30">
      <c r="A269">
        <v>219</v>
      </c>
      <c r="B269" s="1" t="s">
        <v>541</v>
      </c>
      <c r="C269" s="5" t="s">
        <v>83</v>
      </c>
      <c r="D269" s="408">
        <v>24</v>
      </c>
      <c r="E269" s="5" t="s">
        <v>118</v>
      </c>
      <c r="F269" s="408">
        <v>35</v>
      </c>
      <c r="G269" s="408">
        <v>2</v>
      </c>
      <c r="H269" s="408">
        <v>14.9</v>
      </c>
      <c r="I269" s="408">
        <v>2.5</v>
      </c>
      <c r="J269" s="408">
        <v>4.8</v>
      </c>
      <c r="K269" s="408">
        <v>0.51200000000000001</v>
      </c>
      <c r="L269" s="408">
        <v>0.1</v>
      </c>
      <c r="M269" s="408">
        <v>0.8</v>
      </c>
      <c r="N269" s="5">
        <v>0.111</v>
      </c>
      <c r="O269" s="408">
        <v>2.4</v>
      </c>
      <c r="P269" s="408">
        <v>4</v>
      </c>
      <c r="Q269" s="408">
        <v>0.58899999999999997</v>
      </c>
      <c r="R269" s="408">
        <v>0.52100000000000002</v>
      </c>
      <c r="S269" s="408">
        <v>0.7</v>
      </c>
      <c r="T269" s="408">
        <v>1</v>
      </c>
      <c r="U269" s="408">
        <v>0.72199999999999998</v>
      </c>
      <c r="V269" s="408">
        <v>1.2</v>
      </c>
      <c r="W269" s="408">
        <v>3.2</v>
      </c>
      <c r="X269" s="408">
        <v>4.4000000000000004</v>
      </c>
      <c r="Y269" s="408">
        <v>1.3</v>
      </c>
      <c r="Z269" s="408">
        <v>0.4</v>
      </c>
      <c r="AA269" s="408">
        <v>0.6</v>
      </c>
      <c r="AB269" s="408">
        <v>0.6</v>
      </c>
      <c r="AC269" s="408">
        <v>2.1</v>
      </c>
      <c r="AD269" s="408">
        <v>5.7</v>
      </c>
    </row>
    <row r="270" spans="1:30">
      <c r="A270">
        <v>220</v>
      </c>
      <c r="B270" s="1" t="s">
        <v>236</v>
      </c>
      <c r="C270" s="5" t="s">
        <v>26</v>
      </c>
      <c r="D270" s="408">
        <v>25</v>
      </c>
      <c r="E270" s="5" t="s">
        <v>357</v>
      </c>
      <c r="F270" s="408">
        <v>51</v>
      </c>
      <c r="G270" s="408">
        <v>17</v>
      </c>
      <c r="H270" s="408">
        <v>27.2</v>
      </c>
      <c r="I270" s="408">
        <v>5.5</v>
      </c>
      <c r="J270" s="408">
        <v>13</v>
      </c>
      <c r="K270" s="408">
        <v>0.42099999999999999</v>
      </c>
      <c r="L270" s="408">
        <v>2.2999999999999998</v>
      </c>
      <c r="M270" s="408">
        <v>6</v>
      </c>
      <c r="N270" s="5">
        <v>0.379</v>
      </c>
      <c r="O270" s="408">
        <v>3.2</v>
      </c>
      <c r="P270" s="408">
        <v>7</v>
      </c>
      <c r="Q270" s="408">
        <v>0.45700000000000002</v>
      </c>
      <c r="R270" s="408">
        <v>0.50800000000000001</v>
      </c>
      <c r="S270" s="408">
        <v>1.9</v>
      </c>
      <c r="T270" s="408">
        <v>2.1</v>
      </c>
      <c r="U270" s="408">
        <v>0.88100000000000001</v>
      </c>
      <c r="V270" s="408">
        <v>0.4</v>
      </c>
      <c r="W270" s="408">
        <v>2.4</v>
      </c>
      <c r="X270" s="408">
        <v>2.8</v>
      </c>
      <c r="Y270" s="408">
        <v>1.6</v>
      </c>
      <c r="Z270" s="408">
        <v>0.7</v>
      </c>
      <c r="AA270" s="408">
        <v>0.2</v>
      </c>
      <c r="AB270" s="408">
        <v>1.4</v>
      </c>
      <c r="AC270" s="408">
        <v>1.8</v>
      </c>
      <c r="AD270" s="408">
        <v>15.1</v>
      </c>
    </row>
    <row r="271" spans="1:30">
      <c r="A271">
        <v>220</v>
      </c>
      <c r="B271" s="1" t="s">
        <v>236</v>
      </c>
      <c r="C271" s="5" t="s">
        <v>26</v>
      </c>
      <c r="D271" s="408">
        <v>25</v>
      </c>
      <c r="E271" s="5" t="s">
        <v>305</v>
      </c>
      <c r="F271" s="408">
        <v>39</v>
      </c>
      <c r="G271" s="408">
        <v>12</v>
      </c>
      <c r="H271" s="408">
        <v>27.8</v>
      </c>
      <c r="I271" s="408">
        <v>6</v>
      </c>
      <c r="J271" s="408">
        <v>14.2</v>
      </c>
      <c r="K271" s="408">
        <v>0.42399999999999999</v>
      </c>
      <c r="L271" s="408">
        <v>2.6</v>
      </c>
      <c r="M271" s="408">
        <v>6.7</v>
      </c>
      <c r="N271" s="5">
        <v>0.38900000000000001</v>
      </c>
      <c r="O271" s="408">
        <v>3.4</v>
      </c>
      <c r="P271" s="408">
        <v>7.4</v>
      </c>
      <c r="Q271" s="408">
        <v>0.45500000000000002</v>
      </c>
      <c r="R271" s="408">
        <v>0.51600000000000001</v>
      </c>
      <c r="S271" s="408">
        <v>2.2000000000000002</v>
      </c>
      <c r="T271" s="408">
        <v>2.5</v>
      </c>
      <c r="U271" s="408">
        <v>0.876</v>
      </c>
      <c r="V271" s="408">
        <v>0.4</v>
      </c>
      <c r="W271" s="408">
        <v>2.5</v>
      </c>
      <c r="X271" s="408">
        <v>2.8</v>
      </c>
      <c r="Y271" s="408">
        <v>1.7</v>
      </c>
      <c r="Z271" s="408">
        <v>0.8</v>
      </c>
      <c r="AA271" s="408">
        <v>0.2</v>
      </c>
      <c r="AB271" s="408">
        <v>1.6</v>
      </c>
      <c r="AC271" s="408">
        <v>1.6</v>
      </c>
      <c r="AD271" s="408">
        <v>16.8</v>
      </c>
    </row>
    <row r="272" spans="1:30">
      <c r="A272">
        <v>220</v>
      </c>
      <c r="B272" s="1" t="s">
        <v>236</v>
      </c>
      <c r="C272" s="5" t="s">
        <v>26</v>
      </c>
      <c r="D272" s="408">
        <v>25</v>
      </c>
      <c r="E272" s="5" t="s">
        <v>102</v>
      </c>
      <c r="F272" s="408">
        <v>12</v>
      </c>
      <c r="G272" s="408">
        <v>5</v>
      </c>
      <c r="H272" s="408">
        <v>25.3</v>
      </c>
      <c r="I272" s="408">
        <v>3.8</v>
      </c>
      <c r="J272" s="408">
        <v>9.4</v>
      </c>
      <c r="K272" s="408">
        <v>0.40699999999999997</v>
      </c>
      <c r="L272" s="408">
        <v>1.2</v>
      </c>
      <c r="M272" s="408">
        <v>3.7</v>
      </c>
      <c r="N272" s="5">
        <v>0.318</v>
      </c>
      <c r="O272" s="408">
        <v>2.7</v>
      </c>
      <c r="P272" s="408">
        <v>5.8</v>
      </c>
      <c r="Q272" s="408">
        <v>0.46400000000000002</v>
      </c>
      <c r="R272" s="408">
        <v>0.46899999999999997</v>
      </c>
      <c r="S272" s="408">
        <v>0.9</v>
      </c>
      <c r="T272" s="408">
        <v>1</v>
      </c>
      <c r="U272" s="408">
        <v>0.91700000000000004</v>
      </c>
      <c r="V272" s="408">
        <v>0.3</v>
      </c>
      <c r="W272" s="408">
        <v>2.2999999999999998</v>
      </c>
      <c r="X272" s="408">
        <v>2.6</v>
      </c>
      <c r="Y272" s="408">
        <v>1.3</v>
      </c>
      <c r="Z272" s="408">
        <v>0.7</v>
      </c>
      <c r="AA272" s="408">
        <v>0.3</v>
      </c>
      <c r="AB272" s="408">
        <v>0.5</v>
      </c>
      <c r="AC272" s="408">
        <v>2.2999999999999998</v>
      </c>
      <c r="AD272" s="408">
        <v>9.8000000000000007</v>
      </c>
    </row>
    <row r="273" spans="1:30">
      <c r="A273">
        <v>221</v>
      </c>
      <c r="B273" s="1" t="s">
        <v>1057</v>
      </c>
      <c r="C273" s="5" t="s">
        <v>26</v>
      </c>
      <c r="D273" s="408">
        <v>28</v>
      </c>
      <c r="E273" s="5" t="s">
        <v>33</v>
      </c>
      <c r="F273" s="408">
        <v>1</v>
      </c>
      <c r="G273" s="408">
        <v>0</v>
      </c>
      <c r="H273" s="408">
        <v>8</v>
      </c>
      <c r="I273" s="408">
        <v>0</v>
      </c>
      <c r="J273" s="408">
        <v>1</v>
      </c>
      <c r="K273" s="408">
        <v>0</v>
      </c>
      <c r="L273" s="408">
        <v>0</v>
      </c>
      <c r="M273" s="408">
        <v>0</v>
      </c>
      <c r="O273" s="408">
        <v>0</v>
      </c>
      <c r="P273" s="408">
        <v>1</v>
      </c>
      <c r="Q273" s="408">
        <v>0</v>
      </c>
      <c r="R273" s="408">
        <v>0</v>
      </c>
      <c r="S273" s="408">
        <v>1</v>
      </c>
      <c r="T273" s="408">
        <v>2</v>
      </c>
      <c r="U273" s="408">
        <v>0.5</v>
      </c>
      <c r="V273" s="408">
        <v>0</v>
      </c>
      <c r="W273" s="408">
        <v>0</v>
      </c>
      <c r="X273" s="408">
        <v>0</v>
      </c>
      <c r="Y273" s="408">
        <v>1</v>
      </c>
      <c r="Z273" s="408">
        <v>0</v>
      </c>
      <c r="AA273" s="408">
        <v>0</v>
      </c>
      <c r="AB273" s="408">
        <v>1</v>
      </c>
      <c r="AC273" s="408">
        <v>0</v>
      </c>
      <c r="AD273" s="408">
        <v>1</v>
      </c>
    </row>
    <row r="274" spans="1:30">
      <c r="A274">
        <v>222</v>
      </c>
      <c r="B274" s="1" t="s">
        <v>417</v>
      </c>
      <c r="C274" s="5" t="s">
        <v>83</v>
      </c>
      <c r="D274" s="408">
        <v>31</v>
      </c>
      <c r="E274" s="5" t="s">
        <v>87</v>
      </c>
      <c r="F274" s="408">
        <v>63</v>
      </c>
      <c r="G274" s="408">
        <v>63</v>
      </c>
      <c r="H274" s="408">
        <v>31.6</v>
      </c>
      <c r="I274" s="408">
        <v>5.2</v>
      </c>
      <c r="J274" s="408">
        <v>10.5</v>
      </c>
      <c r="K274" s="408">
        <v>0.49099999999999999</v>
      </c>
      <c r="L274" s="408">
        <v>1.4</v>
      </c>
      <c r="M274" s="408">
        <v>3.2</v>
      </c>
      <c r="N274" s="5">
        <v>0.42399999999999999</v>
      </c>
      <c r="O274" s="408">
        <v>3.8</v>
      </c>
      <c r="P274" s="408">
        <v>7.3</v>
      </c>
      <c r="Q274" s="408">
        <v>0.52100000000000002</v>
      </c>
      <c r="R274" s="408">
        <v>0.55600000000000005</v>
      </c>
      <c r="S274" s="408">
        <v>1.1000000000000001</v>
      </c>
      <c r="T274" s="408">
        <v>1.5</v>
      </c>
      <c r="U274" s="408">
        <v>0.755</v>
      </c>
      <c r="V274" s="408">
        <v>1.4</v>
      </c>
      <c r="W274" s="408">
        <v>6.1</v>
      </c>
      <c r="X274" s="408">
        <v>7.5</v>
      </c>
      <c r="Y274" s="408">
        <v>4.8</v>
      </c>
      <c r="Z274" s="408">
        <v>0.6</v>
      </c>
      <c r="AA274" s="408">
        <v>1.1000000000000001</v>
      </c>
      <c r="AB274" s="408">
        <v>1.9</v>
      </c>
      <c r="AC274" s="408">
        <v>2</v>
      </c>
      <c r="AD274" s="408">
        <v>12.8</v>
      </c>
    </row>
    <row r="275" spans="1:30">
      <c r="A275">
        <v>223</v>
      </c>
      <c r="B275" s="1" t="s">
        <v>493</v>
      </c>
      <c r="C275" s="5" t="s">
        <v>26</v>
      </c>
      <c r="D275" s="408">
        <v>24</v>
      </c>
      <c r="E275" s="5" t="s">
        <v>313</v>
      </c>
      <c r="F275" s="408">
        <v>16</v>
      </c>
      <c r="G275" s="408">
        <v>0</v>
      </c>
      <c r="H275" s="408">
        <v>12.1</v>
      </c>
      <c r="I275" s="408">
        <v>1.6</v>
      </c>
      <c r="J275" s="408">
        <v>4.2</v>
      </c>
      <c r="K275" s="408">
        <v>0.373</v>
      </c>
      <c r="L275" s="408">
        <v>0.5</v>
      </c>
      <c r="M275" s="408">
        <v>1.9</v>
      </c>
      <c r="N275" s="5">
        <v>0.25800000000000001</v>
      </c>
      <c r="O275" s="408">
        <v>1.1000000000000001</v>
      </c>
      <c r="P275" s="408">
        <v>2.2999999999999998</v>
      </c>
      <c r="Q275" s="408">
        <v>0.47199999999999998</v>
      </c>
      <c r="R275" s="408">
        <v>0.433</v>
      </c>
      <c r="S275" s="408">
        <v>1</v>
      </c>
      <c r="T275" s="408">
        <v>1.2</v>
      </c>
      <c r="U275" s="408">
        <v>0.84199999999999997</v>
      </c>
      <c r="V275" s="408">
        <v>0.6</v>
      </c>
      <c r="W275" s="408">
        <v>1.8</v>
      </c>
      <c r="X275" s="408">
        <v>2.2999999999999998</v>
      </c>
      <c r="Y275" s="408">
        <v>0.5</v>
      </c>
      <c r="Z275" s="408">
        <v>0.3</v>
      </c>
      <c r="AA275" s="408">
        <v>0.1</v>
      </c>
      <c r="AB275" s="408">
        <v>0.3</v>
      </c>
      <c r="AC275" s="408">
        <v>0.9</v>
      </c>
      <c r="AD275" s="408">
        <v>4.5999999999999996</v>
      </c>
    </row>
    <row r="276" spans="1:30">
      <c r="A276">
        <v>224</v>
      </c>
      <c r="B276" s="1" t="s">
        <v>580</v>
      </c>
      <c r="C276" s="5" t="s">
        <v>83</v>
      </c>
      <c r="D276" s="408">
        <v>32</v>
      </c>
      <c r="E276" s="5" t="s">
        <v>311</v>
      </c>
      <c r="F276" s="408">
        <v>71</v>
      </c>
      <c r="G276" s="408">
        <v>71</v>
      </c>
      <c r="H276" s="408">
        <v>30.5</v>
      </c>
      <c r="I276" s="408">
        <v>6.2</v>
      </c>
      <c r="J276" s="408">
        <v>11.2</v>
      </c>
      <c r="K276" s="408">
        <v>0.55400000000000005</v>
      </c>
      <c r="L276" s="408">
        <v>0</v>
      </c>
      <c r="M276" s="408">
        <v>0.1</v>
      </c>
      <c r="N276" s="5">
        <v>0.2</v>
      </c>
      <c r="O276" s="408">
        <v>6.2</v>
      </c>
      <c r="P276" s="408">
        <v>11.1</v>
      </c>
      <c r="Q276" s="408">
        <v>0.55600000000000005</v>
      </c>
      <c r="R276" s="408">
        <v>0.55400000000000005</v>
      </c>
      <c r="S276" s="408">
        <v>4</v>
      </c>
      <c r="T276" s="408">
        <v>7</v>
      </c>
      <c r="U276" s="408">
        <v>0.56899999999999995</v>
      </c>
      <c r="V276" s="408">
        <v>3.1</v>
      </c>
      <c r="W276" s="408">
        <v>8.9</v>
      </c>
      <c r="X276" s="408">
        <v>12</v>
      </c>
      <c r="Y276" s="408">
        <v>1.3</v>
      </c>
      <c r="Z276" s="408">
        <v>0.6</v>
      </c>
      <c r="AA276" s="408">
        <v>1.7</v>
      </c>
      <c r="AB276" s="408">
        <v>2.6</v>
      </c>
      <c r="AC276" s="408">
        <v>3.2</v>
      </c>
      <c r="AD276" s="408">
        <v>16.3</v>
      </c>
    </row>
    <row r="277" spans="1:30">
      <c r="A277">
        <v>225</v>
      </c>
      <c r="B277" s="1" t="s">
        <v>69</v>
      </c>
      <c r="C277" s="5" t="s">
        <v>38</v>
      </c>
      <c r="D277" s="408">
        <v>26</v>
      </c>
      <c r="E277" s="5" t="s">
        <v>58</v>
      </c>
      <c r="F277" s="408">
        <v>65</v>
      </c>
      <c r="G277" s="408">
        <v>10</v>
      </c>
      <c r="H277" s="408">
        <v>14.8</v>
      </c>
      <c r="I277" s="408">
        <v>0.9</v>
      </c>
      <c r="J277" s="408">
        <v>2.7</v>
      </c>
      <c r="K277" s="408">
        <v>0.33100000000000002</v>
      </c>
      <c r="L277" s="408">
        <v>0.5</v>
      </c>
      <c r="M277" s="408">
        <v>1.7</v>
      </c>
      <c r="N277" s="5">
        <v>0.28599999999999998</v>
      </c>
      <c r="O277" s="408">
        <v>0.4</v>
      </c>
      <c r="P277" s="408">
        <v>1</v>
      </c>
      <c r="Q277" s="408">
        <v>0.40899999999999997</v>
      </c>
      <c r="R277" s="408">
        <v>0.42099999999999999</v>
      </c>
      <c r="S277" s="408">
        <v>0.1</v>
      </c>
      <c r="T277" s="408">
        <v>0.3</v>
      </c>
      <c r="U277" s="408">
        <v>0.27800000000000002</v>
      </c>
      <c r="V277" s="408">
        <v>0.6</v>
      </c>
      <c r="W277" s="408">
        <v>1.8</v>
      </c>
      <c r="X277" s="408">
        <v>2.4</v>
      </c>
      <c r="Y277" s="408">
        <v>0.3</v>
      </c>
      <c r="Z277" s="408">
        <v>0.2</v>
      </c>
      <c r="AA277" s="408">
        <v>0.6</v>
      </c>
      <c r="AB277" s="408">
        <v>0.4</v>
      </c>
      <c r="AC277" s="408">
        <v>1.2</v>
      </c>
      <c r="AD277" s="408">
        <v>2.4</v>
      </c>
    </row>
    <row r="278" spans="1:30">
      <c r="A278">
        <v>226</v>
      </c>
      <c r="B278" s="1" t="s">
        <v>672</v>
      </c>
      <c r="C278" s="5" t="s">
        <v>26</v>
      </c>
      <c r="D278" s="408">
        <v>24</v>
      </c>
      <c r="E278" s="5" t="s">
        <v>92</v>
      </c>
      <c r="F278" s="408">
        <v>2</v>
      </c>
      <c r="G278" s="408">
        <v>0</v>
      </c>
      <c r="H278" s="408">
        <v>1</v>
      </c>
      <c r="I278" s="408">
        <v>0</v>
      </c>
      <c r="J278" s="408">
        <v>0</v>
      </c>
      <c r="K278" s="408"/>
      <c r="L278" s="408">
        <v>0</v>
      </c>
      <c r="M278" s="408">
        <v>0</v>
      </c>
      <c r="O278" s="408">
        <v>0</v>
      </c>
      <c r="P278" s="408">
        <v>0</v>
      </c>
      <c r="Q278" s="408"/>
      <c r="R278" s="408"/>
      <c r="S278" s="408">
        <v>0</v>
      </c>
      <c r="T278" s="408">
        <v>0</v>
      </c>
      <c r="U278" s="408"/>
      <c r="V278" s="408">
        <v>0</v>
      </c>
      <c r="W278" s="408">
        <v>0.5</v>
      </c>
      <c r="X278" s="408">
        <v>0.5</v>
      </c>
      <c r="Y278" s="408">
        <v>1</v>
      </c>
      <c r="Z278" s="408">
        <v>0</v>
      </c>
      <c r="AA278" s="408">
        <v>0</v>
      </c>
      <c r="AB278" s="408">
        <v>0</v>
      </c>
      <c r="AC278" s="408">
        <v>0</v>
      </c>
      <c r="AD278" s="408">
        <v>0</v>
      </c>
    </row>
    <row r="279" spans="1:30">
      <c r="A279">
        <v>227</v>
      </c>
      <c r="B279" s="1" t="s">
        <v>631</v>
      </c>
      <c r="C279" s="5" t="s">
        <v>38</v>
      </c>
      <c r="D279" s="408">
        <v>23</v>
      </c>
      <c r="E279" s="5" t="s">
        <v>128</v>
      </c>
      <c r="F279" s="408">
        <v>4</v>
      </c>
      <c r="G279" s="408">
        <v>0</v>
      </c>
      <c r="H279" s="408">
        <v>1.8</v>
      </c>
      <c r="I279" s="408">
        <v>0.8</v>
      </c>
      <c r="J279" s="408">
        <v>1.3</v>
      </c>
      <c r="K279" s="408">
        <v>0.6</v>
      </c>
      <c r="L279" s="408">
        <v>0</v>
      </c>
      <c r="M279" s="408">
        <v>0</v>
      </c>
      <c r="O279" s="408">
        <v>0.8</v>
      </c>
      <c r="P279" s="408">
        <v>1.3</v>
      </c>
      <c r="Q279" s="408">
        <v>0.6</v>
      </c>
      <c r="R279" s="408">
        <v>0.6</v>
      </c>
      <c r="S279" s="408">
        <v>0</v>
      </c>
      <c r="T279" s="408">
        <v>0</v>
      </c>
      <c r="U279" s="408"/>
      <c r="V279" s="408">
        <v>0.5</v>
      </c>
      <c r="W279" s="408">
        <v>0.3</v>
      </c>
      <c r="X279" s="408">
        <v>0.8</v>
      </c>
      <c r="Y279" s="408">
        <v>0</v>
      </c>
      <c r="Z279" s="408">
        <v>0</v>
      </c>
      <c r="AA279" s="408">
        <v>0.3</v>
      </c>
      <c r="AB279" s="408">
        <v>0.3</v>
      </c>
      <c r="AC279" s="408">
        <v>0</v>
      </c>
      <c r="AD279" s="408">
        <v>1.5</v>
      </c>
    </row>
    <row r="280" spans="1:30">
      <c r="A280">
        <v>228</v>
      </c>
      <c r="B280" s="1" t="s">
        <v>384</v>
      </c>
      <c r="C280" s="5" t="s">
        <v>38</v>
      </c>
      <c r="D280" s="408">
        <v>28</v>
      </c>
      <c r="E280" s="5" t="s">
        <v>47</v>
      </c>
      <c r="F280" s="408">
        <v>65</v>
      </c>
      <c r="G280" s="408">
        <v>65</v>
      </c>
      <c r="H280" s="408">
        <v>27.4</v>
      </c>
      <c r="I280" s="408">
        <v>4.9000000000000004</v>
      </c>
      <c r="J280" s="408">
        <v>10.3</v>
      </c>
      <c r="K280" s="408">
        <v>0.47799999999999998</v>
      </c>
      <c r="L280" s="408">
        <v>1.4</v>
      </c>
      <c r="M280" s="408">
        <v>4</v>
      </c>
      <c r="N280" s="5">
        <v>0.34899999999999998</v>
      </c>
      <c r="O280" s="408">
        <v>3.6</v>
      </c>
      <c r="P280" s="408">
        <v>6.4</v>
      </c>
      <c r="Q280" s="408">
        <v>0.55800000000000005</v>
      </c>
      <c r="R280" s="408">
        <v>0.54500000000000004</v>
      </c>
      <c r="S280" s="408">
        <v>1.3</v>
      </c>
      <c r="T280" s="408">
        <v>1.7</v>
      </c>
      <c r="U280" s="408">
        <v>0.80600000000000005</v>
      </c>
      <c r="V280" s="408">
        <v>1</v>
      </c>
      <c r="W280" s="408">
        <v>5.2</v>
      </c>
      <c r="X280" s="408">
        <v>6.2</v>
      </c>
      <c r="Y280" s="408">
        <v>0.8</v>
      </c>
      <c r="Z280" s="408">
        <v>0.4</v>
      </c>
      <c r="AA280" s="408">
        <v>1.2</v>
      </c>
      <c r="AB280" s="408">
        <v>1.2</v>
      </c>
      <c r="AC280" s="408">
        <v>2.8</v>
      </c>
      <c r="AD280" s="408">
        <v>12.6</v>
      </c>
    </row>
    <row r="281" spans="1:30">
      <c r="A281">
        <v>229</v>
      </c>
      <c r="B281" s="1" t="s">
        <v>490</v>
      </c>
      <c r="C281" s="5" t="s">
        <v>46</v>
      </c>
      <c r="D281" s="408">
        <v>34</v>
      </c>
      <c r="E281" s="5" t="s">
        <v>73</v>
      </c>
      <c r="F281" s="408">
        <v>59</v>
      </c>
      <c r="G281" s="408">
        <v>7</v>
      </c>
      <c r="H281" s="408">
        <v>25.5</v>
      </c>
      <c r="I281" s="408">
        <v>2.2999999999999998</v>
      </c>
      <c r="J281" s="408">
        <v>4.9000000000000004</v>
      </c>
      <c r="K281" s="408">
        <v>0.46700000000000003</v>
      </c>
      <c r="L281" s="408">
        <v>0.5</v>
      </c>
      <c r="M281" s="408">
        <v>1.7</v>
      </c>
      <c r="N281" s="5">
        <v>0.26700000000000002</v>
      </c>
      <c r="O281" s="408">
        <v>1.8</v>
      </c>
      <c r="P281" s="408">
        <v>3.2</v>
      </c>
      <c r="Q281" s="408">
        <v>0.57399999999999995</v>
      </c>
      <c r="R281" s="408">
        <v>0.51400000000000001</v>
      </c>
      <c r="S281" s="408">
        <v>0.9</v>
      </c>
      <c r="T281" s="408">
        <v>1.5</v>
      </c>
      <c r="U281" s="408">
        <v>0.64</v>
      </c>
      <c r="V281" s="408">
        <v>0.8</v>
      </c>
      <c r="W281" s="408">
        <v>3.1</v>
      </c>
      <c r="X281" s="408">
        <v>3.9</v>
      </c>
      <c r="Y281" s="408">
        <v>3.3</v>
      </c>
      <c r="Z281" s="408">
        <v>0.8</v>
      </c>
      <c r="AA281" s="408">
        <v>0.6</v>
      </c>
      <c r="AB281" s="408">
        <v>1.1000000000000001</v>
      </c>
      <c r="AC281" s="408">
        <v>1.5</v>
      </c>
      <c r="AD281" s="408">
        <v>6</v>
      </c>
    </row>
    <row r="282" spans="1:30">
      <c r="A282">
        <v>230</v>
      </c>
      <c r="B282" s="1" t="s">
        <v>208</v>
      </c>
      <c r="C282" s="5" t="s">
        <v>38</v>
      </c>
      <c r="D282" s="408">
        <v>30</v>
      </c>
      <c r="E282" s="5" t="s">
        <v>357</v>
      </c>
      <c r="F282" s="408">
        <v>56</v>
      </c>
      <c r="G282" s="408">
        <v>40</v>
      </c>
      <c r="H282" s="408">
        <v>24.9</v>
      </c>
      <c r="I282" s="408">
        <v>3.8</v>
      </c>
      <c r="J282" s="408">
        <v>8.5</v>
      </c>
      <c r="K282" s="408">
        <v>0.45200000000000001</v>
      </c>
      <c r="L282" s="408">
        <v>1.3</v>
      </c>
      <c r="M282" s="408">
        <v>3.5</v>
      </c>
      <c r="N282" s="5">
        <v>0.36</v>
      </c>
      <c r="O282" s="408">
        <v>2.6</v>
      </c>
      <c r="P282" s="408">
        <v>5</v>
      </c>
      <c r="Q282" s="408">
        <v>0.51600000000000001</v>
      </c>
      <c r="R282" s="408">
        <v>0.52600000000000002</v>
      </c>
      <c r="S282" s="408">
        <v>1.5</v>
      </c>
      <c r="T282" s="408">
        <v>1.9</v>
      </c>
      <c r="U282" s="408">
        <v>0.79800000000000004</v>
      </c>
      <c r="V282" s="408">
        <v>1.6</v>
      </c>
      <c r="W282" s="408">
        <v>3.8</v>
      </c>
      <c r="X282" s="408">
        <v>5.3</v>
      </c>
      <c r="Y282" s="408">
        <v>1.3</v>
      </c>
      <c r="Z282" s="408">
        <v>0.9</v>
      </c>
      <c r="AA282" s="408">
        <v>0.3</v>
      </c>
      <c r="AB282" s="408">
        <v>1</v>
      </c>
      <c r="AC282" s="408">
        <v>2.2000000000000002</v>
      </c>
      <c r="AD282" s="408">
        <v>10.4</v>
      </c>
    </row>
    <row r="283" spans="1:30">
      <c r="A283">
        <v>230</v>
      </c>
      <c r="B283" s="1" t="s">
        <v>208</v>
      </c>
      <c r="C283" s="5" t="s">
        <v>38</v>
      </c>
      <c r="D283" s="408">
        <v>30</v>
      </c>
      <c r="E283" s="5" t="s">
        <v>149</v>
      </c>
      <c r="F283" s="408">
        <v>46</v>
      </c>
      <c r="G283" s="408">
        <v>40</v>
      </c>
      <c r="H283" s="408">
        <v>25.5</v>
      </c>
      <c r="I283" s="408">
        <v>4</v>
      </c>
      <c r="J283" s="408">
        <v>8.6999999999999993</v>
      </c>
      <c r="K283" s="408">
        <v>0.45900000000000002</v>
      </c>
      <c r="L283" s="408">
        <v>1.3</v>
      </c>
      <c r="M283" s="408">
        <v>3.7</v>
      </c>
      <c r="N283" s="5">
        <v>0.35899999999999999</v>
      </c>
      <c r="O283" s="408">
        <v>2.7</v>
      </c>
      <c r="P283" s="408">
        <v>5</v>
      </c>
      <c r="Q283" s="408">
        <v>0.53200000000000003</v>
      </c>
      <c r="R283" s="408">
        <v>0.53500000000000003</v>
      </c>
      <c r="S283" s="408">
        <v>1.6</v>
      </c>
      <c r="T283" s="408">
        <v>2</v>
      </c>
      <c r="U283" s="408">
        <v>0.8</v>
      </c>
      <c r="V283" s="408">
        <v>1.6</v>
      </c>
      <c r="W283" s="408">
        <v>3.8</v>
      </c>
      <c r="X283" s="408">
        <v>5.5</v>
      </c>
      <c r="Y283" s="408">
        <v>1.1000000000000001</v>
      </c>
      <c r="Z283" s="408">
        <v>1</v>
      </c>
      <c r="AA283" s="408">
        <v>0.4</v>
      </c>
      <c r="AB283" s="408">
        <v>0.9</v>
      </c>
      <c r="AC283" s="408">
        <v>2</v>
      </c>
      <c r="AD283" s="408">
        <v>10.9</v>
      </c>
    </row>
    <row r="284" spans="1:30">
      <c r="A284">
        <v>230</v>
      </c>
      <c r="B284" s="1" t="s">
        <v>208</v>
      </c>
      <c r="C284" s="5" t="s">
        <v>38</v>
      </c>
      <c r="D284" s="408">
        <v>30</v>
      </c>
      <c r="E284" s="5" t="s">
        <v>118</v>
      </c>
      <c r="F284" s="408">
        <v>10</v>
      </c>
      <c r="G284" s="408">
        <v>0</v>
      </c>
      <c r="H284" s="408">
        <v>21.9</v>
      </c>
      <c r="I284" s="408">
        <v>3.1</v>
      </c>
      <c r="J284" s="408">
        <v>7.5</v>
      </c>
      <c r="K284" s="408">
        <v>0.41299999999999998</v>
      </c>
      <c r="L284" s="408">
        <v>1</v>
      </c>
      <c r="M284" s="408">
        <v>2.7</v>
      </c>
      <c r="N284" s="5">
        <v>0.37</v>
      </c>
      <c r="O284" s="408">
        <v>2.1</v>
      </c>
      <c r="P284" s="408">
        <v>4.8</v>
      </c>
      <c r="Q284" s="408">
        <v>0.438</v>
      </c>
      <c r="R284" s="408">
        <v>0.48</v>
      </c>
      <c r="S284" s="408">
        <v>1.1000000000000001</v>
      </c>
      <c r="T284" s="408">
        <v>1.4</v>
      </c>
      <c r="U284" s="408">
        <v>0.78600000000000003</v>
      </c>
      <c r="V284" s="408">
        <v>1.5</v>
      </c>
      <c r="W284" s="408">
        <v>3.3</v>
      </c>
      <c r="X284" s="408">
        <v>4.8</v>
      </c>
      <c r="Y284" s="408">
        <v>1.9</v>
      </c>
      <c r="Z284" s="408">
        <v>0.8</v>
      </c>
      <c r="AA284" s="408">
        <v>0.2</v>
      </c>
      <c r="AB284" s="408">
        <v>1.2</v>
      </c>
      <c r="AC284" s="408">
        <v>3.3</v>
      </c>
      <c r="AD284" s="408">
        <v>8.3000000000000007</v>
      </c>
    </row>
    <row r="285" spans="1:30">
      <c r="A285">
        <v>231</v>
      </c>
      <c r="B285" s="1" t="s">
        <v>344</v>
      </c>
      <c r="C285" s="5" t="s">
        <v>46</v>
      </c>
      <c r="D285" s="408">
        <v>30</v>
      </c>
      <c r="E285" s="5" t="s">
        <v>305</v>
      </c>
      <c r="F285" s="408">
        <v>70</v>
      </c>
      <c r="G285" s="408">
        <v>69</v>
      </c>
      <c r="H285" s="408">
        <v>31.2</v>
      </c>
      <c r="I285" s="408">
        <v>4</v>
      </c>
      <c r="J285" s="408">
        <v>8.6</v>
      </c>
      <c r="K285" s="408">
        <v>0.46600000000000003</v>
      </c>
      <c r="L285" s="408">
        <v>2.6</v>
      </c>
      <c r="M285" s="408">
        <v>5.7</v>
      </c>
      <c r="N285" s="5">
        <v>0.45</v>
      </c>
      <c r="O285" s="408">
        <v>1.5</v>
      </c>
      <c r="P285" s="408">
        <v>3</v>
      </c>
      <c r="Q285" s="408">
        <v>0.498</v>
      </c>
      <c r="R285" s="408">
        <v>0.61399999999999999</v>
      </c>
      <c r="S285" s="408">
        <v>0.7</v>
      </c>
      <c r="T285" s="408">
        <v>0.8</v>
      </c>
      <c r="U285" s="408">
        <v>0.81399999999999995</v>
      </c>
      <c r="V285" s="408">
        <v>0.3</v>
      </c>
      <c r="W285" s="408">
        <v>3.9</v>
      </c>
      <c r="X285" s="408">
        <v>4.2</v>
      </c>
      <c r="Y285" s="408">
        <v>4.3</v>
      </c>
      <c r="Z285" s="408">
        <v>1.1000000000000001</v>
      </c>
      <c r="AA285" s="408">
        <v>0.2</v>
      </c>
      <c r="AB285" s="408">
        <v>1.9</v>
      </c>
      <c r="AC285" s="408">
        <v>2.1</v>
      </c>
      <c r="AD285" s="408">
        <v>11.3</v>
      </c>
    </row>
    <row r="286" spans="1:30">
      <c r="A286">
        <v>232</v>
      </c>
      <c r="B286" s="1" t="s">
        <v>496</v>
      </c>
      <c r="C286" s="5" t="s">
        <v>46</v>
      </c>
      <c r="D286" s="408">
        <v>20</v>
      </c>
      <c r="E286" s="5" t="s">
        <v>78</v>
      </c>
      <c r="F286" s="408">
        <v>57</v>
      </c>
      <c r="G286" s="408">
        <v>57</v>
      </c>
      <c r="H286" s="408">
        <v>33.799999999999997</v>
      </c>
      <c r="I286" s="408">
        <v>6.1</v>
      </c>
      <c r="J286" s="408">
        <v>13.1</v>
      </c>
      <c r="K286" s="408">
        <v>0.46899999999999997</v>
      </c>
      <c r="L286" s="408">
        <v>0.7</v>
      </c>
      <c r="M286" s="408">
        <v>1.8</v>
      </c>
      <c r="N286" s="5">
        <v>0.38</v>
      </c>
      <c r="O286" s="408">
        <v>5.5</v>
      </c>
      <c r="P286" s="408">
        <v>11.3</v>
      </c>
      <c r="Q286" s="408">
        <v>0.48299999999999998</v>
      </c>
      <c r="R286" s="408">
        <v>0.495</v>
      </c>
      <c r="S286" s="408">
        <v>3.3</v>
      </c>
      <c r="T286" s="408">
        <v>4.8</v>
      </c>
      <c r="U286" s="408">
        <v>0.68899999999999995</v>
      </c>
      <c r="V286" s="408">
        <v>1</v>
      </c>
      <c r="W286" s="408">
        <v>4.4000000000000004</v>
      </c>
      <c r="X286" s="408">
        <v>5.4</v>
      </c>
      <c r="Y286" s="408">
        <v>3.9</v>
      </c>
      <c r="Z286" s="408">
        <v>0.8</v>
      </c>
      <c r="AA286" s="408">
        <v>0.8</v>
      </c>
      <c r="AB286" s="408">
        <v>2.5</v>
      </c>
      <c r="AC286" s="408">
        <v>2.8</v>
      </c>
      <c r="AD286" s="408">
        <v>16.2</v>
      </c>
    </row>
    <row r="287" spans="1:30">
      <c r="A287">
        <v>233</v>
      </c>
      <c r="B287" s="1" t="s">
        <v>317</v>
      </c>
      <c r="C287" s="5" t="s">
        <v>20</v>
      </c>
      <c r="D287" s="408">
        <v>25</v>
      </c>
      <c r="E287" s="5" t="s">
        <v>87</v>
      </c>
      <c r="F287" s="408">
        <v>60</v>
      </c>
      <c r="G287" s="408">
        <v>60</v>
      </c>
      <c r="H287" s="408">
        <v>32.200000000000003</v>
      </c>
      <c r="I287" s="408">
        <v>8.9</v>
      </c>
      <c r="J287" s="408">
        <v>18.100000000000001</v>
      </c>
      <c r="K287" s="408">
        <v>0.49099999999999999</v>
      </c>
      <c r="L287" s="408">
        <v>2.8</v>
      </c>
      <c r="M287" s="408">
        <v>6.8</v>
      </c>
      <c r="N287" s="5">
        <v>0.40799999999999997</v>
      </c>
      <c r="O287" s="408">
        <v>6.1</v>
      </c>
      <c r="P287" s="408">
        <v>11.3</v>
      </c>
      <c r="Q287" s="408">
        <v>0.54100000000000004</v>
      </c>
      <c r="R287" s="408">
        <v>0.56799999999999995</v>
      </c>
      <c r="S287" s="408">
        <v>3.9</v>
      </c>
      <c r="T287" s="408">
        <v>4.4000000000000004</v>
      </c>
      <c r="U287" s="408">
        <v>0.88900000000000001</v>
      </c>
      <c r="V287" s="408">
        <v>0.6</v>
      </c>
      <c r="W287" s="408">
        <v>3.2</v>
      </c>
      <c r="X287" s="408">
        <v>3.8</v>
      </c>
      <c r="Y287" s="408">
        <v>5.0999999999999996</v>
      </c>
      <c r="Z287" s="408">
        <v>1.1000000000000001</v>
      </c>
      <c r="AA287" s="408">
        <v>0.3</v>
      </c>
      <c r="AB287" s="408">
        <v>2.2999999999999998</v>
      </c>
      <c r="AC287" s="408">
        <v>2</v>
      </c>
      <c r="AD287" s="408">
        <v>24.4</v>
      </c>
    </row>
    <row r="288" spans="1:30">
      <c r="A288">
        <v>234</v>
      </c>
      <c r="B288" s="1" t="s">
        <v>522</v>
      </c>
      <c r="C288" s="5" t="s">
        <v>38</v>
      </c>
      <c r="D288" s="408">
        <v>20</v>
      </c>
      <c r="E288" s="5" t="s">
        <v>75</v>
      </c>
      <c r="F288" s="408">
        <v>24</v>
      </c>
      <c r="G288" s="408">
        <v>7</v>
      </c>
      <c r="H288" s="408">
        <v>19.399999999999999</v>
      </c>
      <c r="I288" s="408">
        <v>1.9</v>
      </c>
      <c r="J288" s="408">
        <v>5.0999999999999996</v>
      </c>
      <c r="K288" s="408">
        <v>0.36899999999999999</v>
      </c>
      <c r="L288" s="408">
        <v>0.5</v>
      </c>
      <c r="M288" s="408">
        <v>1.5</v>
      </c>
      <c r="N288" s="5">
        <v>0.30599999999999999</v>
      </c>
      <c r="O288" s="408">
        <v>1.4</v>
      </c>
      <c r="P288" s="408">
        <v>3.6</v>
      </c>
      <c r="Q288" s="408">
        <v>0.39500000000000002</v>
      </c>
      <c r="R288" s="408">
        <v>0.41399999999999998</v>
      </c>
      <c r="S288" s="408">
        <v>0.6</v>
      </c>
      <c r="T288" s="408">
        <v>0.8</v>
      </c>
      <c r="U288" s="408">
        <v>0.75</v>
      </c>
      <c r="V288" s="408">
        <v>0.6</v>
      </c>
      <c r="W288" s="408">
        <v>3</v>
      </c>
      <c r="X288" s="408">
        <v>3.6</v>
      </c>
      <c r="Y288" s="408">
        <v>0.6</v>
      </c>
      <c r="Z288" s="408">
        <v>1</v>
      </c>
      <c r="AA288" s="408">
        <v>1.1000000000000001</v>
      </c>
      <c r="AB288" s="408">
        <v>0.9</v>
      </c>
      <c r="AC288" s="408">
        <v>1.8</v>
      </c>
      <c r="AD288" s="408">
        <v>4.8</v>
      </c>
    </row>
    <row r="289" spans="1:30">
      <c r="A289">
        <v>235</v>
      </c>
      <c r="B289" s="1" t="s">
        <v>550</v>
      </c>
      <c r="C289" s="5" t="s">
        <v>46</v>
      </c>
      <c r="D289" s="408">
        <v>23</v>
      </c>
      <c r="E289" s="5" t="s">
        <v>75</v>
      </c>
      <c r="F289" s="408">
        <v>52</v>
      </c>
      <c r="G289" s="408">
        <v>3</v>
      </c>
      <c r="H289" s="408">
        <v>14.5</v>
      </c>
      <c r="I289" s="408">
        <v>1.4</v>
      </c>
      <c r="J289" s="408">
        <v>3.1</v>
      </c>
      <c r="K289" s="408">
        <v>0.441</v>
      </c>
      <c r="L289" s="408">
        <v>0.1</v>
      </c>
      <c r="M289" s="408">
        <v>0.5</v>
      </c>
      <c r="N289" s="5">
        <v>0.214</v>
      </c>
      <c r="O289" s="408">
        <v>1.3</v>
      </c>
      <c r="P289" s="408">
        <v>2.6</v>
      </c>
      <c r="Q289" s="408">
        <v>0.48899999999999999</v>
      </c>
      <c r="R289" s="408">
        <v>0.46</v>
      </c>
      <c r="S289" s="408">
        <v>0.5</v>
      </c>
      <c r="T289" s="408">
        <v>0.7</v>
      </c>
      <c r="U289" s="408">
        <v>0.76500000000000001</v>
      </c>
      <c r="V289" s="408">
        <v>0.5</v>
      </c>
      <c r="W289" s="408">
        <v>1.6</v>
      </c>
      <c r="X289" s="408">
        <v>2.1</v>
      </c>
      <c r="Y289" s="408">
        <v>0.8</v>
      </c>
      <c r="Z289" s="408">
        <v>0.5</v>
      </c>
      <c r="AA289" s="408">
        <v>0.2</v>
      </c>
      <c r="AB289" s="408">
        <v>0.4</v>
      </c>
      <c r="AC289" s="408">
        <v>1.2</v>
      </c>
      <c r="AD289" s="408">
        <v>3.3</v>
      </c>
    </row>
    <row r="290" spans="1:30">
      <c r="A290">
        <v>236</v>
      </c>
      <c r="B290" s="1" t="s">
        <v>183</v>
      </c>
      <c r="C290" s="5" t="s">
        <v>20</v>
      </c>
      <c r="D290" s="408">
        <v>34</v>
      </c>
      <c r="E290" s="5" t="s">
        <v>21</v>
      </c>
      <c r="F290" s="408">
        <v>58</v>
      </c>
      <c r="G290" s="408">
        <v>56</v>
      </c>
      <c r="H290" s="408">
        <v>25.6</v>
      </c>
      <c r="I290" s="408">
        <v>3.1</v>
      </c>
      <c r="J290" s="408">
        <v>7.2</v>
      </c>
      <c r="K290" s="408">
        <v>0.42499999999999999</v>
      </c>
      <c r="L290" s="408">
        <v>0.4</v>
      </c>
      <c r="M290" s="408">
        <v>1.4</v>
      </c>
      <c r="N290" s="5">
        <v>0.29599999999999999</v>
      </c>
      <c r="O290" s="408">
        <v>2.7</v>
      </c>
      <c r="P290" s="408">
        <v>5.8</v>
      </c>
      <c r="Q290" s="408">
        <v>0.45600000000000002</v>
      </c>
      <c r="R290" s="408">
        <v>0.45300000000000001</v>
      </c>
      <c r="S290" s="408">
        <v>1</v>
      </c>
      <c r="T290" s="408">
        <v>1.2</v>
      </c>
      <c r="U290" s="408">
        <v>0.82899999999999996</v>
      </c>
      <c r="V290" s="408">
        <v>0.3</v>
      </c>
      <c r="W290" s="408">
        <v>2.7</v>
      </c>
      <c r="X290" s="408">
        <v>3.1</v>
      </c>
      <c r="Y290" s="408">
        <v>5.7</v>
      </c>
      <c r="Z290" s="408">
        <v>0.6</v>
      </c>
      <c r="AA290" s="408">
        <v>0.1</v>
      </c>
      <c r="AB290" s="408">
        <v>1.9</v>
      </c>
      <c r="AC290" s="408">
        <v>1.6</v>
      </c>
      <c r="AD290" s="408">
        <v>7.6</v>
      </c>
    </row>
    <row r="291" spans="1:30">
      <c r="A291">
        <v>237</v>
      </c>
      <c r="B291" s="1" t="s">
        <v>623</v>
      </c>
      <c r="C291" s="5" t="s">
        <v>20</v>
      </c>
      <c r="D291" s="408">
        <v>23</v>
      </c>
      <c r="E291" s="5" t="s">
        <v>92</v>
      </c>
      <c r="F291" s="408">
        <v>12</v>
      </c>
      <c r="G291" s="408">
        <v>0</v>
      </c>
      <c r="H291" s="408">
        <v>5.3</v>
      </c>
      <c r="I291" s="408">
        <v>0.3</v>
      </c>
      <c r="J291" s="408">
        <v>1.2</v>
      </c>
      <c r="K291" s="408">
        <v>0.28599999999999998</v>
      </c>
      <c r="L291" s="408">
        <v>0</v>
      </c>
      <c r="M291" s="408">
        <v>0.5</v>
      </c>
      <c r="N291" s="5">
        <v>0</v>
      </c>
      <c r="O291" s="408">
        <v>0.3</v>
      </c>
      <c r="P291" s="408">
        <v>0.7</v>
      </c>
      <c r="Q291" s="408">
        <v>0.5</v>
      </c>
      <c r="R291" s="408">
        <v>0.28599999999999998</v>
      </c>
      <c r="S291" s="408">
        <v>0</v>
      </c>
      <c r="T291" s="408">
        <v>0</v>
      </c>
      <c r="U291" s="408"/>
      <c r="V291" s="408">
        <v>0.3</v>
      </c>
      <c r="W291" s="408">
        <v>0.6</v>
      </c>
      <c r="X291" s="408">
        <v>0.9</v>
      </c>
      <c r="Y291" s="408">
        <v>0.4</v>
      </c>
      <c r="Z291" s="408">
        <v>0.3</v>
      </c>
      <c r="AA291" s="408">
        <v>0.1</v>
      </c>
      <c r="AB291" s="408">
        <v>0.8</v>
      </c>
      <c r="AC291" s="408">
        <v>0.5</v>
      </c>
      <c r="AD291" s="408">
        <v>0.7</v>
      </c>
    </row>
    <row r="292" spans="1:30">
      <c r="A292">
        <v>238</v>
      </c>
      <c r="B292" s="1" t="s">
        <v>459</v>
      </c>
      <c r="C292" s="5" t="s">
        <v>46</v>
      </c>
      <c r="D292" s="408">
        <v>20</v>
      </c>
      <c r="E292" s="5" t="s">
        <v>313</v>
      </c>
      <c r="F292" s="408">
        <v>68</v>
      </c>
      <c r="G292" s="408">
        <v>26</v>
      </c>
      <c r="H292" s="408">
        <v>24.1</v>
      </c>
      <c r="I292" s="408">
        <v>4.5999999999999996</v>
      </c>
      <c r="J292" s="408">
        <v>11</v>
      </c>
      <c r="K292" s="408">
        <v>0.41699999999999998</v>
      </c>
      <c r="L292" s="408">
        <v>0.8</v>
      </c>
      <c r="M292" s="408">
        <v>2.8</v>
      </c>
      <c r="N292" s="5">
        <v>0.27100000000000002</v>
      </c>
      <c r="O292" s="408">
        <v>3.9</v>
      </c>
      <c r="P292" s="408">
        <v>8.3000000000000007</v>
      </c>
      <c r="Q292" s="408">
        <v>0.46600000000000003</v>
      </c>
      <c r="R292" s="408">
        <v>0.45100000000000001</v>
      </c>
      <c r="S292" s="408">
        <v>2.1</v>
      </c>
      <c r="T292" s="408">
        <v>3.4</v>
      </c>
      <c r="U292" s="408">
        <v>0.63</v>
      </c>
      <c r="V292" s="408">
        <v>1.2</v>
      </c>
      <c r="W292" s="408">
        <v>3.2</v>
      </c>
      <c r="X292" s="408">
        <v>4.4000000000000004</v>
      </c>
      <c r="Y292" s="408">
        <v>1.4</v>
      </c>
      <c r="Z292" s="408">
        <v>0.9</v>
      </c>
      <c r="AA292" s="408">
        <v>0.4</v>
      </c>
      <c r="AB292" s="408">
        <v>1.8</v>
      </c>
      <c r="AC292" s="408">
        <v>2.8</v>
      </c>
      <c r="AD292" s="408">
        <v>12.1</v>
      </c>
    </row>
    <row r="293" spans="1:30">
      <c r="A293">
        <v>239</v>
      </c>
      <c r="B293" s="1" t="s">
        <v>452</v>
      </c>
      <c r="C293" s="5" t="s">
        <v>46</v>
      </c>
      <c r="D293" s="408">
        <v>22</v>
      </c>
      <c r="E293" s="5" t="s">
        <v>100</v>
      </c>
      <c r="F293" s="408">
        <v>58</v>
      </c>
      <c r="G293" s="408">
        <v>31</v>
      </c>
      <c r="H293" s="408">
        <v>21</v>
      </c>
      <c r="I293" s="408">
        <v>2.7</v>
      </c>
      <c r="J293" s="408">
        <v>5.9</v>
      </c>
      <c r="K293" s="408">
        <v>0.45100000000000001</v>
      </c>
      <c r="L293" s="408">
        <v>0.8</v>
      </c>
      <c r="M293" s="408">
        <v>2.5</v>
      </c>
      <c r="N293" s="5">
        <v>0.30299999999999999</v>
      </c>
      <c r="O293" s="408">
        <v>1.9</v>
      </c>
      <c r="P293" s="408">
        <v>3.4</v>
      </c>
      <c r="Q293" s="408">
        <v>0.55800000000000005</v>
      </c>
      <c r="R293" s="408">
        <v>0.51500000000000001</v>
      </c>
      <c r="S293" s="408">
        <v>0.4</v>
      </c>
      <c r="T293" s="408">
        <v>0.6</v>
      </c>
      <c r="U293" s="408">
        <v>0.68799999999999994</v>
      </c>
      <c r="V293" s="408">
        <v>0.4</v>
      </c>
      <c r="W293" s="408">
        <v>2.2999999999999998</v>
      </c>
      <c r="X293" s="408">
        <v>2.7</v>
      </c>
      <c r="Y293" s="408">
        <v>1</v>
      </c>
      <c r="Z293" s="408">
        <v>0.4</v>
      </c>
      <c r="AA293" s="408">
        <v>0.2</v>
      </c>
      <c r="AB293" s="408">
        <v>0.6</v>
      </c>
      <c r="AC293" s="408">
        <v>1.1000000000000001</v>
      </c>
      <c r="AD293" s="408">
        <v>6.5</v>
      </c>
    </row>
    <row r="294" spans="1:30">
      <c r="A294">
        <v>240</v>
      </c>
      <c r="B294" s="1" t="s">
        <v>394</v>
      </c>
      <c r="C294" s="5" t="s">
        <v>20</v>
      </c>
      <c r="D294" s="408">
        <v>27</v>
      </c>
      <c r="E294" s="5" t="s">
        <v>157</v>
      </c>
      <c r="F294" s="408">
        <v>33</v>
      </c>
      <c r="G294" s="408">
        <v>33</v>
      </c>
      <c r="H294" s="408">
        <v>27.1</v>
      </c>
      <c r="I294" s="408">
        <v>5.5</v>
      </c>
      <c r="J294" s="408">
        <v>12.3</v>
      </c>
      <c r="K294" s="408">
        <v>0.44600000000000001</v>
      </c>
      <c r="L294" s="408">
        <v>1.3</v>
      </c>
      <c r="M294" s="408">
        <v>3.8</v>
      </c>
      <c r="N294" s="5">
        <v>0.33900000000000002</v>
      </c>
      <c r="O294" s="408">
        <v>4.2</v>
      </c>
      <c r="P294" s="408">
        <v>8.5</v>
      </c>
      <c r="Q294" s="408">
        <v>0.49299999999999999</v>
      </c>
      <c r="R294" s="408">
        <v>0.498</v>
      </c>
      <c r="S294" s="408">
        <v>2.4</v>
      </c>
      <c r="T294" s="408">
        <v>2.8</v>
      </c>
      <c r="U294" s="408">
        <v>0.84</v>
      </c>
      <c r="V294" s="408">
        <v>0.7</v>
      </c>
      <c r="W294" s="408">
        <v>2.2000000000000002</v>
      </c>
      <c r="X294" s="408">
        <v>2.8</v>
      </c>
      <c r="Y294" s="408">
        <v>5.5</v>
      </c>
      <c r="Z294" s="408">
        <v>0.6</v>
      </c>
      <c r="AA294" s="408">
        <v>0.1</v>
      </c>
      <c r="AB294" s="408">
        <v>2.5</v>
      </c>
      <c r="AC294" s="408">
        <v>2.1</v>
      </c>
      <c r="AD294" s="408">
        <v>14.6</v>
      </c>
    </row>
    <row r="295" spans="1:30">
      <c r="A295">
        <v>241</v>
      </c>
      <c r="B295" s="1" t="s">
        <v>354</v>
      </c>
      <c r="C295" s="5" t="s">
        <v>38</v>
      </c>
      <c r="D295" s="408">
        <v>33</v>
      </c>
      <c r="E295" s="5" t="s">
        <v>102</v>
      </c>
      <c r="F295" s="408">
        <v>70</v>
      </c>
      <c r="G295" s="408">
        <v>70</v>
      </c>
      <c r="H295" s="408">
        <v>37.1</v>
      </c>
      <c r="I295" s="408">
        <v>10.5</v>
      </c>
      <c r="J295" s="408">
        <v>19.3</v>
      </c>
      <c r="K295" s="408">
        <v>0.54500000000000004</v>
      </c>
      <c r="L295" s="408">
        <v>1.8</v>
      </c>
      <c r="M295" s="408">
        <v>5</v>
      </c>
      <c r="N295" s="5">
        <v>0.36899999999999999</v>
      </c>
      <c r="O295" s="408">
        <v>8.6999999999999993</v>
      </c>
      <c r="P295" s="408">
        <v>14.3</v>
      </c>
      <c r="Q295" s="408">
        <v>0.60599999999999998</v>
      </c>
      <c r="R295" s="408">
        <v>0.59199999999999997</v>
      </c>
      <c r="S295" s="408">
        <v>4.5</v>
      </c>
      <c r="T295" s="408">
        <v>6.2</v>
      </c>
      <c r="U295" s="408">
        <v>0.72099999999999997</v>
      </c>
      <c r="V295" s="408">
        <v>1.2</v>
      </c>
      <c r="W295" s="408">
        <v>7.5</v>
      </c>
      <c r="X295" s="408">
        <v>8.6999999999999993</v>
      </c>
      <c r="Y295" s="408">
        <v>9</v>
      </c>
      <c r="Z295" s="408">
        <v>1.5</v>
      </c>
      <c r="AA295" s="408">
        <v>1</v>
      </c>
      <c r="AB295" s="408">
        <v>4.3</v>
      </c>
      <c r="AC295" s="408">
        <v>1.7</v>
      </c>
      <c r="AD295" s="408">
        <v>27.3</v>
      </c>
    </row>
    <row r="296" spans="1:30">
      <c r="A296">
        <v>242</v>
      </c>
      <c r="B296" s="1" t="s">
        <v>434</v>
      </c>
      <c r="C296" s="5" t="s">
        <v>20</v>
      </c>
      <c r="D296" s="408">
        <v>27</v>
      </c>
      <c r="E296" s="5" t="s">
        <v>357</v>
      </c>
      <c r="F296" s="408">
        <v>36</v>
      </c>
      <c r="G296" s="408">
        <v>10</v>
      </c>
      <c r="H296" s="408">
        <v>19.100000000000001</v>
      </c>
      <c r="I296" s="408">
        <v>3.4</v>
      </c>
      <c r="J296" s="408">
        <v>8.9</v>
      </c>
      <c r="K296" s="408">
        <v>0.38300000000000001</v>
      </c>
      <c r="L296" s="408">
        <v>0.7</v>
      </c>
      <c r="M296" s="408">
        <v>2.7</v>
      </c>
      <c r="N296" s="5">
        <v>0.26500000000000001</v>
      </c>
      <c r="O296" s="408">
        <v>2.7</v>
      </c>
      <c r="P296" s="408">
        <v>6.2</v>
      </c>
      <c r="Q296" s="408">
        <v>0.435</v>
      </c>
      <c r="R296" s="408">
        <v>0.42399999999999999</v>
      </c>
      <c r="S296" s="408">
        <v>1.8</v>
      </c>
      <c r="T296" s="408">
        <v>2.2999999999999998</v>
      </c>
      <c r="U296" s="408">
        <v>0.76200000000000001</v>
      </c>
      <c r="V296" s="408">
        <v>0.4</v>
      </c>
      <c r="W296" s="408">
        <v>2.1</v>
      </c>
      <c r="X296" s="408">
        <v>2.5</v>
      </c>
      <c r="Y296" s="408">
        <v>3.5</v>
      </c>
      <c r="Z296" s="408">
        <v>0.8</v>
      </c>
      <c r="AA296" s="408">
        <v>0.2</v>
      </c>
      <c r="AB296" s="408">
        <v>1.4</v>
      </c>
      <c r="AC296" s="408">
        <v>1.3</v>
      </c>
      <c r="AD296" s="408">
        <v>9.3000000000000007</v>
      </c>
    </row>
    <row r="297" spans="1:30">
      <c r="A297">
        <v>242</v>
      </c>
      <c r="B297" s="1" t="s">
        <v>434</v>
      </c>
      <c r="C297" s="5" t="s">
        <v>20</v>
      </c>
      <c r="D297" s="408">
        <v>27</v>
      </c>
      <c r="E297" s="5" t="s">
        <v>313</v>
      </c>
      <c r="F297" s="408">
        <v>32</v>
      </c>
      <c r="G297" s="408">
        <v>10</v>
      </c>
      <c r="H297" s="408">
        <v>20.9</v>
      </c>
      <c r="I297" s="408">
        <v>3.8</v>
      </c>
      <c r="J297" s="408">
        <v>9.8000000000000007</v>
      </c>
      <c r="K297" s="408">
        <v>0.38800000000000001</v>
      </c>
      <c r="L297" s="408">
        <v>0.8</v>
      </c>
      <c r="M297" s="408">
        <v>3</v>
      </c>
      <c r="N297" s="5">
        <v>0.26800000000000002</v>
      </c>
      <c r="O297" s="408">
        <v>3</v>
      </c>
      <c r="P297" s="408">
        <v>6.7</v>
      </c>
      <c r="Q297" s="408">
        <v>0.442</v>
      </c>
      <c r="R297" s="408">
        <v>0.42899999999999999</v>
      </c>
      <c r="S297" s="408">
        <v>2</v>
      </c>
      <c r="T297" s="408">
        <v>2.6</v>
      </c>
      <c r="U297" s="408">
        <v>0.76200000000000001</v>
      </c>
      <c r="V297" s="408">
        <v>0.4</v>
      </c>
      <c r="W297" s="408">
        <v>2.4</v>
      </c>
      <c r="X297" s="408">
        <v>2.8</v>
      </c>
      <c r="Y297" s="408">
        <v>3.8</v>
      </c>
      <c r="Z297" s="408">
        <v>0.8</v>
      </c>
      <c r="AA297" s="408">
        <v>0.2</v>
      </c>
      <c r="AB297" s="408">
        <v>1.5</v>
      </c>
      <c r="AC297" s="408">
        <v>1.4</v>
      </c>
      <c r="AD297" s="408">
        <v>10.4</v>
      </c>
    </row>
    <row r="298" spans="1:30">
      <c r="A298">
        <v>242</v>
      </c>
      <c r="B298" s="1" t="s">
        <v>434</v>
      </c>
      <c r="C298" s="5" t="s">
        <v>20</v>
      </c>
      <c r="D298" s="408">
        <v>27</v>
      </c>
      <c r="E298" s="5" t="s">
        <v>112</v>
      </c>
      <c r="F298" s="408">
        <v>4</v>
      </c>
      <c r="G298" s="408">
        <v>0</v>
      </c>
      <c r="H298" s="408">
        <v>4.5</v>
      </c>
      <c r="I298" s="408">
        <v>0.5</v>
      </c>
      <c r="J298" s="408">
        <v>2.2999999999999998</v>
      </c>
      <c r="K298" s="408">
        <v>0.222</v>
      </c>
      <c r="L298" s="408">
        <v>0</v>
      </c>
      <c r="M298" s="408">
        <v>0.3</v>
      </c>
      <c r="N298" s="5">
        <v>0</v>
      </c>
      <c r="O298" s="408">
        <v>0.5</v>
      </c>
      <c r="P298" s="408">
        <v>2</v>
      </c>
      <c r="Q298" s="408">
        <v>0.25</v>
      </c>
      <c r="R298" s="408">
        <v>0.222</v>
      </c>
      <c r="S298" s="408">
        <v>0</v>
      </c>
      <c r="T298" s="408">
        <v>0</v>
      </c>
      <c r="U298" s="408"/>
      <c r="V298" s="408">
        <v>0.3</v>
      </c>
      <c r="W298" s="408">
        <v>0</v>
      </c>
      <c r="X298" s="408">
        <v>0.3</v>
      </c>
      <c r="Y298" s="408">
        <v>1.5</v>
      </c>
      <c r="Z298" s="408">
        <v>0.3</v>
      </c>
      <c r="AA298" s="408">
        <v>0</v>
      </c>
      <c r="AB298" s="408">
        <v>0.3</v>
      </c>
      <c r="AC298" s="408">
        <v>0.8</v>
      </c>
      <c r="AD298" s="408">
        <v>1</v>
      </c>
    </row>
    <row r="299" spans="1:30">
      <c r="A299">
        <v>243</v>
      </c>
      <c r="B299" s="1" t="s">
        <v>566</v>
      </c>
      <c r="C299" s="5" t="s">
        <v>83</v>
      </c>
      <c r="D299" s="408">
        <v>33</v>
      </c>
      <c r="E299" s="5" t="s">
        <v>30</v>
      </c>
      <c r="F299" s="408">
        <v>33</v>
      </c>
      <c r="G299" s="408">
        <v>1</v>
      </c>
      <c r="H299" s="408">
        <v>13.7</v>
      </c>
      <c r="I299" s="408">
        <v>3.1</v>
      </c>
      <c r="J299" s="408">
        <v>5.8</v>
      </c>
      <c r="K299" s="408">
        <v>0.53400000000000003</v>
      </c>
      <c r="L299" s="408">
        <v>0</v>
      </c>
      <c r="M299" s="408">
        <v>0</v>
      </c>
      <c r="N299" s="5">
        <v>0</v>
      </c>
      <c r="O299" s="408">
        <v>3.1</v>
      </c>
      <c r="P299" s="408">
        <v>5.8</v>
      </c>
      <c r="Q299" s="408">
        <v>0.53600000000000003</v>
      </c>
      <c r="R299" s="408">
        <v>0.53400000000000003</v>
      </c>
      <c r="S299" s="408">
        <v>0.7</v>
      </c>
      <c r="T299" s="408">
        <v>0.9</v>
      </c>
      <c r="U299" s="408">
        <v>0.8</v>
      </c>
      <c r="V299" s="408">
        <v>0.8</v>
      </c>
      <c r="W299" s="408">
        <v>3.1</v>
      </c>
      <c r="X299" s="408">
        <v>3.9</v>
      </c>
      <c r="Y299" s="408">
        <v>0.8</v>
      </c>
      <c r="Z299" s="408">
        <v>0.5</v>
      </c>
      <c r="AA299" s="408">
        <v>0.7</v>
      </c>
      <c r="AB299" s="408">
        <v>0.6</v>
      </c>
      <c r="AC299" s="408">
        <v>1.9</v>
      </c>
      <c r="AD299" s="408">
        <v>7</v>
      </c>
    </row>
    <row r="300" spans="1:30">
      <c r="A300">
        <v>244</v>
      </c>
      <c r="B300" s="1" t="s">
        <v>62</v>
      </c>
      <c r="C300" s="5" t="s">
        <v>46</v>
      </c>
      <c r="D300" s="408">
        <v>37</v>
      </c>
      <c r="E300" s="5" t="s">
        <v>61</v>
      </c>
      <c r="F300" s="408">
        <v>19</v>
      </c>
      <c r="G300" s="408">
        <v>0</v>
      </c>
      <c r="H300" s="408">
        <v>8.4</v>
      </c>
      <c r="I300" s="408">
        <v>0.6</v>
      </c>
      <c r="J300" s="408">
        <v>1.4</v>
      </c>
      <c r="K300" s="408">
        <v>0.44400000000000001</v>
      </c>
      <c r="L300" s="408">
        <v>0.1</v>
      </c>
      <c r="M300" s="408">
        <v>0.4</v>
      </c>
      <c r="N300" s="5">
        <v>0.28599999999999998</v>
      </c>
      <c r="O300" s="408">
        <v>0.5</v>
      </c>
      <c r="P300" s="408">
        <v>1.1000000000000001</v>
      </c>
      <c r="Q300" s="408">
        <v>0.5</v>
      </c>
      <c r="R300" s="408">
        <v>0.48099999999999998</v>
      </c>
      <c r="S300" s="408">
        <v>0.2</v>
      </c>
      <c r="T300" s="408">
        <v>0.4</v>
      </c>
      <c r="U300" s="408">
        <v>0.57099999999999995</v>
      </c>
      <c r="V300" s="408">
        <v>0.1</v>
      </c>
      <c r="W300" s="408">
        <v>0.7</v>
      </c>
      <c r="X300" s="408">
        <v>0.8</v>
      </c>
      <c r="Y300" s="408">
        <v>0.7</v>
      </c>
      <c r="Z300" s="408">
        <v>0.1</v>
      </c>
      <c r="AA300" s="408">
        <v>0.1</v>
      </c>
      <c r="AB300" s="408">
        <v>0.3</v>
      </c>
      <c r="AC300" s="408">
        <v>0.6</v>
      </c>
      <c r="AD300" s="408">
        <v>1.6</v>
      </c>
    </row>
    <row r="301" spans="1:30">
      <c r="A301">
        <v>245</v>
      </c>
      <c r="B301" s="1" t="s">
        <v>1201</v>
      </c>
      <c r="C301" s="5" t="s">
        <v>20</v>
      </c>
      <c r="D301" s="408">
        <v>28</v>
      </c>
      <c r="E301" s="5" t="s">
        <v>41</v>
      </c>
      <c r="F301" s="408">
        <v>4</v>
      </c>
      <c r="G301" s="408">
        <v>0</v>
      </c>
      <c r="H301" s="408">
        <v>15.8</v>
      </c>
      <c r="I301" s="408">
        <v>2.2999999999999998</v>
      </c>
      <c r="J301" s="408">
        <v>4.8</v>
      </c>
      <c r="K301" s="408">
        <v>0.47399999999999998</v>
      </c>
      <c r="L301" s="408">
        <v>0.8</v>
      </c>
      <c r="M301" s="408">
        <v>2.2999999999999998</v>
      </c>
      <c r="N301" s="5">
        <v>0.33300000000000002</v>
      </c>
      <c r="O301" s="408">
        <v>1.5</v>
      </c>
      <c r="P301" s="408">
        <v>2.5</v>
      </c>
      <c r="Q301" s="408">
        <v>0.6</v>
      </c>
      <c r="R301" s="408">
        <v>0.55300000000000005</v>
      </c>
      <c r="S301" s="408">
        <v>0.8</v>
      </c>
      <c r="T301" s="408">
        <v>0.8</v>
      </c>
      <c r="U301" s="408">
        <v>1</v>
      </c>
      <c r="V301" s="408">
        <v>0.8</v>
      </c>
      <c r="W301" s="408">
        <v>2</v>
      </c>
      <c r="X301" s="408">
        <v>2.8</v>
      </c>
      <c r="Y301" s="408">
        <v>5.5</v>
      </c>
      <c r="Z301" s="408">
        <v>0</v>
      </c>
      <c r="AA301" s="408">
        <v>0.8</v>
      </c>
      <c r="AB301" s="408">
        <v>1</v>
      </c>
      <c r="AC301" s="408">
        <v>1</v>
      </c>
      <c r="AD301" s="408">
        <v>6</v>
      </c>
    </row>
    <row r="302" spans="1:30">
      <c r="A302">
        <v>246</v>
      </c>
      <c r="B302" s="1" t="s">
        <v>466</v>
      </c>
      <c r="C302" s="5" t="s">
        <v>38</v>
      </c>
      <c r="D302" s="408">
        <v>30</v>
      </c>
      <c r="E302" s="5" t="s">
        <v>305</v>
      </c>
      <c r="F302" s="408">
        <v>62</v>
      </c>
      <c r="G302" s="408">
        <v>18</v>
      </c>
      <c r="H302" s="408">
        <v>15.7</v>
      </c>
      <c r="I302" s="408">
        <v>2.1</v>
      </c>
      <c r="J302" s="408">
        <v>4.7</v>
      </c>
      <c r="K302" s="408">
        <v>0.45700000000000002</v>
      </c>
      <c r="L302" s="408">
        <v>0.9</v>
      </c>
      <c r="M302" s="408">
        <v>2.1</v>
      </c>
      <c r="N302" s="5">
        <v>0.40500000000000003</v>
      </c>
      <c r="O302" s="408">
        <v>1.3</v>
      </c>
      <c r="P302" s="408">
        <v>2.6</v>
      </c>
      <c r="Q302" s="408">
        <v>0.5</v>
      </c>
      <c r="R302" s="408">
        <v>0.54800000000000004</v>
      </c>
      <c r="S302" s="408">
        <v>0.7</v>
      </c>
      <c r="T302" s="408">
        <v>0.9</v>
      </c>
      <c r="U302" s="408">
        <v>0.79200000000000004</v>
      </c>
      <c r="V302" s="408">
        <v>0.8</v>
      </c>
      <c r="W302" s="408">
        <v>2.7</v>
      </c>
      <c r="X302" s="408">
        <v>3.5</v>
      </c>
      <c r="Y302" s="408">
        <v>0.6</v>
      </c>
      <c r="Z302" s="408">
        <v>0.4</v>
      </c>
      <c r="AA302" s="408">
        <v>0.2</v>
      </c>
      <c r="AB302" s="408">
        <v>0.4</v>
      </c>
      <c r="AC302" s="408">
        <v>1.8</v>
      </c>
      <c r="AD302" s="408">
        <v>5.8</v>
      </c>
    </row>
    <row r="303" spans="1:30">
      <c r="A303">
        <v>247</v>
      </c>
      <c r="B303" s="1" t="s">
        <v>119</v>
      </c>
      <c r="C303" s="5" t="s">
        <v>83</v>
      </c>
      <c r="D303" s="408">
        <v>30</v>
      </c>
      <c r="E303" s="5" t="s">
        <v>118</v>
      </c>
      <c r="F303" s="408">
        <v>62</v>
      </c>
      <c r="G303" s="408">
        <v>10</v>
      </c>
      <c r="H303" s="408">
        <v>15.2</v>
      </c>
      <c r="I303" s="408">
        <v>1.8</v>
      </c>
      <c r="J303" s="408">
        <v>3.3</v>
      </c>
      <c r="K303" s="408">
        <v>0.54400000000000004</v>
      </c>
      <c r="L303" s="408">
        <v>0.1</v>
      </c>
      <c r="M303" s="408">
        <v>0.4</v>
      </c>
      <c r="N303" s="5">
        <v>0.33300000000000002</v>
      </c>
      <c r="O303" s="408">
        <v>1.7</v>
      </c>
      <c r="P303" s="408">
        <v>2.9</v>
      </c>
      <c r="Q303" s="408">
        <v>0.57099999999999995</v>
      </c>
      <c r="R303" s="408">
        <v>0.56299999999999994</v>
      </c>
      <c r="S303" s="408">
        <v>0.7</v>
      </c>
      <c r="T303" s="408">
        <v>1.2</v>
      </c>
      <c r="U303" s="408">
        <v>0.58399999999999996</v>
      </c>
      <c r="V303" s="408">
        <v>1.7</v>
      </c>
      <c r="W303" s="408">
        <v>2.6</v>
      </c>
      <c r="X303" s="408">
        <v>4.3</v>
      </c>
      <c r="Y303" s="408">
        <v>1.3</v>
      </c>
      <c r="Z303" s="408">
        <v>0.6</v>
      </c>
      <c r="AA303" s="408">
        <v>0.6</v>
      </c>
      <c r="AB303" s="408">
        <v>0.8</v>
      </c>
      <c r="AC303" s="408">
        <v>2.6</v>
      </c>
      <c r="AD303" s="408">
        <v>4.5</v>
      </c>
    </row>
    <row r="304" spans="1:30">
      <c r="A304">
        <v>248</v>
      </c>
      <c r="B304" s="1" t="s">
        <v>65</v>
      </c>
      <c r="C304" s="5" t="s">
        <v>38</v>
      </c>
      <c r="D304" s="408">
        <v>23</v>
      </c>
      <c r="E304" s="5" t="s">
        <v>357</v>
      </c>
      <c r="F304" s="408">
        <v>16</v>
      </c>
      <c r="G304" s="408">
        <v>0</v>
      </c>
      <c r="H304" s="408">
        <v>4.5999999999999996</v>
      </c>
      <c r="I304" s="408">
        <v>0.9</v>
      </c>
      <c r="J304" s="408">
        <v>2</v>
      </c>
      <c r="K304" s="408">
        <v>0.46899999999999997</v>
      </c>
      <c r="L304" s="408">
        <v>0</v>
      </c>
      <c r="M304" s="408">
        <v>0.1</v>
      </c>
      <c r="N304" s="5">
        <v>0</v>
      </c>
      <c r="O304" s="408">
        <v>0.9</v>
      </c>
      <c r="P304" s="408">
        <v>1.9</v>
      </c>
      <c r="Q304" s="408">
        <v>0.48399999999999999</v>
      </c>
      <c r="R304" s="408">
        <v>0.46899999999999997</v>
      </c>
      <c r="S304" s="408">
        <v>0.1</v>
      </c>
      <c r="T304" s="408">
        <v>0.1</v>
      </c>
      <c r="U304" s="408">
        <v>1</v>
      </c>
      <c r="V304" s="408">
        <v>0.4</v>
      </c>
      <c r="W304" s="408">
        <v>1.1000000000000001</v>
      </c>
      <c r="X304" s="408">
        <v>1.6</v>
      </c>
      <c r="Y304" s="408">
        <v>0.1</v>
      </c>
      <c r="Z304" s="408">
        <v>0.5</v>
      </c>
      <c r="AA304" s="408">
        <v>0.2</v>
      </c>
      <c r="AB304" s="408">
        <v>0.3</v>
      </c>
      <c r="AC304" s="408">
        <v>0.8</v>
      </c>
      <c r="AD304" s="408">
        <v>2</v>
      </c>
    </row>
    <row r="305" spans="1:30">
      <c r="A305">
        <v>248</v>
      </c>
      <c r="B305" s="1" t="s">
        <v>65</v>
      </c>
      <c r="C305" s="5" t="s">
        <v>38</v>
      </c>
      <c r="D305" s="408">
        <v>23</v>
      </c>
      <c r="E305" s="5" t="s">
        <v>64</v>
      </c>
      <c r="F305" s="408">
        <v>9</v>
      </c>
      <c r="G305" s="408">
        <v>0</v>
      </c>
      <c r="H305" s="408">
        <v>4.2</v>
      </c>
      <c r="I305" s="408">
        <v>0.8</v>
      </c>
      <c r="J305" s="408">
        <v>1.2</v>
      </c>
      <c r="K305" s="408">
        <v>0.63600000000000001</v>
      </c>
      <c r="L305" s="408">
        <v>0</v>
      </c>
      <c r="M305" s="408">
        <v>0.1</v>
      </c>
      <c r="N305" s="5">
        <v>0</v>
      </c>
      <c r="O305" s="408">
        <v>0.8</v>
      </c>
      <c r="P305" s="408">
        <v>1.1000000000000001</v>
      </c>
      <c r="Q305" s="408">
        <v>0.7</v>
      </c>
      <c r="R305" s="408">
        <v>0.63600000000000001</v>
      </c>
      <c r="S305" s="408">
        <v>0.2</v>
      </c>
      <c r="T305" s="408">
        <v>0.2</v>
      </c>
      <c r="U305" s="408">
        <v>1</v>
      </c>
      <c r="V305" s="408">
        <v>0.2</v>
      </c>
      <c r="W305" s="408">
        <v>1.2</v>
      </c>
      <c r="X305" s="408">
        <v>1.4</v>
      </c>
      <c r="Y305" s="408">
        <v>0.1</v>
      </c>
      <c r="Z305" s="408">
        <v>0.7</v>
      </c>
      <c r="AA305" s="408">
        <v>0.2</v>
      </c>
      <c r="AB305" s="408">
        <v>0.4</v>
      </c>
      <c r="AC305" s="408">
        <v>0.8</v>
      </c>
      <c r="AD305" s="408">
        <v>1.8</v>
      </c>
    </row>
    <row r="306" spans="1:30">
      <c r="A306">
        <v>248</v>
      </c>
      <c r="B306" s="1" t="s">
        <v>65</v>
      </c>
      <c r="C306" s="5" t="s">
        <v>38</v>
      </c>
      <c r="D306" s="408">
        <v>23</v>
      </c>
      <c r="E306" s="5" t="s">
        <v>128</v>
      </c>
      <c r="F306" s="408">
        <v>7</v>
      </c>
      <c r="G306" s="408">
        <v>0</v>
      </c>
      <c r="H306" s="408">
        <v>5</v>
      </c>
      <c r="I306" s="408">
        <v>1.1000000000000001</v>
      </c>
      <c r="J306" s="408">
        <v>3</v>
      </c>
      <c r="K306" s="408">
        <v>0.38100000000000001</v>
      </c>
      <c r="L306" s="408">
        <v>0</v>
      </c>
      <c r="M306" s="408">
        <v>0</v>
      </c>
      <c r="O306" s="408">
        <v>1.1000000000000001</v>
      </c>
      <c r="P306" s="408">
        <v>3</v>
      </c>
      <c r="Q306" s="408">
        <v>0.38100000000000001</v>
      </c>
      <c r="R306" s="408">
        <v>0.38100000000000001</v>
      </c>
      <c r="S306" s="408">
        <v>0</v>
      </c>
      <c r="T306" s="408">
        <v>0</v>
      </c>
      <c r="U306" s="408"/>
      <c r="V306" s="408">
        <v>0.7</v>
      </c>
      <c r="W306" s="408">
        <v>1</v>
      </c>
      <c r="X306" s="408">
        <v>1.7</v>
      </c>
      <c r="Y306" s="408">
        <v>0</v>
      </c>
      <c r="Z306" s="408">
        <v>0.3</v>
      </c>
      <c r="AA306" s="408">
        <v>0.1</v>
      </c>
      <c r="AB306" s="408">
        <v>0.1</v>
      </c>
      <c r="AC306" s="408">
        <v>0.9</v>
      </c>
      <c r="AD306" s="408">
        <v>2.2999999999999998</v>
      </c>
    </row>
    <row r="307" spans="1:30">
      <c r="A307">
        <v>249</v>
      </c>
      <c r="B307" s="1" t="s">
        <v>581</v>
      </c>
      <c r="C307" s="5" t="s">
        <v>83</v>
      </c>
      <c r="D307" s="408">
        <v>22</v>
      </c>
      <c r="E307" s="5" t="s">
        <v>58</v>
      </c>
      <c r="F307" s="408">
        <v>29</v>
      </c>
      <c r="G307" s="408">
        <v>6</v>
      </c>
      <c r="H307" s="408">
        <v>5.5</v>
      </c>
      <c r="I307" s="408">
        <v>0.8</v>
      </c>
      <c r="J307" s="408">
        <v>1.3</v>
      </c>
      <c r="K307" s="408">
        <v>0.56399999999999995</v>
      </c>
      <c r="L307" s="408">
        <v>0</v>
      </c>
      <c r="M307" s="408">
        <v>0</v>
      </c>
      <c r="O307" s="408">
        <v>0.8</v>
      </c>
      <c r="P307" s="408">
        <v>1.3</v>
      </c>
      <c r="Q307" s="408">
        <v>0.56399999999999995</v>
      </c>
      <c r="R307" s="408">
        <v>0.56399999999999995</v>
      </c>
      <c r="S307" s="408">
        <v>0.4</v>
      </c>
      <c r="T307" s="408">
        <v>0.7</v>
      </c>
      <c r="U307" s="408">
        <v>0.55000000000000004</v>
      </c>
      <c r="V307" s="408">
        <v>0.6</v>
      </c>
      <c r="W307" s="408">
        <v>0.6</v>
      </c>
      <c r="X307" s="408">
        <v>1.2</v>
      </c>
      <c r="Y307" s="408">
        <v>0.3</v>
      </c>
      <c r="Z307" s="408">
        <v>0.2</v>
      </c>
      <c r="AA307" s="408">
        <v>0.3</v>
      </c>
      <c r="AB307" s="408">
        <v>0.1</v>
      </c>
      <c r="AC307" s="408">
        <v>0.9</v>
      </c>
      <c r="AD307" s="408">
        <v>1.9</v>
      </c>
    </row>
    <row r="308" spans="1:30">
      <c r="A308">
        <v>250</v>
      </c>
      <c r="B308" s="1" t="s">
        <v>444</v>
      </c>
      <c r="C308" s="5" t="s">
        <v>38</v>
      </c>
      <c r="D308" s="408">
        <v>30</v>
      </c>
      <c r="E308" s="5" t="s">
        <v>50</v>
      </c>
      <c r="F308" s="408">
        <v>63</v>
      </c>
      <c r="G308" s="408">
        <v>31</v>
      </c>
      <c r="H308" s="408">
        <v>26.3</v>
      </c>
      <c r="I308" s="408">
        <v>4.2</v>
      </c>
      <c r="J308" s="408">
        <v>8.4</v>
      </c>
      <c r="K308" s="408">
        <v>0.501</v>
      </c>
      <c r="L308" s="408">
        <v>0.8</v>
      </c>
      <c r="M308" s="408">
        <v>2.7</v>
      </c>
      <c r="N308" s="5">
        <v>0.311</v>
      </c>
      <c r="O308" s="408">
        <v>3.4</v>
      </c>
      <c r="P308" s="408">
        <v>5.7</v>
      </c>
      <c r="Q308" s="408">
        <v>0.58899999999999997</v>
      </c>
      <c r="R308" s="408">
        <v>0.55000000000000004</v>
      </c>
      <c r="S308" s="408">
        <v>1.4</v>
      </c>
      <c r="T308" s="408">
        <v>2.1</v>
      </c>
      <c r="U308" s="408">
        <v>0.67700000000000005</v>
      </c>
      <c r="V308" s="408">
        <v>0.8</v>
      </c>
      <c r="W308" s="408">
        <v>4</v>
      </c>
      <c r="X308" s="408">
        <v>4.8</v>
      </c>
      <c r="Y308" s="408">
        <v>3.9</v>
      </c>
      <c r="Z308" s="408">
        <v>1</v>
      </c>
      <c r="AA308" s="408">
        <v>0.7</v>
      </c>
      <c r="AB308" s="408">
        <v>1.9</v>
      </c>
      <c r="AC308" s="408">
        <v>2.6</v>
      </c>
      <c r="AD308" s="408">
        <v>10.6</v>
      </c>
    </row>
    <row r="309" spans="1:30">
      <c r="A309">
        <v>251</v>
      </c>
      <c r="B309" s="1" t="s">
        <v>169</v>
      </c>
      <c r="C309" s="5" t="s">
        <v>46</v>
      </c>
      <c r="D309" s="408">
        <v>36</v>
      </c>
      <c r="E309" s="5" t="s">
        <v>357</v>
      </c>
      <c r="F309" s="408">
        <v>43</v>
      </c>
      <c r="G309" s="408">
        <v>3</v>
      </c>
      <c r="H309" s="408">
        <v>22</v>
      </c>
      <c r="I309" s="408">
        <v>2.7</v>
      </c>
      <c r="J309" s="408">
        <v>6.6</v>
      </c>
      <c r="K309" s="408">
        <v>0.41199999999999998</v>
      </c>
      <c r="L309" s="408">
        <v>0.7</v>
      </c>
      <c r="M309" s="408">
        <v>2.6</v>
      </c>
      <c r="N309" s="5">
        <v>0.27900000000000003</v>
      </c>
      <c r="O309" s="408">
        <v>2</v>
      </c>
      <c r="P309" s="408">
        <v>4</v>
      </c>
      <c r="Q309" s="408">
        <v>0.497</v>
      </c>
      <c r="R309" s="408">
        <v>0.46700000000000003</v>
      </c>
      <c r="S309" s="408">
        <v>0.7</v>
      </c>
      <c r="T309" s="408">
        <v>0.7</v>
      </c>
      <c r="U309" s="408">
        <v>0.875</v>
      </c>
      <c r="V309" s="408">
        <v>0.3</v>
      </c>
      <c r="W309" s="408">
        <v>2.8</v>
      </c>
      <c r="X309" s="408">
        <v>3.1</v>
      </c>
      <c r="Y309" s="408">
        <v>1.4</v>
      </c>
      <c r="Z309" s="408">
        <v>0.3</v>
      </c>
      <c r="AA309" s="408">
        <v>0.1</v>
      </c>
      <c r="AB309" s="408">
        <v>0.9</v>
      </c>
      <c r="AC309" s="408">
        <v>1.2</v>
      </c>
      <c r="AD309" s="408">
        <v>6.8</v>
      </c>
    </row>
    <row r="310" spans="1:30">
      <c r="A310">
        <v>251</v>
      </c>
      <c r="B310" s="1" t="s">
        <v>169</v>
      </c>
      <c r="C310" s="5" t="s">
        <v>46</v>
      </c>
      <c r="D310" s="408">
        <v>36</v>
      </c>
      <c r="E310" s="5" t="s">
        <v>305</v>
      </c>
      <c r="F310" s="408">
        <v>32</v>
      </c>
      <c r="G310" s="408">
        <v>3</v>
      </c>
      <c r="H310" s="408">
        <v>21.9</v>
      </c>
      <c r="I310" s="408">
        <v>3</v>
      </c>
      <c r="J310" s="408">
        <v>7.1</v>
      </c>
      <c r="K310" s="408">
        <v>0.42</v>
      </c>
      <c r="L310" s="408">
        <v>0.7</v>
      </c>
      <c r="M310" s="408">
        <v>2.6</v>
      </c>
      <c r="N310" s="5">
        <v>0.27400000000000002</v>
      </c>
      <c r="O310" s="408">
        <v>2.2999999999999998</v>
      </c>
      <c r="P310" s="408">
        <v>4.4000000000000004</v>
      </c>
      <c r="Q310" s="408">
        <v>0.50700000000000001</v>
      </c>
      <c r="R310" s="408">
        <v>0.47099999999999997</v>
      </c>
      <c r="S310" s="408">
        <v>0.6</v>
      </c>
      <c r="T310" s="408">
        <v>0.8</v>
      </c>
      <c r="U310" s="408">
        <v>0.83299999999999996</v>
      </c>
      <c r="V310" s="408">
        <v>0.4</v>
      </c>
      <c r="W310" s="408">
        <v>3</v>
      </c>
      <c r="X310" s="408">
        <v>3.3</v>
      </c>
      <c r="Y310" s="408">
        <v>1.4</v>
      </c>
      <c r="Z310" s="408">
        <v>0.4</v>
      </c>
      <c r="AA310" s="408">
        <v>0.2</v>
      </c>
      <c r="AB310" s="408">
        <v>1</v>
      </c>
      <c r="AC310" s="408">
        <v>1</v>
      </c>
      <c r="AD310" s="408">
        <v>7.3</v>
      </c>
    </row>
    <row r="311" spans="1:30">
      <c r="A311">
        <v>251</v>
      </c>
      <c r="B311" s="1" t="s">
        <v>169</v>
      </c>
      <c r="C311" s="5" t="s">
        <v>46</v>
      </c>
      <c r="D311" s="408">
        <v>36</v>
      </c>
      <c r="E311" s="5" t="s">
        <v>92</v>
      </c>
      <c r="F311" s="408">
        <v>11</v>
      </c>
      <c r="G311" s="408">
        <v>0</v>
      </c>
      <c r="H311" s="408">
        <v>22.5</v>
      </c>
      <c r="I311" s="408">
        <v>2</v>
      </c>
      <c r="J311" s="408">
        <v>5.3</v>
      </c>
      <c r="K311" s="408">
        <v>0.379</v>
      </c>
      <c r="L311" s="408">
        <v>0.7</v>
      </c>
      <c r="M311" s="408">
        <v>2.5</v>
      </c>
      <c r="N311" s="5">
        <v>0.29599999999999999</v>
      </c>
      <c r="O311" s="408">
        <v>1.3</v>
      </c>
      <c r="P311" s="408">
        <v>2.8</v>
      </c>
      <c r="Q311" s="408">
        <v>0.45200000000000001</v>
      </c>
      <c r="R311" s="408">
        <v>0.44800000000000001</v>
      </c>
      <c r="S311" s="408">
        <v>0.7</v>
      </c>
      <c r="T311" s="408">
        <v>0.7</v>
      </c>
      <c r="U311" s="408">
        <v>1</v>
      </c>
      <c r="V311" s="408">
        <v>0</v>
      </c>
      <c r="W311" s="408">
        <v>2.5</v>
      </c>
      <c r="X311" s="408">
        <v>2.5</v>
      </c>
      <c r="Y311" s="408">
        <v>1.5</v>
      </c>
      <c r="Z311" s="408">
        <v>0.3</v>
      </c>
      <c r="AA311" s="408">
        <v>0</v>
      </c>
      <c r="AB311" s="408">
        <v>0.8</v>
      </c>
      <c r="AC311" s="408">
        <v>1.8</v>
      </c>
      <c r="AD311" s="408">
        <v>5.5</v>
      </c>
    </row>
    <row r="312" spans="1:30">
      <c r="A312">
        <v>252</v>
      </c>
      <c r="B312" s="1" t="s">
        <v>413</v>
      </c>
      <c r="C312" s="5" t="s">
        <v>46</v>
      </c>
      <c r="D312" s="408">
        <v>21</v>
      </c>
      <c r="E312" s="5" t="s">
        <v>157</v>
      </c>
      <c r="F312" s="408">
        <v>57</v>
      </c>
      <c r="G312" s="408">
        <v>38</v>
      </c>
      <c r="H312" s="408">
        <v>27.4</v>
      </c>
      <c r="I312" s="408">
        <v>3</v>
      </c>
      <c r="J312" s="408">
        <v>7.9</v>
      </c>
      <c r="K312" s="408">
        <v>0.377</v>
      </c>
      <c r="L312" s="408">
        <v>1</v>
      </c>
      <c r="M312" s="408">
        <v>3.4</v>
      </c>
      <c r="N312" s="5">
        <v>0.28999999999999998</v>
      </c>
      <c r="O312" s="408">
        <v>2</v>
      </c>
      <c r="P312" s="408">
        <v>4.5</v>
      </c>
      <c r="Q312" s="408">
        <v>0.442</v>
      </c>
      <c r="R312" s="408">
        <v>0.439</v>
      </c>
      <c r="S312" s="408">
        <v>1.7</v>
      </c>
      <c r="T312" s="408">
        <v>2.2000000000000002</v>
      </c>
      <c r="U312" s="408">
        <v>0.79700000000000004</v>
      </c>
      <c r="V312" s="408">
        <v>0.4</v>
      </c>
      <c r="W312" s="408">
        <v>3.1</v>
      </c>
      <c r="X312" s="408">
        <v>3.6</v>
      </c>
      <c r="Y312" s="408">
        <v>1.5</v>
      </c>
      <c r="Z312" s="408">
        <v>1.2</v>
      </c>
      <c r="AA312" s="408">
        <v>0.2</v>
      </c>
      <c r="AB312" s="408">
        <v>1.1000000000000001</v>
      </c>
      <c r="AC312" s="408">
        <v>2.5</v>
      </c>
      <c r="AD312" s="408">
        <v>8.6999999999999993</v>
      </c>
    </row>
    <row r="313" spans="1:30">
      <c r="A313">
        <v>253</v>
      </c>
      <c r="B313" s="1" t="s">
        <v>363</v>
      </c>
      <c r="C313" s="5" t="s">
        <v>20</v>
      </c>
      <c r="D313" s="408">
        <v>25</v>
      </c>
      <c r="E313" s="5" t="s">
        <v>50</v>
      </c>
      <c r="F313" s="408">
        <v>61</v>
      </c>
      <c r="G313" s="408">
        <v>28</v>
      </c>
      <c r="H313" s="408">
        <v>28.9</v>
      </c>
      <c r="I313" s="408">
        <v>4.3</v>
      </c>
      <c r="J313" s="408">
        <v>10</v>
      </c>
      <c r="K313" s="408">
        <v>0.42699999999999999</v>
      </c>
      <c r="L313" s="408">
        <v>1.7</v>
      </c>
      <c r="M313" s="408">
        <v>4.5999999999999996</v>
      </c>
      <c r="N313" s="5">
        <v>0.36</v>
      </c>
      <c r="O313" s="408">
        <v>2.6</v>
      </c>
      <c r="P313" s="408">
        <v>5.4</v>
      </c>
      <c r="Q313" s="408">
        <v>0.48499999999999999</v>
      </c>
      <c r="R313" s="408">
        <v>0.51100000000000001</v>
      </c>
      <c r="S313" s="408">
        <v>1.6</v>
      </c>
      <c r="T313" s="408">
        <v>2</v>
      </c>
      <c r="U313" s="408">
        <v>0.81799999999999995</v>
      </c>
      <c r="V313" s="408">
        <v>0.5</v>
      </c>
      <c r="W313" s="408">
        <v>3</v>
      </c>
      <c r="X313" s="408">
        <v>3.4</v>
      </c>
      <c r="Y313" s="408">
        <v>2.2999999999999998</v>
      </c>
      <c r="Z313" s="408">
        <v>0.9</v>
      </c>
      <c r="AA313" s="408">
        <v>0.5</v>
      </c>
      <c r="AB313" s="408">
        <v>1.1000000000000001</v>
      </c>
      <c r="AC313" s="408">
        <v>2.1</v>
      </c>
      <c r="AD313" s="408">
        <v>11.9</v>
      </c>
    </row>
    <row r="314" spans="1:30">
      <c r="A314">
        <v>254</v>
      </c>
      <c r="B314" s="1" t="s">
        <v>439</v>
      </c>
      <c r="C314" s="5" t="s">
        <v>46</v>
      </c>
      <c r="D314" s="408">
        <v>30</v>
      </c>
      <c r="E314" s="5" t="s">
        <v>64</v>
      </c>
      <c r="F314" s="408">
        <v>62</v>
      </c>
      <c r="G314" s="408">
        <v>32</v>
      </c>
      <c r="H314" s="408">
        <v>20.9</v>
      </c>
      <c r="I314" s="408">
        <v>2.1</v>
      </c>
      <c r="J314" s="408">
        <v>5.0999999999999996</v>
      </c>
      <c r="K314" s="408">
        <v>0.40799999999999997</v>
      </c>
      <c r="L314" s="408">
        <v>0.8</v>
      </c>
      <c r="M314" s="408">
        <v>2.5</v>
      </c>
      <c r="N314" s="5">
        <v>0.32</v>
      </c>
      <c r="O314" s="408">
        <v>1.3</v>
      </c>
      <c r="P314" s="408">
        <v>2.7</v>
      </c>
      <c r="Q314" s="408">
        <v>0.48799999999999999</v>
      </c>
      <c r="R314" s="408">
        <v>0.48399999999999999</v>
      </c>
      <c r="S314" s="408">
        <v>0.6</v>
      </c>
      <c r="T314" s="408">
        <v>0.9</v>
      </c>
      <c r="U314" s="408">
        <v>0.73599999999999999</v>
      </c>
      <c r="V314" s="408">
        <v>0.4</v>
      </c>
      <c r="W314" s="408">
        <v>2.7</v>
      </c>
      <c r="X314" s="408">
        <v>3.1</v>
      </c>
      <c r="Y314" s="408">
        <v>0.8</v>
      </c>
      <c r="Z314" s="408">
        <v>1.1000000000000001</v>
      </c>
      <c r="AA314" s="408">
        <v>0.9</v>
      </c>
      <c r="AB314" s="408">
        <v>0.8</v>
      </c>
      <c r="AC314" s="408">
        <v>2.1</v>
      </c>
      <c r="AD314" s="408">
        <v>5.6</v>
      </c>
    </row>
    <row r="315" spans="1:30">
      <c r="A315">
        <v>255</v>
      </c>
      <c r="B315" s="1" t="s">
        <v>409</v>
      </c>
      <c r="C315" s="5" t="s">
        <v>83</v>
      </c>
      <c r="D315" s="408">
        <v>22</v>
      </c>
      <c r="E315" s="5" t="s">
        <v>61</v>
      </c>
      <c r="F315" s="408">
        <v>64</v>
      </c>
      <c r="G315" s="408">
        <v>62</v>
      </c>
      <c r="H315" s="408">
        <v>31.8</v>
      </c>
      <c r="I315" s="408">
        <v>6.3</v>
      </c>
      <c r="J315" s="408">
        <v>12.6</v>
      </c>
      <c r="K315" s="408">
        <v>0.496</v>
      </c>
      <c r="L315" s="408">
        <v>1.4</v>
      </c>
      <c r="M315" s="408">
        <v>3.5</v>
      </c>
      <c r="N315" s="5">
        <v>0.38800000000000001</v>
      </c>
      <c r="O315" s="408">
        <v>4.9000000000000004</v>
      </c>
      <c r="P315" s="408">
        <v>9</v>
      </c>
      <c r="Q315" s="408">
        <v>0.53900000000000003</v>
      </c>
      <c r="R315" s="408">
        <v>0.55100000000000005</v>
      </c>
      <c r="S315" s="408">
        <v>3.6</v>
      </c>
      <c r="T315" s="408">
        <v>4.3</v>
      </c>
      <c r="U315" s="408">
        <v>0.84599999999999997</v>
      </c>
      <c r="V315" s="408">
        <v>2.7</v>
      </c>
      <c r="W315" s="408">
        <v>7.9</v>
      </c>
      <c r="X315" s="408">
        <v>10.5</v>
      </c>
      <c r="Y315" s="408">
        <v>6</v>
      </c>
      <c r="Z315" s="408">
        <v>1.2</v>
      </c>
      <c r="AA315" s="408">
        <v>0.8</v>
      </c>
      <c r="AB315" s="408">
        <v>2.8</v>
      </c>
      <c r="AC315" s="408">
        <v>2.8</v>
      </c>
      <c r="AD315" s="408">
        <v>17.5</v>
      </c>
    </row>
    <row r="316" spans="1:30">
      <c r="A316">
        <v>256</v>
      </c>
      <c r="B316" s="1" t="s">
        <v>637</v>
      </c>
      <c r="C316" s="5" t="s">
        <v>83</v>
      </c>
      <c r="D316" s="408">
        <v>22</v>
      </c>
      <c r="E316" s="5" t="s">
        <v>73</v>
      </c>
      <c r="F316" s="408">
        <v>5</v>
      </c>
      <c r="G316" s="408">
        <v>0</v>
      </c>
      <c r="H316" s="408">
        <v>2.2000000000000002</v>
      </c>
      <c r="I316" s="408">
        <v>0</v>
      </c>
      <c r="J316" s="408">
        <v>0</v>
      </c>
      <c r="K316" s="408"/>
      <c r="L316" s="408">
        <v>0</v>
      </c>
      <c r="M316" s="408">
        <v>0</v>
      </c>
      <c r="O316" s="408">
        <v>0</v>
      </c>
      <c r="P316" s="408">
        <v>0</v>
      </c>
      <c r="Q316" s="408"/>
      <c r="R316" s="408"/>
      <c r="S316" s="408">
        <v>0</v>
      </c>
      <c r="T316" s="408">
        <v>0</v>
      </c>
      <c r="U316" s="408"/>
      <c r="V316" s="408">
        <v>0.2</v>
      </c>
      <c r="W316" s="408">
        <v>0</v>
      </c>
      <c r="X316" s="408">
        <v>0.2</v>
      </c>
      <c r="Y316" s="408">
        <v>0</v>
      </c>
      <c r="Z316" s="408">
        <v>0</v>
      </c>
      <c r="AA316" s="408">
        <v>0.2</v>
      </c>
      <c r="AB316" s="408">
        <v>0.2</v>
      </c>
      <c r="AC316" s="408">
        <v>1</v>
      </c>
      <c r="AD316" s="408">
        <v>0</v>
      </c>
    </row>
    <row r="317" spans="1:30">
      <c r="A317">
        <v>257</v>
      </c>
      <c r="B317" s="1" t="s">
        <v>380</v>
      </c>
      <c r="C317" s="5" t="s">
        <v>46</v>
      </c>
      <c r="D317" s="408">
        <v>20</v>
      </c>
      <c r="E317" s="5" t="s">
        <v>357</v>
      </c>
      <c r="F317" s="408">
        <v>17</v>
      </c>
      <c r="G317" s="408">
        <v>8</v>
      </c>
      <c r="H317" s="408">
        <v>13.6</v>
      </c>
      <c r="I317" s="408">
        <v>1.1000000000000001</v>
      </c>
      <c r="J317" s="408">
        <v>2.8</v>
      </c>
      <c r="K317" s="408">
        <v>0.38300000000000001</v>
      </c>
      <c r="L317" s="408">
        <v>0.1</v>
      </c>
      <c r="M317" s="408">
        <v>0.9</v>
      </c>
      <c r="N317" s="5">
        <v>0.125</v>
      </c>
      <c r="O317" s="408">
        <v>0.9</v>
      </c>
      <c r="P317" s="408">
        <v>1.8</v>
      </c>
      <c r="Q317" s="408">
        <v>0.51600000000000001</v>
      </c>
      <c r="R317" s="408">
        <v>0.40400000000000003</v>
      </c>
      <c r="S317" s="408">
        <v>0.8</v>
      </c>
      <c r="T317" s="408">
        <v>1.2</v>
      </c>
      <c r="U317" s="408">
        <v>0.65</v>
      </c>
      <c r="V317" s="408">
        <v>1.1000000000000001</v>
      </c>
      <c r="W317" s="408">
        <v>0.8</v>
      </c>
      <c r="X317" s="408">
        <v>1.9</v>
      </c>
      <c r="Y317" s="408">
        <v>0.5</v>
      </c>
      <c r="Z317" s="408">
        <v>0.2</v>
      </c>
      <c r="AA317" s="408">
        <v>0.8</v>
      </c>
      <c r="AB317" s="408">
        <v>0.4</v>
      </c>
      <c r="AC317" s="408">
        <v>1.4</v>
      </c>
      <c r="AD317" s="408">
        <v>3</v>
      </c>
    </row>
    <row r="318" spans="1:30">
      <c r="A318">
        <v>257</v>
      </c>
      <c r="B318" s="1" t="s">
        <v>380</v>
      </c>
      <c r="C318" s="5" t="s">
        <v>46</v>
      </c>
      <c r="D318" s="408">
        <v>20</v>
      </c>
      <c r="E318" s="5" t="s">
        <v>313</v>
      </c>
      <c r="F318" s="408">
        <v>6</v>
      </c>
      <c r="G318" s="408">
        <v>0</v>
      </c>
      <c r="H318" s="408">
        <v>5.5</v>
      </c>
      <c r="I318" s="408">
        <v>0.3</v>
      </c>
      <c r="J318" s="408">
        <v>0.7</v>
      </c>
      <c r="K318" s="408">
        <v>0.5</v>
      </c>
      <c r="L318" s="408">
        <v>0</v>
      </c>
      <c r="M318" s="408">
        <v>0.3</v>
      </c>
      <c r="N318" s="5">
        <v>0</v>
      </c>
      <c r="O318" s="408">
        <v>0.3</v>
      </c>
      <c r="P318" s="408">
        <v>0.3</v>
      </c>
      <c r="Q318" s="408">
        <v>1</v>
      </c>
      <c r="R318" s="408">
        <v>0.5</v>
      </c>
      <c r="S318" s="408">
        <v>0.8</v>
      </c>
      <c r="T318" s="408">
        <v>1</v>
      </c>
      <c r="U318" s="408">
        <v>0.83299999999999996</v>
      </c>
      <c r="V318" s="408">
        <v>0.3</v>
      </c>
      <c r="W318" s="408">
        <v>0.3</v>
      </c>
      <c r="X318" s="408">
        <v>0.7</v>
      </c>
      <c r="Y318" s="408">
        <v>0.5</v>
      </c>
      <c r="Z318" s="408">
        <v>0.2</v>
      </c>
      <c r="AA318" s="408">
        <v>0.7</v>
      </c>
      <c r="AB318" s="408">
        <v>0.2</v>
      </c>
      <c r="AC318" s="408">
        <v>0.3</v>
      </c>
      <c r="AD318" s="408">
        <v>1.5</v>
      </c>
    </row>
    <row r="319" spans="1:30">
      <c r="A319">
        <v>257</v>
      </c>
      <c r="B319" s="1" t="s">
        <v>380</v>
      </c>
      <c r="C319" s="5" t="s">
        <v>46</v>
      </c>
      <c r="D319" s="408">
        <v>20</v>
      </c>
      <c r="E319" s="5" t="s">
        <v>50</v>
      </c>
      <c r="F319" s="408">
        <v>11</v>
      </c>
      <c r="G319" s="408">
        <v>8</v>
      </c>
      <c r="H319" s="408">
        <v>18</v>
      </c>
      <c r="I319" s="408">
        <v>1.5</v>
      </c>
      <c r="J319" s="408">
        <v>3.9</v>
      </c>
      <c r="K319" s="408">
        <v>0.372</v>
      </c>
      <c r="L319" s="408">
        <v>0.2</v>
      </c>
      <c r="M319" s="408">
        <v>1.3</v>
      </c>
      <c r="N319" s="5">
        <v>0.14299999999999999</v>
      </c>
      <c r="O319" s="408">
        <v>1.3</v>
      </c>
      <c r="P319" s="408">
        <v>2.6</v>
      </c>
      <c r="Q319" s="408">
        <v>0.48299999999999998</v>
      </c>
      <c r="R319" s="408">
        <v>0.39500000000000002</v>
      </c>
      <c r="S319" s="408">
        <v>0.7</v>
      </c>
      <c r="T319" s="408">
        <v>1.3</v>
      </c>
      <c r="U319" s="408">
        <v>0.57099999999999995</v>
      </c>
      <c r="V319" s="408">
        <v>1.5</v>
      </c>
      <c r="W319" s="408">
        <v>1.1000000000000001</v>
      </c>
      <c r="X319" s="408">
        <v>2.6</v>
      </c>
      <c r="Y319" s="408">
        <v>0.5</v>
      </c>
      <c r="Z319" s="408">
        <v>0.3</v>
      </c>
      <c r="AA319" s="408">
        <v>0.8</v>
      </c>
      <c r="AB319" s="408">
        <v>0.5</v>
      </c>
      <c r="AC319" s="408">
        <v>1.9</v>
      </c>
      <c r="AD319" s="408">
        <v>3.8</v>
      </c>
    </row>
    <row r="320" spans="1:30">
      <c r="A320">
        <v>258</v>
      </c>
      <c r="B320" s="1" t="s">
        <v>303</v>
      </c>
      <c r="C320" s="5" t="s">
        <v>46</v>
      </c>
      <c r="D320" s="408">
        <v>24</v>
      </c>
      <c r="E320" s="5" t="s">
        <v>357</v>
      </c>
      <c r="F320" s="408">
        <v>10</v>
      </c>
      <c r="G320" s="408">
        <v>0</v>
      </c>
      <c r="H320" s="408">
        <v>8.1</v>
      </c>
      <c r="I320" s="408">
        <v>1.1000000000000001</v>
      </c>
      <c r="J320" s="408">
        <v>2.8</v>
      </c>
      <c r="K320" s="408">
        <v>0.39300000000000002</v>
      </c>
      <c r="L320" s="408">
        <v>0.4</v>
      </c>
      <c r="M320" s="408">
        <v>0.7</v>
      </c>
      <c r="N320" s="5">
        <v>0.57099999999999995</v>
      </c>
      <c r="O320" s="408">
        <v>0.7</v>
      </c>
      <c r="P320" s="408">
        <v>2.1</v>
      </c>
      <c r="Q320" s="408">
        <v>0.33300000000000002</v>
      </c>
      <c r="R320" s="408">
        <v>0.46400000000000002</v>
      </c>
      <c r="S320" s="408">
        <v>0.6</v>
      </c>
      <c r="T320" s="408">
        <v>0.8</v>
      </c>
      <c r="U320" s="408">
        <v>0.75</v>
      </c>
      <c r="V320" s="408">
        <v>0.7</v>
      </c>
      <c r="W320" s="408">
        <v>1.4</v>
      </c>
      <c r="X320" s="408">
        <v>2.1</v>
      </c>
      <c r="Y320" s="408">
        <v>0.2</v>
      </c>
      <c r="Z320" s="408">
        <v>0.2</v>
      </c>
      <c r="AA320" s="408">
        <v>0</v>
      </c>
      <c r="AB320" s="408">
        <v>0.2</v>
      </c>
      <c r="AC320" s="408">
        <v>1.1000000000000001</v>
      </c>
      <c r="AD320" s="408">
        <v>3.2</v>
      </c>
    </row>
    <row r="321" spans="1:30">
      <c r="A321">
        <v>258</v>
      </c>
      <c r="B321" s="1" t="s">
        <v>303</v>
      </c>
      <c r="C321" s="5" t="s">
        <v>46</v>
      </c>
      <c r="D321" s="408">
        <v>24</v>
      </c>
      <c r="E321" s="5" t="s">
        <v>112</v>
      </c>
      <c r="F321" s="408">
        <v>4</v>
      </c>
      <c r="G321" s="408">
        <v>0</v>
      </c>
      <c r="H321" s="408">
        <v>4.8</v>
      </c>
      <c r="I321" s="408">
        <v>0.3</v>
      </c>
      <c r="J321" s="408">
        <v>1</v>
      </c>
      <c r="K321" s="408">
        <v>0.25</v>
      </c>
      <c r="L321" s="408">
        <v>0.3</v>
      </c>
      <c r="M321" s="408">
        <v>0.3</v>
      </c>
      <c r="N321" s="5">
        <v>1</v>
      </c>
      <c r="O321" s="408">
        <v>0</v>
      </c>
      <c r="P321" s="408">
        <v>0.8</v>
      </c>
      <c r="Q321" s="408">
        <v>0</v>
      </c>
      <c r="R321" s="408">
        <v>0.375</v>
      </c>
      <c r="S321" s="408">
        <v>0.5</v>
      </c>
      <c r="T321" s="408">
        <v>0.5</v>
      </c>
      <c r="U321" s="408">
        <v>1</v>
      </c>
      <c r="V321" s="408">
        <v>0</v>
      </c>
      <c r="W321" s="408">
        <v>0.8</v>
      </c>
      <c r="X321" s="408">
        <v>0.8</v>
      </c>
      <c r="Y321" s="408">
        <v>0</v>
      </c>
      <c r="Z321" s="408">
        <v>0</v>
      </c>
      <c r="AA321" s="408">
        <v>0</v>
      </c>
      <c r="AB321" s="408">
        <v>0</v>
      </c>
      <c r="AC321" s="408">
        <v>0.5</v>
      </c>
      <c r="AD321" s="408">
        <v>1.3</v>
      </c>
    </row>
    <row r="322" spans="1:30">
      <c r="A322">
        <v>258</v>
      </c>
      <c r="B322" s="1" t="s">
        <v>303</v>
      </c>
      <c r="C322" s="5" t="s">
        <v>46</v>
      </c>
      <c r="D322" s="408">
        <v>24</v>
      </c>
      <c r="E322" s="5" t="s">
        <v>33</v>
      </c>
      <c r="F322" s="408">
        <v>6</v>
      </c>
      <c r="G322" s="408">
        <v>0</v>
      </c>
      <c r="H322" s="408">
        <v>10.3</v>
      </c>
      <c r="I322" s="408">
        <v>1.7</v>
      </c>
      <c r="J322" s="408">
        <v>4</v>
      </c>
      <c r="K322" s="408">
        <v>0.41699999999999998</v>
      </c>
      <c r="L322" s="408">
        <v>0.5</v>
      </c>
      <c r="M322" s="408">
        <v>1</v>
      </c>
      <c r="N322" s="5">
        <v>0.5</v>
      </c>
      <c r="O322" s="408">
        <v>1.2</v>
      </c>
      <c r="P322" s="408">
        <v>3</v>
      </c>
      <c r="Q322" s="408">
        <v>0.38900000000000001</v>
      </c>
      <c r="R322" s="408">
        <v>0.47899999999999998</v>
      </c>
      <c r="S322" s="408">
        <v>0.7</v>
      </c>
      <c r="T322" s="408">
        <v>1</v>
      </c>
      <c r="U322" s="408">
        <v>0.66700000000000004</v>
      </c>
      <c r="V322" s="408">
        <v>1.2</v>
      </c>
      <c r="W322" s="408">
        <v>1.8</v>
      </c>
      <c r="X322" s="408">
        <v>3</v>
      </c>
      <c r="Y322" s="408">
        <v>0.3</v>
      </c>
      <c r="Z322" s="408">
        <v>0.3</v>
      </c>
      <c r="AA322" s="408">
        <v>0</v>
      </c>
      <c r="AB322" s="408">
        <v>0.3</v>
      </c>
      <c r="AC322" s="408">
        <v>1.5</v>
      </c>
      <c r="AD322" s="408">
        <v>4.5</v>
      </c>
    </row>
    <row r="323" spans="1:30">
      <c r="A323">
        <v>259</v>
      </c>
      <c r="B323" s="1" t="s">
        <v>1</v>
      </c>
      <c r="C323" s="5" t="s">
        <v>20</v>
      </c>
      <c r="D323" s="408">
        <v>21</v>
      </c>
      <c r="E323" s="5" t="s">
        <v>56</v>
      </c>
      <c r="F323" s="408">
        <v>71</v>
      </c>
      <c r="G323" s="408">
        <v>10</v>
      </c>
      <c r="H323" s="408">
        <v>17.8</v>
      </c>
      <c r="I323" s="408">
        <v>1.8</v>
      </c>
      <c r="J323" s="408">
        <v>4</v>
      </c>
      <c r="K323" s="408">
        <v>0.46600000000000003</v>
      </c>
      <c r="L323" s="408">
        <v>0.5</v>
      </c>
      <c r="M323" s="408">
        <v>1.5</v>
      </c>
      <c r="N323" s="5">
        <v>0.34899999999999998</v>
      </c>
      <c r="O323" s="408">
        <v>1.3</v>
      </c>
      <c r="P323" s="408">
        <v>2.5</v>
      </c>
      <c r="Q323" s="408">
        <v>0.53700000000000003</v>
      </c>
      <c r="R323" s="408">
        <v>0.53200000000000003</v>
      </c>
      <c r="S323" s="408">
        <v>0.8</v>
      </c>
      <c r="T323" s="408">
        <v>0.9</v>
      </c>
      <c r="U323" s="408">
        <v>0.89100000000000001</v>
      </c>
      <c r="V323" s="408">
        <v>0.2</v>
      </c>
      <c r="W323" s="408">
        <v>1.5</v>
      </c>
      <c r="X323" s="408">
        <v>1.7</v>
      </c>
      <c r="Y323" s="408">
        <v>2.7</v>
      </c>
      <c r="Z323" s="408">
        <v>1.1000000000000001</v>
      </c>
      <c r="AA323" s="408">
        <v>0.1</v>
      </c>
      <c r="AB323" s="408">
        <v>0.7</v>
      </c>
      <c r="AC323" s="408">
        <v>1.4</v>
      </c>
      <c r="AD323" s="408">
        <v>5</v>
      </c>
    </row>
    <row r="324" spans="1:30">
      <c r="A324">
        <v>260</v>
      </c>
      <c r="B324" s="1" t="s">
        <v>606</v>
      </c>
      <c r="C324" s="5" t="s">
        <v>83</v>
      </c>
      <c r="D324" s="408">
        <v>29</v>
      </c>
      <c r="E324" s="5" t="s">
        <v>64</v>
      </c>
      <c r="F324" s="408">
        <v>64</v>
      </c>
      <c r="G324" s="408">
        <v>64</v>
      </c>
      <c r="H324" s="408">
        <v>32</v>
      </c>
      <c r="I324" s="408">
        <v>4.8</v>
      </c>
      <c r="J324" s="408">
        <v>7.5</v>
      </c>
      <c r="K324" s="408">
        <v>0.64400000000000002</v>
      </c>
      <c r="L324" s="408">
        <v>0</v>
      </c>
      <c r="M324" s="408">
        <v>0</v>
      </c>
      <c r="O324" s="408">
        <v>4.8</v>
      </c>
      <c r="P324" s="408">
        <v>7.5</v>
      </c>
      <c r="Q324" s="408">
        <v>0.64400000000000002</v>
      </c>
      <c r="R324" s="408">
        <v>0.64400000000000002</v>
      </c>
      <c r="S324" s="408">
        <v>2.4</v>
      </c>
      <c r="T324" s="408">
        <v>3.9</v>
      </c>
      <c r="U324" s="408">
        <v>0.61199999999999999</v>
      </c>
      <c r="V324" s="408">
        <v>4.2</v>
      </c>
      <c r="W324" s="408">
        <v>11.2</v>
      </c>
      <c r="X324" s="408">
        <v>15.4</v>
      </c>
      <c r="Y324" s="408">
        <v>1.5</v>
      </c>
      <c r="Z324" s="408">
        <v>0.6</v>
      </c>
      <c r="AA324" s="408">
        <v>1</v>
      </c>
      <c r="AB324" s="408">
        <v>1.7</v>
      </c>
      <c r="AC324" s="408">
        <v>2.7</v>
      </c>
      <c r="AD324" s="408">
        <v>12</v>
      </c>
    </row>
    <row r="325" spans="1:30">
      <c r="A325">
        <v>261</v>
      </c>
      <c r="B325" s="105" t="s">
        <v>461</v>
      </c>
      <c r="C325" s="5" t="s">
        <v>20</v>
      </c>
      <c r="D325" s="408">
        <v>26</v>
      </c>
      <c r="E325" s="5" t="s">
        <v>30</v>
      </c>
      <c r="F325" s="408">
        <v>71</v>
      </c>
      <c r="G325" s="408">
        <v>17</v>
      </c>
      <c r="H325" s="408">
        <v>27.3</v>
      </c>
      <c r="I325" s="408">
        <v>3.1</v>
      </c>
      <c r="J325" s="408">
        <v>7.3</v>
      </c>
      <c r="K325" s="408">
        <v>0.43</v>
      </c>
      <c r="L325" s="408">
        <v>0.8</v>
      </c>
      <c r="M325" s="408">
        <v>2.2999999999999998</v>
      </c>
      <c r="N325" s="5">
        <v>0.36599999999999999</v>
      </c>
      <c r="O325" s="408">
        <v>2.2999999999999998</v>
      </c>
      <c r="P325" s="408">
        <v>5</v>
      </c>
      <c r="Q325" s="408">
        <v>0.45900000000000002</v>
      </c>
      <c r="R325" s="408">
        <v>0.48699999999999999</v>
      </c>
      <c r="S325" s="408">
        <v>1</v>
      </c>
      <c r="T325" s="408">
        <v>1.3</v>
      </c>
      <c r="U325" s="408">
        <v>0.75600000000000001</v>
      </c>
      <c r="V325" s="408">
        <v>0.5</v>
      </c>
      <c r="W325" s="408">
        <v>2.7</v>
      </c>
      <c r="X325" s="408">
        <v>3.2</v>
      </c>
      <c r="Y325" s="408">
        <v>3.1</v>
      </c>
      <c r="Z325" s="408">
        <v>1</v>
      </c>
      <c r="AA325" s="408">
        <v>0.2</v>
      </c>
      <c r="AB325" s="408">
        <v>1</v>
      </c>
      <c r="AC325" s="408">
        <v>1.8</v>
      </c>
      <c r="AD325" s="408">
        <v>8.1</v>
      </c>
    </row>
    <row r="326" spans="1:30">
      <c r="A326">
        <v>262</v>
      </c>
      <c r="B326" s="1" t="s">
        <v>414</v>
      </c>
      <c r="C326" s="5" t="s">
        <v>38</v>
      </c>
      <c r="D326" s="408">
        <v>24</v>
      </c>
      <c r="E326" s="5" t="s">
        <v>311</v>
      </c>
      <c r="F326" s="408">
        <v>68</v>
      </c>
      <c r="G326" s="408">
        <v>4</v>
      </c>
      <c r="H326" s="408">
        <v>23.2</v>
      </c>
      <c r="I326" s="408">
        <v>3.8</v>
      </c>
      <c r="J326" s="408">
        <v>9.1</v>
      </c>
      <c r="K326" s="408">
        <v>0.41799999999999998</v>
      </c>
      <c r="L326" s="408">
        <v>1.3</v>
      </c>
      <c r="M326" s="408">
        <v>3.5</v>
      </c>
      <c r="N326" s="5">
        <v>0.374</v>
      </c>
      <c r="O326" s="408">
        <v>2.5</v>
      </c>
      <c r="P326" s="408">
        <v>5.6</v>
      </c>
      <c r="Q326" s="408">
        <v>0.44600000000000001</v>
      </c>
      <c r="R326" s="408">
        <v>0.49</v>
      </c>
      <c r="S326" s="408">
        <v>2</v>
      </c>
      <c r="T326" s="408">
        <v>2.5</v>
      </c>
      <c r="U326" s="408">
        <v>0.78400000000000003</v>
      </c>
      <c r="V326" s="408">
        <v>0.6</v>
      </c>
      <c r="W326" s="408">
        <v>3</v>
      </c>
      <c r="X326" s="408">
        <v>3.6</v>
      </c>
      <c r="Y326" s="408">
        <v>1.5</v>
      </c>
      <c r="Z326" s="408">
        <v>0.5</v>
      </c>
      <c r="AA326" s="408">
        <v>0.3</v>
      </c>
      <c r="AB326" s="408">
        <v>0.8</v>
      </c>
      <c r="AC326" s="408">
        <v>1.1000000000000001</v>
      </c>
      <c r="AD326" s="408">
        <v>10.9</v>
      </c>
    </row>
    <row r="327" spans="1:30">
      <c r="A327">
        <v>263</v>
      </c>
      <c r="B327" s="1" t="s">
        <v>564</v>
      </c>
      <c r="C327" s="5" t="s">
        <v>83</v>
      </c>
      <c r="D327" s="408">
        <v>25</v>
      </c>
      <c r="E327" s="5" t="s">
        <v>21</v>
      </c>
      <c r="F327" s="408">
        <v>66</v>
      </c>
      <c r="G327" s="408">
        <v>66</v>
      </c>
      <c r="H327" s="408">
        <v>25.4</v>
      </c>
      <c r="I327" s="408">
        <v>6</v>
      </c>
      <c r="J327" s="408">
        <v>10</v>
      </c>
      <c r="K327" s="408">
        <v>0.59799999999999998</v>
      </c>
      <c r="L327" s="408">
        <v>0</v>
      </c>
      <c r="M327" s="408">
        <v>0</v>
      </c>
      <c r="N327" s="5">
        <v>0</v>
      </c>
      <c r="O327" s="408">
        <v>6</v>
      </c>
      <c r="P327" s="408">
        <v>10</v>
      </c>
      <c r="Q327" s="408">
        <v>0.59899999999999998</v>
      </c>
      <c r="R327" s="408">
        <v>0.59799999999999998</v>
      </c>
      <c r="S327" s="408">
        <v>2</v>
      </c>
      <c r="T327" s="408">
        <v>2.4</v>
      </c>
      <c r="U327" s="408">
        <v>0.85399999999999998</v>
      </c>
      <c r="V327" s="408">
        <v>3.8</v>
      </c>
      <c r="W327" s="408">
        <v>7</v>
      </c>
      <c r="X327" s="408">
        <v>10.8</v>
      </c>
      <c r="Y327" s="408">
        <v>1.5</v>
      </c>
      <c r="Z327" s="408">
        <v>0.5</v>
      </c>
      <c r="AA327" s="408">
        <v>0.5</v>
      </c>
      <c r="AB327" s="408">
        <v>1.8</v>
      </c>
      <c r="AC327" s="408">
        <v>2.6</v>
      </c>
      <c r="AD327" s="408">
        <v>14</v>
      </c>
    </row>
    <row r="328" spans="1:30">
      <c r="A328">
        <v>264</v>
      </c>
      <c r="B328" s="1" t="s">
        <v>460</v>
      </c>
      <c r="C328" s="5" t="s">
        <v>26</v>
      </c>
      <c r="D328" s="408">
        <v>21</v>
      </c>
      <c r="E328" s="5" t="s">
        <v>157</v>
      </c>
      <c r="F328" s="408">
        <v>61</v>
      </c>
      <c r="G328" s="408">
        <v>5</v>
      </c>
      <c r="H328" s="408">
        <v>18.899999999999999</v>
      </c>
      <c r="I328" s="408">
        <v>2.5</v>
      </c>
      <c r="J328" s="408">
        <v>5.8</v>
      </c>
      <c r="K328" s="408">
        <v>0.43099999999999999</v>
      </c>
      <c r="L328" s="408">
        <v>1</v>
      </c>
      <c r="M328" s="408">
        <v>2.5</v>
      </c>
      <c r="N328" s="5">
        <v>0.41099999999999998</v>
      </c>
      <c r="O328" s="408">
        <v>1.5</v>
      </c>
      <c r="P328" s="408">
        <v>3.3</v>
      </c>
      <c r="Q328" s="408">
        <v>0.44600000000000001</v>
      </c>
      <c r="R328" s="408">
        <v>0.51800000000000002</v>
      </c>
      <c r="S328" s="408">
        <v>0.7</v>
      </c>
      <c r="T328" s="408">
        <v>0.8</v>
      </c>
      <c r="U328" s="408">
        <v>0.86</v>
      </c>
      <c r="V328" s="408">
        <v>0.3</v>
      </c>
      <c r="W328" s="408">
        <v>1.9</v>
      </c>
      <c r="X328" s="408">
        <v>2.2000000000000002</v>
      </c>
      <c r="Y328" s="408">
        <v>1.5</v>
      </c>
      <c r="Z328" s="408">
        <v>0.6</v>
      </c>
      <c r="AA328" s="408">
        <v>0.1</v>
      </c>
      <c r="AB328" s="408">
        <v>0.9</v>
      </c>
      <c r="AC328" s="408">
        <v>1</v>
      </c>
      <c r="AD328" s="408">
        <v>6.7</v>
      </c>
    </row>
    <row r="329" spans="1:30">
      <c r="A329">
        <v>265</v>
      </c>
      <c r="B329" s="1" t="s">
        <v>576</v>
      </c>
      <c r="C329" s="5" t="s">
        <v>46</v>
      </c>
      <c r="D329" s="408">
        <v>24</v>
      </c>
      <c r="E329" s="5" t="s">
        <v>311</v>
      </c>
      <c r="F329" s="408">
        <v>63</v>
      </c>
      <c r="G329" s="408">
        <v>63</v>
      </c>
      <c r="H329" s="408">
        <v>25.3</v>
      </c>
      <c r="I329" s="408">
        <v>3.9</v>
      </c>
      <c r="J329" s="408">
        <v>7.7</v>
      </c>
      <c r="K329" s="408">
        <v>0.50800000000000001</v>
      </c>
      <c r="L329" s="408">
        <v>0</v>
      </c>
      <c r="M329" s="408">
        <v>0</v>
      </c>
      <c r="N329" s="5">
        <v>0</v>
      </c>
      <c r="O329" s="408">
        <v>3.9</v>
      </c>
      <c r="P329" s="408">
        <v>7.7</v>
      </c>
      <c r="Q329" s="408">
        <v>0.51</v>
      </c>
      <c r="R329" s="408">
        <v>0.50800000000000001</v>
      </c>
      <c r="S329" s="408">
        <v>1.5</v>
      </c>
      <c r="T329" s="408">
        <v>2.2999999999999998</v>
      </c>
      <c r="U329" s="408">
        <v>0.67800000000000005</v>
      </c>
      <c r="V329" s="408">
        <v>1.2</v>
      </c>
      <c r="W329" s="408">
        <v>3</v>
      </c>
      <c r="X329" s="408">
        <v>4.2</v>
      </c>
      <c r="Y329" s="408">
        <v>1</v>
      </c>
      <c r="Z329" s="408">
        <v>0.7</v>
      </c>
      <c r="AA329" s="408">
        <v>0.5</v>
      </c>
      <c r="AB329" s="408">
        <v>0.7</v>
      </c>
      <c r="AC329" s="408">
        <v>2</v>
      </c>
      <c r="AD329" s="408">
        <v>9.4</v>
      </c>
    </row>
    <row r="330" spans="1:30">
      <c r="A330">
        <v>266</v>
      </c>
      <c r="B330" s="1" t="s">
        <v>114</v>
      </c>
      <c r="C330" s="5" t="s">
        <v>26</v>
      </c>
      <c r="D330" s="408">
        <v>28</v>
      </c>
      <c r="E330" s="5" t="s">
        <v>357</v>
      </c>
      <c r="F330" s="408">
        <v>42</v>
      </c>
      <c r="G330" s="408">
        <v>0</v>
      </c>
      <c r="H330" s="408">
        <v>9.6999999999999993</v>
      </c>
      <c r="I330" s="408">
        <v>1.4</v>
      </c>
      <c r="J330" s="408">
        <v>4.2</v>
      </c>
      <c r="K330" s="408">
        <v>0.33</v>
      </c>
      <c r="L330" s="408">
        <v>0.6</v>
      </c>
      <c r="M330" s="408">
        <v>2.1</v>
      </c>
      <c r="N330" s="5">
        <v>0.27</v>
      </c>
      <c r="O330" s="408">
        <v>0.8</v>
      </c>
      <c r="P330" s="408">
        <v>2.1</v>
      </c>
      <c r="Q330" s="408">
        <v>0.39100000000000001</v>
      </c>
      <c r="R330" s="408">
        <v>0.39800000000000002</v>
      </c>
      <c r="S330" s="408">
        <v>0.9</v>
      </c>
      <c r="T330" s="408">
        <v>0.9</v>
      </c>
      <c r="U330" s="408">
        <v>0.94699999999999995</v>
      </c>
      <c r="V330" s="408">
        <v>0</v>
      </c>
      <c r="W330" s="408">
        <v>1.4</v>
      </c>
      <c r="X330" s="408">
        <v>1.4</v>
      </c>
      <c r="Y330" s="408">
        <v>0.8</v>
      </c>
      <c r="Z330" s="408">
        <v>0.2</v>
      </c>
      <c r="AA330" s="408">
        <v>0</v>
      </c>
      <c r="AB330" s="408">
        <v>0.6</v>
      </c>
      <c r="AC330" s="408">
        <v>0.6</v>
      </c>
      <c r="AD330" s="408">
        <v>4.2</v>
      </c>
    </row>
    <row r="331" spans="1:30">
      <c r="A331">
        <v>266</v>
      </c>
      <c r="B331" s="1" t="s">
        <v>114</v>
      </c>
      <c r="C331" s="5" t="s">
        <v>26</v>
      </c>
      <c r="D331" s="408">
        <v>28</v>
      </c>
      <c r="E331" s="5" t="s">
        <v>315</v>
      </c>
      <c r="F331" s="408">
        <v>16</v>
      </c>
      <c r="G331" s="408">
        <v>0</v>
      </c>
      <c r="H331" s="408">
        <v>11.4</v>
      </c>
      <c r="I331" s="408">
        <v>1.6</v>
      </c>
      <c r="J331" s="408">
        <v>5.4</v>
      </c>
      <c r="K331" s="408">
        <v>0.29099999999999998</v>
      </c>
      <c r="L331" s="408">
        <v>0.7</v>
      </c>
      <c r="M331" s="408">
        <v>2.6</v>
      </c>
      <c r="N331" s="5">
        <v>0.26200000000000001</v>
      </c>
      <c r="O331" s="408">
        <v>0.9</v>
      </c>
      <c r="P331" s="408">
        <v>2.8</v>
      </c>
      <c r="Q331" s="408">
        <v>0.318</v>
      </c>
      <c r="R331" s="408">
        <v>0.35499999999999998</v>
      </c>
      <c r="S331" s="408">
        <v>1.1000000000000001</v>
      </c>
      <c r="T331" s="408">
        <v>1.2</v>
      </c>
      <c r="U331" s="408">
        <v>0.94699999999999995</v>
      </c>
      <c r="V331" s="408">
        <v>0.1</v>
      </c>
      <c r="W331" s="408">
        <v>2.1</v>
      </c>
      <c r="X331" s="408">
        <v>2.2000000000000002</v>
      </c>
      <c r="Y331" s="408">
        <v>0.9</v>
      </c>
      <c r="Z331" s="408">
        <v>0.1</v>
      </c>
      <c r="AA331" s="408">
        <v>0.1</v>
      </c>
      <c r="AB331" s="408">
        <v>1</v>
      </c>
      <c r="AC331" s="408">
        <v>0.5</v>
      </c>
      <c r="AD331" s="408">
        <v>4.9000000000000004</v>
      </c>
    </row>
    <row r="332" spans="1:30">
      <c r="A332">
        <v>266</v>
      </c>
      <c r="B332" s="1" t="s">
        <v>114</v>
      </c>
      <c r="C332" s="5" t="s">
        <v>26</v>
      </c>
      <c r="D332" s="408">
        <v>28</v>
      </c>
      <c r="E332" s="5" t="s">
        <v>41</v>
      </c>
      <c r="F332" s="408">
        <v>23</v>
      </c>
      <c r="G332" s="408">
        <v>0</v>
      </c>
      <c r="H332" s="408">
        <v>8.9</v>
      </c>
      <c r="I332" s="408">
        <v>1.3</v>
      </c>
      <c r="J332" s="408">
        <v>3.6</v>
      </c>
      <c r="K332" s="408">
        <v>0.378</v>
      </c>
      <c r="L332" s="408">
        <v>0.6</v>
      </c>
      <c r="M332" s="408">
        <v>2</v>
      </c>
      <c r="N332" s="5">
        <v>0.28299999999999997</v>
      </c>
      <c r="O332" s="408">
        <v>0.8</v>
      </c>
      <c r="P332" s="408">
        <v>1.6</v>
      </c>
      <c r="Q332" s="408">
        <v>0.5</v>
      </c>
      <c r="R332" s="408">
        <v>0.45700000000000002</v>
      </c>
      <c r="S332" s="408">
        <v>0.8</v>
      </c>
      <c r="T332" s="408">
        <v>0.8</v>
      </c>
      <c r="U332" s="408">
        <v>0.94699999999999995</v>
      </c>
      <c r="V332" s="408">
        <v>0</v>
      </c>
      <c r="W332" s="408">
        <v>1</v>
      </c>
      <c r="X332" s="408">
        <v>1.1000000000000001</v>
      </c>
      <c r="Y332" s="408">
        <v>0.7</v>
      </c>
      <c r="Z332" s="408">
        <v>0.2</v>
      </c>
      <c r="AA332" s="408">
        <v>0</v>
      </c>
      <c r="AB332" s="408">
        <v>0.4</v>
      </c>
      <c r="AC332" s="408">
        <v>0.7</v>
      </c>
      <c r="AD332" s="408">
        <v>4</v>
      </c>
    </row>
    <row r="333" spans="1:30">
      <c r="A333">
        <v>266</v>
      </c>
      <c r="B333" s="1" t="s">
        <v>114</v>
      </c>
      <c r="C333" s="5" t="s">
        <v>26</v>
      </c>
      <c r="D333" s="408">
        <v>28</v>
      </c>
      <c r="E333" s="5" t="s">
        <v>64</v>
      </c>
      <c r="F333" s="408">
        <v>3</v>
      </c>
      <c r="G333" s="408">
        <v>0</v>
      </c>
      <c r="H333" s="408">
        <v>6</v>
      </c>
      <c r="I333" s="408">
        <v>0.7</v>
      </c>
      <c r="J333" s="408">
        <v>2.7</v>
      </c>
      <c r="K333" s="408">
        <v>0.25</v>
      </c>
      <c r="L333" s="408">
        <v>0</v>
      </c>
      <c r="M333" s="408">
        <v>0.3</v>
      </c>
      <c r="N333" s="5">
        <v>0</v>
      </c>
      <c r="O333" s="408">
        <v>0.7</v>
      </c>
      <c r="P333" s="408">
        <v>2.2999999999999998</v>
      </c>
      <c r="Q333" s="408">
        <v>0.28599999999999998</v>
      </c>
      <c r="R333" s="408">
        <v>0.25</v>
      </c>
      <c r="S333" s="408">
        <v>0</v>
      </c>
      <c r="T333" s="408">
        <v>0</v>
      </c>
      <c r="U333" s="408"/>
      <c r="V333" s="408">
        <v>0</v>
      </c>
      <c r="W333" s="408">
        <v>0</v>
      </c>
      <c r="X333" s="408">
        <v>0</v>
      </c>
      <c r="Y333" s="408">
        <v>0.7</v>
      </c>
      <c r="Z333" s="408">
        <v>0</v>
      </c>
      <c r="AA333" s="408">
        <v>0</v>
      </c>
      <c r="AB333" s="408">
        <v>0</v>
      </c>
      <c r="AC333" s="408">
        <v>0.3</v>
      </c>
      <c r="AD333" s="408">
        <v>1.3</v>
      </c>
    </row>
    <row r="334" spans="1:30">
      <c r="A334">
        <v>267</v>
      </c>
      <c r="B334" s="1" t="s">
        <v>495</v>
      </c>
      <c r="C334" s="5" t="s">
        <v>38</v>
      </c>
      <c r="D334" s="408">
        <v>26</v>
      </c>
      <c r="E334" s="5" t="s">
        <v>33</v>
      </c>
      <c r="F334" s="408">
        <v>60</v>
      </c>
      <c r="G334" s="408">
        <v>35</v>
      </c>
      <c r="H334" s="408">
        <v>16.399999999999999</v>
      </c>
      <c r="I334" s="408">
        <v>2</v>
      </c>
      <c r="J334" s="408">
        <v>4.2</v>
      </c>
      <c r="K334" s="408">
        <v>0.47399999999999998</v>
      </c>
      <c r="L334" s="408">
        <v>0.5</v>
      </c>
      <c r="M334" s="408">
        <v>1.6</v>
      </c>
      <c r="N334" s="5">
        <v>0.29199999999999998</v>
      </c>
      <c r="O334" s="408">
        <v>1.5</v>
      </c>
      <c r="P334" s="408">
        <v>2.6</v>
      </c>
      <c r="Q334" s="408">
        <v>0.58599999999999997</v>
      </c>
      <c r="R334" s="408">
        <v>0.53</v>
      </c>
      <c r="S334" s="408">
        <v>0.6</v>
      </c>
      <c r="T334" s="408">
        <v>0.8</v>
      </c>
      <c r="U334" s="408">
        <v>0.72299999999999998</v>
      </c>
      <c r="V334" s="408">
        <v>1</v>
      </c>
      <c r="W334" s="408">
        <v>1.9</v>
      </c>
      <c r="X334" s="408">
        <v>3</v>
      </c>
      <c r="Y334" s="408">
        <v>0.7</v>
      </c>
      <c r="Z334" s="408">
        <v>0.4</v>
      </c>
      <c r="AA334" s="408">
        <v>0.6</v>
      </c>
      <c r="AB334" s="408">
        <v>0.4</v>
      </c>
      <c r="AC334" s="408">
        <v>1.7</v>
      </c>
      <c r="AD334" s="408">
        <v>5</v>
      </c>
    </row>
    <row r="335" spans="1:30">
      <c r="A335">
        <v>268</v>
      </c>
      <c r="B335" s="1" t="s">
        <v>300</v>
      </c>
      <c r="C335" s="5" t="s">
        <v>26</v>
      </c>
      <c r="D335" s="408">
        <v>20</v>
      </c>
      <c r="E335" s="5" t="s">
        <v>118</v>
      </c>
      <c r="F335" s="408">
        <v>6</v>
      </c>
      <c r="G335" s="408">
        <v>0</v>
      </c>
      <c r="H335" s="408">
        <v>5.3</v>
      </c>
      <c r="I335" s="408">
        <v>0.5</v>
      </c>
      <c r="J335" s="408">
        <v>2</v>
      </c>
      <c r="K335" s="408">
        <v>0.25</v>
      </c>
      <c r="L335" s="408">
        <v>0.2</v>
      </c>
      <c r="M335" s="408">
        <v>1.3</v>
      </c>
      <c r="N335" s="5">
        <v>0.125</v>
      </c>
      <c r="O335" s="408">
        <v>0.3</v>
      </c>
      <c r="P335" s="408">
        <v>0.7</v>
      </c>
      <c r="Q335" s="408">
        <v>0.5</v>
      </c>
      <c r="R335" s="408">
        <v>0.29199999999999998</v>
      </c>
      <c r="S335" s="408">
        <v>0.3</v>
      </c>
      <c r="T335" s="408">
        <v>0.3</v>
      </c>
      <c r="U335" s="408">
        <v>1</v>
      </c>
      <c r="V335" s="408">
        <v>0.3</v>
      </c>
      <c r="W335" s="408">
        <v>0.7</v>
      </c>
      <c r="X335" s="408">
        <v>1</v>
      </c>
      <c r="Y335" s="408">
        <v>0.3</v>
      </c>
      <c r="Z335" s="408">
        <v>0.2</v>
      </c>
      <c r="AA335" s="408">
        <v>0</v>
      </c>
      <c r="AB335" s="408">
        <v>0.2</v>
      </c>
      <c r="AC335" s="408">
        <v>0.7</v>
      </c>
      <c r="AD335" s="408">
        <v>1.5</v>
      </c>
    </row>
    <row r="336" spans="1:30">
      <c r="A336">
        <v>269</v>
      </c>
      <c r="B336" s="1" t="s">
        <v>888</v>
      </c>
      <c r="C336" s="5" t="s">
        <v>38</v>
      </c>
      <c r="D336" s="408">
        <v>22</v>
      </c>
      <c r="E336" s="5" t="s">
        <v>21</v>
      </c>
      <c r="F336" s="408">
        <v>10</v>
      </c>
      <c r="G336" s="408">
        <v>1</v>
      </c>
      <c r="H336" s="408">
        <v>12</v>
      </c>
      <c r="I336" s="408">
        <v>1.9</v>
      </c>
      <c r="J336" s="408">
        <v>5.4</v>
      </c>
      <c r="K336" s="408">
        <v>0.35199999999999998</v>
      </c>
      <c r="L336" s="408">
        <v>1</v>
      </c>
      <c r="M336" s="408">
        <v>3.5</v>
      </c>
      <c r="N336" s="5">
        <v>0.28599999999999998</v>
      </c>
      <c r="O336" s="408">
        <v>0.9</v>
      </c>
      <c r="P336" s="408">
        <v>1.9</v>
      </c>
      <c r="Q336" s="408">
        <v>0.47399999999999998</v>
      </c>
      <c r="R336" s="408">
        <v>0.44400000000000001</v>
      </c>
      <c r="S336" s="408">
        <v>0.1</v>
      </c>
      <c r="T336" s="408">
        <v>0.2</v>
      </c>
      <c r="U336" s="408">
        <v>0.5</v>
      </c>
      <c r="V336" s="408">
        <v>0.9</v>
      </c>
      <c r="W336" s="408">
        <v>2</v>
      </c>
      <c r="X336" s="408">
        <v>2.9</v>
      </c>
      <c r="Y336" s="408">
        <v>0.7</v>
      </c>
      <c r="Z336" s="408">
        <v>0.3</v>
      </c>
      <c r="AA336" s="408">
        <v>0.9</v>
      </c>
      <c r="AB336" s="408">
        <v>0.2</v>
      </c>
      <c r="AC336" s="408">
        <v>0.7</v>
      </c>
      <c r="AD336" s="408">
        <v>4.9000000000000004</v>
      </c>
    </row>
    <row r="337" spans="1:30">
      <c r="A337">
        <v>270</v>
      </c>
      <c r="B337" s="1" t="s">
        <v>340</v>
      </c>
      <c r="C337" s="5" t="s">
        <v>26</v>
      </c>
      <c r="D337" s="408">
        <v>36</v>
      </c>
      <c r="E337" s="5" t="s">
        <v>102</v>
      </c>
      <c r="F337" s="408">
        <v>69</v>
      </c>
      <c r="G337" s="408">
        <v>3</v>
      </c>
      <c r="H337" s="408">
        <v>21.8</v>
      </c>
      <c r="I337" s="408">
        <v>3.1</v>
      </c>
      <c r="J337" s="408">
        <v>6.8</v>
      </c>
      <c r="K337" s="408">
        <v>0.45800000000000002</v>
      </c>
      <c r="L337" s="408">
        <v>2.2999999999999998</v>
      </c>
      <c r="M337" s="408">
        <v>5.3</v>
      </c>
      <c r="N337" s="5">
        <v>0.44</v>
      </c>
      <c r="O337" s="408">
        <v>0.8</v>
      </c>
      <c r="P337" s="408">
        <v>1.5</v>
      </c>
      <c r="Q337" s="408">
        <v>0.52400000000000002</v>
      </c>
      <c r="R337" s="408">
        <v>0.63</v>
      </c>
      <c r="S337" s="408">
        <v>0.9</v>
      </c>
      <c r="T337" s="408">
        <v>1</v>
      </c>
      <c r="U337" s="408">
        <v>0.88400000000000001</v>
      </c>
      <c r="V337" s="408">
        <v>0.1</v>
      </c>
      <c r="W337" s="408">
        <v>2.1</v>
      </c>
      <c r="X337" s="408">
        <v>2.2000000000000002</v>
      </c>
      <c r="Y337" s="408">
        <v>1.2</v>
      </c>
      <c r="Z337" s="408">
        <v>0.4</v>
      </c>
      <c r="AA337" s="408">
        <v>0.4</v>
      </c>
      <c r="AB337" s="408">
        <v>0.7</v>
      </c>
      <c r="AC337" s="408">
        <v>1.7</v>
      </c>
      <c r="AD337" s="408">
        <v>9.4</v>
      </c>
    </row>
    <row r="338" spans="1:30">
      <c r="A338">
        <v>271</v>
      </c>
      <c r="B338" s="1" t="s">
        <v>618</v>
      </c>
      <c r="C338" s="5" t="s">
        <v>83</v>
      </c>
      <c r="D338" s="408">
        <v>28</v>
      </c>
      <c r="E338" s="5" t="s">
        <v>100</v>
      </c>
      <c r="F338" s="408">
        <v>67</v>
      </c>
      <c r="G338" s="408">
        <v>13</v>
      </c>
      <c r="H338" s="408">
        <v>19.399999999999999</v>
      </c>
      <c r="I338" s="408">
        <v>3</v>
      </c>
      <c r="J338" s="408">
        <v>5.4</v>
      </c>
      <c r="K338" s="408">
        <v>0.56000000000000005</v>
      </c>
      <c r="L338" s="408">
        <v>0</v>
      </c>
      <c r="M338" s="408">
        <v>0</v>
      </c>
      <c r="O338" s="408">
        <v>3</v>
      </c>
      <c r="P338" s="408">
        <v>5.4</v>
      </c>
      <c r="Q338" s="408">
        <v>0.56000000000000005</v>
      </c>
      <c r="R338" s="408">
        <v>0.56000000000000005</v>
      </c>
      <c r="S338" s="408">
        <v>0.5</v>
      </c>
      <c r="T338" s="408">
        <v>1</v>
      </c>
      <c r="U338" s="408">
        <v>0.443</v>
      </c>
      <c r="V338" s="408">
        <v>2.1</v>
      </c>
      <c r="W338" s="408">
        <v>4.5</v>
      </c>
      <c r="X338" s="408">
        <v>6.6</v>
      </c>
      <c r="Y338" s="408">
        <v>1.2</v>
      </c>
      <c r="Z338" s="408">
        <v>0.6</v>
      </c>
      <c r="AA338" s="408">
        <v>0.4</v>
      </c>
      <c r="AB338" s="408">
        <v>0.7</v>
      </c>
      <c r="AC338" s="408">
        <v>2</v>
      </c>
      <c r="AD338" s="408">
        <v>6.5</v>
      </c>
    </row>
    <row r="339" spans="1:30">
      <c r="A339">
        <v>272</v>
      </c>
      <c r="B339" s="1" t="s">
        <v>345</v>
      </c>
      <c r="C339" s="5" t="s">
        <v>38</v>
      </c>
      <c r="D339" s="408">
        <v>22</v>
      </c>
      <c r="E339" s="5" t="s">
        <v>78</v>
      </c>
      <c r="F339" s="408">
        <v>68</v>
      </c>
      <c r="G339" s="408">
        <v>29</v>
      </c>
      <c r="H339" s="408">
        <v>30.3</v>
      </c>
      <c r="I339" s="408">
        <v>5.9</v>
      </c>
      <c r="J339" s="408">
        <v>13.2</v>
      </c>
      <c r="K339" s="408">
        <v>0.44900000000000001</v>
      </c>
      <c r="L339" s="408">
        <v>2</v>
      </c>
      <c r="M339" s="408">
        <v>5.4</v>
      </c>
      <c r="N339" s="5">
        <v>0.36599999999999999</v>
      </c>
      <c r="O339" s="408">
        <v>3.9</v>
      </c>
      <c r="P339" s="408">
        <v>7.7</v>
      </c>
      <c r="Q339" s="408">
        <v>0.50800000000000001</v>
      </c>
      <c r="R339" s="408">
        <v>0.52500000000000002</v>
      </c>
      <c r="S339" s="408">
        <v>1.8</v>
      </c>
      <c r="T339" s="408">
        <v>2.5</v>
      </c>
      <c r="U339" s="408">
        <v>0.70599999999999996</v>
      </c>
      <c r="V339" s="408">
        <v>1.2</v>
      </c>
      <c r="W339" s="408">
        <v>5</v>
      </c>
      <c r="X339" s="408">
        <v>6.2</v>
      </c>
      <c r="Y339" s="408">
        <v>1.8</v>
      </c>
      <c r="Z339" s="408">
        <v>0.6</v>
      </c>
      <c r="AA339" s="408">
        <v>0.5</v>
      </c>
      <c r="AB339" s="408">
        <v>1.7</v>
      </c>
      <c r="AC339" s="408">
        <v>2.1</v>
      </c>
      <c r="AD339" s="408">
        <v>15.6</v>
      </c>
    </row>
    <row r="340" spans="1:30">
      <c r="A340">
        <v>273</v>
      </c>
      <c r="B340" s="1" t="s">
        <v>648</v>
      </c>
      <c r="C340" s="5" t="s">
        <v>46</v>
      </c>
      <c r="D340" s="408">
        <v>28</v>
      </c>
      <c r="E340" s="5" t="s">
        <v>21</v>
      </c>
      <c r="F340" s="408">
        <v>1</v>
      </c>
      <c r="G340" s="408">
        <v>0</v>
      </c>
      <c r="H340" s="408">
        <v>2</v>
      </c>
      <c r="I340" s="408">
        <v>0</v>
      </c>
      <c r="J340" s="408">
        <v>2</v>
      </c>
      <c r="K340" s="408">
        <v>0</v>
      </c>
      <c r="L340" s="408">
        <v>0</v>
      </c>
      <c r="M340" s="408">
        <v>0</v>
      </c>
      <c r="O340" s="408">
        <v>0</v>
      </c>
      <c r="P340" s="408">
        <v>2</v>
      </c>
      <c r="Q340" s="408">
        <v>0</v>
      </c>
      <c r="R340" s="408">
        <v>0</v>
      </c>
      <c r="S340" s="408">
        <v>0</v>
      </c>
      <c r="T340" s="408">
        <v>0</v>
      </c>
      <c r="U340" s="408"/>
      <c r="V340" s="408">
        <v>0</v>
      </c>
      <c r="W340" s="408">
        <v>0</v>
      </c>
      <c r="X340" s="408">
        <v>0</v>
      </c>
      <c r="Y340" s="408">
        <v>0</v>
      </c>
      <c r="Z340" s="408">
        <v>0</v>
      </c>
      <c r="AA340" s="408">
        <v>0</v>
      </c>
      <c r="AB340" s="408">
        <v>0</v>
      </c>
      <c r="AC340" s="408">
        <v>0</v>
      </c>
      <c r="AD340" s="408">
        <v>0</v>
      </c>
    </row>
    <row r="341" spans="1:30">
      <c r="A341">
        <v>274</v>
      </c>
      <c r="B341" s="1" t="s">
        <v>557</v>
      </c>
      <c r="C341" s="5" t="s">
        <v>38</v>
      </c>
      <c r="D341" s="408">
        <v>21</v>
      </c>
      <c r="E341" s="5" t="s">
        <v>100</v>
      </c>
      <c r="F341" s="408">
        <v>54</v>
      </c>
      <c r="G341" s="408">
        <v>22</v>
      </c>
      <c r="H341" s="408">
        <v>20</v>
      </c>
      <c r="I341" s="408">
        <v>3.4</v>
      </c>
      <c r="J341" s="408">
        <v>7.3</v>
      </c>
      <c r="K341" s="408">
        <v>0.46100000000000002</v>
      </c>
      <c r="L341" s="408">
        <v>0.3</v>
      </c>
      <c r="M341" s="408">
        <v>0.7</v>
      </c>
      <c r="N341" s="5">
        <v>0.40500000000000003</v>
      </c>
      <c r="O341" s="408">
        <v>3.1</v>
      </c>
      <c r="P341" s="408">
        <v>6.6</v>
      </c>
      <c r="Q341" s="408">
        <v>0.46600000000000003</v>
      </c>
      <c r="R341" s="408">
        <v>0.48</v>
      </c>
      <c r="S341" s="408">
        <v>1.6</v>
      </c>
      <c r="T341" s="408">
        <v>2</v>
      </c>
      <c r="U341" s="408">
        <v>0.78900000000000003</v>
      </c>
      <c r="V341" s="408">
        <v>1.6</v>
      </c>
      <c r="W341" s="408">
        <v>3</v>
      </c>
      <c r="X341" s="408">
        <v>4.5999999999999996</v>
      </c>
      <c r="Y341" s="408">
        <v>1.1000000000000001</v>
      </c>
      <c r="Z341" s="408">
        <v>0.4</v>
      </c>
      <c r="AA341" s="408">
        <v>0.8</v>
      </c>
      <c r="AB341" s="408">
        <v>1.1000000000000001</v>
      </c>
      <c r="AC341" s="408">
        <v>2.2000000000000002</v>
      </c>
      <c r="AD341" s="408">
        <v>8.6</v>
      </c>
    </row>
    <row r="342" spans="1:30">
      <c r="A342">
        <v>275</v>
      </c>
      <c r="B342" s="1" t="s">
        <v>411</v>
      </c>
      <c r="C342" s="5" t="s">
        <v>26</v>
      </c>
      <c r="D342" s="408">
        <v>25</v>
      </c>
      <c r="E342" s="5" t="s">
        <v>311</v>
      </c>
      <c r="F342" s="408">
        <v>70</v>
      </c>
      <c r="G342" s="408">
        <v>15</v>
      </c>
      <c r="H342" s="408">
        <v>24.5</v>
      </c>
      <c r="I342" s="408">
        <v>4.8</v>
      </c>
      <c r="J342" s="408">
        <v>10.6</v>
      </c>
      <c r="K342" s="408">
        <v>0.45100000000000001</v>
      </c>
      <c r="L342" s="408">
        <v>1.1000000000000001</v>
      </c>
      <c r="M342" s="408">
        <v>3.2</v>
      </c>
      <c r="N342" s="5">
        <v>0.35699999999999998</v>
      </c>
      <c r="O342" s="408">
        <v>3.6</v>
      </c>
      <c r="P342" s="408">
        <v>7.4</v>
      </c>
      <c r="Q342" s="408">
        <v>0.49199999999999999</v>
      </c>
      <c r="R342" s="408">
        <v>0.505</v>
      </c>
      <c r="S342" s="408">
        <v>2.4</v>
      </c>
      <c r="T342" s="408">
        <v>2.8</v>
      </c>
      <c r="U342" s="408">
        <v>0.86099999999999999</v>
      </c>
      <c r="V342" s="408">
        <v>0.6</v>
      </c>
      <c r="W342" s="408">
        <v>3.4</v>
      </c>
      <c r="X342" s="408">
        <v>4.0999999999999996</v>
      </c>
      <c r="Y342" s="408">
        <v>2.2000000000000002</v>
      </c>
      <c r="Z342" s="408">
        <v>0.8</v>
      </c>
      <c r="AA342" s="408">
        <v>0.4</v>
      </c>
      <c r="AB342" s="408">
        <v>1.1000000000000001</v>
      </c>
      <c r="AC342" s="408">
        <v>1.8</v>
      </c>
      <c r="AD342" s="408">
        <v>13.1</v>
      </c>
    </row>
    <row r="343" spans="1:30">
      <c r="A343">
        <v>276</v>
      </c>
      <c r="B343" s="1" t="s">
        <v>88</v>
      </c>
      <c r="C343" s="5" t="s">
        <v>20</v>
      </c>
      <c r="D343" s="408">
        <v>25</v>
      </c>
      <c r="E343" s="5" t="s">
        <v>87</v>
      </c>
      <c r="F343" s="408">
        <v>45</v>
      </c>
      <c r="G343" s="408">
        <v>1</v>
      </c>
      <c r="H343" s="408">
        <v>12.3</v>
      </c>
      <c r="I343" s="408">
        <v>1.4</v>
      </c>
      <c r="J343" s="408">
        <v>3.5</v>
      </c>
      <c r="K343" s="408">
        <v>0.39100000000000001</v>
      </c>
      <c r="L343" s="408">
        <v>0.5</v>
      </c>
      <c r="M343" s="408">
        <v>1.4</v>
      </c>
      <c r="N343" s="5">
        <v>0.375</v>
      </c>
      <c r="O343" s="408">
        <v>0.8</v>
      </c>
      <c r="P343" s="408">
        <v>2</v>
      </c>
      <c r="Q343" s="408">
        <v>0.40200000000000002</v>
      </c>
      <c r="R343" s="408">
        <v>0.46800000000000003</v>
      </c>
      <c r="S343" s="408">
        <v>0.6</v>
      </c>
      <c r="T343" s="408">
        <v>0.6</v>
      </c>
      <c r="U343" s="408">
        <v>0.89300000000000002</v>
      </c>
      <c r="V343" s="408">
        <v>0.2</v>
      </c>
      <c r="W343" s="408">
        <v>1.1000000000000001</v>
      </c>
      <c r="X343" s="408">
        <v>1.3</v>
      </c>
      <c r="Y343" s="408">
        <v>1.3</v>
      </c>
      <c r="Z343" s="408">
        <v>0.5</v>
      </c>
      <c r="AA343" s="408">
        <v>0</v>
      </c>
      <c r="AB343" s="408">
        <v>0.6</v>
      </c>
      <c r="AC343" s="408">
        <v>1</v>
      </c>
      <c r="AD343" s="408">
        <v>3.8</v>
      </c>
    </row>
    <row r="344" spans="1:30">
      <c r="A344">
        <v>277</v>
      </c>
      <c r="B344" s="1" t="s">
        <v>562</v>
      </c>
      <c r="C344" s="5" t="s">
        <v>83</v>
      </c>
      <c r="D344" s="408">
        <v>26</v>
      </c>
      <c r="E344" s="5" t="s">
        <v>140</v>
      </c>
      <c r="F344" s="408">
        <v>49</v>
      </c>
      <c r="G344" s="408">
        <v>1</v>
      </c>
      <c r="H344" s="408">
        <v>10.199999999999999</v>
      </c>
      <c r="I344" s="408">
        <v>1.9</v>
      </c>
      <c r="J344" s="408">
        <v>3.6</v>
      </c>
      <c r="K344" s="408">
        <v>0.52200000000000002</v>
      </c>
      <c r="L344" s="408">
        <v>0</v>
      </c>
      <c r="M344" s="408">
        <v>0.1</v>
      </c>
      <c r="N344" s="5">
        <v>0</v>
      </c>
      <c r="O344" s="408">
        <v>1.9</v>
      </c>
      <c r="P344" s="408">
        <v>3.5</v>
      </c>
      <c r="Q344" s="408">
        <v>0.53800000000000003</v>
      </c>
      <c r="R344" s="408">
        <v>0.52200000000000002</v>
      </c>
      <c r="S344" s="408">
        <v>0.6</v>
      </c>
      <c r="T344" s="408">
        <v>0.9</v>
      </c>
      <c r="U344" s="408">
        <v>0.65100000000000002</v>
      </c>
      <c r="V344" s="408">
        <v>1.2</v>
      </c>
      <c r="W344" s="408">
        <v>2.1</v>
      </c>
      <c r="X344" s="408">
        <v>3.3</v>
      </c>
      <c r="Y344" s="408">
        <v>0.8</v>
      </c>
      <c r="Z344" s="408">
        <v>0.2</v>
      </c>
      <c r="AA344" s="408">
        <v>0.1</v>
      </c>
      <c r="AB344" s="408">
        <v>0.7</v>
      </c>
      <c r="AC344" s="408">
        <v>0.9</v>
      </c>
      <c r="AD344" s="408">
        <v>4.4000000000000004</v>
      </c>
    </row>
    <row r="345" spans="1:30">
      <c r="A345">
        <v>278</v>
      </c>
      <c r="B345" s="1" t="s">
        <v>225</v>
      </c>
      <c r="C345" s="5" t="s">
        <v>26</v>
      </c>
      <c r="D345" s="408">
        <v>22</v>
      </c>
      <c r="E345" s="5" t="s">
        <v>43</v>
      </c>
      <c r="F345" s="408">
        <v>24</v>
      </c>
      <c r="G345" s="408">
        <v>24</v>
      </c>
      <c r="H345" s="408">
        <v>27.3</v>
      </c>
      <c r="I345" s="408">
        <v>5.7</v>
      </c>
      <c r="J345" s="408">
        <v>14.8</v>
      </c>
      <c r="K345" s="408">
        <v>0.38300000000000001</v>
      </c>
      <c r="L345" s="408">
        <v>1.8</v>
      </c>
      <c r="M345" s="408">
        <v>5.0999999999999996</v>
      </c>
      <c r="N345" s="5">
        <v>0.34100000000000003</v>
      </c>
      <c r="O345" s="408">
        <v>3.9</v>
      </c>
      <c r="P345" s="408">
        <v>9.6999999999999993</v>
      </c>
      <c r="Q345" s="408">
        <v>0.40500000000000003</v>
      </c>
      <c r="R345" s="408">
        <v>0.442</v>
      </c>
      <c r="S345" s="408">
        <v>3.6</v>
      </c>
      <c r="T345" s="408">
        <v>4.5</v>
      </c>
      <c r="U345" s="408">
        <v>0.81299999999999994</v>
      </c>
      <c r="V345" s="408">
        <v>0.4</v>
      </c>
      <c r="W345" s="408">
        <v>3.6</v>
      </c>
      <c r="X345" s="408">
        <v>4</v>
      </c>
      <c r="Y345" s="408">
        <v>3</v>
      </c>
      <c r="Z345" s="408">
        <v>1</v>
      </c>
      <c r="AA345" s="408">
        <v>0.2</v>
      </c>
      <c r="AB345" s="408">
        <v>1.8</v>
      </c>
      <c r="AC345" s="408">
        <v>2.2999999999999998</v>
      </c>
      <c r="AD345" s="408">
        <v>16.7</v>
      </c>
    </row>
    <row r="346" spans="1:30">
      <c r="A346">
        <v>279</v>
      </c>
      <c r="B346" s="1" t="s">
        <v>301</v>
      </c>
      <c r="C346" s="5" t="s">
        <v>46</v>
      </c>
      <c r="D346" s="408">
        <v>23</v>
      </c>
      <c r="E346" s="5" t="s">
        <v>96</v>
      </c>
      <c r="F346" s="408">
        <v>31</v>
      </c>
      <c r="G346" s="408">
        <v>1</v>
      </c>
      <c r="H346" s="408">
        <v>4.9000000000000004</v>
      </c>
      <c r="I346" s="408">
        <v>0.4</v>
      </c>
      <c r="J346" s="408">
        <v>1.4</v>
      </c>
      <c r="K346" s="408">
        <v>0.27300000000000002</v>
      </c>
      <c r="L346" s="408">
        <v>0.1</v>
      </c>
      <c r="M346" s="408">
        <v>0.6</v>
      </c>
      <c r="N346" s="5">
        <v>0.21099999999999999</v>
      </c>
      <c r="O346" s="408">
        <v>0.3</v>
      </c>
      <c r="P346" s="408">
        <v>0.8</v>
      </c>
      <c r="Q346" s="408">
        <v>0.32</v>
      </c>
      <c r="R346" s="408">
        <v>0.318</v>
      </c>
      <c r="S346" s="408">
        <v>0.1</v>
      </c>
      <c r="T346" s="408">
        <v>0.1</v>
      </c>
      <c r="U346" s="408">
        <v>0.66700000000000004</v>
      </c>
      <c r="V346" s="408">
        <v>0.1</v>
      </c>
      <c r="W346" s="408">
        <v>0.3</v>
      </c>
      <c r="X346" s="408">
        <v>0.5</v>
      </c>
      <c r="Y346" s="408">
        <v>0.3</v>
      </c>
      <c r="Z346" s="408">
        <v>0.2</v>
      </c>
      <c r="AA346" s="408">
        <v>0.1</v>
      </c>
      <c r="AB346" s="408">
        <v>0.2</v>
      </c>
      <c r="AC346" s="408">
        <v>0.4</v>
      </c>
      <c r="AD346" s="408">
        <v>1</v>
      </c>
    </row>
    <row r="347" spans="1:30">
      <c r="A347">
        <v>280</v>
      </c>
      <c r="B347" s="1" t="s">
        <v>608</v>
      </c>
      <c r="C347" s="5" t="s">
        <v>38</v>
      </c>
      <c r="D347" s="408">
        <v>20</v>
      </c>
      <c r="E347" s="5" t="s">
        <v>30</v>
      </c>
      <c r="F347" s="408">
        <v>49</v>
      </c>
      <c r="G347" s="408">
        <v>0</v>
      </c>
      <c r="H347" s="408">
        <v>8.6999999999999993</v>
      </c>
      <c r="I347" s="408">
        <v>1.2</v>
      </c>
      <c r="J347" s="408">
        <v>2.5</v>
      </c>
      <c r="K347" s="408">
        <v>0.47099999999999997</v>
      </c>
      <c r="L347" s="408">
        <v>0.4</v>
      </c>
      <c r="M347" s="408">
        <v>0.8</v>
      </c>
      <c r="N347" s="5">
        <v>0.46200000000000002</v>
      </c>
      <c r="O347" s="408">
        <v>0.8</v>
      </c>
      <c r="P347" s="408">
        <v>1.7</v>
      </c>
      <c r="Q347" s="408">
        <v>0.47599999999999998</v>
      </c>
      <c r="R347" s="408">
        <v>0.54500000000000004</v>
      </c>
      <c r="S347" s="408">
        <v>0.2</v>
      </c>
      <c r="T347" s="408">
        <v>0.2</v>
      </c>
      <c r="U347" s="408">
        <v>0.66700000000000004</v>
      </c>
      <c r="V347" s="408">
        <v>0.5</v>
      </c>
      <c r="W347" s="408">
        <v>1</v>
      </c>
      <c r="X347" s="408">
        <v>1.6</v>
      </c>
      <c r="Y347" s="408">
        <v>0.2</v>
      </c>
      <c r="Z347" s="408">
        <v>0.1</v>
      </c>
      <c r="AA347" s="408">
        <v>0.1</v>
      </c>
      <c r="AB347" s="408">
        <v>0.2</v>
      </c>
      <c r="AC347" s="408">
        <v>0.9</v>
      </c>
      <c r="AD347" s="408">
        <v>2.9</v>
      </c>
    </row>
    <row r="348" spans="1:30">
      <c r="A348">
        <v>281</v>
      </c>
      <c r="B348" s="1" t="s">
        <v>388</v>
      </c>
      <c r="C348" s="5" t="s">
        <v>26</v>
      </c>
      <c r="D348" s="408">
        <v>32</v>
      </c>
      <c r="E348" s="5" t="s">
        <v>21</v>
      </c>
      <c r="F348" s="408">
        <v>68</v>
      </c>
      <c r="G348" s="408">
        <v>66</v>
      </c>
      <c r="H348" s="408">
        <v>31</v>
      </c>
      <c r="I348" s="408">
        <v>4.5999999999999996</v>
      </c>
      <c r="J348" s="408">
        <v>10.1</v>
      </c>
      <c r="K348" s="408">
        <v>0.45100000000000001</v>
      </c>
      <c r="L348" s="408">
        <v>1.5</v>
      </c>
      <c r="M348" s="408">
        <v>3.8</v>
      </c>
      <c r="N348" s="5">
        <v>0.40400000000000003</v>
      </c>
      <c r="O348" s="408">
        <v>3.1</v>
      </c>
      <c r="P348" s="408">
        <v>6.4</v>
      </c>
      <c r="Q348" s="408">
        <v>0.47799999999999998</v>
      </c>
      <c r="R348" s="408">
        <v>0.52500000000000002</v>
      </c>
      <c r="S348" s="408">
        <v>1.6</v>
      </c>
      <c r="T348" s="408">
        <v>1.8</v>
      </c>
      <c r="U348" s="408">
        <v>0.91700000000000004</v>
      </c>
      <c r="V348" s="408">
        <v>0.4</v>
      </c>
      <c r="W348" s="408">
        <v>2.6</v>
      </c>
      <c r="X348" s="408">
        <v>3</v>
      </c>
      <c r="Y348" s="408">
        <v>2.5</v>
      </c>
      <c r="Z348" s="408">
        <v>1.1000000000000001</v>
      </c>
      <c r="AA348" s="408">
        <v>0.2</v>
      </c>
      <c r="AB348" s="408">
        <v>1.2</v>
      </c>
      <c r="AC348" s="408">
        <v>1.5</v>
      </c>
      <c r="AD348" s="408">
        <v>12.3</v>
      </c>
    </row>
    <row r="349" spans="1:30">
      <c r="A349">
        <v>282</v>
      </c>
      <c r="B349" s="1" t="s">
        <v>1208</v>
      </c>
      <c r="C349" s="5" t="s">
        <v>26</v>
      </c>
      <c r="D349" s="408">
        <v>25</v>
      </c>
      <c r="E349" s="5" t="s">
        <v>149</v>
      </c>
      <c r="F349" s="408">
        <v>3</v>
      </c>
      <c r="G349" s="408">
        <v>0</v>
      </c>
      <c r="H349" s="408">
        <v>21.3</v>
      </c>
      <c r="I349" s="408">
        <v>3.7</v>
      </c>
      <c r="J349" s="408">
        <v>8</v>
      </c>
      <c r="K349" s="408">
        <v>0.45800000000000002</v>
      </c>
      <c r="L349" s="408">
        <v>2</v>
      </c>
      <c r="M349" s="408">
        <v>4.3</v>
      </c>
      <c r="N349" s="5">
        <v>0.46200000000000002</v>
      </c>
      <c r="O349" s="408">
        <v>1.7</v>
      </c>
      <c r="P349" s="408">
        <v>3.7</v>
      </c>
      <c r="Q349" s="408">
        <v>0.45500000000000002</v>
      </c>
      <c r="R349" s="408">
        <v>0.58299999999999996</v>
      </c>
      <c r="S349" s="408">
        <v>2</v>
      </c>
      <c r="T349" s="408">
        <v>2.7</v>
      </c>
      <c r="U349" s="408">
        <v>0.75</v>
      </c>
      <c r="V349" s="408">
        <v>0.3</v>
      </c>
      <c r="W349" s="408">
        <v>2.2999999999999998</v>
      </c>
      <c r="X349" s="408">
        <v>2.7</v>
      </c>
      <c r="Y349" s="408">
        <v>1.3</v>
      </c>
      <c r="Z349" s="408">
        <v>1</v>
      </c>
      <c r="AA349" s="408">
        <v>0</v>
      </c>
      <c r="AB349" s="408">
        <v>0.7</v>
      </c>
      <c r="AC349" s="408">
        <v>1.7</v>
      </c>
      <c r="AD349" s="408">
        <v>11.3</v>
      </c>
    </row>
    <row r="350" spans="1:30">
      <c r="A350">
        <v>283</v>
      </c>
      <c r="B350" s="1" t="s">
        <v>1042</v>
      </c>
      <c r="C350" s="5" t="s">
        <v>20</v>
      </c>
      <c r="D350" s="408">
        <v>25</v>
      </c>
      <c r="E350" s="5" t="s">
        <v>112</v>
      </c>
      <c r="F350" s="408">
        <v>5</v>
      </c>
      <c r="G350" s="408">
        <v>0</v>
      </c>
      <c r="H350" s="408">
        <v>7</v>
      </c>
      <c r="I350" s="408">
        <v>1.4</v>
      </c>
      <c r="J350" s="408">
        <v>3.2</v>
      </c>
      <c r="K350" s="408">
        <v>0.438</v>
      </c>
      <c r="L350" s="408">
        <v>0.2</v>
      </c>
      <c r="M350" s="408">
        <v>0.2</v>
      </c>
      <c r="N350" s="5">
        <v>1</v>
      </c>
      <c r="O350" s="408">
        <v>1.2</v>
      </c>
      <c r="P350" s="408">
        <v>3</v>
      </c>
      <c r="Q350" s="408">
        <v>0.4</v>
      </c>
      <c r="R350" s="408">
        <v>0.46899999999999997</v>
      </c>
      <c r="S350" s="408">
        <v>0.4</v>
      </c>
      <c r="T350" s="408">
        <v>0.6</v>
      </c>
      <c r="U350" s="408">
        <v>0.66700000000000004</v>
      </c>
      <c r="V350" s="408">
        <v>0</v>
      </c>
      <c r="W350" s="408">
        <v>0.4</v>
      </c>
      <c r="X350" s="408">
        <v>0.4</v>
      </c>
      <c r="Y350" s="408">
        <v>1</v>
      </c>
      <c r="Z350" s="408">
        <v>0</v>
      </c>
      <c r="AA350" s="408">
        <v>0.2</v>
      </c>
      <c r="AB350" s="408">
        <v>0.8</v>
      </c>
      <c r="AC350" s="408">
        <v>1</v>
      </c>
      <c r="AD350" s="408">
        <v>3.4</v>
      </c>
    </row>
    <row r="351" spans="1:30">
      <c r="A351">
        <v>284</v>
      </c>
      <c r="B351" s="1" t="s">
        <v>191</v>
      </c>
      <c r="C351" s="5" t="s">
        <v>83</v>
      </c>
      <c r="D351" s="408">
        <v>24</v>
      </c>
      <c r="E351" s="5" t="s">
        <v>313</v>
      </c>
      <c r="F351" s="408">
        <v>61</v>
      </c>
      <c r="G351" s="408">
        <v>10</v>
      </c>
      <c r="H351" s="408">
        <v>19.7</v>
      </c>
      <c r="I351" s="408">
        <v>2.8</v>
      </c>
      <c r="J351" s="408">
        <v>5</v>
      </c>
      <c r="K351" s="408">
        <v>0.55400000000000005</v>
      </c>
      <c r="L351" s="408">
        <v>0</v>
      </c>
      <c r="M351" s="408">
        <v>0</v>
      </c>
      <c r="O351" s="408">
        <v>2.8</v>
      </c>
      <c r="P351" s="408">
        <v>5</v>
      </c>
      <c r="Q351" s="408">
        <v>0.55400000000000005</v>
      </c>
      <c r="R351" s="408">
        <v>0.55400000000000005</v>
      </c>
      <c r="S351" s="408">
        <v>2.2000000000000002</v>
      </c>
      <c r="T351" s="408">
        <v>3.2</v>
      </c>
      <c r="U351" s="408">
        <v>0.69899999999999995</v>
      </c>
      <c r="V351" s="408">
        <v>2.4</v>
      </c>
      <c r="W351" s="408">
        <v>5</v>
      </c>
      <c r="X351" s="408">
        <v>7.4</v>
      </c>
      <c r="Y351" s="408">
        <v>1.1000000000000001</v>
      </c>
      <c r="Z351" s="408">
        <v>0.4</v>
      </c>
      <c r="AA351" s="408">
        <v>0.9</v>
      </c>
      <c r="AB351" s="408">
        <v>1.1000000000000001</v>
      </c>
      <c r="AC351" s="408">
        <v>2.2999999999999998</v>
      </c>
      <c r="AD351" s="408">
        <v>7.8</v>
      </c>
    </row>
    <row r="352" spans="1:30">
      <c r="A352">
        <v>285</v>
      </c>
      <c r="B352" s="1" t="s">
        <v>373</v>
      </c>
      <c r="C352" s="5" t="s">
        <v>46</v>
      </c>
      <c r="D352" s="408">
        <v>26</v>
      </c>
      <c r="E352" s="5" t="s">
        <v>140</v>
      </c>
      <c r="F352" s="408">
        <v>9</v>
      </c>
      <c r="G352" s="408">
        <v>9</v>
      </c>
      <c r="H352" s="408">
        <v>23.3</v>
      </c>
      <c r="I352" s="408">
        <v>5.8</v>
      </c>
      <c r="J352" s="408">
        <v>12.3</v>
      </c>
      <c r="K352" s="408">
        <v>0.46800000000000003</v>
      </c>
      <c r="L352" s="408">
        <v>1.2</v>
      </c>
      <c r="M352" s="408">
        <v>3.9</v>
      </c>
      <c r="N352" s="5">
        <v>0.314</v>
      </c>
      <c r="O352" s="408">
        <v>4.5999999999999996</v>
      </c>
      <c r="P352" s="408">
        <v>8.4</v>
      </c>
      <c r="Q352" s="408">
        <v>0.53900000000000003</v>
      </c>
      <c r="R352" s="408">
        <v>0.51800000000000002</v>
      </c>
      <c r="S352" s="408">
        <v>3.4</v>
      </c>
      <c r="T352" s="408">
        <v>4.2</v>
      </c>
      <c r="U352" s="408">
        <v>0.81599999999999995</v>
      </c>
      <c r="V352" s="408">
        <v>0.7</v>
      </c>
      <c r="W352" s="408">
        <v>4</v>
      </c>
      <c r="X352" s="408">
        <v>4.7</v>
      </c>
      <c r="Y352" s="408">
        <v>2.2999999999999998</v>
      </c>
      <c r="Z352" s="408">
        <v>2</v>
      </c>
      <c r="AA352" s="408">
        <v>1</v>
      </c>
      <c r="AB352" s="408">
        <v>1.8</v>
      </c>
      <c r="AC352" s="408">
        <v>1</v>
      </c>
      <c r="AD352" s="408">
        <v>16.2</v>
      </c>
    </row>
    <row r="353" spans="1:30">
      <c r="A353">
        <v>286</v>
      </c>
      <c r="B353" s="1" t="s">
        <v>535</v>
      </c>
      <c r="C353" s="5" t="s">
        <v>83</v>
      </c>
      <c r="D353" s="408">
        <v>25</v>
      </c>
      <c r="E353" s="5" t="s">
        <v>96</v>
      </c>
      <c r="F353" s="408">
        <v>27</v>
      </c>
      <c r="G353" s="408">
        <v>2</v>
      </c>
      <c r="H353" s="408">
        <v>7.6</v>
      </c>
      <c r="I353" s="408">
        <v>1.3</v>
      </c>
      <c r="J353" s="408">
        <v>2.2999999999999998</v>
      </c>
      <c r="K353" s="408">
        <v>0.58099999999999996</v>
      </c>
      <c r="L353" s="408">
        <v>0.3</v>
      </c>
      <c r="M353" s="408">
        <v>0.8</v>
      </c>
      <c r="N353" s="5">
        <v>0.42899999999999999</v>
      </c>
      <c r="O353" s="408">
        <v>1</v>
      </c>
      <c r="P353" s="408">
        <v>1.5</v>
      </c>
      <c r="Q353" s="408">
        <v>0.65900000000000003</v>
      </c>
      <c r="R353" s="408">
        <v>0.65300000000000002</v>
      </c>
      <c r="S353" s="408">
        <v>0.3</v>
      </c>
      <c r="T353" s="408">
        <v>0.4</v>
      </c>
      <c r="U353" s="408">
        <v>0.8</v>
      </c>
      <c r="V353" s="408">
        <v>0.4</v>
      </c>
      <c r="W353" s="408">
        <v>1.7</v>
      </c>
      <c r="X353" s="408">
        <v>2</v>
      </c>
      <c r="Y353" s="408">
        <v>0.5</v>
      </c>
      <c r="Z353" s="408">
        <v>0.2</v>
      </c>
      <c r="AA353" s="408">
        <v>0</v>
      </c>
      <c r="AB353" s="408">
        <v>0.3</v>
      </c>
      <c r="AC353" s="408">
        <v>1</v>
      </c>
      <c r="AD353" s="408">
        <v>3.3</v>
      </c>
    </row>
    <row r="354" spans="1:30">
      <c r="A354">
        <v>287</v>
      </c>
      <c r="B354" s="1" t="s">
        <v>556</v>
      </c>
      <c r="C354" s="5" t="s">
        <v>38</v>
      </c>
      <c r="D354" s="408">
        <v>28</v>
      </c>
      <c r="E354" s="5" t="s">
        <v>157</v>
      </c>
      <c r="F354" s="408">
        <v>8</v>
      </c>
      <c r="G354" s="408">
        <v>0</v>
      </c>
      <c r="H354" s="408">
        <v>17</v>
      </c>
      <c r="I354" s="408">
        <v>1.9</v>
      </c>
      <c r="J354" s="408">
        <v>4.5</v>
      </c>
      <c r="K354" s="408">
        <v>0.41699999999999998</v>
      </c>
      <c r="L354" s="408">
        <v>0</v>
      </c>
      <c r="M354" s="408">
        <v>0.4</v>
      </c>
      <c r="N354" s="5">
        <v>0</v>
      </c>
      <c r="O354" s="408">
        <v>1.9</v>
      </c>
      <c r="P354" s="408">
        <v>4.0999999999999996</v>
      </c>
      <c r="Q354" s="408">
        <v>0.45500000000000002</v>
      </c>
      <c r="R354" s="408">
        <v>0.41699999999999998</v>
      </c>
      <c r="S354" s="408">
        <v>1.6</v>
      </c>
      <c r="T354" s="408">
        <v>1.9</v>
      </c>
      <c r="U354" s="408">
        <v>0.86699999999999999</v>
      </c>
      <c r="V354" s="408">
        <v>0.9</v>
      </c>
      <c r="W354" s="408">
        <v>3.1</v>
      </c>
      <c r="X354" s="408">
        <v>4</v>
      </c>
      <c r="Y354" s="408">
        <v>0.6</v>
      </c>
      <c r="Z354" s="408">
        <v>0.1</v>
      </c>
      <c r="AA354" s="408">
        <v>0.4</v>
      </c>
      <c r="AB354" s="408">
        <v>0.9</v>
      </c>
      <c r="AC354" s="408">
        <v>2</v>
      </c>
      <c r="AD354" s="408">
        <v>5.4</v>
      </c>
    </row>
    <row r="355" spans="1:30">
      <c r="A355">
        <v>288</v>
      </c>
      <c r="B355" s="1" t="s">
        <v>416</v>
      </c>
      <c r="C355" s="5" t="s">
        <v>46</v>
      </c>
      <c r="D355" s="408">
        <v>23</v>
      </c>
      <c r="E355" s="5" t="s">
        <v>315</v>
      </c>
      <c r="F355" s="408">
        <v>61</v>
      </c>
      <c r="G355" s="408">
        <v>9</v>
      </c>
      <c r="H355" s="408">
        <v>26</v>
      </c>
      <c r="I355" s="408">
        <v>4.5</v>
      </c>
      <c r="J355" s="408">
        <v>10.199999999999999</v>
      </c>
      <c r="K355" s="408">
        <v>0.44</v>
      </c>
      <c r="L355" s="408">
        <v>1.2</v>
      </c>
      <c r="M355" s="408">
        <v>3.4</v>
      </c>
      <c r="N355" s="5">
        <v>0.35599999999999998</v>
      </c>
      <c r="O355" s="408">
        <v>3.3</v>
      </c>
      <c r="P355" s="408">
        <v>6.8</v>
      </c>
      <c r="Q355" s="408">
        <v>0.48199999999999998</v>
      </c>
      <c r="R355" s="408">
        <v>0.499</v>
      </c>
      <c r="S355" s="408">
        <v>2</v>
      </c>
      <c r="T355" s="408">
        <v>2.8</v>
      </c>
      <c r="U355" s="408">
        <v>0.70799999999999996</v>
      </c>
      <c r="V355" s="408">
        <v>0.8</v>
      </c>
      <c r="W355" s="408">
        <v>2.9</v>
      </c>
      <c r="X355" s="408">
        <v>3.7</v>
      </c>
      <c r="Y355" s="408">
        <v>4</v>
      </c>
      <c r="Z355" s="408">
        <v>1.1000000000000001</v>
      </c>
      <c r="AA355" s="408">
        <v>0.3</v>
      </c>
      <c r="AB355" s="408">
        <v>2.2000000000000002</v>
      </c>
      <c r="AC355" s="408">
        <v>2.1</v>
      </c>
      <c r="AD355" s="408">
        <v>12.1</v>
      </c>
    </row>
    <row r="356" spans="1:30">
      <c r="A356">
        <v>289</v>
      </c>
      <c r="B356" s="1" t="s">
        <v>525</v>
      </c>
      <c r="C356" s="5" t="s">
        <v>26</v>
      </c>
      <c r="D356" s="408">
        <v>29</v>
      </c>
      <c r="E356" s="5" t="s">
        <v>357</v>
      </c>
      <c r="F356" s="408">
        <v>51</v>
      </c>
      <c r="G356" s="408">
        <v>3</v>
      </c>
      <c r="H356" s="408">
        <v>13.2</v>
      </c>
      <c r="I356" s="408">
        <v>0.8</v>
      </c>
      <c r="J356" s="408">
        <v>1.9</v>
      </c>
      <c r="K356" s="408">
        <v>0.41199999999999998</v>
      </c>
      <c r="L356" s="408">
        <v>0.4</v>
      </c>
      <c r="M356" s="408">
        <v>1</v>
      </c>
      <c r="N356" s="5">
        <v>0.38</v>
      </c>
      <c r="O356" s="408">
        <v>0.4</v>
      </c>
      <c r="P356" s="408">
        <v>0.9</v>
      </c>
      <c r="Q356" s="408">
        <v>0.44700000000000001</v>
      </c>
      <c r="R356" s="408">
        <v>0.51</v>
      </c>
      <c r="S356" s="408">
        <v>0</v>
      </c>
      <c r="T356" s="408">
        <v>0.1</v>
      </c>
      <c r="U356" s="408">
        <v>0.4</v>
      </c>
      <c r="V356" s="408">
        <v>0.1</v>
      </c>
      <c r="W356" s="408">
        <v>1.2</v>
      </c>
      <c r="X356" s="408">
        <v>1.3</v>
      </c>
      <c r="Y356" s="408">
        <v>0.8</v>
      </c>
      <c r="Z356" s="408">
        <v>0.7</v>
      </c>
      <c r="AA356" s="408">
        <v>0.3</v>
      </c>
      <c r="AB356" s="408">
        <v>0.4</v>
      </c>
      <c r="AC356" s="408">
        <v>1.5</v>
      </c>
      <c r="AD356" s="408">
        <v>2</v>
      </c>
    </row>
    <row r="357" spans="1:30">
      <c r="A357">
        <v>289</v>
      </c>
      <c r="B357" s="1" t="s">
        <v>525</v>
      </c>
      <c r="C357" s="5" t="s">
        <v>26</v>
      </c>
      <c r="D357" s="408">
        <v>29</v>
      </c>
      <c r="E357" s="5" t="s">
        <v>41</v>
      </c>
      <c r="F357" s="408">
        <v>31</v>
      </c>
      <c r="G357" s="408">
        <v>1</v>
      </c>
      <c r="H357" s="408">
        <v>15.5</v>
      </c>
      <c r="I357" s="408">
        <v>0.7</v>
      </c>
      <c r="J357" s="408">
        <v>2.1</v>
      </c>
      <c r="K357" s="408">
        <v>0.33800000000000002</v>
      </c>
      <c r="L357" s="408">
        <v>0.4</v>
      </c>
      <c r="M357" s="408">
        <v>1.2</v>
      </c>
      <c r="N357" s="5">
        <v>0.30599999999999999</v>
      </c>
      <c r="O357" s="408">
        <v>0.4</v>
      </c>
      <c r="P357" s="408">
        <v>0.9</v>
      </c>
      <c r="Q357" s="408">
        <v>0.379</v>
      </c>
      <c r="R357" s="408">
        <v>0.42299999999999999</v>
      </c>
      <c r="S357" s="408">
        <v>0.1</v>
      </c>
      <c r="T357" s="408">
        <v>0.2</v>
      </c>
      <c r="U357" s="408">
        <v>0.4</v>
      </c>
      <c r="V357" s="408">
        <v>0.2</v>
      </c>
      <c r="W357" s="408">
        <v>1.4</v>
      </c>
      <c r="X357" s="408">
        <v>1.6</v>
      </c>
      <c r="Y357" s="408">
        <v>0.9</v>
      </c>
      <c r="Z357" s="408">
        <v>0.9</v>
      </c>
      <c r="AA357" s="408">
        <v>0.3</v>
      </c>
      <c r="AB357" s="408">
        <v>0.4</v>
      </c>
      <c r="AC357" s="408">
        <v>2</v>
      </c>
      <c r="AD357" s="408">
        <v>1.8</v>
      </c>
    </row>
    <row r="358" spans="1:30">
      <c r="A358">
        <v>289</v>
      </c>
      <c r="B358" s="1" t="s">
        <v>525</v>
      </c>
      <c r="C358" s="5" t="s">
        <v>26</v>
      </c>
      <c r="D358" s="408">
        <v>29</v>
      </c>
      <c r="E358" s="5" t="s">
        <v>112</v>
      </c>
      <c r="F358" s="408">
        <v>20</v>
      </c>
      <c r="G358" s="408">
        <v>2</v>
      </c>
      <c r="H358" s="408">
        <v>9.6</v>
      </c>
      <c r="I358" s="408">
        <v>0.9</v>
      </c>
      <c r="J358" s="408">
        <v>1.6</v>
      </c>
      <c r="K358" s="408">
        <v>0.56299999999999994</v>
      </c>
      <c r="L358" s="408">
        <v>0.4</v>
      </c>
      <c r="M358" s="408">
        <v>0.7</v>
      </c>
      <c r="N358" s="5">
        <v>0.57099999999999995</v>
      </c>
      <c r="O358" s="408">
        <v>0.5</v>
      </c>
      <c r="P358" s="408">
        <v>0.9</v>
      </c>
      <c r="Q358" s="408">
        <v>0.55600000000000005</v>
      </c>
      <c r="R358" s="408">
        <v>0.68799999999999994</v>
      </c>
      <c r="S358" s="408">
        <v>0</v>
      </c>
      <c r="T358" s="408">
        <v>0</v>
      </c>
      <c r="U358" s="408"/>
      <c r="V358" s="408">
        <v>0.1</v>
      </c>
      <c r="W358" s="408">
        <v>0.9</v>
      </c>
      <c r="X358" s="408">
        <v>1</v>
      </c>
      <c r="Y358" s="408">
        <v>0.8</v>
      </c>
      <c r="Z358" s="408">
        <v>0.5</v>
      </c>
      <c r="AA358" s="408">
        <v>0.2</v>
      </c>
      <c r="AB358" s="408">
        <v>0.3</v>
      </c>
      <c r="AC358" s="408">
        <v>0.8</v>
      </c>
      <c r="AD358" s="408">
        <v>2.2000000000000002</v>
      </c>
    </row>
    <row r="359" spans="1:30">
      <c r="A359">
        <v>290</v>
      </c>
      <c r="B359" s="1" t="s">
        <v>292</v>
      </c>
      <c r="C359" s="5" t="s">
        <v>20</v>
      </c>
      <c r="D359" s="408">
        <v>27</v>
      </c>
      <c r="E359" s="5" t="s">
        <v>96</v>
      </c>
      <c r="F359" s="408">
        <v>63</v>
      </c>
      <c r="G359" s="408">
        <v>63</v>
      </c>
      <c r="H359" s="408">
        <v>36.4</v>
      </c>
      <c r="I359" s="408">
        <v>8.5</v>
      </c>
      <c r="J359" s="408">
        <v>19.100000000000001</v>
      </c>
      <c r="K359" s="408">
        <v>0.443</v>
      </c>
      <c r="L359" s="408">
        <v>3.2</v>
      </c>
      <c r="M359" s="408">
        <v>8.5</v>
      </c>
      <c r="N359" s="5">
        <v>0.376</v>
      </c>
      <c r="O359" s="408">
        <v>5.3</v>
      </c>
      <c r="P359" s="408">
        <v>10.6</v>
      </c>
      <c r="Q359" s="408">
        <v>0.496</v>
      </c>
      <c r="R359" s="408">
        <v>0.52600000000000002</v>
      </c>
      <c r="S359" s="408">
        <v>6.6</v>
      </c>
      <c r="T359" s="408">
        <v>7.3</v>
      </c>
      <c r="U359" s="408">
        <v>0.91200000000000003</v>
      </c>
      <c r="V359" s="408">
        <v>0.7</v>
      </c>
      <c r="W359" s="408">
        <v>3.7</v>
      </c>
      <c r="X359" s="408">
        <v>4.4000000000000004</v>
      </c>
      <c r="Y359" s="408">
        <v>6.5</v>
      </c>
      <c r="Z359" s="408">
        <v>1</v>
      </c>
      <c r="AA359" s="408">
        <v>0.4</v>
      </c>
      <c r="AB359" s="408">
        <v>3</v>
      </c>
      <c r="AC359" s="408">
        <v>1.6</v>
      </c>
      <c r="AD359" s="408">
        <v>26.7</v>
      </c>
    </row>
    <row r="360" spans="1:30">
      <c r="A360">
        <v>291</v>
      </c>
      <c r="B360" s="1" t="s">
        <v>475</v>
      </c>
      <c r="C360" s="5" t="s">
        <v>20</v>
      </c>
      <c r="D360" s="408">
        <v>29</v>
      </c>
      <c r="E360" s="5" t="s">
        <v>315</v>
      </c>
      <c r="F360" s="408">
        <v>1</v>
      </c>
      <c r="G360" s="408">
        <v>1</v>
      </c>
      <c r="H360" s="408">
        <v>25</v>
      </c>
      <c r="I360" s="408">
        <v>5</v>
      </c>
      <c r="J360" s="408">
        <v>12</v>
      </c>
      <c r="K360" s="408">
        <v>0.41699999999999998</v>
      </c>
      <c r="L360" s="408">
        <v>1</v>
      </c>
      <c r="M360" s="408">
        <v>2</v>
      </c>
      <c r="N360" s="5">
        <v>0.5</v>
      </c>
      <c r="O360" s="408">
        <v>4</v>
      </c>
      <c r="P360" s="408">
        <v>10</v>
      </c>
      <c r="Q360" s="408">
        <v>0.4</v>
      </c>
      <c r="R360" s="408">
        <v>0.45800000000000002</v>
      </c>
      <c r="S360" s="408">
        <v>7</v>
      </c>
      <c r="T360" s="408">
        <v>7</v>
      </c>
      <c r="U360" s="408">
        <v>1</v>
      </c>
      <c r="V360" s="408">
        <v>0</v>
      </c>
      <c r="W360" s="408">
        <v>0</v>
      </c>
      <c r="X360" s="408">
        <v>0</v>
      </c>
      <c r="Y360" s="408">
        <v>4</v>
      </c>
      <c r="Z360" s="408">
        <v>0</v>
      </c>
      <c r="AA360" s="408">
        <v>0</v>
      </c>
      <c r="AB360" s="408">
        <v>3</v>
      </c>
      <c r="AC360" s="408">
        <v>3</v>
      </c>
      <c r="AD360" s="408">
        <v>18</v>
      </c>
    </row>
    <row r="361" spans="1:30">
      <c r="A361">
        <v>292</v>
      </c>
      <c r="B361" s="1" t="s">
        <v>567</v>
      </c>
      <c r="C361" s="5" t="s">
        <v>20</v>
      </c>
      <c r="D361" s="408">
        <v>32</v>
      </c>
      <c r="E361" s="5" t="s">
        <v>73</v>
      </c>
      <c r="F361" s="408">
        <v>62</v>
      </c>
      <c r="G361" s="408">
        <v>7</v>
      </c>
      <c r="H361" s="408">
        <v>15.8</v>
      </c>
      <c r="I361" s="408">
        <v>2.4</v>
      </c>
      <c r="J361" s="408">
        <v>4.8</v>
      </c>
      <c r="K361" s="408">
        <v>0.502</v>
      </c>
      <c r="L361" s="408">
        <v>0</v>
      </c>
      <c r="M361" s="408">
        <v>0</v>
      </c>
      <c r="N361" s="5">
        <v>0</v>
      </c>
      <c r="O361" s="408">
        <v>2.4</v>
      </c>
      <c r="P361" s="408">
        <v>4.7</v>
      </c>
      <c r="Q361" s="408">
        <v>0.50700000000000001</v>
      </c>
      <c r="R361" s="408">
        <v>0.502</v>
      </c>
      <c r="S361" s="408">
        <v>0.7</v>
      </c>
      <c r="T361" s="408">
        <v>0.9</v>
      </c>
      <c r="U361" s="408">
        <v>0.83</v>
      </c>
      <c r="V361" s="408">
        <v>0.4</v>
      </c>
      <c r="W361" s="408">
        <v>1.4</v>
      </c>
      <c r="X361" s="408">
        <v>1.8</v>
      </c>
      <c r="Y361" s="408">
        <v>2</v>
      </c>
      <c r="Z361" s="408">
        <v>0.5</v>
      </c>
      <c r="AA361" s="408">
        <v>0.3</v>
      </c>
      <c r="AB361" s="408">
        <v>0.8</v>
      </c>
      <c r="AC361" s="408">
        <v>1.7</v>
      </c>
      <c r="AD361" s="408">
        <v>5.5</v>
      </c>
    </row>
    <row r="362" spans="1:30">
      <c r="A362">
        <v>293</v>
      </c>
      <c r="B362" s="1" t="s">
        <v>74</v>
      </c>
      <c r="C362" s="5" t="s">
        <v>83</v>
      </c>
      <c r="D362" s="408">
        <v>21</v>
      </c>
      <c r="E362" s="5" t="s">
        <v>73</v>
      </c>
      <c r="F362" s="408">
        <v>56</v>
      </c>
      <c r="G362" s="408">
        <v>1</v>
      </c>
      <c r="H362" s="408">
        <v>12</v>
      </c>
      <c r="I362" s="408">
        <v>1.5</v>
      </c>
      <c r="J362" s="408">
        <v>2.5</v>
      </c>
      <c r="K362" s="408">
        <v>0.58599999999999997</v>
      </c>
      <c r="L362" s="408">
        <v>0</v>
      </c>
      <c r="M362" s="408">
        <v>0</v>
      </c>
      <c r="N362" s="5">
        <v>0</v>
      </c>
      <c r="O362" s="408">
        <v>1.5</v>
      </c>
      <c r="P362" s="408">
        <v>2.5</v>
      </c>
      <c r="Q362" s="408">
        <v>0.59399999999999997</v>
      </c>
      <c r="R362" s="408">
        <v>0.58599999999999997</v>
      </c>
      <c r="S362" s="408">
        <v>0.6</v>
      </c>
      <c r="T362" s="408">
        <v>1.1000000000000001</v>
      </c>
      <c r="U362" s="408">
        <v>0.5</v>
      </c>
      <c r="V362" s="408">
        <v>1.2</v>
      </c>
      <c r="W362" s="408">
        <v>1.7</v>
      </c>
      <c r="X362" s="408">
        <v>2.9</v>
      </c>
      <c r="Y362" s="408">
        <v>0.5</v>
      </c>
      <c r="Z362" s="408">
        <v>0.4</v>
      </c>
      <c r="AA362" s="408">
        <v>0.7</v>
      </c>
      <c r="AB362" s="408">
        <v>0.4</v>
      </c>
      <c r="AC362" s="408">
        <v>1.5</v>
      </c>
      <c r="AD362" s="408">
        <v>3.5</v>
      </c>
    </row>
    <row r="363" spans="1:30">
      <c r="A363">
        <v>294</v>
      </c>
      <c r="B363" s="1" t="s">
        <v>215</v>
      </c>
      <c r="C363" s="5" t="s">
        <v>83</v>
      </c>
      <c r="D363" s="408">
        <v>29</v>
      </c>
      <c r="E363" s="5" t="s">
        <v>78</v>
      </c>
      <c r="F363" s="408">
        <v>62</v>
      </c>
      <c r="G363" s="408">
        <v>60</v>
      </c>
      <c r="H363" s="408">
        <v>22.9</v>
      </c>
      <c r="I363" s="408">
        <v>5</v>
      </c>
      <c r="J363" s="408">
        <v>10.7</v>
      </c>
      <c r="K363" s="408">
        <v>0.46500000000000002</v>
      </c>
      <c r="L363" s="408">
        <v>1.6</v>
      </c>
      <c r="M363" s="408">
        <v>4.5</v>
      </c>
      <c r="N363" s="5">
        <v>0.35099999999999998</v>
      </c>
      <c r="O363" s="408">
        <v>3.4</v>
      </c>
      <c r="P363" s="408">
        <v>6.2</v>
      </c>
      <c r="Q363" s="408">
        <v>0.54800000000000004</v>
      </c>
      <c r="R363" s="408">
        <v>0.53900000000000003</v>
      </c>
      <c r="S363" s="408">
        <v>1.4</v>
      </c>
      <c r="T363" s="408">
        <v>2</v>
      </c>
      <c r="U363" s="408">
        <v>0.68500000000000005</v>
      </c>
      <c r="V363" s="408">
        <v>1.1000000000000001</v>
      </c>
      <c r="W363" s="408">
        <v>2.9</v>
      </c>
      <c r="X363" s="408">
        <v>3.9</v>
      </c>
      <c r="Y363" s="408">
        <v>1.6</v>
      </c>
      <c r="Z363" s="408">
        <v>0.4</v>
      </c>
      <c r="AA363" s="408">
        <v>1.4</v>
      </c>
      <c r="AB363" s="408">
        <v>1.4</v>
      </c>
      <c r="AC363" s="408">
        <v>2.7</v>
      </c>
      <c r="AD363" s="408">
        <v>12.9</v>
      </c>
    </row>
    <row r="364" spans="1:30">
      <c r="A364">
        <v>295</v>
      </c>
      <c r="B364" s="1" t="s">
        <v>560</v>
      </c>
      <c r="C364" s="5" t="s">
        <v>83</v>
      </c>
      <c r="D364" s="408">
        <v>29</v>
      </c>
      <c r="E364" s="5" t="s">
        <v>43</v>
      </c>
      <c r="F364" s="408">
        <v>61</v>
      </c>
      <c r="G364" s="408">
        <v>61</v>
      </c>
      <c r="H364" s="408">
        <v>26.6</v>
      </c>
      <c r="I364" s="408">
        <v>5.4</v>
      </c>
      <c r="J364" s="408">
        <v>10.199999999999999</v>
      </c>
      <c r="K364" s="408">
        <v>0.53200000000000003</v>
      </c>
      <c r="L364" s="408">
        <v>0.1</v>
      </c>
      <c r="M364" s="408">
        <v>0.2</v>
      </c>
      <c r="N364" s="5">
        <v>0.33300000000000002</v>
      </c>
      <c r="O364" s="408">
        <v>5.4</v>
      </c>
      <c r="P364" s="408">
        <v>10</v>
      </c>
      <c r="Q364" s="408">
        <v>0.53600000000000003</v>
      </c>
      <c r="R364" s="408">
        <v>0.53500000000000003</v>
      </c>
      <c r="S364" s="408">
        <v>1.1000000000000001</v>
      </c>
      <c r="T364" s="408">
        <v>1.4</v>
      </c>
      <c r="U364" s="408">
        <v>0.76100000000000001</v>
      </c>
      <c r="V364" s="408">
        <v>2.1</v>
      </c>
      <c r="W364" s="408">
        <v>2.4</v>
      </c>
      <c r="X364" s="408">
        <v>4.5</v>
      </c>
      <c r="Y364" s="408">
        <v>2</v>
      </c>
      <c r="Z364" s="408">
        <v>0.2</v>
      </c>
      <c r="AA364" s="408">
        <v>0.8</v>
      </c>
      <c r="AB364" s="408">
        <v>1.7</v>
      </c>
      <c r="AC364" s="408">
        <v>1.7</v>
      </c>
      <c r="AD364" s="408">
        <v>12</v>
      </c>
    </row>
    <row r="365" spans="1:30">
      <c r="A365">
        <v>296</v>
      </c>
      <c r="B365" s="1" t="s">
        <v>333</v>
      </c>
      <c r="C365" s="5" t="s">
        <v>83</v>
      </c>
      <c r="D365" s="408">
        <v>29</v>
      </c>
      <c r="E365" s="5" t="s">
        <v>102</v>
      </c>
      <c r="F365" s="408">
        <v>49</v>
      </c>
      <c r="G365" s="408">
        <v>49</v>
      </c>
      <c r="H365" s="408">
        <v>27.9</v>
      </c>
      <c r="I365" s="408">
        <v>5.8</v>
      </c>
      <c r="J365" s="408">
        <v>12.5</v>
      </c>
      <c r="K365" s="408">
        <v>0.46100000000000002</v>
      </c>
      <c r="L365" s="408">
        <v>2.2000000000000002</v>
      </c>
      <c r="M365" s="408">
        <v>5.5</v>
      </c>
      <c r="N365" s="5">
        <v>0.40500000000000003</v>
      </c>
      <c r="O365" s="408">
        <v>3.6</v>
      </c>
      <c r="P365" s="408">
        <v>7</v>
      </c>
      <c r="Q365" s="408">
        <v>0.504</v>
      </c>
      <c r="R365" s="408">
        <v>0.55000000000000004</v>
      </c>
      <c r="S365" s="408">
        <v>4.0999999999999996</v>
      </c>
      <c r="T365" s="408">
        <v>4.5999999999999996</v>
      </c>
      <c r="U365" s="408">
        <v>0.88500000000000001</v>
      </c>
      <c r="V365" s="408">
        <v>1.9</v>
      </c>
      <c r="W365" s="408">
        <v>7.4</v>
      </c>
      <c r="X365" s="408">
        <v>9.3000000000000007</v>
      </c>
      <c r="Y365" s="408">
        <v>1.7</v>
      </c>
      <c r="Z365" s="408">
        <v>0.7</v>
      </c>
      <c r="AA365" s="408">
        <v>0.4</v>
      </c>
      <c r="AB365" s="408">
        <v>1.5</v>
      </c>
      <c r="AC365" s="408">
        <v>2.1</v>
      </c>
      <c r="AD365" s="408">
        <v>17.899999999999999</v>
      </c>
    </row>
    <row r="366" spans="1:30">
      <c r="A366">
        <v>297</v>
      </c>
      <c r="B366" s="1" t="s">
        <v>294</v>
      </c>
      <c r="C366" s="5" t="s">
        <v>20</v>
      </c>
      <c r="D366" s="408">
        <v>31</v>
      </c>
      <c r="E366" s="5" t="s">
        <v>47</v>
      </c>
      <c r="F366" s="408">
        <v>66</v>
      </c>
      <c r="G366" s="408">
        <v>66</v>
      </c>
      <c r="H366" s="408">
        <v>32</v>
      </c>
      <c r="I366" s="408">
        <v>5.2</v>
      </c>
      <c r="J366" s="408">
        <v>12.2</v>
      </c>
      <c r="K366" s="408">
        <v>0.42499999999999999</v>
      </c>
      <c r="L366" s="408">
        <v>3</v>
      </c>
      <c r="M366" s="408">
        <v>7.6</v>
      </c>
      <c r="N366" s="5">
        <v>0.39500000000000002</v>
      </c>
      <c r="O366" s="408">
        <v>2.2000000000000002</v>
      </c>
      <c r="P366" s="408">
        <v>4.5999999999999996</v>
      </c>
      <c r="Q366" s="408">
        <v>0.47499999999999998</v>
      </c>
      <c r="R366" s="408">
        <v>0.54800000000000004</v>
      </c>
      <c r="S366" s="408">
        <v>3.1</v>
      </c>
      <c r="T366" s="408">
        <v>3.6</v>
      </c>
      <c r="U366" s="408">
        <v>0.85399999999999998</v>
      </c>
      <c r="V366" s="408">
        <v>1</v>
      </c>
      <c r="W366" s="408">
        <v>4.7</v>
      </c>
      <c r="X366" s="408">
        <v>5.6</v>
      </c>
      <c r="Y366" s="408">
        <v>6.7</v>
      </c>
      <c r="Z366" s="408">
        <v>1.2</v>
      </c>
      <c r="AA366" s="408">
        <v>0.2</v>
      </c>
      <c r="AB366" s="408">
        <v>2.2999999999999998</v>
      </c>
      <c r="AC366" s="408">
        <v>2.5</v>
      </c>
      <c r="AD366" s="408">
        <v>16.399999999999999</v>
      </c>
    </row>
    <row r="367" spans="1:30">
      <c r="A367">
        <v>298</v>
      </c>
      <c r="B367" s="1" t="s">
        <v>425</v>
      </c>
      <c r="C367" s="5" t="s">
        <v>46</v>
      </c>
      <c r="D367" s="408">
        <v>22</v>
      </c>
      <c r="E367" s="5" t="s">
        <v>118</v>
      </c>
      <c r="F367" s="408">
        <v>52</v>
      </c>
      <c r="G367" s="408">
        <v>7</v>
      </c>
      <c r="H367" s="408">
        <v>15.5</v>
      </c>
      <c r="I367" s="408">
        <v>1.9</v>
      </c>
      <c r="J367" s="408">
        <v>5.0999999999999996</v>
      </c>
      <c r="K367" s="408">
        <v>0.375</v>
      </c>
      <c r="L367" s="408">
        <v>1</v>
      </c>
      <c r="M367" s="408">
        <v>3</v>
      </c>
      <c r="N367" s="5">
        <v>0.33500000000000002</v>
      </c>
      <c r="O367" s="408">
        <v>0.9</v>
      </c>
      <c r="P367" s="408">
        <v>2.1</v>
      </c>
      <c r="Q367" s="408">
        <v>0.43099999999999999</v>
      </c>
      <c r="R367" s="408">
        <v>0.47399999999999998</v>
      </c>
      <c r="S367" s="408">
        <v>0.9</v>
      </c>
      <c r="T367" s="408">
        <v>1.1000000000000001</v>
      </c>
      <c r="U367" s="408">
        <v>0.79300000000000004</v>
      </c>
      <c r="V367" s="408">
        <v>0.3</v>
      </c>
      <c r="W367" s="408">
        <v>1.1000000000000001</v>
      </c>
      <c r="X367" s="408">
        <v>1.4</v>
      </c>
      <c r="Y367" s="408">
        <v>1</v>
      </c>
      <c r="Z367" s="408">
        <v>0.2</v>
      </c>
      <c r="AA367" s="408">
        <v>0.1</v>
      </c>
      <c r="AB367" s="408">
        <v>0.7</v>
      </c>
      <c r="AC367" s="408">
        <v>1.9</v>
      </c>
      <c r="AD367" s="408">
        <v>5.8</v>
      </c>
    </row>
    <row r="368" spans="1:30">
      <c r="A368">
        <v>299</v>
      </c>
      <c r="B368" s="1" t="s">
        <v>649</v>
      </c>
      <c r="C368" s="5" t="s">
        <v>38</v>
      </c>
      <c r="D368" s="408">
        <v>21</v>
      </c>
      <c r="E368" s="5" t="s">
        <v>61</v>
      </c>
      <c r="F368" s="408">
        <v>1</v>
      </c>
      <c r="G368" s="408">
        <v>0</v>
      </c>
      <c r="H368" s="408">
        <v>2</v>
      </c>
      <c r="I368" s="408">
        <v>0</v>
      </c>
      <c r="J368" s="408">
        <v>0</v>
      </c>
      <c r="K368" s="408"/>
      <c r="L368" s="408">
        <v>0</v>
      </c>
      <c r="M368" s="408">
        <v>0</v>
      </c>
      <c r="O368" s="408">
        <v>0</v>
      </c>
      <c r="P368" s="408">
        <v>0</v>
      </c>
      <c r="Q368" s="408"/>
      <c r="R368" s="408"/>
      <c r="S368" s="408">
        <v>0</v>
      </c>
      <c r="T368" s="408">
        <v>0</v>
      </c>
      <c r="U368" s="408"/>
      <c r="V368" s="408">
        <v>0</v>
      </c>
      <c r="W368" s="408">
        <v>0</v>
      </c>
      <c r="X368" s="408">
        <v>0</v>
      </c>
      <c r="Y368" s="408">
        <v>0</v>
      </c>
      <c r="Z368" s="408">
        <v>0</v>
      </c>
      <c r="AA368" s="408">
        <v>0</v>
      </c>
      <c r="AB368" s="408">
        <v>0</v>
      </c>
      <c r="AC368" s="408">
        <v>0</v>
      </c>
      <c r="AD368" s="408">
        <v>0</v>
      </c>
    </row>
    <row r="369" spans="1:30">
      <c r="A369">
        <v>300</v>
      </c>
      <c r="B369" s="1" t="s">
        <v>426</v>
      </c>
      <c r="C369" s="5" t="s">
        <v>38</v>
      </c>
      <c r="D369" s="408">
        <v>22</v>
      </c>
      <c r="E369" s="5" t="s">
        <v>61</v>
      </c>
      <c r="F369" s="408">
        <v>64</v>
      </c>
      <c r="G369" s="408">
        <v>2</v>
      </c>
      <c r="H369" s="408">
        <v>19.899999999999999</v>
      </c>
      <c r="I369" s="408">
        <v>3.9</v>
      </c>
      <c r="J369" s="408">
        <v>7.9</v>
      </c>
      <c r="K369" s="408">
        <v>0.49099999999999999</v>
      </c>
      <c r="L369" s="408">
        <v>1.2</v>
      </c>
      <c r="M369" s="408">
        <v>3.1</v>
      </c>
      <c r="N369" s="5">
        <v>0.38500000000000001</v>
      </c>
      <c r="O369" s="408">
        <v>2.7</v>
      </c>
      <c r="P369" s="408">
        <v>4.8</v>
      </c>
      <c r="Q369" s="408">
        <v>0.56000000000000005</v>
      </c>
      <c r="R369" s="408">
        <v>0.56699999999999995</v>
      </c>
      <c r="S369" s="408">
        <v>1.5</v>
      </c>
      <c r="T369" s="408">
        <v>2.1</v>
      </c>
      <c r="U369" s="408">
        <v>0.69599999999999995</v>
      </c>
      <c r="V369" s="408">
        <v>0.8</v>
      </c>
      <c r="W369" s="408">
        <v>4.2</v>
      </c>
      <c r="X369" s="408">
        <v>4.9000000000000004</v>
      </c>
      <c r="Y369" s="408">
        <v>1.3</v>
      </c>
      <c r="Z369" s="408">
        <v>0.5</v>
      </c>
      <c r="AA369" s="408">
        <v>0.5</v>
      </c>
      <c r="AB369" s="408">
        <v>0.9</v>
      </c>
      <c r="AC369" s="408">
        <v>1.6</v>
      </c>
      <c r="AD369" s="408">
        <v>10.5</v>
      </c>
    </row>
    <row r="370" spans="1:30">
      <c r="A370">
        <v>301</v>
      </c>
      <c r="B370" s="1" t="s">
        <v>527</v>
      </c>
      <c r="C370" s="5" t="s">
        <v>20</v>
      </c>
      <c r="D370" s="408">
        <v>27</v>
      </c>
      <c r="E370" s="5" t="s">
        <v>75</v>
      </c>
      <c r="F370" s="408">
        <v>57</v>
      </c>
      <c r="G370" s="408">
        <v>3</v>
      </c>
      <c r="H370" s="408">
        <v>19</v>
      </c>
      <c r="I370" s="408">
        <v>2.4</v>
      </c>
      <c r="J370" s="408">
        <v>5.4</v>
      </c>
      <c r="K370" s="408">
        <v>0.443</v>
      </c>
      <c r="L370" s="408">
        <v>0.6</v>
      </c>
      <c r="M370" s="408">
        <v>1.7</v>
      </c>
      <c r="N370" s="5">
        <v>0.35399999999999998</v>
      </c>
      <c r="O370" s="408">
        <v>1.8</v>
      </c>
      <c r="P370" s="408">
        <v>3.7</v>
      </c>
      <c r="Q370" s="408">
        <v>0.48299999999999998</v>
      </c>
      <c r="R370" s="408">
        <v>0.498</v>
      </c>
      <c r="S370" s="408">
        <v>1</v>
      </c>
      <c r="T370" s="408">
        <v>1.4</v>
      </c>
      <c r="U370" s="408">
        <v>0.747</v>
      </c>
      <c r="V370" s="408">
        <v>0.3</v>
      </c>
      <c r="W370" s="408">
        <v>2</v>
      </c>
      <c r="X370" s="408">
        <v>2.4</v>
      </c>
      <c r="Y370" s="408">
        <v>3.7</v>
      </c>
      <c r="Z370" s="408">
        <v>0.7</v>
      </c>
      <c r="AA370" s="408">
        <v>0.1</v>
      </c>
      <c r="AB370" s="408">
        <v>1.3</v>
      </c>
      <c r="AC370" s="408">
        <v>1.3</v>
      </c>
      <c r="AD370" s="408">
        <v>6.4</v>
      </c>
    </row>
    <row r="371" spans="1:30">
      <c r="A371">
        <v>302</v>
      </c>
      <c r="B371" s="1" t="s">
        <v>297</v>
      </c>
      <c r="C371" s="5" t="s">
        <v>20</v>
      </c>
      <c r="D371" s="408">
        <v>28</v>
      </c>
      <c r="E371" s="5" t="s">
        <v>149</v>
      </c>
      <c r="F371" s="408">
        <v>13</v>
      </c>
      <c r="G371" s="408">
        <v>0</v>
      </c>
      <c r="H371" s="408">
        <v>8.8000000000000007</v>
      </c>
      <c r="I371" s="408">
        <v>0.6</v>
      </c>
      <c r="J371" s="408">
        <v>1.7</v>
      </c>
      <c r="K371" s="408">
        <v>0.36399999999999999</v>
      </c>
      <c r="L371" s="408">
        <v>0.3</v>
      </c>
      <c r="M371" s="408">
        <v>0.8</v>
      </c>
      <c r="N371" s="5">
        <v>0.4</v>
      </c>
      <c r="O371" s="408">
        <v>0.3</v>
      </c>
      <c r="P371" s="408">
        <v>0.9</v>
      </c>
      <c r="Q371" s="408">
        <v>0.33300000000000002</v>
      </c>
      <c r="R371" s="408">
        <v>0.45500000000000002</v>
      </c>
      <c r="S371" s="408">
        <v>0.6</v>
      </c>
      <c r="T371" s="408">
        <v>0.6</v>
      </c>
      <c r="U371" s="408">
        <v>1</v>
      </c>
      <c r="V371" s="408">
        <v>0.2</v>
      </c>
      <c r="W371" s="408">
        <v>0.6</v>
      </c>
      <c r="X371" s="408">
        <v>0.8</v>
      </c>
      <c r="Y371" s="408">
        <v>2.8</v>
      </c>
      <c r="Z371" s="408">
        <v>0.3</v>
      </c>
      <c r="AA371" s="408">
        <v>0</v>
      </c>
      <c r="AB371" s="408">
        <v>0.3</v>
      </c>
      <c r="AC371" s="408">
        <v>0.5</v>
      </c>
      <c r="AD371" s="408">
        <v>2.2000000000000002</v>
      </c>
    </row>
    <row r="372" spans="1:30">
      <c r="A372">
        <v>303</v>
      </c>
      <c r="B372" s="1" t="s">
        <v>587</v>
      </c>
      <c r="C372" s="5" t="s">
        <v>83</v>
      </c>
      <c r="D372" s="408">
        <v>31</v>
      </c>
      <c r="E372" s="5" t="s">
        <v>27</v>
      </c>
      <c r="F372" s="408">
        <v>67</v>
      </c>
      <c r="G372" s="408">
        <v>0</v>
      </c>
      <c r="H372" s="408">
        <v>14.9</v>
      </c>
      <c r="I372" s="408">
        <v>1.8</v>
      </c>
      <c r="J372" s="408">
        <v>3.1</v>
      </c>
      <c r="K372" s="408">
        <v>0.57299999999999995</v>
      </c>
      <c r="L372" s="408">
        <v>0</v>
      </c>
      <c r="M372" s="408">
        <v>0</v>
      </c>
      <c r="N372" s="5">
        <v>0</v>
      </c>
      <c r="O372" s="408">
        <v>1.8</v>
      </c>
      <c r="P372" s="408">
        <v>3.1</v>
      </c>
      <c r="Q372" s="408">
        <v>0.57599999999999996</v>
      </c>
      <c r="R372" s="408">
        <v>0.57299999999999995</v>
      </c>
      <c r="S372" s="408">
        <v>1.2</v>
      </c>
      <c r="T372" s="408">
        <v>1.7</v>
      </c>
      <c r="U372" s="408">
        <v>0.71299999999999997</v>
      </c>
      <c r="V372" s="408">
        <v>1.8</v>
      </c>
      <c r="W372" s="408">
        <v>2.2999999999999998</v>
      </c>
      <c r="X372" s="408">
        <v>4.0999999999999996</v>
      </c>
      <c r="Y372" s="408">
        <v>0.7</v>
      </c>
      <c r="Z372" s="408">
        <v>0.5</v>
      </c>
      <c r="AA372" s="408">
        <v>0.6</v>
      </c>
      <c r="AB372" s="408">
        <v>1.3</v>
      </c>
      <c r="AC372" s="408">
        <v>3</v>
      </c>
      <c r="AD372" s="408">
        <v>4.7</v>
      </c>
    </row>
    <row r="373" spans="1:30">
      <c r="A373">
        <v>304</v>
      </c>
      <c r="B373" s="1" t="s">
        <v>519</v>
      </c>
      <c r="C373" s="5" t="s">
        <v>83</v>
      </c>
      <c r="D373" s="408">
        <v>20</v>
      </c>
      <c r="E373" s="5" t="s">
        <v>41</v>
      </c>
      <c r="F373" s="408">
        <v>68</v>
      </c>
      <c r="G373" s="408">
        <v>12</v>
      </c>
      <c r="H373" s="408">
        <v>17</v>
      </c>
      <c r="I373" s="408">
        <v>1.8</v>
      </c>
      <c r="J373" s="408">
        <v>4.3</v>
      </c>
      <c r="K373" s="408">
        <v>0.41899999999999998</v>
      </c>
      <c r="L373" s="408">
        <v>0.4</v>
      </c>
      <c r="M373" s="408">
        <v>1.4</v>
      </c>
      <c r="N373" s="5">
        <v>0.309</v>
      </c>
      <c r="O373" s="408">
        <v>1.4</v>
      </c>
      <c r="P373" s="408">
        <v>2.9</v>
      </c>
      <c r="Q373" s="408">
        <v>0.47399999999999998</v>
      </c>
      <c r="R373" s="408">
        <v>0.47099999999999997</v>
      </c>
      <c r="S373" s="408">
        <v>0.9</v>
      </c>
      <c r="T373" s="408">
        <v>1.3</v>
      </c>
      <c r="U373" s="408">
        <v>0.70599999999999996</v>
      </c>
      <c r="V373" s="408">
        <v>1.1000000000000001</v>
      </c>
      <c r="W373" s="408">
        <v>2.1</v>
      </c>
      <c r="X373" s="408">
        <v>3.2</v>
      </c>
      <c r="Y373" s="408">
        <v>0.6</v>
      </c>
      <c r="Z373" s="408">
        <v>0.5</v>
      </c>
      <c r="AA373" s="408">
        <v>0.8</v>
      </c>
      <c r="AB373" s="408">
        <v>0.6</v>
      </c>
      <c r="AC373" s="408">
        <v>2.2000000000000002</v>
      </c>
      <c r="AD373" s="408">
        <v>4.9000000000000004</v>
      </c>
    </row>
    <row r="374" spans="1:30">
      <c r="A374">
        <v>305</v>
      </c>
      <c r="B374" s="1" t="s">
        <v>423</v>
      </c>
      <c r="C374" s="5" t="s">
        <v>83</v>
      </c>
      <c r="D374" s="408">
        <v>29</v>
      </c>
      <c r="E374" s="5" t="s">
        <v>357</v>
      </c>
      <c r="F374" s="408">
        <v>29</v>
      </c>
      <c r="G374" s="408">
        <v>1</v>
      </c>
      <c r="H374" s="408">
        <v>8.3000000000000007</v>
      </c>
      <c r="I374" s="408">
        <v>1.9</v>
      </c>
      <c r="J374" s="408">
        <v>3.8</v>
      </c>
      <c r="K374" s="408">
        <v>0.51400000000000001</v>
      </c>
      <c r="L374" s="408">
        <v>0</v>
      </c>
      <c r="M374" s="408">
        <v>0</v>
      </c>
      <c r="O374" s="408">
        <v>1.9</v>
      </c>
      <c r="P374" s="408">
        <v>3.8</v>
      </c>
      <c r="Q374" s="408">
        <v>0.51400000000000001</v>
      </c>
      <c r="R374" s="408">
        <v>0.51400000000000001</v>
      </c>
      <c r="S374" s="408">
        <v>1.7</v>
      </c>
      <c r="T374" s="408">
        <v>2.1</v>
      </c>
      <c r="U374" s="408">
        <v>0.83299999999999996</v>
      </c>
      <c r="V374" s="408">
        <v>1</v>
      </c>
      <c r="W374" s="408">
        <v>2.1</v>
      </c>
      <c r="X374" s="408">
        <v>3.1</v>
      </c>
      <c r="Y374" s="408">
        <v>0.6</v>
      </c>
      <c r="Z374" s="408">
        <v>0.3</v>
      </c>
      <c r="AA374" s="408">
        <v>0.3</v>
      </c>
      <c r="AB374" s="408">
        <v>1</v>
      </c>
      <c r="AC374" s="408">
        <v>1.3</v>
      </c>
      <c r="AD374" s="408">
        <v>5.6</v>
      </c>
    </row>
    <row r="375" spans="1:30">
      <c r="A375">
        <v>305</v>
      </c>
      <c r="B375" s="1" t="s">
        <v>423</v>
      </c>
      <c r="C375" s="5" t="s">
        <v>83</v>
      </c>
      <c r="D375" s="408">
        <v>29</v>
      </c>
      <c r="E375" s="5" t="s">
        <v>157</v>
      </c>
      <c r="F375" s="408">
        <v>19</v>
      </c>
      <c r="G375" s="408">
        <v>1</v>
      </c>
      <c r="H375" s="408">
        <v>9</v>
      </c>
      <c r="I375" s="408">
        <v>2.2000000000000002</v>
      </c>
      <c r="J375" s="408">
        <v>4.2</v>
      </c>
      <c r="K375" s="408">
        <v>0.51900000000000002</v>
      </c>
      <c r="L375" s="408">
        <v>0</v>
      </c>
      <c r="M375" s="408">
        <v>0</v>
      </c>
      <c r="O375" s="408">
        <v>2.2000000000000002</v>
      </c>
      <c r="P375" s="408">
        <v>4.2</v>
      </c>
      <c r="Q375" s="408">
        <v>0.51900000000000002</v>
      </c>
      <c r="R375" s="408">
        <v>0.51900000000000002</v>
      </c>
      <c r="S375" s="408">
        <v>1.9</v>
      </c>
      <c r="T375" s="408">
        <v>2.4</v>
      </c>
      <c r="U375" s="408">
        <v>0.8</v>
      </c>
      <c r="V375" s="408">
        <v>0.8</v>
      </c>
      <c r="W375" s="408">
        <v>2.2000000000000002</v>
      </c>
      <c r="X375" s="408">
        <v>3</v>
      </c>
      <c r="Y375" s="408">
        <v>0.7</v>
      </c>
      <c r="Z375" s="408">
        <v>0.2</v>
      </c>
      <c r="AA375" s="408">
        <v>0.3</v>
      </c>
      <c r="AB375" s="408">
        <v>1.2</v>
      </c>
      <c r="AC375" s="408">
        <v>1.5</v>
      </c>
      <c r="AD375" s="408">
        <v>6.2</v>
      </c>
    </row>
    <row r="376" spans="1:30">
      <c r="A376">
        <v>305</v>
      </c>
      <c r="B376" s="1" t="s">
        <v>423</v>
      </c>
      <c r="C376" s="5" t="s">
        <v>83</v>
      </c>
      <c r="D376" s="408">
        <v>29</v>
      </c>
      <c r="E376" s="5" t="s">
        <v>64</v>
      </c>
      <c r="F376" s="408">
        <v>10</v>
      </c>
      <c r="G376" s="408">
        <v>0</v>
      </c>
      <c r="H376" s="408">
        <v>7</v>
      </c>
      <c r="I376" s="408">
        <v>1.5</v>
      </c>
      <c r="J376" s="408">
        <v>3</v>
      </c>
      <c r="K376" s="408">
        <v>0.5</v>
      </c>
      <c r="L376" s="408">
        <v>0</v>
      </c>
      <c r="M376" s="408">
        <v>0</v>
      </c>
      <c r="O376" s="408">
        <v>1.5</v>
      </c>
      <c r="P376" s="408">
        <v>3</v>
      </c>
      <c r="Q376" s="408">
        <v>0.5</v>
      </c>
      <c r="R376" s="408">
        <v>0.5</v>
      </c>
      <c r="S376" s="408">
        <v>1.4</v>
      </c>
      <c r="T376" s="408">
        <v>1.5</v>
      </c>
      <c r="U376" s="408">
        <v>0.93300000000000005</v>
      </c>
      <c r="V376" s="408">
        <v>1.4</v>
      </c>
      <c r="W376" s="408">
        <v>1.8</v>
      </c>
      <c r="X376" s="408">
        <v>3.2</v>
      </c>
      <c r="Y376" s="408">
        <v>0.2</v>
      </c>
      <c r="Z376" s="408">
        <v>0.4</v>
      </c>
      <c r="AA376" s="408">
        <v>0.2</v>
      </c>
      <c r="AB376" s="408">
        <v>0.7</v>
      </c>
      <c r="AC376" s="408">
        <v>0.9</v>
      </c>
      <c r="AD376" s="408">
        <v>4.4000000000000004</v>
      </c>
    </row>
    <row r="377" spans="1:30">
      <c r="A377">
        <v>306</v>
      </c>
      <c r="B377" s="1" t="s">
        <v>316</v>
      </c>
      <c r="C377" s="5" t="s">
        <v>38</v>
      </c>
      <c r="D377" s="408">
        <v>20</v>
      </c>
      <c r="E377" s="5" t="s">
        <v>43</v>
      </c>
      <c r="F377" s="408">
        <v>60</v>
      </c>
      <c r="G377" s="408">
        <v>60</v>
      </c>
      <c r="H377" s="408">
        <v>30.4</v>
      </c>
      <c r="I377" s="408">
        <v>5.5</v>
      </c>
      <c r="J377" s="408">
        <v>12.8</v>
      </c>
      <c r="K377" s="408">
        <v>0.42599999999999999</v>
      </c>
      <c r="L377" s="408">
        <v>2.1</v>
      </c>
      <c r="M377" s="408">
        <v>6</v>
      </c>
      <c r="N377" s="5">
        <v>0.34499999999999997</v>
      </c>
      <c r="O377" s="408">
        <v>3.4</v>
      </c>
      <c r="P377" s="408">
        <v>6.8</v>
      </c>
      <c r="Q377" s="408">
        <v>0.498</v>
      </c>
      <c r="R377" s="408">
        <v>0.50700000000000001</v>
      </c>
      <c r="S377" s="408">
        <v>1.9</v>
      </c>
      <c r="T377" s="408">
        <v>2.2000000000000002</v>
      </c>
      <c r="U377" s="408">
        <v>0.86499999999999999</v>
      </c>
      <c r="V377" s="408">
        <v>1.2</v>
      </c>
      <c r="W377" s="408">
        <v>6.4</v>
      </c>
      <c r="X377" s="408">
        <v>7.6</v>
      </c>
      <c r="Y377" s="408">
        <v>1.2</v>
      </c>
      <c r="Z377" s="408">
        <v>0.6</v>
      </c>
      <c r="AA377" s="408">
        <v>0.6</v>
      </c>
      <c r="AB377" s="408">
        <v>1.2</v>
      </c>
      <c r="AC377" s="408">
        <v>1.5</v>
      </c>
      <c r="AD377" s="408">
        <v>14.9</v>
      </c>
    </row>
    <row r="378" spans="1:30">
      <c r="A378">
        <v>307</v>
      </c>
      <c r="B378" s="1" t="s">
        <v>533</v>
      </c>
      <c r="C378" s="5" t="s">
        <v>38</v>
      </c>
      <c r="D378" s="408">
        <v>23</v>
      </c>
      <c r="E378" s="5" t="s">
        <v>128</v>
      </c>
      <c r="F378" s="408">
        <v>65</v>
      </c>
      <c r="G378" s="408">
        <v>28</v>
      </c>
      <c r="H378" s="408">
        <v>21.9</v>
      </c>
      <c r="I378" s="408">
        <v>2.9</v>
      </c>
      <c r="J378" s="408">
        <v>6.4</v>
      </c>
      <c r="K378" s="408">
        <v>0.45300000000000001</v>
      </c>
      <c r="L378" s="408">
        <v>0.5</v>
      </c>
      <c r="M378" s="408">
        <v>1.2</v>
      </c>
      <c r="N378" s="5">
        <v>0.37</v>
      </c>
      <c r="O378" s="408">
        <v>2.4</v>
      </c>
      <c r="P378" s="408">
        <v>5.2</v>
      </c>
      <c r="Q378" s="408">
        <v>0.47299999999999998</v>
      </c>
      <c r="R378" s="408">
        <v>0.48899999999999999</v>
      </c>
      <c r="S378" s="408">
        <v>1.2</v>
      </c>
      <c r="T378" s="408">
        <v>1.5</v>
      </c>
      <c r="U378" s="408">
        <v>0.78</v>
      </c>
      <c r="V378" s="408">
        <v>1.3</v>
      </c>
      <c r="W378" s="408">
        <v>2.8</v>
      </c>
      <c r="X378" s="408">
        <v>4.0999999999999996</v>
      </c>
      <c r="Y378" s="408">
        <v>1</v>
      </c>
      <c r="Z378" s="408">
        <v>0.6</v>
      </c>
      <c r="AA378" s="408">
        <v>0.7</v>
      </c>
      <c r="AB378" s="408">
        <v>1.1000000000000001</v>
      </c>
      <c r="AC378" s="408">
        <v>2.9</v>
      </c>
      <c r="AD378" s="408">
        <v>7.5</v>
      </c>
    </row>
    <row r="379" spans="1:30">
      <c r="A379">
        <v>308</v>
      </c>
      <c r="B379" s="1" t="s">
        <v>510</v>
      </c>
      <c r="C379" s="5" t="s">
        <v>20</v>
      </c>
      <c r="D379" s="408">
        <v>23</v>
      </c>
      <c r="E379" s="5" t="s">
        <v>100</v>
      </c>
      <c r="F379" s="408">
        <v>44</v>
      </c>
      <c r="G379" s="408">
        <v>2</v>
      </c>
      <c r="H379" s="408">
        <v>18.8</v>
      </c>
      <c r="I379" s="408">
        <v>2.7</v>
      </c>
      <c r="J379" s="408">
        <v>7.1</v>
      </c>
      <c r="K379" s="408">
        <v>0.38100000000000001</v>
      </c>
      <c r="L379" s="408">
        <v>0.6</v>
      </c>
      <c r="M379" s="408">
        <v>1.5</v>
      </c>
      <c r="N379" s="5">
        <v>0.38800000000000001</v>
      </c>
      <c r="O379" s="408">
        <v>2.1</v>
      </c>
      <c r="P379" s="408">
        <v>5.6</v>
      </c>
      <c r="Q379" s="408">
        <v>0.38</v>
      </c>
      <c r="R379" s="408">
        <v>0.42299999999999999</v>
      </c>
      <c r="S379" s="408">
        <v>1.8</v>
      </c>
      <c r="T379" s="408">
        <v>2.2999999999999998</v>
      </c>
      <c r="U379" s="408">
        <v>0.81799999999999995</v>
      </c>
      <c r="V379" s="408">
        <v>0.6</v>
      </c>
      <c r="W379" s="408">
        <v>1.8</v>
      </c>
      <c r="X379" s="408">
        <v>2.4</v>
      </c>
      <c r="Y379" s="408">
        <v>2.8</v>
      </c>
      <c r="Z379" s="408">
        <v>0.8</v>
      </c>
      <c r="AA379" s="408">
        <v>0.2</v>
      </c>
      <c r="AB379" s="408">
        <v>1.3</v>
      </c>
      <c r="AC379" s="408">
        <v>1.4</v>
      </c>
      <c r="AD379" s="408">
        <v>7.8</v>
      </c>
    </row>
    <row r="380" spans="1:30">
      <c r="A380">
        <v>309</v>
      </c>
      <c r="B380" s="1" t="s">
        <v>640</v>
      </c>
      <c r="C380" s="5" t="s">
        <v>83</v>
      </c>
      <c r="D380" s="408">
        <v>25</v>
      </c>
      <c r="E380" s="5" t="s">
        <v>311</v>
      </c>
      <c r="F380" s="408">
        <v>3</v>
      </c>
      <c r="G380" s="408">
        <v>0</v>
      </c>
      <c r="H380" s="408">
        <v>3.3</v>
      </c>
      <c r="I380" s="408">
        <v>0</v>
      </c>
      <c r="J380" s="408">
        <v>0.7</v>
      </c>
      <c r="K380" s="408">
        <v>0</v>
      </c>
      <c r="L380" s="408">
        <v>0</v>
      </c>
      <c r="M380" s="408">
        <v>0</v>
      </c>
      <c r="O380" s="408">
        <v>0</v>
      </c>
      <c r="P380" s="408">
        <v>0.7</v>
      </c>
      <c r="Q380" s="408">
        <v>0</v>
      </c>
      <c r="R380" s="408">
        <v>0</v>
      </c>
      <c r="S380" s="408">
        <v>0</v>
      </c>
      <c r="T380" s="408">
        <v>0</v>
      </c>
      <c r="U380" s="408"/>
      <c r="V380" s="408">
        <v>0.3</v>
      </c>
      <c r="W380" s="408">
        <v>1.7</v>
      </c>
      <c r="X380" s="408">
        <v>2</v>
      </c>
      <c r="Y380" s="408">
        <v>0</v>
      </c>
      <c r="Z380" s="408">
        <v>0</v>
      </c>
      <c r="AA380" s="408">
        <v>0</v>
      </c>
      <c r="AB380" s="408">
        <v>0</v>
      </c>
      <c r="AC380" s="408">
        <v>0.7</v>
      </c>
      <c r="AD380" s="408">
        <v>0</v>
      </c>
    </row>
    <row r="381" spans="1:30">
      <c r="A381">
        <v>310</v>
      </c>
      <c r="B381" s="1" t="s">
        <v>327</v>
      </c>
      <c r="C381" s="5" t="s">
        <v>46</v>
      </c>
      <c r="D381" s="408">
        <v>31</v>
      </c>
      <c r="E381" s="5" t="s">
        <v>33</v>
      </c>
      <c r="F381" s="408">
        <v>63</v>
      </c>
      <c r="G381" s="408">
        <v>62</v>
      </c>
      <c r="H381" s="408">
        <v>33.799999999999997</v>
      </c>
      <c r="I381" s="408">
        <v>4.5</v>
      </c>
      <c r="J381" s="408">
        <v>11.1</v>
      </c>
      <c r="K381" s="408">
        <v>0.40600000000000003</v>
      </c>
      <c r="L381" s="408">
        <v>2.4</v>
      </c>
      <c r="M381" s="408">
        <v>6.4</v>
      </c>
      <c r="N381" s="5">
        <v>0.38100000000000001</v>
      </c>
      <c r="O381" s="408">
        <v>2.1</v>
      </c>
      <c r="P381" s="408">
        <v>4.7</v>
      </c>
      <c r="Q381" s="408">
        <v>0.441</v>
      </c>
      <c r="R381" s="408">
        <v>0.51600000000000001</v>
      </c>
      <c r="S381" s="408">
        <v>1.3</v>
      </c>
      <c r="T381" s="408">
        <v>1.6</v>
      </c>
      <c r="U381" s="408">
        <v>0.82199999999999995</v>
      </c>
      <c r="V381" s="408">
        <v>0.4</v>
      </c>
      <c r="W381" s="408">
        <v>2.7</v>
      </c>
      <c r="X381" s="408">
        <v>3.1</v>
      </c>
      <c r="Y381" s="408">
        <v>2.7</v>
      </c>
      <c r="Z381" s="408">
        <v>1.2</v>
      </c>
      <c r="AA381" s="408">
        <v>0.3</v>
      </c>
      <c r="AB381" s="408">
        <v>1.3</v>
      </c>
      <c r="AC381" s="408">
        <v>2.2000000000000002</v>
      </c>
      <c r="AD381" s="408">
        <v>12.7</v>
      </c>
    </row>
    <row r="382" spans="1:30">
      <c r="A382">
        <v>311</v>
      </c>
      <c r="B382" s="1" t="s">
        <v>438</v>
      </c>
      <c r="C382" s="5" t="s">
        <v>38</v>
      </c>
      <c r="D382" s="408">
        <v>31</v>
      </c>
      <c r="E382" s="5" t="s">
        <v>92</v>
      </c>
      <c r="F382" s="408">
        <v>53</v>
      </c>
      <c r="G382" s="408">
        <v>14</v>
      </c>
      <c r="H382" s="408">
        <v>26.4</v>
      </c>
      <c r="I382" s="408">
        <v>2.7</v>
      </c>
      <c r="J382" s="408">
        <v>5.7</v>
      </c>
      <c r="K382" s="408">
        <v>0.48199999999999998</v>
      </c>
      <c r="L382" s="408">
        <v>1</v>
      </c>
      <c r="M382" s="408">
        <v>2.9</v>
      </c>
      <c r="N382" s="5">
        <v>0.35099999999999998</v>
      </c>
      <c r="O382" s="408">
        <v>1.7</v>
      </c>
      <c r="P382" s="408">
        <v>2.8</v>
      </c>
      <c r="Q382" s="408">
        <v>0.61899999999999999</v>
      </c>
      <c r="R382" s="408">
        <v>0.57099999999999995</v>
      </c>
      <c r="S382" s="408">
        <v>1.1000000000000001</v>
      </c>
      <c r="T382" s="408">
        <v>1.6</v>
      </c>
      <c r="U382" s="408">
        <v>0.70199999999999996</v>
      </c>
      <c r="V382" s="408">
        <v>0.4</v>
      </c>
      <c r="W382" s="408">
        <v>2.8</v>
      </c>
      <c r="X382" s="408">
        <v>3.2</v>
      </c>
      <c r="Y382" s="408">
        <v>1</v>
      </c>
      <c r="Z382" s="408">
        <v>1</v>
      </c>
      <c r="AA382" s="408">
        <v>0.5</v>
      </c>
      <c r="AB382" s="408">
        <v>1.2</v>
      </c>
      <c r="AC382" s="408">
        <v>1.7</v>
      </c>
      <c r="AD382" s="408">
        <v>7.6</v>
      </c>
    </row>
    <row r="383" spans="1:30">
      <c r="A383">
        <v>312</v>
      </c>
      <c r="B383" s="1" t="s">
        <v>299</v>
      </c>
      <c r="C383" s="5" t="s">
        <v>38</v>
      </c>
      <c r="D383" s="408">
        <v>25</v>
      </c>
      <c r="E383" s="5" t="s">
        <v>118</v>
      </c>
      <c r="F383" s="408">
        <v>3</v>
      </c>
      <c r="G383" s="408">
        <v>0</v>
      </c>
      <c r="H383" s="408">
        <v>6</v>
      </c>
      <c r="I383" s="408">
        <v>0.7</v>
      </c>
      <c r="J383" s="408">
        <v>2.2999999999999998</v>
      </c>
      <c r="K383" s="408">
        <v>0.28599999999999998</v>
      </c>
      <c r="L383" s="408">
        <v>0.7</v>
      </c>
      <c r="M383" s="408">
        <v>2.2999999999999998</v>
      </c>
      <c r="N383" s="5">
        <v>0.28599999999999998</v>
      </c>
      <c r="O383" s="408">
        <v>0</v>
      </c>
      <c r="P383" s="408">
        <v>0</v>
      </c>
      <c r="Q383" s="408"/>
      <c r="R383" s="408">
        <v>0.42899999999999999</v>
      </c>
      <c r="S383" s="408">
        <v>0.7</v>
      </c>
      <c r="T383" s="408">
        <v>0.7</v>
      </c>
      <c r="U383" s="408">
        <v>1</v>
      </c>
      <c r="V383" s="408">
        <v>0</v>
      </c>
      <c r="W383" s="408">
        <v>0.7</v>
      </c>
      <c r="X383" s="408">
        <v>0.7</v>
      </c>
      <c r="Y383" s="408">
        <v>0</v>
      </c>
      <c r="Z383" s="408">
        <v>0</v>
      </c>
      <c r="AA383" s="408">
        <v>0.3</v>
      </c>
      <c r="AB383" s="408">
        <v>0.3</v>
      </c>
      <c r="AC383" s="408">
        <v>0.3</v>
      </c>
      <c r="AD383" s="408">
        <v>2.7</v>
      </c>
    </row>
    <row r="384" spans="1:30">
      <c r="A384">
        <v>313</v>
      </c>
      <c r="B384" s="1" t="s">
        <v>98</v>
      </c>
      <c r="C384" s="5" t="s">
        <v>26</v>
      </c>
      <c r="D384" s="408">
        <v>22</v>
      </c>
      <c r="E384" s="5" t="s">
        <v>73</v>
      </c>
      <c r="F384" s="408">
        <v>52</v>
      </c>
      <c r="G384" s="408">
        <v>6</v>
      </c>
      <c r="H384" s="408">
        <v>15.8</v>
      </c>
      <c r="I384" s="408">
        <v>1.5</v>
      </c>
      <c r="J384" s="408">
        <v>3.5</v>
      </c>
      <c r="K384" s="408">
        <v>0.43099999999999999</v>
      </c>
      <c r="L384" s="408">
        <v>0.3</v>
      </c>
      <c r="M384" s="408">
        <v>1.3</v>
      </c>
      <c r="N384" s="5">
        <v>0.24199999999999999</v>
      </c>
      <c r="O384" s="408">
        <v>1.2</v>
      </c>
      <c r="P384" s="408">
        <v>2.2000000000000002</v>
      </c>
      <c r="Q384" s="408">
        <v>0.53900000000000003</v>
      </c>
      <c r="R384" s="408">
        <v>0.47499999999999998</v>
      </c>
      <c r="S384" s="408">
        <v>0.4</v>
      </c>
      <c r="T384" s="408">
        <v>0.5</v>
      </c>
      <c r="U384" s="408">
        <v>0.70399999999999996</v>
      </c>
      <c r="V384" s="408">
        <v>0.3</v>
      </c>
      <c r="W384" s="408">
        <v>1.1000000000000001</v>
      </c>
      <c r="X384" s="408">
        <v>1.4</v>
      </c>
      <c r="Y384" s="408">
        <v>1.4</v>
      </c>
      <c r="Z384" s="408">
        <v>0.8</v>
      </c>
      <c r="AA384" s="408">
        <v>0.2</v>
      </c>
      <c r="AB384" s="408">
        <v>0.7</v>
      </c>
      <c r="AC384" s="408">
        <v>1.1000000000000001</v>
      </c>
      <c r="AD384" s="408">
        <v>3.7</v>
      </c>
    </row>
    <row r="385" spans="1:30">
      <c r="A385">
        <v>314</v>
      </c>
      <c r="B385" s="1" t="s">
        <v>334</v>
      </c>
      <c r="C385" s="5" t="s">
        <v>26</v>
      </c>
      <c r="D385" s="408">
        <v>26</v>
      </c>
      <c r="E385" s="5" t="s">
        <v>96</v>
      </c>
      <c r="F385" s="408">
        <v>69</v>
      </c>
      <c r="G385" s="408">
        <v>69</v>
      </c>
      <c r="H385" s="408">
        <v>36</v>
      </c>
      <c r="I385" s="408">
        <v>8.3000000000000007</v>
      </c>
      <c r="J385" s="408">
        <v>18.399999999999999</v>
      </c>
      <c r="K385" s="408">
        <v>0.44900000000000001</v>
      </c>
      <c r="L385" s="408">
        <v>2.5</v>
      </c>
      <c r="M385" s="408">
        <v>5.9</v>
      </c>
      <c r="N385" s="5">
        <v>0.41699999999999998</v>
      </c>
      <c r="O385" s="408">
        <v>5.8</v>
      </c>
      <c r="P385" s="408">
        <v>12.5</v>
      </c>
      <c r="Q385" s="408">
        <v>0.46500000000000002</v>
      </c>
      <c r="R385" s="408">
        <v>0.51600000000000001</v>
      </c>
      <c r="S385" s="408">
        <v>2.7</v>
      </c>
      <c r="T385" s="408">
        <v>3.2</v>
      </c>
      <c r="U385" s="408">
        <v>0.84199999999999997</v>
      </c>
      <c r="V385" s="408">
        <v>0.6</v>
      </c>
      <c r="W385" s="408">
        <v>3.3</v>
      </c>
      <c r="X385" s="408">
        <v>3.9</v>
      </c>
      <c r="Y385" s="408">
        <v>3.2</v>
      </c>
      <c r="Z385" s="408">
        <v>0.9</v>
      </c>
      <c r="AA385" s="408">
        <v>0.4</v>
      </c>
      <c r="AB385" s="408">
        <v>1.8</v>
      </c>
      <c r="AC385" s="408">
        <v>2.1</v>
      </c>
      <c r="AD385" s="408">
        <v>21.7</v>
      </c>
    </row>
    <row r="386" spans="1:30">
      <c r="A386">
        <v>315</v>
      </c>
      <c r="B386" s="1" t="s">
        <v>539</v>
      </c>
      <c r="C386" s="5" t="s">
        <v>20</v>
      </c>
      <c r="D386" s="408">
        <v>25</v>
      </c>
      <c r="E386" s="5" t="s">
        <v>118</v>
      </c>
      <c r="F386" s="408">
        <v>63</v>
      </c>
      <c r="G386" s="408">
        <v>1</v>
      </c>
      <c r="H386" s="408">
        <v>23.9</v>
      </c>
      <c r="I386" s="408">
        <v>2.9</v>
      </c>
      <c r="J386" s="408">
        <v>5.9</v>
      </c>
      <c r="K386" s="408">
        <v>0.497</v>
      </c>
      <c r="L386" s="408">
        <v>0.4</v>
      </c>
      <c r="M386" s="408">
        <v>0.9</v>
      </c>
      <c r="N386" s="5">
        <v>0.43099999999999999</v>
      </c>
      <c r="O386" s="408">
        <v>2.5</v>
      </c>
      <c r="P386" s="408">
        <v>5</v>
      </c>
      <c r="Q386" s="408">
        <v>0.51</v>
      </c>
      <c r="R386" s="408">
        <v>0.53100000000000003</v>
      </c>
      <c r="S386" s="408">
        <v>0.5</v>
      </c>
      <c r="T386" s="408">
        <v>0.5</v>
      </c>
      <c r="U386" s="408">
        <v>0.85299999999999998</v>
      </c>
      <c r="V386" s="408">
        <v>0.5</v>
      </c>
      <c r="W386" s="408">
        <v>2.6</v>
      </c>
      <c r="X386" s="408">
        <v>3.1</v>
      </c>
      <c r="Y386" s="408">
        <v>4.2</v>
      </c>
      <c r="Z386" s="408">
        <v>1.3</v>
      </c>
      <c r="AA386" s="408">
        <v>0.2</v>
      </c>
      <c r="AB386" s="408">
        <v>1.6</v>
      </c>
      <c r="AC386" s="408">
        <v>1.7</v>
      </c>
      <c r="AD386" s="408">
        <v>6.7</v>
      </c>
    </row>
    <row r="387" spans="1:30">
      <c r="A387">
        <v>316</v>
      </c>
      <c r="B387" s="1" t="s">
        <v>840</v>
      </c>
      <c r="C387" s="5" t="s">
        <v>46</v>
      </c>
      <c r="D387" s="408">
        <v>24</v>
      </c>
      <c r="E387" s="5" t="s">
        <v>305</v>
      </c>
      <c r="F387" s="408">
        <v>4</v>
      </c>
      <c r="G387" s="408">
        <v>0</v>
      </c>
      <c r="H387" s="408">
        <v>2</v>
      </c>
      <c r="I387" s="408">
        <v>0</v>
      </c>
      <c r="J387" s="408">
        <v>0.5</v>
      </c>
      <c r="K387" s="408">
        <v>0</v>
      </c>
      <c r="L387" s="408">
        <v>0</v>
      </c>
      <c r="M387" s="408">
        <v>0.3</v>
      </c>
      <c r="N387" s="5">
        <v>0</v>
      </c>
      <c r="O387" s="408">
        <v>0</v>
      </c>
      <c r="P387" s="408">
        <v>0.3</v>
      </c>
      <c r="Q387" s="408">
        <v>0</v>
      </c>
      <c r="R387" s="408">
        <v>0</v>
      </c>
      <c r="S387" s="408">
        <v>0</v>
      </c>
      <c r="T387" s="408">
        <v>0</v>
      </c>
      <c r="U387" s="408"/>
      <c r="V387" s="408">
        <v>0</v>
      </c>
      <c r="W387" s="408">
        <v>0.3</v>
      </c>
      <c r="X387" s="408">
        <v>0.3</v>
      </c>
      <c r="Y387" s="408">
        <v>0</v>
      </c>
      <c r="Z387" s="408">
        <v>0.3</v>
      </c>
      <c r="AA387" s="408">
        <v>0</v>
      </c>
      <c r="AB387" s="408">
        <v>0.3</v>
      </c>
      <c r="AC387" s="408">
        <v>0</v>
      </c>
      <c r="AD387" s="408">
        <v>0</v>
      </c>
    </row>
    <row r="388" spans="1:30">
      <c r="A388">
        <v>317</v>
      </c>
      <c r="B388" s="1" t="s">
        <v>71</v>
      </c>
      <c r="C388" s="5" t="s">
        <v>38</v>
      </c>
      <c r="D388" s="408">
        <v>22</v>
      </c>
      <c r="E388" s="5" t="s">
        <v>27</v>
      </c>
      <c r="F388" s="408">
        <v>19</v>
      </c>
      <c r="G388" s="408">
        <v>0</v>
      </c>
      <c r="H388" s="408">
        <v>4.7</v>
      </c>
      <c r="I388" s="408">
        <v>0.9</v>
      </c>
      <c r="J388" s="408">
        <v>2.2000000000000002</v>
      </c>
      <c r="K388" s="408">
        <v>0.42899999999999999</v>
      </c>
      <c r="L388" s="408">
        <v>0.1</v>
      </c>
      <c r="M388" s="408">
        <v>0.4</v>
      </c>
      <c r="N388" s="5">
        <v>0.125</v>
      </c>
      <c r="O388" s="408">
        <v>0.9</v>
      </c>
      <c r="P388" s="408">
        <v>1.8</v>
      </c>
      <c r="Q388" s="408">
        <v>0.5</v>
      </c>
      <c r="R388" s="408">
        <v>0.44</v>
      </c>
      <c r="S388" s="408">
        <v>0.5</v>
      </c>
      <c r="T388" s="408">
        <v>0.7</v>
      </c>
      <c r="U388" s="408">
        <v>0.64300000000000002</v>
      </c>
      <c r="V388" s="408">
        <v>0.4</v>
      </c>
      <c r="W388" s="408">
        <v>0.9</v>
      </c>
      <c r="X388" s="408">
        <v>1.3</v>
      </c>
      <c r="Y388" s="408">
        <v>0.2</v>
      </c>
      <c r="Z388" s="408">
        <v>0</v>
      </c>
      <c r="AA388" s="408">
        <v>0.3</v>
      </c>
      <c r="AB388" s="408">
        <v>0.1</v>
      </c>
      <c r="AC388" s="408">
        <v>0.4</v>
      </c>
      <c r="AD388" s="408">
        <v>2.4</v>
      </c>
    </row>
    <row r="389" spans="1:30">
      <c r="A389">
        <v>318</v>
      </c>
      <c r="B389" s="1" t="s">
        <v>182</v>
      </c>
      <c r="C389" s="5" t="s">
        <v>46</v>
      </c>
      <c r="D389" s="408">
        <v>26</v>
      </c>
      <c r="E389" s="5" t="s">
        <v>357</v>
      </c>
      <c r="F389" s="408">
        <v>70</v>
      </c>
      <c r="G389" s="408">
        <v>3</v>
      </c>
      <c r="H389" s="408">
        <v>22</v>
      </c>
      <c r="I389" s="408">
        <v>2.8</v>
      </c>
      <c r="J389" s="408">
        <v>6.1</v>
      </c>
      <c r="K389" s="408">
        <v>0.46300000000000002</v>
      </c>
      <c r="L389" s="408">
        <v>1.1000000000000001</v>
      </c>
      <c r="M389" s="408">
        <v>2.6</v>
      </c>
      <c r="N389" s="5">
        <v>0.42399999999999999</v>
      </c>
      <c r="O389" s="408">
        <v>1.7</v>
      </c>
      <c r="P389" s="408">
        <v>3.5</v>
      </c>
      <c r="Q389" s="408">
        <v>0.49199999999999999</v>
      </c>
      <c r="R389" s="408">
        <v>0.55300000000000005</v>
      </c>
      <c r="S389" s="408">
        <v>0.8</v>
      </c>
      <c r="T389" s="408">
        <v>1.1000000000000001</v>
      </c>
      <c r="U389" s="408">
        <v>0.78400000000000003</v>
      </c>
      <c r="V389" s="408">
        <v>0.6</v>
      </c>
      <c r="W389" s="408">
        <v>1.9</v>
      </c>
      <c r="X389" s="408">
        <v>2.5</v>
      </c>
      <c r="Y389" s="408">
        <v>1</v>
      </c>
      <c r="Z389" s="408">
        <v>0.2</v>
      </c>
      <c r="AA389" s="408">
        <v>0.2</v>
      </c>
      <c r="AB389" s="408">
        <v>0.7</v>
      </c>
      <c r="AC389" s="408">
        <v>1.5</v>
      </c>
      <c r="AD389" s="408">
        <v>7.6</v>
      </c>
    </row>
    <row r="390" spans="1:30">
      <c r="A390">
        <v>318</v>
      </c>
      <c r="B390" s="1" t="s">
        <v>182</v>
      </c>
      <c r="C390" s="5" t="s">
        <v>46</v>
      </c>
      <c r="D390" s="408">
        <v>26</v>
      </c>
      <c r="E390" s="5" t="s">
        <v>21</v>
      </c>
      <c r="F390" s="408">
        <v>55</v>
      </c>
      <c r="G390" s="408">
        <v>1</v>
      </c>
      <c r="H390" s="408">
        <v>21.3</v>
      </c>
      <c r="I390" s="408">
        <v>2.7</v>
      </c>
      <c r="J390" s="408">
        <v>6</v>
      </c>
      <c r="K390" s="408">
        <v>0.46</v>
      </c>
      <c r="L390" s="408">
        <v>1</v>
      </c>
      <c r="M390" s="408">
        <v>2.5</v>
      </c>
      <c r="N390" s="5">
        <v>0.38700000000000001</v>
      </c>
      <c r="O390" s="408">
        <v>1.8</v>
      </c>
      <c r="P390" s="408">
        <v>3.5</v>
      </c>
      <c r="Q390" s="408">
        <v>0.51300000000000001</v>
      </c>
      <c r="R390" s="408">
        <v>0.54100000000000004</v>
      </c>
      <c r="S390" s="408">
        <v>0.7</v>
      </c>
      <c r="T390" s="408">
        <v>1</v>
      </c>
      <c r="U390" s="408">
        <v>0.755</v>
      </c>
      <c r="V390" s="408">
        <v>0.6</v>
      </c>
      <c r="W390" s="408">
        <v>1.8</v>
      </c>
      <c r="X390" s="408">
        <v>2.4</v>
      </c>
      <c r="Y390" s="408">
        <v>0.9</v>
      </c>
      <c r="Z390" s="408">
        <v>0.2</v>
      </c>
      <c r="AA390" s="408">
        <v>0.2</v>
      </c>
      <c r="AB390" s="408">
        <v>0.6</v>
      </c>
      <c r="AC390" s="408">
        <v>1.3</v>
      </c>
      <c r="AD390" s="408">
        <v>7.2</v>
      </c>
    </row>
    <row r="391" spans="1:30">
      <c r="A391">
        <v>318</v>
      </c>
      <c r="B391" s="1" t="s">
        <v>182</v>
      </c>
      <c r="C391" s="5" t="s">
        <v>46</v>
      </c>
      <c r="D391" s="408">
        <v>26</v>
      </c>
      <c r="E391" s="5" t="s">
        <v>33</v>
      </c>
      <c r="F391" s="408">
        <v>15</v>
      </c>
      <c r="G391" s="408">
        <v>2</v>
      </c>
      <c r="H391" s="408">
        <v>24.5</v>
      </c>
      <c r="I391" s="408">
        <v>3.2</v>
      </c>
      <c r="J391" s="408">
        <v>6.8</v>
      </c>
      <c r="K391" s="408">
        <v>0.47099999999999997</v>
      </c>
      <c r="L391" s="408">
        <v>1.7</v>
      </c>
      <c r="M391" s="408">
        <v>3.1</v>
      </c>
      <c r="N391" s="5">
        <v>0.53200000000000003</v>
      </c>
      <c r="O391" s="408">
        <v>1.5</v>
      </c>
      <c r="P391" s="408">
        <v>3.7</v>
      </c>
      <c r="Q391" s="408">
        <v>0.41799999999999998</v>
      </c>
      <c r="R391" s="408">
        <v>0.59299999999999997</v>
      </c>
      <c r="S391" s="408">
        <v>1.2</v>
      </c>
      <c r="T391" s="408">
        <v>1.4</v>
      </c>
      <c r="U391" s="408">
        <v>0.85699999999999998</v>
      </c>
      <c r="V391" s="408">
        <v>0.5</v>
      </c>
      <c r="W391" s="408">
        <v>2.2999999999999998</v>
      </c>
      <c r="X391" s="408">
        <v>2.8</v>
      </c>
      <c r="Y391" s="408">
        <v>1.5</v>
      </c>
      <c r="Z391" s="408">
        <v>0.4</v>
      </c>
      <c r="AA391" s="408">
        <v>0.1</v>
      </c>
      <c r="AB391" s="408">
        <v>0.8</v>
      </c>
      <c r="AC391" s="408">
        <v>2.2000000000000002</v>
      </c>
      <c r="AD391" s="408">
        <v>9.3000000000000007</v>
      </c>
    </row>
    <row r="392" spans="1:30">
      <c r="A392">
        <v>319</v>
      </c>
      <c r="B392" s="1" t="s">
        <v>94</v>
      </c>
      <c r="C392" s="5" t="s">
        <v>83</v>
      </c>
      <c r="D392" s="408">
        <v>30</v>
      </c>
      <c r="E392" s="5" t="s">
        <v>73</v>
      </c>
      <c r="F392" s="408">
        <v>55</v>
      </c>
      <c r="G392" s="408">
        <v>13</v>
      </c>
      <c r="H392" s="408">
        <v>9.1999999999999993</v>
      </c>
      <c r="I392" s="408">
        <v>1.9</v>
      </c>
      <c r="J392" s="408">
        <v>2.9</v>
      </c>
      <c r="K392" s="408">
        <v>0.63800000000000001</v>
      </c>
      <c r="L392" s="408">
        <v>0</v>
      </c>
      <c r="M392" s="408">
        <v>0.1</v>
      </c>
      <c r="N392" s="5">
        <v>0</v>
      </c>
      <c r="O392" s="408">
        <v>1.9</v>
      </c>
      <c r="P392" s="408">
        <v>2.8</v>
      </c>
      <c r="Q392" s="408">
        <v>0.66200000000000003</v>
      </c>
      <c r="R392" s="408">
        <v>0.63800000000000001</v>
      </c>
      <c r="S392" s="408">
        <v>0.6</v>
      </c>
      <c r="T392" s="408">
        <v>0.8</v>
      </c>
      <c r="U392" s="408">
        <v>0.77300000000000002</v>
      </c>
      <c r="V392" s="408">
        <v>0.7</v>
      </c>
      <c r="W392" s="408">
        <v>1.7</v>
      </c>
      <c r="X392" s="408">
        <v>2.2999999999999998</v>
      </c>
      <c r="Y392" s="408">
        <v>0.5</v>
      </c>
      <c r="Z392" s="408">
        <v>0.3</v>
      </c>
      <c r="AA392" s="408">
        <v>0.9</v>
      </c>
      <c r="AB392" s="408">
        <v>0.4</v>
      </c>
      <c r="AC392" s="408">
        <v>1.4</v>
      </c>
      <c r="AD392" s="408">
        <v>4.3</v>
      </c>
    </row>
    <row r="393" spans="1:30">
      <c r="A393">
        <v>320</v>
      </c>
      <c r="B393" s="1" t="s">
        <v>747</v>
      </c>
      <c r="C393" s="5" t="s">
        <v>26</v>
      </c>
      <c r="D393" s="408">
        <v>26</v>
      </c>
      <c r="E393" s="5" t="s">
        <v>50</v>
      </c>
      <c r="F393" s="408">
        <v>10</v>
      </c>
      <c r="G393" s="408">
        <v>0</v>
      </c>
      <c r="H393" s="408">
        <v>18.8</v>
      </c>
      <c r="I393" s="408">
        <v>2.4</v>
      </c>
      <c r="J393" s="408">
        <v>4.5999999999999996</v>
      </c>
      <c r="K393" s="408">
        <v>0.52200000000000002</v>
      </c>
      <c r="L393" s="408">
        <v>0.8</v>
      </c>
      <c r="M393" s="408">
        <v>2.1</v>
      </c>
      <c r="N393" s="5">
        <v>0.38100000000000001</v>
      </c>
      <c r="O393" s="408">
        <v>1.6</v>
      </c>
      <c r="P393" s="408">
        <v>2.5</v>
      </c>
      <c r="Q393" s="408">
        <v>0.64</v>
      </c>
      <c r="R393" s="408">
        <v>0.60899999999999999</v>
      </c>
      <c r="S393" s="408">
        <v>0.1</v>
      </c>
      <c r="T393" s="408">
        <v>0.2</v>
      </c>
      <c r="U393" s="408">
        <v>0.5</v>
      </c>
      <c r="V393" s="408">
        <v>0.6</v>
      </c>
      <c r="W393" s="408">
        <v>1</v>
      </c>
      <c r="X393" s="408">
        <v>1.6</v>
      </c>
      <c r="Y393" s="408">
        <v>1</v>
      </c>
      <c r="Z393" s="408">
        <v>0.4</v>
      </c>
      <c r="AA393" s="408">
        <v>0.2</v>
      </c>
      <c r="AB393" s="408">
        <v>0.3</v>
      </c>
      <c r="AC393" s="408">
        <v>1.2</v>
      </c>
      <c r="AD393" s="408">
        <v>5.7</v>
      </c>
    </row>
    <row r="394" spans="1:30">
      <c r="A394">
        <v>321</v>
      </c>
      <c r="B394" s="1" t="s">
        <v>1043</v>
      </c>
      <c r="C394" s="5" t="s">
        <v>26</v>
      </c>
      <c r="D394" s="408">
        <v>27</v>
      </c>
      <c r="E394" s="5" t="s">
        <v>30</v>
      </c>
      <c r="F394" s="408">
        <v>1</v>
      </c>
      <c r="G394" s="408">
        <v>0</v>
      </c>
      <c r="H394" s="408">
        <v>1</v>
      </c>
      <c r="I394" s="408">
        <v>0</v>
      </c>
      <c r="J394" s="408">
        <v>0</v>
      </c>
      <c r="K394" s="408"/>
      <c r="L394" s="408">
        <v>0</v>
      </c>
      <c r="M394" s="408">
        <v>0</v>
      </c>
      <c r="O394" s="408">
        <v>0</v>
      </c>
      <c r="P394" s="408">
        <v>0</v>
      </c>
      <c r="Q394" s="408"/>
      <c r="R394" s="408"/>
      <c r="S394" s="408">
        <v>0</v>
      </c>
      <c r="T394" s="408">
        <v>0</v>
      </c>
      <c r="U394" s="408"/>
      <c r="V394" s="408">
        <v>0</v>
      </c>
      <c r="W394" s="408">
        <v>0</v>
      </c>
      <c r="X394" s="408">
        <v>0</v>
      </c>
      <c r="Y394" s="408">
        <v>0</v>
      </c>
      <c r="Z394" s="408">
        <v>0</v>
      </c>
      <c r="AA394" s="408">
        <v>0</v>
      </c>
      <c r="AB394" s="408">
        <v>0</v>
      </c>
      <c r="AC394" s="408">
        <v>0</v>
      </c>
      <c r="AD394" s="408">
        <v>0</v>
      </c>
    </row>
    <row r="395" spans="1:30">
      <c r="A395">
        <v>322</v>
      </c>
      <c r="B395" s="1" t="s">
        <v>549</v>
      </c>
      <c r="C395" s="5" t="s">
        <v>46</v>
      </c>
      <c r="D395" s="408">
        <v>25</v>
      </c>
      <c r="E395" s="5" t="s">
        <v>47</v>
      </c>
      <c r="F395" s="408">
        <v>13</v>
      </c>
      <c r="G395" s="408">
        <v>0</v>
      </c>
      <c r="H395" s="408">
        <v>3.8</v>
      </c>
      <c r="I395" s="408">
        <v>0.5</v>
      </c>
      <c r="J395" s="408">
        <v>1</v>
      </c>
      <c r="K395" s="408">
        <v>0.53800000000000003</v>
      </c>
      <c r="L395" s="408">
        <v>0.2</v>
      </c>
      <c r="M395" s="408">
        <v>0.6</v>
      </c>
      <c r="N395" s="5">
        <v>0.375</v>
      </c>
      <c r="O395" s="408">
        <v>0.3</v>
      </c>
      <c r="P395" s="408">
        <v>0.4</v>
      </c>
      <c r="Q395" s="408">
        <v>0.8</v>
      </c>
      <c r="R395" s="408">
        <v>0.65400000000000003</v>
      </c>
      <c r="S395" s="408">
        <v>0.2</v>
      </c>
      <c r="T395" s="408">
        <v>0.2</v>
      </c>
      <c r="U395" s="408">
        <v>0.66700000000000004</v>
      </c>
      <c r="V395" s="408">
        <v>0</v>
      </c>
      <c r="W395" s="408">
        <v>0.5</v>
      </c>
      <c r="X395" s="408">
        <v>0.5</v>
      </c>
      <c r="Y395" s="408">
        <v>0.1</v>
      </c>
      <c r="Z395" s="408">
        <v>0.1</v>
      </c>
      <c r="AA395" s="408">
        <v>0.1</v>
      </c>
      <c r="AB395" s="408">
        <v>0.2</v>
      </c>
      <c r="AC395" s="408">
        <v>0.6</v>
      </c>
      <c r="AD395" s="408">
        <v>1.5</v>
      </c>
    </row>
    <row r="396" spans="1:30">
      <c r="A396">
        <v>323</v>
      </c>
      <c r="B396" s="1" t="s">
        <v>443</v>
      </c>
      <c r="C396" s="5" t="s">
        <v>26</v>
      </c>
      <c r="D396" s="408">
        <v>24</v>
      </c>
      <c r="E396" s="5" t="s">
        <v>128</v>
      </c>
      <c r="F396" s="408">
        <v>46</v>
      </c>
      <c r="G396" s="408">
        <v>12</v>
      </c>
      <c r="H396" s="408">
        <v>18.399999999999999</v>
      </c>
      <c r="I396" s="408">
        <v>2.6</v>
      </c>
      <c r="J396" s="408">
        <v>6</v>
      </c>
      <c r="K396" s="408">
        <v>0.432</v>
      </c>
      <c r="L396" s="408">
        <v>1</v>
      </c>
      <c r="M396" s="408">
        <v>2.7</v>
      </c>
      <c r="N396" s="5">
        <v>0.36099999999999999</v>
      </c>
      <c r="O396" s="408">
        <v>1.7</v>
      </c>
      <c r="P396" s="408">
        <v>3.4</v>
      </c>
      <c r="Q396" s="408">
        <v>0.48699999999999999</v>
      </c>
      <c r="R396" s="408">
        <v>0.51100000000000001</v>
      </c>
      <c r="S396" s="408">
        <v>0.8</v>
      </c>
      <c r="T396" s="408">
        <v>1</v>
      </c>
      <c r="U396" s="408">
        <v>0.80400000000000005</v>
      </c>
      <c r="V396" s="408">
        <v>0.5</v>
      </c>
      <c r="W396" s="408">
        <v>1.7</v>
      </c>
      <c r="X396" s="408">
        <v>2.2000000000000002</v>
      </c>
      <c r="Y396" s="408">
        <v>0.9</v>
      </c>
      <c r="Z396" s="408">
        <v>0.7</v>
      </c>
      <c r="AA396" s="408">
        <v>0.3</v>
      </c>
      <c r="AB396" s="408">
        <v>1.1000000000000001</v>
      </c>
      <c r="AC396" s="408">
        <v>2.5</v>
      </c>
      <c r="AD396" s="408">
        <v>7</v>
      </c>
    </row>
    <row r="397" spans="1:30">
      <c r="A397">
        <v>324</v>
      </c>
      <c r="B397" s="1" t="s">
        <v>39</v>
      </c>
      <c r="C397" s="5" t="s">
        <v>38</v>
      </c>
      <c r="D397" s="408">
        <v>30</v>
      </c>
      <c r="E397" s="5" t="s">
        <v>33</v>
      </c>
      <c r="F397" s="408">
        <v>2</v>
      </c>
      <c r="G397" s="408">
        <v>0</v>
      </c>
      <c r="H397" s="408">
        <v>3</v>
      </c>
      <c r="I397" s="408">
        <v>0</v>
      </c>
      <c r="J397" s="408">
        <v>0.5</v>
      </c>
      <c r="K397" s="408">
        <v>0</v>
      </c>
      <c r="L397" s="408">
        <v>0</v>
      </c>
      <c r="M397" s="408">
        <v>0.5</v>
      </c>
      <c r="N397" s="5">
        <v>0</v>
      </c>
      <c r="O397" s="408">
        <v>0</v>
      </c>
      <c r="P397" s="408">
        <v>0</v>
      </c>
      <c r="Q397" s="408"/>
      <c r="R397" s="408">
        <v>0</v>
      </c>
      <c r="S397" s="408">
        <v>0</v>
      </c>
      <c r="T397" s="408">
        <v>0</v>
      </c>
      <c r="U397" s="408"/>
      <c r="V397" s="408">
        <v>0</v>
      </c>
      <c r="W397" s="408">
        <v>0</v>
      </c>
      <c r="X397" s="408">
        <v>0</v>
      </c>
      <c r="Y397" s="408">
        <v>0</v>
      </c>
      <c r="Z397" s="408">
        <v>0</v>
      </c>
      <c r="AA397" s="408">
        <v>0</v>
      </c>
      <c r="AB397" s="408">
        <v>0</v>
      </c>
      <c r="AC397" s="408">
        <v>1</v>
      </c>
      <c r="AD397" s="408">
        <v>0</v>
      </c>
    </row>
    <row r="398" spans="1:30">
      <c r="A398">
        <v>325</v>
      </c>
      <c r="B398" s="1" t="s">
        <v>436</v>
      </c>
      <c r="C398" s="5" t="s">
        <v>26</v>
      </c>
      <c r="D398" s="408">
        <v>30</v>
      </c>
      <c r="E398" s="5" t="s">
        <v>27</v>
      </c>
      <c r="F398" s="408">
        <v>67</v>
      </c>
      <c r="G398" s="408">
        <v>0</v>
      </c>
      <c r="H398" s="408">
        <v>15.1</v>
      </c>
      <c r="I398" s="408">
        <v>2</v>
      </c>
      <c r="J398" s="408">
        <v>5.2</v>
      </c>
      <c r="K398" s="408">
        <v>0.39100000000000001</v>
      </c>
      <c r="L398" s="408">
        <v>0.9</v>
      </c>
      <c r="M398" s="408">
        <v>2.7</v>
      </c>
      <c r="N398" s="5">
        <v>0.32200000000000001</v>
      </c>
      <c r="O398" s="408">
        <v>1.1000000000000001</v>
      </c>
      <c r="P398" s="408">
        <v>2.5</v>
      </c>
      <c r="Q398" s="408">
        <v>0.46700000000000003</v>
      </c>
      <c r="R398" s="408">
        <v>0.47599999999999998</v>
      </c>
      <c r="S398" s="408">
        <v>1.4</v>
      </c>
      <c r="T398" s="408">
        <v>1.6</v>
      </c>
      <c r="U398" s="408">
        <v>0.872</v>
      </c>
      <c r="V398" s="408">
        <v>0.2</v>
      </c>
      <c r="W398" s="408">
        <v>1.4</v>
      </c>
      <c r="X398" s="408">
        <v>1.7</v>
      </c>
      <c r="Y398" s="408">
        <v>1</v>
      </c>
      <c r="Z398" s="408">
        <v>0.4</v>
      </c>
      <c r="AA398" s="408">
        <v>0.1</v>
      </c>
      <c r="AB398" s="408">
        <v>0.5</v>
      </c>
      <c r="AC398" s="408">
        <v>0.7</v>
      </c>
      <c r="AD398" s="408">
        <v>6.4</v>
      </c>
    </row>
    <row r="399" spans="1:30">
      <c r="A399">
        <v>326</v>
      </c>
      <c r="B399" s="1" t="s">
        <v>84</v>
      </c>
      <c r="C399" s="5" t="s">
        <v>83</v>
      </c>
      <c r="D399" s="408">
        <v>31</v>
      </c>
      <c r="E399" s="5" t="s">
        <v>33</v>
      </c>
      <c r="F399" s="408">
        <v>57</v>
      </c>
      <c r="G399" s="408">
        <v>1</v>
      </c>
      <c r="H399" s="408">
        <v>11.7</v>
      </c>
      <c r="I399" s="408">
        <v>1.4</v>
      </c>
      <c r="J399" s="408">
        <v>2.2000000000000002</v>
      </c>
      <c r="K399" s="408">
        <v>0.65600000000000003</v>
      </c>
      <c r="L399" s="408">
        <v>0</v>
      </c>
      <c r="M399" s="408">
        <v>0.1</v>
      </c>
      <c r="N399" s="5">
        <v>0</v>
      </c>
      <c r="O399" s="408">
        <v>1.4</v>
      </c>
      <c r="P399" s="408">
        <v>2.1</v>
      </c>
      <c r="Q399" s="408">
        <v>0.67200000000000004</v>
      </c>
      <c r="R399" s="408">
        <v>0.65600000000000003</v>
      </c>
      <c r="S399" s="408">
        <v>0.6</v>
      </c>
      <c r="T399" s="408">
        <v>1</v>
      </c>
      <c r="U399" s="408">
        <v>0.56899999999999995</v>
      </c>
      <c r="V399" s="408">
        <v>1.4</v>
      </c>
      <c r="W399" s="408">
        <v>2.7</v>
      </c>
      <c r="X399" s="408">
        <v>4.0999999999999996</v>
      </c>
      <c r="Y399" s="408">
        <v>0.5</v>
      </c>
      <c r="Z399" s="408">
        <v>0.4</v>
      </c>
      <c r="AA399" s="408">
        <v>1.1000000000000001</v>
      </c>
      <c r="AB399" s="408">
        <v>0.6</v>
      </c>
      <c r="AC399" s="408">
        <v>2</v>
      </c>
      <c r="AD399" s="408">
        <v>3.5</v>
      </c>
    </row>
    <row r="400" spans="1:30">
      <c r="A400">
        <v>327</v>
      </c>
      <c r="B400" s="1" t="s">
        <v>116</v>
      </c>
      <c r="C400" s="5" t="s">
        <v>38</v>
      </c>
      <c r="D400" s="408">
        <v>23</v>
      </c>
      <c r="E400" s="5" t="s">
        <v>50</v>
      </c>
      <c r="F400" s="408">
        <v>20</v>
      </c>
      <c r="G400" s="408">
        <v>2</v>
      </c>
      <c r="H400" s="408">
        <v>12.5</v>
      </c>
      <c r="I400" s="408">
        <v>1.7</v>
      </c>
      <c r="J400" s="408">
        <v>3.6</v>
      </c>
      <c r="K400" s="408">
        <v>0.47899999999999998</v>
      </c>
      <c r="L400" s="408">
        <v>0.1</v>
      </c>
      <c r="M400" s="408">
        <v>0.7</v>
      </c>
      <c r="N400" s="5">
        <v>7.6999999999999999E-2</v>
      </c>
      <c r="O400" s="408">
        <v>1.7</v>
      </c>
      <c r="P400" s="408">
        <v>2.9</v>
      </c>
      <c r="Q400" s="408">
        <v>0.56899999999999995</v>
      </c>
      <c r="R400" s="408">
        <v>0.48599999999999999</v>
      </c>
      <c r="S400" s="408">
        <v>0.6</v>
      </c>
      <c r="T400" s="408">
        <v>0.8</v>
      </c>
      <c r="U400" s="408">
        <v>0.68799999999999994</v>
      </c>
      <c r="V400" s="408">
        <v>0.8</v>
      </c>
      <c r="W400" s="408">
        <v>2.9</v>
      </c>
      <c r="X400" s="408">
        <v>3.7</v>
      </c>
      <c r="Y400" s="408">
        <v>0.5</v>
      </c>
      <c r="Z400" s="408">
        <v>0.3</v>
      </c>
      <c r="AA400" s="408">
        <v>0.5</v>
      </c>
      <c r="AB400" s="408">
        <v>0.8</v>
      </c>
      <c r="AC400" s="408">
        <v>1.7</v>
      </c>
      <c r="AD400" s="408">
        <v>4</v>
      </c>
    </row>
    <row r="401" spans="1:30">
      <c r="A401">
        <v>328</v>
      </c>
      <c r="B401" s="1" t="s">
        <v>338</v>
      </c>
      <c r="C401" s="5" t="s">
        <v>46</v>
      </c>
      <c r="D401" s="408">
        <v>26</v>
      </c>
      <c r="E401" s="5" t="s">
        <v>41</v>
      </c>
      <c r="F401" s="408">
        <v>70</v>
      </c>
      <c r="G401" s="408">
        <v>70</v>
      </c>
      <c r="H401" s="408">
        <v>36.5</v>
      </c>
      <c r="I401" s="408">
        <v>7.3</v>
      </c>
      <c r="J401" s="408">
        <v>15.5</v>
      </c>
      <c r="K401" s="408">
        <v>0.47</v>
      </c>
      <c r="L401" s="408">
        <v>1.8</v>
      </c>
      <c r="M401" s="408">
        <v>5</v>
      </c>
      <c r="N401" s="5">
        <v>0.35799999999999998</v>
      </c>
      <c r="O401" s="408">
        <v>5.5</v>
      </c>
      <c r="P401" s="408">
        <v>10.4</v>
      </c>
      <c r="Q401" s="408">
        <v>0.52300000000000002</v>
      </c>
      <c r="R401" s="408">
        <v>0.52800000000000002</v>
      </c>
      <c r="S401" s="408">
        <v>3.8</v>
      </c>
      <c r="T401" s="408">
        <v>4.4000000000000004</v>
      </c>
      <c r="U401" s="408">
        <v>0.876</v>
      </c>
      <c r="V401" s="408">
        <v>0.5</v>
      </c>
      <c r="W401" s="408">
        <v>4.7</v>
      </c>
      <c r="X401" s="408">
        <v>5.2</v>
      </c>
      <c r="Y401" s="408">
        <v>3.9</v>
      </c>
      <c r="Z401" s="408">
        <v>1.3</v>
      </c>
      <c r="AA401" s="408">
        <v>0.2</v>
      </c>
      <c r="AB401" s="408">
        <v>2.2999999999999998</v>
      </c>
      <c r="AC401" s="408">
        <v>3.3</v>
      </c>
      <c r="AD401" s="408">
        <v>20.2</v>
      </c>
    </row>
    <row r="402" spans="1:30">
      <c r="A402">
        <v>329</v>
      </c>
      <c r="B402" s="1" t="s">
        <v>325</v>
      </c>
      <c r="C402" s="5" t="s">
        <v>46</v>
      </c>
      <c r="D402" s="408">
        <v>30</v>
      </c>
      <c r="E402" s="5" t="s">
        <v>47</v>
      </c>
      <c r="F402" s="408">
        <v>60</v>
      </c>
      <c r="G402" s="408">
        <v>3</v>
      </c>
      <c r="H402" s="408">
        <v>18.899999999999999</v>
      </c>
      <c r="I402" s="408">
        <v>3.4</v>
      </c>
      <c r="J402" s="408">
        <v>8.5</v>
      </c>
      <c r="K402" s="408">
        <v>0.4</v>
      </c>
      <c r="L402" s="408">
        <v>2.5</v>
      </c>
      <c r="M402" s="408">
        <v>6.5</v>
      </c>
      <c r="N402" s="5">
        <v>0.38400000000000001</v>
      </c>
      <c r="O402" s="408">
        <v>0.9</v>
      </c>
      <c r="P402" s="408">
        <v>2</v>
      </c>
      <c r="Q402" s="408">
        <v>0.45400000000000001</v>
      </c>
      <c r="R402" s="408">
        <v>0.54700000000000004</v>
      </c>
      <c r="S402" s="408">
        <v>1.2</v>
      </c>
      <c r="T402" s="408">
        <v>1.4</v>
      </c>
      <c r="U402" s="408">
        <v>0.83099999999999996</v>
      </c>
      <c r="V402" s="408">
        <v>0.3</v>
      </c>
      <c r="W402" s="408">
        <v>1.8</v>
      </c>
      <c r="X402" s="408">
        <v>2.1</v>
      </c>
      <c r="Y402" s="408">
        <v>0.7</v>
      </c>
      <c r="Z402" s="408">
        <v>0.6</v>
      </c>
      <c r="AA402" s="408">
        <v>0.3</v>
      </c>
      <c r="AB402" s="408">
        <v>0.5</v>
      </c>
      <c r="AC402" s="408">
        <v>1.9</v>
      </c>
      <c r="AD402" s="408">
        <v>10.4</v>
      </c>
    </row>
    <row r="403" spans="1:30">
      <c r="A403">
        <v>330</v>
      </c>
      <c r="B403" s="1" t="s">
        <v>372</v>
      </c>
      <c r="C403" s="5" t="s">
        <v>46</v>
      </c>
      <c r="D403" s="408">
        <v>27</v>
      </c>
      <c r="E403" s="5" t="s">
        <v>112</v>
      </c>
      <c r="F403" s="408">
        <v>70</v>
      </c>
      <c r="G403" s="408">
        <v>2</v>
      </c>
      <c r="H403" s="408">
        <v>23.6</v>
      </c>
      <c r="I403" s="408">
        <v>2.6</v>
      </c>
      <c r="J403" s="408">
        <v>5.8</v>
      </c>
      <c r="K403" s="408">
        <v>0.45300000000000001</v>
      </c>
      <c r="L403" s="408">
        <v>1.9</v>
      </c>
      <c r="M403" s="408">
        <v>4.4000000000000004</v>
      </c>
      <c r="N403" s="5">
        <v>0.42599999999999999</v>
      </c>
      <c r="O403" s="408">
        <v>0.8</v>
      </c>
      <c r="P403" s="408">
        <v>1.4</v>
      </c>
      <c r="Q403" s="408">
        <v>0.53500000000000003</v>
      </c>
      <c r="R403" s="408">
        <v>0.61299999999999999</v>
      </c>
      <c r="S403" s="408">
        <v>0.7</v>
      </c>
      <c r="T403" s="408">
        <v>0.8</v>
      </c>
      <c r="U403" s="408">
        <v>0.88100000000000001</v>
      </c>
      <c r="V403" s="408">
        <v>0.2</v>
      </c>
      <c r="W403" s="408">
        <v>1.8</v>
      </c>
      <c r="X403" s="408">
        <v>1.9</v>
      </c>
      <c r="Y403" s="408">
        <v>1.3</v>
      </c>
      <c r="Z403" s="408">
        <v>0.3</v>
      </c>
      <c r="AA403" s="408">
        <v>0.2</v>
      </c>
      <c r="AB403" s="408">
        <v>0.7</v>
      </c>
      <c r="AC403" s="408">
        <v>2.1</v>
      </c>
      <c r="AD403" s="408">
        <v>7.9</v>
      </c>
    </row>
    <row r="404" spans="1:30">
      <c r="A404">
        <v>331</v>
      </c>
      <c r="B404" s="1" t="s">
        <v>642</v>
      </c>
      <c r="C404" s="5" t="s">
        <v>46</v>
      </c>
      <c r="D404" s="408">
        <v>24</v>
      </c>
      <c r="E404" s="5" t="s">
        <v>47</v>
      </c>
      <c r="F404" s="408">
        <v>14</v>
      </c>
      <c r="G404" s="408">
        <v>3</v>
      </c>
      <c r="H404" s="408">
        <v>8.4</v>
      </c>
      <c r="I404" s="408">
        <v>0.9</v>
      </c>
      <c r="J404" s="408">
        <v>2</v>
      </c>
      <c r="K404" s="408">
        <v>0.46400000000000002</v>
      </c>
      <c r="L404" s="408">
        <v>0.6</v>
      </c>
      <c r="M404" s="408">
        <v>1.5</v>
      </c>
      <c r="N404" s="5">
        <v>0.38100000000000001</v>
      </c>
      <c r="O404" s="408">
        <v>0.4</v>
      </c>
      <c r="P404" s="408">
        <v>0.5</v>
      </c>
      <c r="Q404" s="408">
        <v>0.71399999999999997</v>
      </c>
      <c r="R404" s="408">
        <v>0.60699999999999998</v>
      </c>
      <c r="S404" s="408">
        <v>0.3</v>
      </c>
      <c r="T404" s="408">
        <v>0.3</v>
      </c>
      <c r="U404" s="408">
        <v>1</v>
      </c>
      <c r="V404" s="408">
        <v>0.3</v>
      </c>
      <c r="W404" s="408">
        <v>0.9</v>
      </c>
      <c r="X404" s="408">
        <v>1.1000000000000001</v>
      </c>
      <c r="Y404" s="408">
        <v>0.2</v>
      </c>
      <c r="Z404" s="408">
        <v>0.1</v>
      </c>
      <c r="AA404" s="408">
        <v>0.1</v>
      </c>
      <c r="AB404" s="408">
        <v>0.3</v>
      </c>
      <c r="AC404" s="408">
        <v>0.7</v>
      </c>
      <c r="AD404" s="408">
        <v>2.7</v>
      </c>
    </row>
    <row r="405" spans="1:30">
      <c r="A405">
        <v>332</v>
      </c>
      <c r="B405" s="1" t="s">
        <v>362</v>
      </c>
      <c r="C405" s="5" t="s">
        <v>20</v>
      </c>
      <c r="D405" s="408">
        <v>29</v>
      </c>
      <c r="E405" s="5" t="s">
        <v>140</v>
      </c>
      <c r="F405" s="408">
        <v>71</v>
      </c>
      <c r="G405" s="408">
        <v>25</v>
      </c>
      <c r="H405" s="408">
        <v>24.7</v>
      </c>
      <c r="I405" s="408">
        <v>3.3</v>
      </c>
      <c r="J405" s="408">
        <v>8</v>
      </c>
      <c r="K405" s="408">
        <v>0.41299999999999998</v>
      </c>
      <c r="L405" s="408">
        <v>1.8</v>
      </c>
      <c r="M405" s="408">
        <v>4.8</v>
      </c>
      <c r="N405" s="5">
        <v>0.379</v>
      </c>
      <c r="O405" s="408">
        <v>1.5</v>
      </c>
      <c r="P405" s="408">
        <v>3.2</v>
      </c>
      <c r="Q405" s="408">
        <v>0.46500000000000002</v>
      </c>
      <c r="R405" s="408">
        <v>0.52700000000000002</v>
      </c>
      <c r="S405" s="408">
        <v>1.2</v>
      </c>
      <c r="T405" s="408">
        <v>1.4</v>
      </c>
      <c r="U405" s="408">
        <v>0.875</v>
      </c>
      <c r="V405" s="408">
        <v>0.3</v>
      </c>
      <c r="W405" s="408">
        <v>1.6</v>
      </c>
      <c r="X405" s="408">
        <v>1.9</v>
      </c>
      <c r="Y405" s="408">
        <v>2.7</v>
      </c>
      <c r="Z405" s="408">
        <v>0.6</v>
      </c>
      <c r="AA405" s="408">
        <v>0.2</v>
      </c>
      <c r="AB405" s="408">
        <v>1.3</v>
      </c>
      <c r="AC405" s="408">
        <v>1.5</v>
      </c>
      <c r="AD405" s="408">
        <v>9.6</v>
      </c>
    </row>
    <row r="406" spans="1:30">
      <c r="A406">
        <v>333</v>
      </c>
      <c r="B406" s="1" t="s">
        <v>407</v>
      </c>
      <c r="C406" s="5" t="s">
        <v>38</v>
      </c>
      <c r="D406" s="408">
        <v>32</v>
      </c>
      <c r="E406" s="5" t="s">
        <v>61</v>
      </c>
      <c r="F406" s="408">
        <v>27</v>
      </c>
      <c r="G406" s="408">
        <v>26</v>
      </c>
      <c r="H406" s="408">
        <v>28.3</v>
      </c>
      <c r="I406" s="408">
        <v>5</v>
      </c>
      <c r="J406" s="408">
        <v>11.3</v>
      </c>
      <c r="K406" s="408">
        <v>0.44700000000000001</v>
      </c>
      <c r="L406" s="408">
        <v>1.1000000000000001</v>
      </c>
      <c r="M406" s="408">
        <v>3.2</v>
      </c>
      <c r="N406" s="5">
        <v>0.34899999999999998</v>
      </c>
      <c r="O406" s="408">
        <v>3.9</v>
      </c>
      <c r="P406" s="408">
        <v>8.1</v>
      </c>
      <c r="Q406" s="408">
        <v>0.48599999999999999</v>
      </c>
      <c r="R406" s="408">
        <v>0.497</v>
      </c>
      <c r="S406" s="408">
        <v>2.7</v>
      </c>
      <c r="T406" s="408">
        <v>3.9</v>
      </c>
      <c r="U406" s="408">
        <v>0.71199999999999997</v>
      </c>
      <c r="V406" s="408">
        <v>1.4</v>
      </c>
      <c r="W406" s="408">
        <v>4.8</v>
      </c>
      <c r="X406" s="408">
        <v>6.3</v>
      </c>
      <c r="Y406" s="408">
        <v>2.7</v>
      </c>
      <c r="Z406" s="408">
        <v>1.1000000000000001</v>
      </c>
      <c r="AA406" s="408">
        <v>1.2</v>
      </c>
      <c r="AB406" s="408">
        <v>2</v>
      </c>
      <c r="AC406" s="408">
        <v>2.5</v>
      </c>
      <c r="AD406" s="408">
        <v>13.9</v>
      </c>
    </row>
    <row r="407" spans="1:30">
      <c r="A407">
        <v>334</v>
      </c>
      <c r="B407" s="1" t="s">
        <v>330</v>
      </c>
      <c r="C407" s="5" t="s">
        <v>38</v>
      </c>
      <c r="D407" s="408">
        <v>26</v>
      </c>
      <c r="E407" s="5" t="s">
        <v>357</v>
      </c>
      <c r="F407" s="408">
        <v>44</v>
      </c>
      <c r="G407" s="408">
        <v>9</v>
      </c>
      <c r="H407" s="408">
        <v>26.8</v>
      </c>
      <c r="I407" s="408">
        <v>5.4</v>
      </c>
      <c r="J407" s="408">
        <v>12.2</v>
      </c>
      <c r="K407" s="408">
        <v>0.44</v>
      </c>
      <c r="L407" s="408">
        <v>2.4</v>
      </c>
      <c r="M407" s="408">
        <v>6.5</v>
      </c>
      <c r="N407" s="5">
        <v>0.377</v>
      </c>
      <c r="O407" s="408">
        <v>2.9</v>
      </c>
      <c r="P407" s="408">
        <v>5.7</v>
      </c>
      <c r="Q407" s="408">
        <v>0.51200000000000001</v>
      </c>
      <c r="R407" s="408">
        <v>0.54</v>
      </c>
      <c r="S407" s="408">
        <v>2.2000000000000002</v>
      </c>
      <c r="T407" s="408">
        <v>2.7</v>
      </c>
      <c r="U407" s="408">
        <v>0.80800000000000005</v>
      </c>
      <c r="V407" s="408">
        <v>1</v>
      </c>
      <c r="W407" s="408">
        <v>6</v>
      </c>
      <c r="X407" s="408">
        <v>7.1</v>
      </c>
      <c r="Y407" s="408">
        <v>1.5</v>
      </c>
      <c r="Z407" s="408">
        <v>0.8</v>
      </c>
      <c r="AA407" s="408">
        <v>0.7</v>
      </c>
      <c r="AB407" s="408">
        <v>1.2</v>
      </c>
      <c r="AC407" s="408">
        <v>2</v>
      </c>
      <c r="AD407" s="408">
        <v>15.4</v>
      </c>
    </row>
    <row r="408" spans="1:30">
      <c r="A408">
        <v>334</v>
      </c>
      <c r="B408" s="1" t="s">
        <v>330</v>
      </c>
      <c r="C408" s="5" t="s">
        <v>38</v>
      </c>
      <c r="D408" s="408">
        <v>26</v>
      </c>
      <c r="E408" s="5" t="s">
        <v>43</v>
      </c>
      <c r="F408" s="408">
        <v>25</v>
      </c>
      <c r="G408" s="408">
        <v>3</v>
      </c>
      <c r="H408" s="408">
        <v>24.9</v>
      </c>
      <c r="I408" s="408">
        <v>5.7</v>
      </c>
      <c r="J408" s="408">
        <v>12.1</v>
      </c>
      <c r="K408" s="408">
        <v>0.47399999999999998</v>
      </c>
      <c r="L408" s="408">
        <v>2.8</v>
      </c>
      <c r="M408" s="408">
        <v>6.4</v>
      </c>
      <c r="N408" s="5">
        <v>0.42899999999999999</v>
      </c>
      <c r="O408" s="408">
        <v>3</v>
      </c>
      <c r="P408" s="408">
        <v>5.6</v>
      </c>
      <c r="Q408" s="408">
        <v>0.52500000000000002</v>
      </c>
      <c r="R408" s="408">
        <v>0.58799999999999997</v>
      </c>
      <c r="S408" s="408">
        <v>2.6</v>
      </c>
      <c r="T408" s="408">
        <v>3.2</v>
      </c>
      <c r="U408" s="408">
        <v>0.82299999999999995</v>
      </c>
      <c r="V408" s="408">
        <v>0.7</v>
      </c>
      <c r="W408" s="408">
        <v>5.6</v>
      </c>
      <c r="X408" s="408">
        <v>6.4</v>
      </c>
      <c r="Y408" s="408">
        <v>1.6</v>
      </c>
      <c r="Z408" s="408">
        <v>0.6</v>
      </c>
      <c r="AA408" s="408">
        <v>0.5</v>
      </c>
      <c r="AB408" s="408">
        <v>1.2</v>
      </c>
      <c r="AC408" s="408">
        <v>1.8</v>
      </c>
      <c r="AD408" s="408">
        <v>16.8</v>
      </c>
    </row>
    <row r="409" spans="1:30">
      <c r="A409">
        <v>334</v>
      </c>
      <c r="B409" s="1" t="s">
        <v>330</v>
      </c>
      <c r="C409" s="5" t="s">
        <v>38</v>
      </c>
      <c r="D409" s="408">
        <v>26</v>
      </c>
      <c r="E409" s="5" t="s">
        <v>112</v>
      </c>
      <c r="F409" s="408">
        <v>19</v>
      </c>
      <c r="G409" s="408">
        <v>6</v>
      </c>
      <c r="H409" s="408">
        <v>29.4</v>
      </c>
      <c r="I409" s="408">
        <v>4.9000000000000004</v>
      </c>
      <c r="J409" s="408">
        <v>12.3</v>
      </c>
      <c r="K409" s="408">
        <v>0.39700000000000002</v>
      </c>
      <c r="L409" s="408">
        <v>2</v>
      </c>
      <c r="M409" s="408">
        <v>6.5</v>
      </c>
      <c r="N409" s="5">
        <v>0.309</v>
      </c>
      <c r="O409" s="408">
        <v>2.9</v>
      </c>
      <c r="P409" s="408">
        <v>5.8</v>
      </c>
      <c r="Q409" s="408">
        <v>0.495</v>
      </c>
      <c r="R409" s="408">
        <v>0.47899999999999998</v>
      </c>
      <c r="S409" s="408">
        <v>1.7</v>
      </c>
      <c r="T409" s="408">
        <v>2.2000000000000002</v>
      </c>
      <c r="U409" s="408">
        <v>0.78</v>
      </c>
      <c r="V409" s="408">
        <v>1.4</v>
      </c>
      <c r="W409" s="408">
        <v>6.6</v>
      </c>
      <c r="X409" s="408">
        <v>8</v>
      </c>
      <c r="Y409" s="408">
        <v>1.4</v>
      </c>
      <c r="Z409" s="408">
        <v>1.1000000000000001</v>
      </c>
      <c r="AA409" s="408">
        <v>1</v>
      </c>
      <c r="AB409" s="408">
        <v>1.2</v>
      </c>
      <c r="AC409" s="408">
        <v>2.2000000000000002</v>
      </c>
      <c r="AD409" s="408">
        <v>13.5</v>
      </c>
    </row>
    <row r="410" spans="1:30">
      <c r="A410">
        <v>335</v>
      </c>
      <c r="B410" s="1" t="s">
        <v>319</v>
      </c>
      <c r="C410" s="5" t="s">
        <v>26</v>
      </c>
      <c r="D410" s="408">
        <v>21</v>
      </c>
      <c r="E410" s="5" t="s">
        <v>305</v>
      </c>
      <c r="F410" s="408">
        <v>67</v>
      </c>
      <c r="G410" s="408">
        <v>59</v>
      </c>
      <c r="H410" s="408">
        <v>33.1</v>
      </c>
      <c r="I410" s="408">
        <v>7.3</v>
      </c>
      <c r="J410" s="408">
        <v>16.7</v>
      </c>
      <c r="K410" s="408">
        <v>0.438</v>
      </c>
      <c r="L410" s="408">
        <v>2.4</v>
      </c>
      <c r="M410" s="408">
        <v>6.9</v>
      </c>
      <c r="N410" s="5">
        <v>0.34300000000000003</v>
      </c>
      <c r="O410" s="408">
        <v>4.9000000000000004</v>
      </c>
      <c r="P410" s="408">
        <v>9.8000000000000007</v>
      </c>
      <c r="Q410" s="408">
        <v>0.505</v>
      </c>
      <c r="R410" s="408">
        <v>0.50900000000000001</v>
      </c>
      <c r="S410" s="408">
        <v>2.9</v>
      </c>
      <c r="T410" s="408">
        <v>3.5</v>
      </c>
      <c r="U410" s="408">
        <v>0.82599999999999996</v>
      </c>
      <c r="V410" s="408">
        <v>0.6</v>
      </c>
      <c r="W410" s="408">
        <v>3.1</v>
      </c>
      <c r="X410" s="408">
        <v>3.7</v>
      </c>
      <c r="Y410" s="408">
        <v>3.6</v>
      </c>
      <c r="Z410" s="408">
        <v>1.4</v>
      </c>
      <c r="AA410" s="408">
        <v>0.4</v>
      </c>
      <c r="AB410" s="408">
        <v>2.7</v>
      </c>
      <c r="AC410" s="408">
        <v>2.8</v>
      </c>
      <c r="AD410" s="408">
        <v>19.899999999999999</v>
      </c>
    </row>
    <row r="411" spans="1:30">
      <c r="A411">
        <v>336</v>
      </c>
      <c r="B411" s="1" t="s">
        <v>646</v>
      </c>
      <c r="C411" s="5" t="s">
        <v>26</v>
      </c>
      <c r="D411" s="408">
        <v>24</v>
      </c>
      <c r="E411" s="5" t="s">
        <v>305</v>
      </c>
      <c r="F411" s="408">
        <v>1</v>
      </c>
      <c r="G411" s="408">
        <v>0</v>
      </c>
      <c r="H411" s="408">
        <v>1</v>
      </c>
      <c r="I411" s="408">
        <v>1</v>
      </c>
      <c r="J411" s="408">
        <v>1</v>
      </c>
      <c r="K411" s="408">
        <v>1</v>
      </c>
      <c r="L411" s="408">
        <v>1</v>
      </c>
      <c r="M411" s="408">
        <v>1</v>
      </c>
      <c r="N411" s="5">
        <v>1</v>
      </c>
      <c r="O411" s="408">
        <v>0</v>
      </c>
      <c r="P411" s="408">
        <v>0</v>
      </c>
      <c r="Q411" s="408"/>
      <c r="R411" s="408">
        <v>1.5</v>
      </c>
      <c r="S411" s="408">
        <v>0</v>
      </c>
      <c r="T411" s="408">
        <v>0</v>
      </c>
      <c r="U411" s="408"/>
      <c r="V411" s="408">
        <v>0</v>
      </c>
      <c r="W411" s="408">
        <v>0</v>
      </c>
      <c r="X411" s="408">
        <v>0</v>
      </c>
      <c r="Y411" s="408">
        <v>0</v>
      </c>
      <c r="Z411" s="408">
        <v>0</v>
      </c>
      <c r="AA411" s="408">
        <v>0</v>
      </c>
      <c r="AB411" s="408">
        <v>0</v>
      </c>
      <c r="AC411" s="408">
        <v>0</v>
      </c>
      <c r="AD411" s="408">
        <v>3</v>
      </c>
    </row>
    <row r="412" spans="1:30">
      <c r="A412">
        <v>337</v>
      </c>
      <c r="B412" s="1" t="s">
        <v>415</v>
      </c>
      <c r="C412" s="5" t="s">
        <v>26</v>
      </c>
      <c r="D412" s="408">
        <v>19</v>
      </c>
      <c r="E412" s="5" t="s">
        <v>311</v>
      </c>
      <c r="F412" s="408">
        <v>52</v>
      </c>
      <c r="G412" s="408">
        <v>0</v>
      </c>
      <c r="H412" s="408">
        <v>12.2</v>
      </c>
      <c r="I412" s="408">
        <v>1.9</v>
      </c>
      <c r="J412" s="408">
        <v>5.7</v>
      </c>
      <c r="K412" s="408">
        <v>0.32700000000000001</v>
      </c>
      <c r="L412" s="408">
        <v>1</v>
      </c>
      <c r="M412" s="408">
        <v>3.2</v>
      </c>
      <c r="N412" s="5">
        <v>0.315</v>
      </c>
      <c r="O412" s="408">
        <v>0.8</v>
      </c>
      <c r="P412" s="408">
        <v>2.5</v>
      </c>
      <c r="Q412" s="408">
        <v>0.34100000000000003</v>
      </c>
      <c r="R412" s="408">
        <v>0.41599999999999998</v>
      </c>
      <c r="S412" s="408">
        <v>0.3</v>
      </c>
      <c r="T412" s="408">
        <v>0.4</v>
      </c>
      <c r="U412" s="408">
        <v>0.73899999999999999</v>
      </c>
      <c r="V412" s="408">
        <v>0.1</v>
      </c>
      <c r="W412" s="408">
        <v>0.9</v>
      </c>
      <c r="X412" s="408">
        <v>1</v>
      </c>
      <c r="Y412" s="408">
        <v>1.2</v>
      </c>
      <c r="Z412" s="408">
        <v>0.3</v>
      </c>
      <c r="AA412" s="408">
        <v>0.1</v>
      </c>
      <c r="AB412" s="408">
        <v>0.5</v>
      </c>
      <c r="AC412" s="408">
        <v>0.9</v>
      </c>
      <c r="AD412" s="408">
        <v>5.0999999999999996</v>
      </c>
    </row>
    <row r="413" spans="1:30">
      <c r="A413">
        <v>338</v>
      </c>
      <c r="B413" s="1" t="s">
        <v>199</v>
      </c>
      <c r="C413" s="5" t="s">
        <v>83</v>
      </c>
      <c r="D413" s="408">
        <v>27</v>
      </c>
      <c r="E413" s="5" t="s">
        <v>357</v>
      </c>
      <c r="F413" s="408">
        <v>39</v>
      </c>
      <c r="G413" s="408">
        <v>14</v>
      </c>
      <c r="H413" s="408">
        <v>20.100000000000001</v>
      </c>
      <c r="I413" s="408">
        <v>4.3</v>
      </c>
      <c r="J413" s="408">
        <v>7.2</v>
      </c>
      <c r="K413" s="408">
        <v>0.59399999999999997</v>
      </c>
      <c r="L413" s="408">
        <v>0</v>
      </c>
      <c r="M413" s="408">
        <v>0</v>
      </c>
      <c r="O413" s="408">
        <v>4.3</v>
      </c>
      <c r="P413" s="408">
        <v>7.2</v>
      </c>
      <c r="Q413" s="408">
        <v>0.59399999999999997</v>
      </c>
      <c r="R413" s="408">
        <v>0.59399999999999997</v>
      </c>
      <c r="S413" s="408">
        <v>1.4</v>
      </c>
      <c r="T413" s="408">
        <v>2.1</v>
      </c>
      <c r="U413" s="408">
        <v>0.69099999999999995</v>
      </c>
      <c r="V413" s="408">
        <v>2.1</v>
      </c>
      <c r="W413" s="408">
        <v>4.5999999999999996</v>
      </c>
      <c r="X413" s="408">
        <v>6.7</v>
      </c>
      <c r="Y413" s="408">
        <v>1.9</v>
      </c>
      <c r="Z413" s="408">
        <v>0.7</v>
      </c>
      <c r="AA413" s="408">
        <v>0.4</v>
      </c>
      <c r="AB413" s="408">
        <v>1.8</v>
      </c>
      <c r="AC413" s="408">
        <v>1.8</v>
      </c>
      <c r="AD413" s="408">
        <v>10</v>
      </c>
    </row>
    <row r="414" spans="1:30">
      <c r="A414">
        <v>338</v>
      </c>
      <c r="B414" s="1" t="s">
        <v>199</v>
      </c>
      <c r="C414" s="5" t="s">
        <v>83</v>
      </c>
      <c r="D414" s="408">
        <v>27</v>
      </c>
      <c r="E414" s="5" t="s">
        <v>41</v>
      </c>
      <c r="F414" s="408">
        <v>5</v>
      </c>
      <c r="G414" s="408">
        <v>0</v>
      </c>
      <c r="H414" s="408">
        <v>15.8</v>
      </c>
      <c r="I414" s="408">
        <v>3.2</v>
      </c>
      <c r="J414" s="408">
        <v>6.6</v>
      </c>
      <c r="K414" s="408">
        <v>0.48499999999999999</v>
      </c>
      <c r="L414" s="408">
        <v>0</v>
      </c>
      <c r="M414" s="408">
        <v>0</v>
      </c>
      <c r="O414" s="408">
        <v>3.2</v>
      </c>
      <c r="P414" s="408">
        <v>6.6</v>
      </c>
      <c r="Q414" s="408">
        <v>0.48499999999999999</v>
      </c>
      <c r="R414" s="408">
        <v>0.48499999999999999</v>
      </c>
      <c r="S414" s="408">
        <v>0.4</v>
      </c>
      <c r="T414" s="408">
        <v>0.8</v>
      </c>
      <c r="U414" s="408">
        <v>0.5</v>
      </c>
      <c r="V414" s="408">
        <v>1.2</v>
      </c>
      <c r="W414" s="408">
        <v>3.8</v>
      </c>
      <c r="X414" s="408">
        <v>5</v>
      </c>
      <c r="Y414" s="408">
        <v>1</v>
      </c>
      <c r="Z414" s="408">
        <v>0</v>
      </c>
      <c r="AA414" s="408">
        <v>0</v>
      </c>
      <c r="AB414" s="408">
        <v>1.2</v>
      </c>
      <c r="AC414" s="408">
        <v>1.4</v>
      </c>
      <c r="AD414" s="408">
        <v>6.8</v>
      </c>
    </row>
    <row r="415" spans="1:30">
      <c r="A415">
        <v>338</v>
      </c>
      <c r="B415" s="1" t="s">
        <v>199</v>
      </c>
      <c r="C415" s="5" t="s">
        <v>83</v>
      </c>
      <c r="D415" s="408">
        <v>27</v>
      </c>
      <c r="E415" s="5" t="s">
        <v>313</v>
      </c>
      <c r="F415" s="408">
        <v>20</v>
      </c>
      <c r="G415" s="408">
        <v>14</v>
      </c>
      <c r="H415" s="408">
        <v>23.3</v>
      </c>
      <c r="I415" s="408">
        <v>4.9000000000000004</v>
      </c>
      <c r="J415" s="408">
        <v>7.8</v>
      </c>
      <c r="K415" s="408">
        <v>0.626</v>
      </c>
      <c r="L415" s="408">
        <v>0</v>
      </c>
      <c r="M415" s="408">
        <v>0</v>
      </c>
      <c r="O415" s="408">
        <v>4.9000000000000004</v>
      </c>
      <c r="P415" s="408">
        <v>7.8</v>
      </c>
      <c r="Q415" s="408">
        <v>0.626</v>
      </c>
      <c r="R415" s="408">
        <v>0.626</v>
      </c>
      <c r="S415" s="408">
        <v>1.6</v>
      </c>
      <c r="T415" s="408">
        <v>2.2999999999999998</v>
      </c>
      <c r="U415" s="408">
        <v>0.67400000000000004</v>
      </c>
      <c r="V415" s="408">
        <v>2.5</v>
      </c>
      <c r="W415" s="408">
        <v>5.5</v>
      </c>
      <c r="X415" s="408">
        <v>8</v>
      </c>
      <c r="Y415" s="408">
        <v>2.5</v>
      </c>
      <c r="Z415" s="408">
        <v>0.8</v>
      </c>
      <c r="AA415" s="408">
        <v>0.3</v>
      </c>
      <c r="AB415" s="408">
        <v>2</v>
      </c>
      <c r="AC415" s="408">
        <v>2</v>
      </c>
      <c r="AD415" s="408">
        <v>11.3</v>
      </c>
    </row>
    <row r="416" spans="1:30">
      <c r="A416">
        <v>338</v>
      </c>
      <c r="B416" s="1" t="s">
        <v>199</v>
      </c>
      <c r="C416" s="5" t="s">
        <v>83</v>
      </c>
      <c r="D416" s="408">
        <v>27</v>
      </c>
      <c r="E416" s="5" t="s">
        <v>87</v>
      </c>
      <c r="F416" s="408">
        <v>14</v>
      </c>
      <c r="G416" s="408">
        <v>0</v>
      </c>
      <c r="H416" s="408">
        <v>17.100000000000001</v>
      </c>
      <c r="I416" s="408">
        <v>3.9</v>
      </c>
      <c r="J416" s="408">
        <v>6.6</v>
      </c>
      <c r="K416" s="408">
        <v>0.58099999999999996</v>
      </c>
      <c r="L416" s="408">
        <v>0</v>
      </c>
      <c r="M416" s="408">
        <v>0</v>
      </c>
      <c r="O416" s="408">
        <v>3.9</v>
      </c>
      <c r="P416" s="408">
        <v>6.6</v>
      </c>
      <c r="Q416" s="408">
        <v>0.58099999999999996</v>
      </c>
      <c r="R416" s="408">
        <v>0.58099999999999996</v>
      </c>
      <c r="S416" s="408">
        <v>1.6</v>
      </c>
      <c r="T416" s="408">
        <v>2.2000000000000002</v>
      </c>
      <c r="U416" s="408">
        <v>0.74199999999999999</v>
      </c>
      <c r="V416" s="408">
        <v>1.9</v>
      </c>
      <c r="W416" s="408">
        <v>3.6</v>
      </c>
      <c r="X416" s="408">
        <v>5.4</v>
      </c>
      <c r="Y416" s="408">
        <v>1.3</v>
      </c>
      <c r="Z416" s="408">
        <v>0.9</v>
      </c>
      <c r="AA416" s="408">
        <v>0.7</v>
      </c>
      <c r="AB416" s="408">
        <v>1.7</v>
      </c>
      <c r="AC416" s="408">
        <v>1.7</v>
      </c>
      <c r="AD416" s="408">
        <v>9.4</v>
      </c>
    </row>
    <row r="417" spans="1:30">
      <c r="A417">
        <v>339</v>
      </c>
      <c r="B417" s="1" t="s">
        <v>622</v>
      </c>
      <c r="C417" s="5" t="s">
        <v>26</v>
      </c>
      <c r="D417" s="408">
        <v>24</v>
      </c>
      <c r="E417" s="5" t="s">
        <v>157</v>
      </c>
      <c r="F417" s="408">
        <v>2</v>
      </c>
      <c r="G417" s="408">
        <v>0</v>
      </c>
      <c r="H417" s="408">
        <v>4</v>
      </c>
      <c r="I417" s="408">
        <v>0</v>
      </c>
      <c r="J417" s="408">
        <v>0.5</v>
      </c>
      <c r="K417" s="408">
        <v>0</v>
      </c>
      <c r="L417" s="408">
        <v>0</v>
      </c>
      <c r="M417" s="408">
        <v>0</v>
      </c>
      <c r="O417" s="408">
        <v>0</v>
      </c>
      <c r="P417" s="408">
        <v>0.5</v>
      </c>
      <c r="Q417" s="408">
        <v>0</v>
      </c>
      <c r="R417" s="408">
        <v>0</v>
      </c>
      <c r="S417" s="408">
        <v>0</v>
      </c>
      <c r="T417" s="408">
        <v>0</v>
      </c>
      <c r="U417" s="408"/>
      <c r="V417" s="408">
        <v>0</v>
      </c>
      <c r="W417" s="408">
        <v>1</v>
      </c>
      <c r="X417" s="408">
        <v>1</v>
      </c>
      <c r="Y417" s="408">
        <v>0</v>
      </c>
      <c r="Z417" s="408">
        <v>0</v>
      </c>
      <c r="AA417" s="408">
        <v>0</v>
      </c>
      <c r="AB417" s="408">
        <v>1</v>
      </c>
      <c r="AC417" s="408">
        <v>0</v>
      </c>
      <c r="AD417" s="408">
        <v>0</v>
      </c>
    </row>
    <row r="418" spans="1:30">
      <c r="A418">
        <v>340</v>
      </c>
      <c r="B418" s="1" t="s">
        <v>807</v>
      </c>
      <c r="C418" s="5" t="s">
        <v>38</v>
      </c>
      <c r="D418" s="408">
        <v>22</v>
      </c>
      <c r="E418" s="5" t="s">
        <v>30</v>
      </c>
      <c r="F418" s="408">
        <v>2</v>
      </c>
      <c r="G418" s="408">
        <v>0</v>
      </c>
      <c r="H418" s="408">
        <v>4.5</v>
      </c>
      <c r="I418" s="408">
        <v>0</v>
      </c>
      <c r="J418" s="408">
        <v>0</v>
      </c>
      <c r="K418" s="408"/>
      <c r="L418" s="408">
        <v>0</v>
      </c>
      <c r="M418" s="408">
        <v>0</v>
      </c>
      <c r="O418" s="408">
        <v>0</v>
      </c>
      <c r="P418" s="408">
        <v>0</v>
      </c>
      <c r="Q418" s="408"/>
      <c r="R418" s="408"/>
      <c r="S418" s="408">
        <v>0</v>
      </c>
      <c r="T418" s="408">
        <v>0</v>
      </c>
      <c r="U418" s="408"/>
      <c r="V418" s="408">
        <v>0</v>
      </c>
      <c r="W418" s="408">
        <v>0.5</v>
      </c>
      <c r="X418" s="408">
        <v>0.5</v>
      </c>
      <c r="Y418" s="408">
        <v>0.5</v>
      </c>
      <c r="Z418" s="408">
        <v>0</v>
      </c>
      <c r="AA418" s="408">
        <v>0</v>
      </c>
      <c r="AB418" s="408">
        <v>0</v>
      </c>
      <c r="AC418" s="408">
        <v>2</v>
      </c>
      <c r="AD418" s="408">
        <v>0</v>
      </c>
    </row>
    <row r="419" spans="1:30">
      <c r="A419">
        <v>341</v>
      </c>
      <c r="B419" s="1" t="s">
        <v>393</v>
      </c>
      <c r="C419" s="5" t="s">
        <v>26</v>
      </c>
      <c r="D419" s="408">
        <v>28</v>
      </c>
      <c r="E419" s="5" t="s">
        <v>112</v>
      </c>
      <c r="F419" s="408">
        <v>70</v>
      </c>
      <c r="G419" s="408">
        <v>68</v>
      </c>
      <c r="H419" s="408">
        <v>31.7</v>
      </c>
      <c r="I419" s="408">
        <v>5</v>
      </c>
      <c r="J419" s="408">
        <v>10.1</v>
      </c>
      <c r="K419" s="408">
        <v>0.499</v>
      </c>
      <c r="L419" s="408">
        <v>1.5</v>
      </c>
      <c r="M419" s="408">
        <v>3.6</v>
      </c>
      <c r="N419" s="5">
        <v>0.41699999999999998</v>
      </c>
      <c r="O419" s="408">
        <v>3.5</v>
      </c>
      <c r="P419" s="408">
        <v>6.4</v>
      </c>
      <c r="Q419" s="408">
        <v>0.54500000000000004</v>
      </c>
      <c r="R419" s="408">
        <v>0.57399999999999995</v>
      </c>
      <c r="S419" s="408">
        <v>0.6</v>
      </c>
      <c r="T419" s="408">
        <v>0.9</v>
      </c>
      <c r="U419" s="408">
        <v>0.7</v>
      </c>
      <c r="V419" s="408">
        <v>0.7</v>
      </c>
      <c r="W419" s="408">
        <v>2.2000000000000002</v>
      </c>
      <c r="X419" s="408">
        <v>3</v>
      </c>
      <c r="Y419" s="408">
        <v>2.2000000000000002</v>
      </c>
      <c r="Z419" s="408">
        <v>0.9</v>
      </c>
      <c r="AA419" s="408">
        <v>0.1</v>
      </c>
      <c r="AB419" s="408">
        <v>1.3</v>
      </c>
      <c r="AC419" s="408">
        <v>2.2999999999999998</v>
      </c>
      <c r="AD419" s="408">
        <v>12.2</v>
      </c>
    </row>
    <row r="420" spans="1:30">
      <c r="A420">
        <v>342</v>
      </c>
      <c r="B420" s="1" t="s">
        <v>610</v>
      </c>
      <c r="C420" s="5" t="s">
        <v>38</v>
      </c>
      <c r="D420" s="408">
        <v>26</v>
      </c>
      <c r="E420" s="5" t="s">
        <v>157</v>
      </c>
      <c r="F420" s="408">
        <v>56</v>
      </c>
      <c r="G420" s="408">
        <v>1</v>
      </c>
      <c r="H420" s="408">
        <v>11.5</v>
      </c>
      <c r="I420" s="408">
        <v>0.8</v>
      </c>
      <c r="J420" s="408">
        <v>1.6</v>
      </c>
      <c r="K420" s="408">
        <v>0.52800000000000002</v>
      </c>
      <c r="L420" s="408">
        <v>0</v>
      </c>
      <c r="M420" s="408">
        <v>0</v>
      </c>
      <c r="O420" s="408">
        <v>0.8</v>
      </c>
      <c r="P420" s="408">
        <v>1.6</v>
      </c>
      <c r="Q420" s="408">
        <v>0.52800000000000002</v>
      </c>
      <c r="R420" s="408">
        <v>0.52800000000000002</v>
      </c>
      <c r="S420" s="408">
        <v>0.2</v>
      </c>
      <c r="T420" s="408">
        <v>0.4</v>
      </c>
      <c r="U420" s="408">
        <v>0.375</v>
      </c>
      <c r="V420" s="408">
        <v>1.1000000000000001</v>
      </c>
      <c r="W420" s="408">
        <v>2.8</v>
      </c>
      <c r="X420" s="408">
        <v>3.9</v>
      </c>
      <c r="Y420" s="408">
        <v>1.1000000000000001</v>
      </c>
      <c r="Z420" s="408">
        <v>0.4</v>
      </c>
      <c r="AA420" s="408">
        <v>0.7</v>
      </c>
      <c r="AB420" s="408">
        <v>0.6</v>
      </c>
      <c r="AC420" s="408">
        <v>1.6</v>
      </c>
      <c r="AD420" s="408">
        <v>1.8</v>
      </c>
    </row>
    <row r="421" spans="1:30">
      <c r="A421">
        <v>343</v>
      </c>
      <c r="B421" s="1" t="s">
        <v>1064</v>
      </c>
      <c r="C421" s="5" t="s">
        <v>26</v>
      </c>
      <c r="D421" s="408">
        <v>22</v>
      </c>
      <c r="E421" s="5" t="s">
        <v>149</v>
      </c>
      <c r="F421" s="408">
        <v>6</v>
      </c>
      <c r="G421" s="408">
        <v>0</v>
      </c>
      <c r="H421" s="408">
        <v>16.3</v>
      </c>
      <c r="I421" s="408">
        <v>2.2000000000000002</v>
      </c>
      <c r="J421" s="408">
        <v>5.2</v>
      </c>
      <c r="K421" s="408">
        <v>0.41899999999999998</v>
      </c>
      <c r="L421" s="408">
        <v>0.3</v>
      </c>
      <c r="M421" s="408">
        <v>1.5</v>
      </c>
      <c r="N421" s="5">
        <v>0.222</v>
      </c>
      <c r="O421" s="408">
        <v>1.8</v>
      </c>
      <c r="P421" s="408">
        <v>3.7</v>
      </c>
      <c r="Q421" s="408">
        <v>0.5</v>
      </c>
      <c r="R421" s="408">
        <v>0.45200000000000001</v>
      </c>
      <c r="S421" s="408">
        <v>0</v>
      </c>
      <c r="T421" s="408">
        <v>0</v>
      </c>
      <c r="U421" s="408"/>
      <c r="V421" s="408">
        <v>0.3</v>
      </c>
      <c r="W421" s="408">
        <v>2.2999999999999998</v>
      </c>
      <c r="X421" s="408">
        <v>2.7</v>
      </c>
      <c r="Y421" s="408">
        <v>1.2</v>
      </c>
      <c r="Z421" s="408">
        <v>0.3</v>
      </c>
      <c r="AA421" s="408">
        <v>0.2</v>
      </c>
      <c r="AB421" s="408">
        <v>1</v>
      </c>
      <c r="AC421" s="408">
        <v>0.3</v>
      </c>
      <c r="AD421" s="408">
        <v>4.7</v>
      </c>
    </row>
    <row r="422" spans="1:30">
      <c r="A422">
        <v>344</v>
      </c>
      <c r="B422" s="1" t="s">
        <v>400</v>
      </c>
      <c r="C422" s="5" t="s">
        <v>38</v>
      </c>
      <c r="D422" s="408">
        <v>28</v>
      </c>
      <c r="E422" s="5" t="s">
        <v>87</v>
      </c>
      <c r="F422" s="408">
        <v>46</v>
      </c>
      <c r="G422" s="408">
        <v>18</v>
      </c>
      <c r="H422" s="408">
        <v>26.3</v>
      </c>
      <c r="I422" s="408">
        <v>4.5999999999999996</v>
      </c>
      <c r="J422" s="408">
        <v>11.1</v>
      </c>
      <c r="K422" s="408">
        <v>0.41799999999999998</v>
      </c>
      <c r="L422" s="408">
        <v>1.6</v>
      </c>
      <c r="M422" s="408">
        <v>4.3</v>
      </c>
      <c r="N422" s="5">
        <v>0.36499999999999999</v>
      </c>
      <c r="O422" s="408">
        <v>3.1</v>
      </c>
      <c r="P422" s="408">
        <v>6.8</v>
      </c>
      <c r="Q422" s="408">
        <v>0.45</v>
      </c>
      <c r="R422" s="408">
        <v>0.48799999999999999</v>
      </c>
      <c r="S422" s="408">
        <v>1.9</v>
      </c>
      <c r="T422" s="408">
        <v>2.5</v>
      </c>
      <c r="U422" s="408">
        <v>0.77900000000000003</v>
      </c>
      <c r="V422" s="408">
        <v>0.9</v>
      </c>
      <c r="W422" s="408">
        <v>4.7</v>
      </c>
      <c r="X422" s="408">
        <v>5.6</v>
      </c>
      <c r="Y422" s="408">
        <v>1.3</v>
      </c>
      <c r="Z422" s="408">
        <v>0.7</v>
      </c>
      <c r="AA422" s="408">
        <v>0.2</v>
      </c>
      <c r="AB422" s="408">
        <v>1.1000000000000001</v>
      </c>
      <c r="AC422" s="408">
        <v>1.9</v>
      </c>
      <c r="AD422" s="408">
        <v>12.7</v>
      </c>
    </row>
    <row r="423" spans="1:30">
      <c r="A423">
        <v>345</v>
      </c>
      <c r="B423" s="1" t="s">
        <v>446</v>
      </c>
      <c r="C423" s="5" t="s">
        <v>38</v>
      </c>
      <c r="D423" s="408">
        <v>28</v>
      </c>
      <c r="E423" s="5" t="s">
        <v>27</v>
      </c>
      <c r="F423" s="408">
        <v>61</v>
      </c>
      <c r="G423" s="408">
        <v>61</v>
      </c>
      <c r="H423" s="408">
        <v>27.1</v>
      </c>
      <c r="I423" s="408">
        <v>4.5</v>
      </c>
      <c r="J423" s="408">
        <v>9.3000000000000007</v>
      </c>
      <c r="K423" s="408">
        <v>0.48799999999999999</v>
      </c>
      <c r="L423" s="408">
        <v>1.1000000000000001</v>
      </c>
      <c r="M423" s="408">
        <v>2.8</v>
      </c>
      <c r="N423" s="5">
        <v>0.38200000000000001</v>
      </c>
      <c r="O423" s="408">
        <v>3.5</v>
      </c>
      <c r="P423" s="408">
        <v>6.5</v>
      </c>
      <c r="Q423" s="408">
        <v>0.53300000000000003</v>
      </c>
      <c r="R423" s="408">
        <v>0.54500000000000004</v>
      </c>
      <c r="S423" s="408">
        <v>1.5</v>
      </c>
      <c r="T423" s="408">
        <v>1.8</v>
      </c>
      <c r="U423" s="408">
        <v>0.82399999999999995</v>
      </c>
      <c r="V423" s="408">
        <v>1.1000000000000001</v>
      </c>
      <c r="W423" s="408">
        <v>4.7</v>
      </c>
      <c r="X423" s="408">
        <v>5.8</v>
      </c>
      <c r="Y423" s="408">
        <v>1.9</v>
      </c>
      <c r="Z423" s="408">
        <v>0.8</v>
      </c>
      <c r="AA423" s="408">
        <v>0.5</v>
      </c>
      <c r="AB423" s="408">
        <v>1.7</v>
      </c>
      <c r="AC423" s="408">
        <v>3.1</v>
      </c>
      <c r="AD423" s="408">
        <v>11.6</v>
      </c>
    </row>
    <row r="424" spans="1:30">
      <c r="A424">
        <v>346</v>
      </c>
      <c r="B424" s="1" t="s">
        <v>650</v>
      </c>
      <c r="C424" s="5" t="s">
        <v>20</v>
      </c>
      <c r="D424" s="408">
        <v>22</v>
      </c>
      <c r="E424" s="5" t="s">
        <v>61</v>
      </c>
      <c r="F424" s="408">
        <v>3</v>
      </c>
      <c r="G424" s="408">
        <v>0</v>
      </c>
      <c r="H424" s="408">
        <v>8.3000000000000007</v>
      </c>
      <c r="I424" s="408">
        <v>1.3</v>
      </c>
      <c r="J424" s="408">
        <v>2</v>
      </c>
      <c r="K424" s="408">
        <v>0.66700000000000004</v>
      </c>
      <c r="L424" s="408">
        <v>0</v>
      </c>
      <c r="M424" s="408">
        <v>0.3</v>
      </c>
      <c r="N424" s="5">
        <v>0</v>
      </c>
      <c r="O424" s="408">
        <v>1.3</v>
      </c>
      <c r="P424" s="408">
        <v>1.7</v>
      </c>
      <c r="Q424" s="408">
        <v>0.8</v>
      </c>
      <c r="R424" s="408">
        <v>0.66700000000000004</v>
      </c>
      <c r="S424" s="408">
        <v>0.7</v>
      </c>
      <c r="T424" s="408">
        <v>0.7</v>
      </c>
      <c r="U424" s="408">
        <v>1</v>
      </c>
      <c r="V424" s="408">
        <v>0</v>
      </c>
      <c r="W424" s="408">
        <v>0.7</v>
      </c>
      <c r="X424" s="408">
        <v>0.7</v>
      </c>
      <c r="Y424" s="408">
        <v>2.2999999999999998</v>
      </c>
      <c r="Z424" s="408">
        <v>1</v>
      </c>
      <c r="AA424" s="408">
        <v>0</v>
      </c>
      <c r="AB424" s="408">
        <v>0.3</v>
      </c>
      <c r="AC424" s="408">
        <v>0.3</v>
      </c>
      <c r="AD424" s="408">
        <v>3.3</v>
      </c>
    </row>
    <row r="425" spans="1:30">
      <c r="A425">
        <v>347</v>
      </c>
      <c r="B425" s="1" t="s">
        <v>602</v>
      </c>
      <c r="C425" s="5" t="s">
        <v>38</v>
      </c>
      <c r="D425" s="408">
        <v>22</v>
      </c>
      <c r="E425" s="5" t="s">
        <v>33</v>
      </c>
      <c r="F425" s="408">
        <v>5</v>
      </c>
      <c r="G425" s="408">
        <v>0</v>
      </c>
      <c r="H425" s="408">
        <v>6</v>
      </c>
      <c r="I425" s="408">
        <v>1.4</v>
      </c>
      <c r="J425" s="408">
        <v>2.2000000000000002</v>
      </c>
      <c r="K425" s="408">
        <v>0.63600000000000001</v>
      </c>
      <c r="L425" s="408">
        <v>0</v>
      </c>
      <c r="M425" s="408">
        <v>0</v>
      </c>
      <c r="O425" s="408">
        <v>1.4</v>
      </c>
      <c r="P425" s="408">
        <v>2.2000000000000002</v>
      </c>
      <c r="Q425" s="408">
        <v>0.63600000000000001</v>
      </c>
      <c r="R425" s="408">
        <v>0.63600000000000001</v>
      </c>
      <c r="S425" s="408">
        <v>0.8</v>
      </c>
      <c r="T425" s="408">
        <v>2.2000000000000002</v>
      </c>
      <c r="U425" s="408">
        <v>0.36399999999999999</v>
      </c>
      <c r="V425" s="408">
        <v>0.4</v>
      </c>
      <c r="W425" s="408">
        <v>2.2000000000000002</v>
      </c>
      <c r="X425" s="408">
        <v>2.6</v>
      </c>
      <c r="Y425" s="408">
        <v>0.4</v>
      </c>
      <c r="Z425" s="408">
        <v>0</v>
      </c>
      <c r="AA425" s="408">
        <v>0.4</v>
      </c>
      <c r="AB425" s="408">
        <v>0.6</v>
      </c>
      <c r="AC425" s="408">
        <v>0.4</v>
      </c>
      <c r="AD425" s="408">
        <v>3.6</v>
      </c>
    </row>
    <row r="426" spans="1:30">
      <c r="A426">
        <v>348</v>
      </c>
      <c r="B426" s="1" t="s">
        <v>547</v>
      </c>
      <c r="C426" s="5" t="s">
        <v>83</v>
      </c>
      <c r="D426" s="408">
        <v>31</v>
      </c>
      <c r="E426" s="5" t="s">
        <v>315</v>
      </c>
      <c r="F426" s="408">
        <v>28</v>
      </c>
      <c r="G426" s="408">
        <v>14</v>
      </c>
      <c r="H426" s="408">
        <v>12.1</v>
      </c>
      <c r="I426" s="408">
        <v>1.6</v>
      </c>
      <c r="J426" s="408">
        <v>3</v>
      </c>
      <c r="K426" s="408">
        <v>0.52900000000000003</v>
      </c>
      <c r="L426" s="408">
        <v>0.1</v>
      </c>
      <c r="M426" s="408">
        <v>0.6</v>
      </c>
      <c r="N426" s="5">
        <v>0.222</v>
      </c>
      <c r="O426" s="408">
        <v>1.5</v>
      </c>
      <c r="P426" s="408">
        <v>2.4</v>
      </c>
      <c r="Q426" s="408">
        <v>0.61199999999999999</v>
      </c>
      <c r="R426" s="408">
        <v>0.55300000000000005</v>
      </c>
      <c r="S426" s="408">
        <v>0.7</v>
      </c>
      <c r="T426" s="408">
        <v>0.9</v>
      </c>
      <c r="U426" s="408">
        <v>0.76</v>
      </c>
      <c r="V426" s="408">
        <v>1</v>
      </c>
      <c r="W426" s="408">
        <v>2.1</v>
      </c>
      <c r="X426" s="408">
        <v>3.1</v>
      </c>
      <c r="Y426" s="408">
        <v>0.3</v>
      </c>
      <c r="Z426" s="408">
        <v>0.2</v>
      </c>
      <c r="AA426" s="408">
        <v>0.4</v>
      </c>
      <c r="AB426" s="408">
        <v>1.1000000000000001</v>
      </c>
      <c r="AC426" s="408">
        <v>1.3</v>
      </c>
      <c r="AD426" s="408">
        <v>4</v>
      </c>
    </row>
    <row r="427" spans="1:30">
      <c r="A427">
        <v>349</v>
      </c>
      <c r="B427" s="1" t="s">
        <v>437</v>
      </c>
      <c r="C427" s="5" t="s">
        <v>20</v>
      </c>
      <c r="D427" s="408">
        <v>21</v>
      </c>
      <c r="E427" s="5" t="s">
        <v>357</v>
      </c>
      <c r="F427" s="408">
        <v>57</v>
      </c>
      <c r="G427" s="408">
        <v>12</v>
      </c>
      <c r="H427" s="408">
        <v>19.600000000000001</v>
      </c>
      <c r="I427" s="408">
        <v>3.3</v>
      </c>
      <c r="J427" s="408">
        <v>8.4</v>
      </c>
      <c r="K427" s="408">
        <v>0.39</v>
      </c>
      <c r="L427" s="408">
        <v>0.8</v>
      </c>
      <c r="M427" s="408">
        <v>2.4</v>
      </c>
      <c r="N427" s="5">
        <v>0.32600000000000001</v>
      </c>
      <c r="O427" s="408">
        <v>2.5</v>
      </c>
      <c r="P427" s="408">
        <v>5.9</v>
      </c>
      <c r="Q427" s="408">
        <v>0.41599999999999998</v>
      </c>
      <c r="R427" s="408">
        <v>0.437</v>
      </c>
      <c r="S427" s="408">
        <v>1.6</v>
      </c>
      <c r="T427" s="408">
        <v>2.1</v>
      </c>
      <c r="U427" s="408">
        <v>0.748</v>
      </c>
      <c r="V427" s="408">
        <v>0.4</v>
      </c>
      <c r="W427" s="408">
        <v>1.9</v>
      </c>
      <c r="X427" s="408">
        <v>2.2999999999999998</v>
      </c>
      <c r="Y427" s="408">
        <v>3.3</v>
      </c>
      <c r="Z427" s="408">
        <v>0.6</v>
      </c>
      <c r="AA427" s="408">
        <v>0.2</v>
      </c>
      <c r="AB427" s="408">
        <v>1.8</v>
      </c>
      <c r="AC427" s="408">
        <v>1.2</v>
      </c>
      <c r="AD427" s="408">
        <v>8.9</v>
      </c>
    </row>
    <row r="428" spans="1:30">
      <c r="A428">
        <v>349</v>
      </c>
      <c r="B428" s="1" t="s">
        <v>437</v>
      </c>
      <c r="C428" s="5" t="s">
        <v>20</v>
      </c>
      <c r="D428" s="408">
        <v>21</v>
      </c>
      <c r="E428" s="5" t="s">
        <v>61</v>
      </c>
      <c r="F428" s="408">
        <v>42</v>
      </c>
      <c r="G428" s="408">
        <v>0</v>
      </c>
      <c r="H428" s="408">
        <v>17.899999999999999</v>
      </c>
      <c r="I428" s="408">
        <v>3.1</v>
      </c>
      <c r="J428" s="408">
        <v>7.7</v>
      </c>
      <c r="K428" s="408">
        <v>0.40100000000000002</v>
      </c>
      <c r="L428" s="408">
        <v>0.9</v>
      </c>
      <c r="M428" s="408">
        <v>2.4</v>
      </c>
      <c r="N428" s="5">
        <v>0.373</v>
      </c>
      <c r="O428" s="408">
        <v>2.2000000000000002</v>
      </c>
      <c r="P428" s="408">
        <v>5.2</v>
      </c>
      <c r="Q428" s="408">
        <v>0.41399999999999998</v>
      </c>
      <c r="R428" s="408">
        <v>0.46</v>
      </c>
      <c r="S428" s="408">
        <v>1.5</v>
      </c>
      <c r="T428" s="408">
        <v>1.9</v>
      </c>
      <c r="U428" s="408">
        <v>0.80800000000000005</v>
      </c>
      <c r="V428" s="408">
        <v>0.4</v>
      </c>
      <c r="W428" s="408">
        <v>1.9</v>
      </c>
      <c r="X428" s="408">
        <v>2.2000000000000002</v>
      </c>
      <c r="Y428" s="408">
        <v>2.9</v>
      </c>
      <c r="Z428" s="408">
        <v>0.5</v>
      </c>
      <c r="AA428" s="408">
        <v>0.1</v>
      </c>
      <c r="AB428" s="408">
        <v>1.7</v>
      </c>
      <c r="AC428" s="408">
        <v>1.1000000000000001</v>
      </c>
      <c r="AD428" s="408">
        <v>8.5</v>
      </c>
    </row>
    <row r="429" spans="1:30">
      <c r="A429">
        <v>349</v>
      </c>
      <c r="B429" s="1" t="s">
        <v>437</v>
      </c>
      <c r="C429" s="5" t="s">
        <v>20</v>
      </c>
      <c r="D429" s="408">
        <v>21</v>
      </c>
      <c r="E429" s="5" t="s">
        <v>21</v>
      </c>
      <c r="F429" s="408">
        <v>15</v>
      </c>
      <c r="G429" s="408">
        <v>12</v>
      </c>
      <c r="H429" s="408">
        <v>24.5</v>
      </c>
      <c r="I429" s="408">
        <v>3.8</v>
      </c>
      <c r="J429" s="408">
        <v>10.3</v>
      </c>
      <c r="K429" s="408">
        <v>0.36799999999999999</v>
      </c>
      <c r="L429" s="408">
        <v>0.5</v>
      </c>
      <c r="M429" s="408">
        <v>2.4</v>
      </c>
      <c r="N429" s="5">
        <v>0.19400000000000001</v>
      </c>
      <c r="O429" s="408">
        <v>3.3</v>
      </c>
      <c r="P429" s="408">
        <v>7.9</v>
      </c>
      <c r="Q429" s="408">
        <v>0.42</v>
      </c>
      <c r="R429" s="408">
        <v>0.39</v>
      </c>
      <c r="S429" s="408">
        <v>1.7</v>
      </c>
      <c r="T429" s="408">
        <v>2.7</v>
      </c>
      <c r="U429" s="408">
        <v>0.63400000000000001</v>
      </c>
      <c r="V429" s="408">
        <v>0.5</v>
      </c>
      <c r="W429" s="408">
        <v>2.1</v>
      </c>
      <c r="X429" s="408">
        <v>2.6</v>
      </c>
      <c r="Y429" s="408">
        <v>4.5</v>
      </c>
      <c r="Z429" s="408">
        <v>1.1000000000000001</v>
      </c>
      <c r="AA429" s="408">
        <v>0.3</v>
      </c>
      <c r="AB429" s="408">
        <v>2.1</v>
      </c>
      <c r="AC429" s="408">
        <v>1.6</v>
      </c>
      <c r="AD429" s="408">
        <v>9.8000000000000007</v>
      </c>
    </row>
    <row r="430" spans="1:30">
      <c r="A430">
        <v>350</v>
      </c>
      <c r="B430" s="1" t="s">
        <v>2</v>
      </c>
      <c r="C430" s="5" t="s">
        <v>1118</v>
      </c>
      <c r="D430" s="408">
        <v>25</v>
      </c>
      <c r="E430" s="5" t="s">
        <v>357</v>
      </c>
      <c r="F430" s="408">
        <v>35</v>
      </c>
      <c r="G430" s="408">
        <v>2</v>
      </c>
      <c r="H430" s="408">
        <v>9.1999999999999993</v>
      </c>
      <c r="I430" s="408">
        <v>1.5</v>
      </c>
      <c r="J430" s="408">
        <v>3.7</v>
      </c>
      <c r="K430" s="408">
        <v>0.4</v>
      </c>
      <c r="L430" s="408">
        <v>0.1</v>
      </c>
      <c r="M430" s="408">
        <v>0.5</v>
      </c>
      <c r="N430" s="5">
        <v>0.21099999999999999</v>
      </c>
      <c r="O430" s="408">
        <v>1.4</v>
      </c>
      <c r="P430" s="408">
        <v>3.2</v>
      </c>
      <c r="Q430" s="408">
        <v>0.432</v>
      </c>
      <c r="R430" s="408">
        <v>0.41499999999999998</v>
      </c>
      <c r="S430" s="408">
        <v>0.7</v>
      </c>
      <c r="T430" s="408">
        <v>1</v>
      </c>
      <c r="U430" s="408">
        <v>0.70599999999999996</v>
      </c>
      <c r="V430" s="408">
        <v>0.5</v>
      </c>
      <c r="W430" s="408">
        <v>0.9</v>
      </c>
      <c r="X430" s="408">
        <v>1.4</v>
      </c>
      <c r="Y430" s="408">
        <v>0.2</v>
      </c>
      <c r="Z430" s="408">
        <v>0.2</v>
      </c>
      <c r="AA430" s="408">
        <v>0.1</v>
      </c>
      <c r="AB430" s="408">
        <v>0.2</v>
      </c>
      <c r="AC430" s="408">
        <v>0.7</v>
      </c>
      <c r="AD430" s="408">
        <v>3.8</v>
      </c>
    </row>
    <row r="431" spans="1:30">
      <c r="A431">
        <v>350</v>
      </c>
      <c r="B431" s="1" t="s">
        <v>2</v>
      </c>
      <c r="C431" s="5" t="s">
        <v>46</v>
      </c>
      <c r="D431" s="408">
        <v>25</v>
      </c>
      <c r="E431" s="5" t="s">
        <v>56</v>
      </c>
      <c r="F431" s="408">
        <v>32</v>
      </c>
      <c r="G431" s="408">
        <v>2</v>
      </c>
      <c r="H431" s="408">
        <v>9.4</v>
      </c>
      <c r="I431" s="408">
        <v>1.5</v>
      </c>
      <c r="J431" s="408">
        <v>3.8</v>
      </c>
      <c r="K431" s="408">
        <v>0.38800000000000001</v>
      </c>
      <c r="L431" s="408">
        <v>0.1</v>
      </c>
      <c r="M431" s="408">
        <v>0.6</v>
      </c>
      <c r="N431" s="5">
        <v>0.21099999999999999</v>
      </c>
      <c r="O431" s="408">
        <v>1.3</v>
      </c>
      <c r="P431" s="408">
        <v>3.2</v>
      </c>
      <c r="Q431" s="408">
        <v>0.42199999999999999</v>
      </c>
      <c r="R431" s="408">
        <v>0.40500000000000003</v>
      </c>
      <c r="S431" s="408">
        <v>0.7</v>
      </c>
      <c r="T431" s="408">
        <v>1</v>
      </c>
      <c r="U431" s="408">
        <v>0.71</v>
      </c>
      <c r="V431" s="408">
        <v>0.5</v>
      </c>
      <c r="W431" s="408">
        <v>0.9</v>
      </c>
      <c r="X431" s="408">
        <v>1.4</v>
      </c>
      <c r="Y431" s="408">
        <v>0.2</v>
      </c>
      <c r="Z431" s="408">
        <v>0.2</v>
      </c>
      <c r="AA431" s="408">
        <v>0.1</v>
      </c>
      <c r="AB431" s="408">
        <v>0.2</v>
      </c>
      <c r="AC431" s="408">
        <v>0.7</v>
      </c>
      <c r="AD431" s="408">
        <v>3.8</v>
      </c>
    </row>
    <row r="432" spans="1:30">
      <c r="A432">
        <v>350</v>
      </c>
      <c r="B432" s="1" t="s">
        <v>2</v>
      </c>
      <c r="C432" s="5" t="s">
        <v>26</v>
      </c>
      <c r="D432" s="408">
        <v>25</v>
      </c>
      <c r="E432" s="5" t="s">
        <v>41</v>
      </c>
      <c r="F432" s="408">
        <v>3</v>
      </c>
      <c r="G432" s="408">
        <v>0</v>
      </c>
      <c r="H432" s="408">
        <v>6.7</v>
      </c>
      <c r="I432" s="408">
        <v>1.7</v>
      </c>
      <c r="J432" s="408">
        <v>3</v>
      </c>
      <c r="K432" s="408">
        <v>0.55600000000000005</v>
      </c>
      <c r="L432" s="408">
        <v>0</v>
      </c>
      <c r="M432" s="408">
        <v>0</v>
      </c>
      <c r="O432" s="408">
        <v>1.7</v>
      </c>
      <c r="P432" s="408">
        <v>3</v>
      </c>
      <c r="Q432" s="408">
        <v>0.55600000000000005</v>
      </c>
      <c r="R432" s="408">
        <v>0.55600000000000005</v>
      </c>
      <c r="S432" s="408">
        <v>0.7</v>
      </c>
      <c r="T432" s="408">
        <v>1</v>
      </c>
      <c r="U432" s="408">
        <v>0.66700000000000004</v>
      </c>
      <c r="V432" s="408">
        <v>0.3</v>
      </c>
      <c r="W432" s="408">
        <v>1</v>
      </c>
      <c r="X432" s="408">
        <v>1.3</v>
      </c>
      <c r="Y432" s="408">
        <v>0.3</v>
      </c>
      <c r="Z432" s="408">
        <v>0.3</v>
      </c>
      <c r="AA432" s="408">
        <v>0</v>
      </c>
      <c r="AB432" s="408">
        <v>0.3</v>
      </c>
      <c r="AC432" s="408">
        <v>0.3</v>
      </c>
      <c r="AD432" s="408">
        <v>4</v>
      </c>
    </row>
    <row r="433" spans="1:30">
      <c r="A433">
        <v>351</v>
      </c>
      <c r="B433" s="1" t="s">
        <v>794</v>
      </c>
      <c r="C433" s="5" t="s">
        <v>26</v>
      </c>
      <c r="D433" s="408">
        <v>25</v>
      </c>
      <c r="E433" s="5" t="s">
        <v>41</v>
      </c>
      <c r="F433" s="408">
        <v>6</v>
      </c>
      <c r="G433" s="408">
        <v>0</v>
      </c>
      <c r="H433" s="408">
        <v>3.5</v>
      </c>
      <c r="I433" s="408">
        <v>0.2</v>
      </c>
      <c r="J433" s="408">
        <v>1</v>
      </c>
      <c r="K433" s="408">
        <v>0.16700000000000001</v>
      </c>
      <c r="L433" s="408">
        <v>0</v>
      </c>
      <c r="M433" s="408">
        <v>0.3</v>
      </c>
      <c r="N433" s="5">
        <v>0</v>
      </c>
      <c r="O433" s="408">
        <v>0.2</v>
      </c>
      <c r="P433" s="408">
        <v>0.7</v>
      </c>
      <c r="Q433" s="408">
        <v>0.25</v>
      </c>
      <c r="R433" s="408">
        <v>0.16700000000000001</v>
      </c>
      <c r="S433" s="408">
        <v>0.2</v>
      </c>
      <c r="T433" s="408">
        <v>0.3</v>
      </c>
      <c r="U433" s="408">
        <v>0.5</v>
      </c>
      <c r="V433" s="408">
        <v>0.2</v>
      </c>
      <c r="W433" s="408">
        <v>0</v>
      </c>
      <c r="X433" s="408">
        <v>0.2</v>
      </c>
      <c r="Y433" s="408">
        <v>0.7</v>
      </c>
      <c r="Z433" s="408">
        <v>0.2</v>
      </c>
      <c r="AA433" s="408">
        <v>0</v>
      </c>
      <c r="AB433" s="408">
        <v>0.3</v>
      </c>
      <c r="AC433" s="408">
        <v>0.7</v>
      </c>
      <c r="AD433" s="408">
        <v>0.5</v>
      </c>
    </row>
    <row r="434" spans="1:30">
      <c r="A434">
        <v>352</v>
      </c>
      <c r="B434" s="1" t="s">
        <v>558</v>
      </c>
      <c r="C434" s="5" t="s">
        <v>20</v>
      </c>
      <c r="D434" s="408">
        <v>21</v>
      </c>
      <c r="E434" s="5" t="s">
        <v>140</v>
      </c>
      <c r="F434" s="408">
        <v>70</v>
      </c>
      <c r="G434" s="408">
        <v>37</v>
      </c>
      <c r="H434" s="408">
        <v>20.5</v>
      </c>
      <c r="I434" s="408">
        <v>3.3</v>
      </c>
      <c r="J434" s="408">
        <v>7.3</v>
      </c>
      <c r="K434" s="408">
        <v>0.44600000000000001</v>
      </c>
      <c r="L434" s="408">
        <v>0.1</v>
      </c>
      <c r="M434" s="408">
        <v>0.4</v>
      </c>
      <c r="N434" s="5">
        <v>0.29599999999999999</v>
      </c>
      <c r="O434" s="408">
        <v>3.2</v>
      </c>
      <c r="P434" s="408">
        <v>7</v>
      </c>
      <c r="Q434" s="408">
        <v>0.45400000000000001</v>
      </c>
      <c r="R434" s="408">
        <v>0.45300000000000001</v>
      </c>
      <c r="S434" s="408">
        <v>1.1000000000000001</v>
      </c>
      <c r="T434" s="408">
        <v>1.6</v>
      </c>
      <c r="U434" s="408">
        <v>0.70299999999999996</v>
      </c>
      <c r="V434" s="408">
        <v>1.3</v>
      </c>
      <c r="W434" s="408">
        <v>4.2</v>
      </c>
      <c r="X434" s="408">
        <v>5.5</v>
      </c>
      <c r="Y434" s="408">
        <v>2.8</v>
      </c>
      <c r="Z434" s="408">
        <v>1.1000000000000001</v>
      </c>
      <c r="AA434" s="408">
        <v>0.4</v>
      </c>
      <c r="AB434" s="408">
        <v>1.7</v>
      </c>
      <c r="AC434" s="408">
        <v>1.8</v>
      </c>
      <c r="AD434" s="408">
        <v>7.8</v>
      </c>
    </row>
    <row r="435" spans="1:30">
      <c r="A435">
        <v>353</v>
      </c>
      <c r="B435" s="1" t="s">
        <v>347</v>
      </c>
      <c r="C435" s="5" t="s">
        <v>20</v>
      </c>
      <c r="D435" s="408">
        <v>20</v>
      </c>
      <c r="E435" s="5" t="s">
        <v>61</v>
      </c>
      <c r="F435" s="408">
        <v>70</v>
      </c>
      <c r="G435" s="408">
        <v>69</v>
      </c>
      <c r="H435" s="408">
        <v>30.8</v>
      </c>
      <c r="I435" s="408">
        <v>5.8</v>
      </c>
      <c r="J435" s="408">
        <v>12.8</v>
      </c>
      <c r="K435" s="408">
        <v>0.45700000000000002</v>
      </c>
      <c r="L435" s="408">
        <v>2</v>
      </c>
      <c r="M435" s="408">
        <v>5.2</v>
      </c>
      <c r="N435" s="5">
        <v>0.38500000000000001</v>
      </c>
      <c r="O435" s="408">
        <v>3.8</v>
      </c>
      <c r="P435" s="408">
        <v>7.6</v>
      </c>
      <c r="Q435" s="408">
        <v>0.50700000000000001</v>
      </c>
      <c r="R435" s="408">
        <v>0.53500000000000003</v>
      </c>
      <c r="S435" s="408">
        <v>2.8</v>
      </c>
      <c r="T435" s="408">
        <v>3.1</v>
      </c>
      <c r="U435" s="408">
        <v>0.90200000000000002</v>
      </c>
      <c r="V435" s="408">
        <v>1</v>
      </c>
      <c r="W435" s="408">
        <v>2.7</v>
      </c>
      <c r="X435" s="408">
        <v>3.7</v>
      </c>
      <c r="Y435" s="408">
        <v>3.2</v>
      </c>
      <c r="Z435" s="408">
        <v>0.9</v>
      </c>
      <c r="AA435" s="408">
        <v>0.3</v>
      </c>
      <c r="AB435" s="408">
        <v>2.1</v>
      </c>
      <c r="AC435" s="408">
        <v>2.1</v>
      </c>
      <c r="AD435" s="408">
        <v>16.5</v>
      </c>
    </row>
    <row r="436" spans="1:30">
      <c r="A436">
        <v>354</v>
      </c>
      <c r="B436" s="1" t="s">
        <v>492</v>
      </c>
      <c r="C436" s="5" t="s">
        <v>83</v>
      </c>
      <c r="D436" s="408">
        <v>26</v>
      </c>
      <c r="E436" s="5" t="s">
        <v>149</v>
      </c>
      <c r="F436" s="408">
        <v>41</v>
      </c>
      <c r="G436" s="408">
        <v>5</v>
      </c>
      <c r="H436" s="408">
        <v>18.2</v>
      </c>
      <c r="I436" s="408">
        <v>2.5</v>
      </c>
      <c r="J436" s="408">
        <v>5.2</v>
      </c>
      <c r="K436" s="408">
        <v>0.47199999999999998</v>
      </c>
      <c r="L436" s="408">
        <v>1</v>
      </c>
      <c r="M436" s="408">
        <v>2.5</v>
      </c>
      <c r="N436" s="5">
        <v>0.40200000000000002</v>
      </c>
      <c r="O436" s="408">
        <v>1.5</v>
      </c>
      <c r="P436" s="408">
        <v>2.7</v>
      </c>
      <c r="Q436" s="408">
        <v>0.53600000000000003</v>
      </c>
      <c r="R436" s="408">
        <v>0.56799999999999995</v>
      </c>
      <c r="S436" s="408">
        <v>1</v>
      </c>
      <c r="T436" s="408">
        <v>1.1000000000000001</v>
      </c>
      <c r="U436" s="408">
        <v>0.89400000000000002</v>
      </c>
      <c r="V436" s="408">
        <v>1.1000000000000001</v>
      </c>
      <c r="W436" s="408">
        <v>3</v>
      </c>
      <c r="X436" s="408">
        <v>4</v>
      </c>
      <c r="Y436" s="408">
        <v>0.8</v>
      </c>
      <c r="Z436" s="408">
        <v>0.6</v>
      </c>
      <c r="AA436" s="408">
        <v>0.5</v>
      </c>
      <c r="AB436" s="408">
        <v>0.8</v>
      </c>
      <c r="AC436" s="408">
        <v>1.7</v>
      </c>
      <c r="AD436" s="408">
        <v>7</v>
      </c>
    </row>
    <row r="437" spans="1:30">
      <c r="A437">
        <v>355</v>
      </c>
      <c r="B437" s="1" t="s">
        <v>615</v>
      </c>
      <c r="C437" s="5" t="s">
        <v>46</v>
      </c>
      <c r="D437" s="408">
        <v>24</v>
      </c>
      <c r="E437" s="5" t="s">
        <v>87</v>
      </c>
      <c r="F437" s="408">
        <v>36</v>
      </c>
      <c r="G437" s="408">
        <v>0</v>
      </c>
      <c r="H437" s="408">
        <v>10.3</v>
      </c>
      <c r="I437" s="408">
        <v>1</v>
      </c>
      <c r="J437" s="408">
        <v>2.9</v>
      </c>
      <c r="K437" s="408">
        <v>0.35899999999999999</v>
      </c>
      <c r="L437" s="408">
        <v>0.6</v>
      </c>
      <c r="M437" s="408">
        <v>1.4</v>
      </c>
      <c r="N437" s="5">
        <v>0.38500000000000001</v>
      </c>
      <c r="O437" s="408">
        <v>0.5</v>
      </c>
      <c r="P437" s="408">
        <v>1.4</v>
      </c>
      <c r="Q437" s="408">
        <v>0.33300000000000002</v>
      </c>
      <c r="R437" s="408">
        <v>0.45600000000000002</v>
      </c>
      <c r="S437" s="408">
        <v>0.6</v>
      </c>
      <c r="T437" s="408">
        <v>0.9</v>
      </c>
      <c r="U437" s="408">
        <v>0.60599999999999998</v>
      </c>
      <c r="V437" s="408">
        <v>0.3</v>
      </c>
      <c r="W437" s="408">
        <v>1.2</v>
      </c>
      <c r="X437" s="408">
        <v>1.4</v>
      </c>
      <c r="Y437" s="408">
        <v>0.6</v>
      </c>
      <c r="Z437" s="408">
        <v>0.3</v>
      </c>
      <c r="AA437" s="408">
        <v>0.2</v>
      </c>
      <c r="AB437" s="408">
        <v>0.7</v>
      </c>
      <c r="AC437" s="408">
        <v>0.9</v>
      </c>
      <c r="AD437" s="408">
        <v>3.2</v>
      </c>
    </row>
    <row r="438" spans="1:30">
      <c r="A438">
        <v>356</v>
      </c>
      <c r="B438" s="1" t="s">
        <v>579</v>
      </c>
      <c r="C438" s="5" t="s">
        <v>83</v>
      </c>
      <c r="D438" s="408">
        <v>25</v>
      </c>
      <c r="E438" s="5" t="s">
        <v>357</v>
      </c>
      <c r="F438" s="408">
        <v>55</v>
      </c>
      <c r="G438" s="408">
        <v>22</v>
      </c>
      <c r="H438" s="408">
        <v>22.5</v>
      </c>
      <c r="I438" s="408">
        <v>3.9</v>
      </c>
      <c r="J438" s="408">
        <v>6.5</v>
      </c>
      <c r="K438" s="408">
        <v>0.60199999999999998</v>
      </c>
      <c r="L438" s="408">
        <v>0</v>
      </c>
      <c r="M438" s="408">
        <v>0.1</v>
      </c>
      <c r="N438" s="5">
        <v>0.125</v>
      </c>
      <c r="O438" s="408">
        <v>3.9</v>
      </c>
      <c r="P438" s="408">
        <v>6.3</v>
      </c>
      <c r="Q438" s="408">
        <v>0.61299999999999999</v>
      </c>
      <c r="R438" s="408">
        <v>0.60399999999999998</v>
      </c>
      <c r="S438" s="408">
        <v>1.5</v>
      </c>
      <c r="T438" s="408">
        <v>2.2000000000000002</v>
      </c>
      <c r="U438" s="408">
        <v>0.66100000000000003</v>
      </c>
      <c r="V438" s="408">
        <v>2.5</v>
      </c>
      <c r="W438" s="408">
        <v>4.5</v>
      </c>
      <c r="X438" s="408">
        <v>7</v>
      </c>
      <c r="Y438" s="408">
        <v>1.3</v>
      </c>
      <c r="Z438" s="408">
        <v>1.4</v>
      </c>
      <c r="AA438" s="408">
        <v>0.6</v>
      </c>
      <c r="AB438" s="408">
        <v>0.9</v>
      </c>
      <c r="AC438" s="408">
        <v>2.8</v>
      </c>
      <c r="AD438" s="408">
        <v>9.3000000000000007</v>
      </c>
    </row>
    <row r="439" spans="1:30">
      <c r="A439">
        <v>356</v>
      </c>
      <c r="B439" s="1" t="s">
        <v>579</v>
      </c>
      <c r="C439" s="5" t="s">
        <v>83</v>
      </c>
      <c r="D439" s="408">
        <v>25</v>
      </c>
      <c r="E439" s="5" t="s">
        <v>78</v>
      </c>
      <c r="F439" s="408">
        <v>42</v>
      </c>
      <c r="G439" s="408">
        <v>17</v>
      </c>
      <c r="H439" s="408">
        <v>22</v>
      </c>
      <c r="I439" s="408">
        <v>3.6</v>
      </c>
      <c r="J439" s="408">
        <v>6</v>
      </c>
      <c r="K439" s="408">
        <v>0.60099999999999998</v>
      </c>
      <c r="L439" s="408">
        <v>0</v>
      </c>
      <c r="M439" s="408">
        <v>0.1</v>
      </c>
      <c r="N439" s="5">
        <v>0.25</v>
      </c>
      <c r="O439" s="408">
        <v>3.6</v>
      </c>
      <c r="P439" s="408">
        <v>5.9</v>
      </c>
      <c r="Q439" s="408">
        <v>0.60599999999999998</v>
      </c>
      <c r="R439" s="408">
        <v>0.60299999999999998</v>
      </c>
      <c r="S439" s="408">
        <v>1.3</v>
      </c>
      <c r="T439" s="408">
        <v>2.1</v>
      </c>
      <c r="U439" s="408">
        <v>0.63200000000000001</v>
      </c>
      <c r="V439" s="408">
        <v>2.6</v>
      </c>
      <c r="W439" s="408">
        <v>4.2</v>
      </c>
      <c r="X439" s="408">
        <v>6.8</v>
      </c>
      <c r="Y439" s="408">
        <v>1.4</v>
      </c>
      <c r="Z439" s="408">
        <v>1.4</v>
      </c>
      <c r="AA439" s="408">
        <v>0.5</v>
      </c>
      <c r="AB439" s="408">
        <v>1</v>
      </c>
      <c r="AC439" s="408">
        <v>2.7</v>
      </c>
      <c r="AD439" s="408">
        <v>8.6</v>
      </c>
    </row>
    <row r="440" spans="1:30">
      <c r="A440">
        <v>356</v>
      </c>
      <c r="B440" s="1" t="s">
        <v>579</v>
      </c>
      <c r="C440" s="5" t="s">
        <v>83</v>
      </c>
      <c r="D440" s="408">
        <v>25</v>
      </c>
      <c r="E440" s="5" t="s">
        <v>102</v>
      </c>
      <c r="F440" s="408">
        <v>13</v>
      </c>
      <c r="G440" s="408">
        <v>5</v>
      </c>
      <c r="H440" s="408">
        <v>24.2</v>
      </c>
      <c r="I440" s="408">
        <v>4.8</v>
      </c>
      <c r="J440" s="408">
        <v>8</v>
      </c>
      <c r="K440" s="408">
        <v>0.60599999999999998</v>
      </c>
      <c r="L440" s="408">
        <v>0</v>
      </c>
      <c r="M440" s="408">
        <v>0.3</v>
      </c>
      <c r="N440" s="5">
        <v>0</v>
      </c>
      <c r="O440" s="408">
        <v>4.8</v>
      </c>
      <c r="P440" s="408">
        <v>7.7</v>
      </c>
      <c r="Q440" s="408">
        <v>0.63</v>
      </c>
      <c r="R440" s="408">
        <v>0.60599999999999998</v>
      </c>
      <c r="S440" s="408">
        <v>1.9</v>
      </c>
      <c r="T440" s="408">
        <v>2.6</v>
      </c>
      <c r="U440" s="408">
        <v>0.73499999999999999</v>
      </c>
      <c r="V440" s="408">
        <v>2.5</v>
      </c>
      <c r="W440" s="408">
        <v>5.5</v>
      </c>
      <c r="X440" s="408">
        <v>7.9</v>
      </c>
      <c r="Y440" s="408">
        <v>1.3</v>
      </c>
      <c r="Z440" s="408">
        <v>1.3</v>
      </c>
      <c r="AA440" s="408">
        <v>0.9</v>
      </c>
      <c r="AB440" s="408">
        <v>0.5</v>
      </c>
      <c r="AC440" s="408">
        <v>3.2</v>
      </c>
      <c r="AD440" s="408">
        <v>11.6</v>
      </c>
    </row>
    <row r="441" spans="1:30">
      <c r="A441">
        <v>357</v>
      </c>
      <c r="B441" s="1" t="s">
        <v>201</v>
      </c>
      <c r="C441" s="5" t="s">
        <v>20</v>
      </c>
      <c r="D441" s="408">
        <v>26</v>
      </c>
      <c r="E441" s="5" t="s">
        <v>96</v>
      </c>
      <c r="F441" s="408">
        <v>63</v>
      </c>
      <c r="G441" s="408">
        <v>8</v>
      </c>
      <c r="H441" s="408">
        <v>21</v>
      </c>
      <c r="I441" s="408">
        <v>3.1</v>
      </c>
      <c r="J441" s="408">
        <v>7.3</v>
      </c>
      <c r="K441" s="408">
        <v>0.433</v>
      </c>
      <c r="L441" s="408">
        <v>1.1000000000000001</v>
      </c>
      <c r="M441" s="408">
        <v>2.9</v>
      </c>
      <c r="N441" s="5">
        <v>0.38</v>
      </c>
      <c r="O441" s="408">
        <v>2</v>
      </c>
      <c r="P441" s="408">
        <v>4.3</v>
      </c>
      <c r="Q441" s="408">
        <v>0.46899999999999997</v>
      </c>
      <c r="R441" s="408">
        <v>0.51</v>
      </c>
      <c r="S441" s="408">
        <v>1.7</v>
      </c>
      <c r="T441" s="408">
        <v>2</v>
      </c>
      <c r="U441" s="408">
        <v>0.83899999999999997</v>
      </c>
      <c r="V441" s="408">
        <v>0.3</v>
      </c>
      <c r="W441" s="408">
        <v>1.9</v>
      </c>
      <c r="X441" s="408">
        <v>2.2000000000000002</v>
      </c>
      <c r="Y441" s="408">
        <v>2.1</v>
      </c>
      <c r="Z441" s="408">
        <v>1.2</v>
      </c>
      <c r="AA441" s="408">
        <v>0.2</v>
      </c>
      <c r="AB441" s="408">
        <v>1.2</v>
      </c>
      <c r="AC441" s="408">
        <v>1.1000000000000001</v>
      </c>
      <c r="AD441" s="408">
        <v>9</v>
      </c>
    </row>
    <row r="442" spans="1:30">
      <c r="A442">
        <v>358</v>
      </c>
      <c r="B442" s="1" t="s">
        <v>127</v>
      </c>
      <c r="C442" s="5" t="s">
        <v>20</v>
      </c>
      <c r="D442" s="408">
        <v>35</v>
      </c>
      <c r="E442" s="5" t="s">
        <v>357</v>
      </c>
      <c r="F442" s="408">
        <v>50</v>
      </c>
      <c r="G442" s="408">
        <v>0</v>
      </c>
      <c r="H442" s="408">
        <v>20.3</v>
      </c>
      <c r="I442" s="408">
        <v>1.9</v>
      </c>
      <c r="J442" s="408">
        <v>4.9000000000000004</v>
      </c>
      <c r="K442" s="408">
        <v>0.38900000000000001</v>
      </c>
      <c r="L442" s="408">
        <v>0.8</v>
      </c>
      <c r="M442" s="408">
        <v>2.5</v>
      </c>
      <c r="N442" s="5">
        <v>0.33100000000000002</v>
      </c>
      <c r="O442" s="408">
        <v>1.1000000000000001</v>
      </c>
      <c r="P442" s="408">
        <v>2.4</v>
      </c>
      <c r="Q442" s="408">
        <v>0.45</v>
      </c>
      <c r="R442" s="408">
        <v>0.47299999999999998</v>
      </c>
      <c r="S442" s="408">
        <v>0.3</v>
      </c>
      <c r="T442" s="408">
        <v>0.4</v>
      </c>
      <c r="U442" s="408">
        <v>0.8</v>
      </c>
      <c r="V442" s="408">
        <v>0.3</v>
      </c>
      <c r="W442" s="408">
        <v>1.8</v>
      </c>
      <c r="X442" s="408">
        <v>2.1</v>
      </c>
      <c r="Y442" s="408">
        <v>3.6</v>
      </c>
      <c r="Z442" s="408">
        <v>0.5</v>
      </c>
      <c r="AA442" s="408">
        <v>0.1</v>
      </c>
      <c r="AB442" s="408">
        <v>1.3</v>
      </c>
      <c r="AC442" s="408">
        <v>1.6</v>
      </c>
      <c r="AD442" s="408">
        <v>4.9000000000000004</v>
      </c>
    </row>
    <row r="443" spans="1:30">
      <c r="A443">
        <v>358</v>
      </c>
      <c r="B443" s="1" t="s">
        <v>127</v>
      </c>
      <c r="C443" s="5" t="s">
        <v>20</v>
      </c>
      <c r="D443" s="408">
        <v>35</v>
      </c>
      <c r="E443" s="5" t="s">
        <v>112</v>
      </c>
      <c r="F443" s="408">
        <v>43</v>
      </c>
      <c r="G443" s="408">
        <v>0</v>
      </c>
      <c r="H443" s="408">
        <v>20.9</v>
      </c>
      <c r="I443" s="408">
        <v>2</v>
      </c>
      <c r="J443" s="408">
        <v>4.8</v>
      </c>
      <c r="K443" s="408">
        <v>0.41</v>
      </c>
      <c r="L443" s="408">
        <v>0.9</v>
      </c>
      <c r="M443" s="408">
        <v>2.6</v>
      </c>
      <c r="N443" s="5">
        <v>0.36399999999999999</v>
      </c>
      <c r="O443" s="408">
        <v>1</v>
      </c>
      <c r="P443" s="408">
        <v>2.2000000000000002</v>
      </c>
      <c r="Q443" s="408">
        <v>0.46300000000000002</v>
      </c>
      <c r="R443" s="408">
        <v>0.50700000000000001</v>
      </c>
      <c r="S443" s="408">
        <v>0.3</v>
      </c>
      <c r="T443" s="408">
        <v>0.4</v>
      </c>
      <c r="U443" s="408">
        <v>0.76500000000000001</v>
      </c>
      <c r="V443" s="408">
        <v>0.3</v>
      </c>
      <c r="W443" s="408">
        <v>2</v>
      </c>
      <c r="X443" s="408">
        <v>2.2000000000000002</v>
      </c>
      <c r="Y443" s="408">
        <v>3.6</v>
      </c>
      <c r="Z443" s="408">
        <v>0.5</v>
      </c>
      <c r="AA443" s="408">
        <v>0.1</v>
      </c>
      <c r="AB443" s="408">
        <v>1.3</v>
      </c>
      <c r="AC443" s="408">
        <v>1.6</v>
      </c>
      <c r="AD443" s="408">
        <v>5.0999999999999996</v>
      </c>
    </row>
    <row r="444" spans="1:30">
      <c r="A444">
        <v>358</v>
      </c>
      <c r="B444" s="1" t="s">
        <v>127</v>
      </c>
      <c r="C444" s="5" t="s">
        <v>20</v>
      </c>
      <c r="D444" s="408">
        <v>35</v>
      </c>
      <c r="E444" s="5" t="s">
        <v>157</v>
      </c>
      <c r="F444" s="408">
        <v>7</v>
      </c>
      <c r="G444" s="408">
        <v>0</v>
      </c>
      <c r="H444" s="408">
        <v>16.600000000000001</v>
      </c>
      <c r="I444" s="408">
        <v>1.6</v>
      </c>
      <c r="J444" s="408">
        <v>5.6</v>
      </c>
      <c r="K444" s="408">
        <v>0.28199999999999997</v>
      </c>
      <c r="L444" s="408">
        <v>0.1</v>
      </c>
      <c r="M444" s="408">
        <v>2</v>
      </c>
      <c r="N444" s="5">
        <v>7.0999999999999994E-2</v>
      </c>
      <c r="O444" s="408">
        <v>1.4</v>
      </c>
      <c r="P444" s="408">
        <v>3.6</v>
      </c>
      <c r="Q444" s="408">
        <v>0.4</v>
      </c>
      <c r="R444" s="408">
        <v>0.29499999999999998</v>
      </c>
      <c r="S444" s="408">
        <v>0.4</v>
      </c>
      <c r="T444" s="408">
        <v>0.4</v>
      </c>
      <c r="U444" s="408">
        <v>1</v>
      </c>
      <c r="V444" s="408">
        <v>0.3</v>
      </c>
      <c r="W444" s="408">
        <v>0.9</v>
      </c>
      <c r="X444" s="408">
        <v>1.1000000000000001</v>
      </c>
      <c r="Y444" s="408">
        <v>3.3</v>
      </c>
      <c r="Z444" s="408">
        <v>0.6</v>
      </c>
      <c r="AA444" s="408">
        <v>0.1</v>
      </c>
      <c r="AB444" s="408">
        <v>1.6</v>
      </c>
      <c r="AC444" s="408">
        <v>2</v>
      </c>
      <c r="AD444" s="408">
        <v>3.7</v>
      </c>
    </row>
    <row r="445" spans="1:30">
      <c r="A445">
        <v>359</v>
      </c>
      <c r="B445" s="1" t="s">
        <v>121</v>
      </c>
      <c r="C445" s="5" t="s">
        <v>20</v>
      </c>
      <c r="D445" s="408">
        <v>25</v>
      </c>
      <c r="E445" s="5" t="s">
        <v>305</v>
      </c>
      <c r="F445" s="408">
        <v>39</v>
      </c>
      <c r="G445" s="408">
        <v>0</v>
      </c>
      <c r="H445" s="408">
        <v>12.3</v>
      </c>
      <c r="I445" s="408">
        <v>1.7</v>
      </c>
      <c r="J445" s="408">
        <v>3.8</v>
      </c>
      <c r="K445" s="408">
        <v>0.45600000000000002</v>
      </c>
      <c r="L445" s="408">
        <v>0.5</v>
      </c>
      <c r="M445" s="408">
        <v>1.2</v>
      </c>
      <c r="N445" s="5">
        <v>0.41299999999999998</v>
      </c>
      <c r="O445" s="408">
        <v>1.2</v>
      </c>
      <c r="P445" s="408">
        <v>2.6</v>
      </c>
      <c r="Q445" s="408">
        <v>0.47499999999999998</v>
      </c>
      <c r="R445" s="408">
        <v>0.52</v>
      </c>
      <c r="S445" s="408">
        <v>0.7</v>
      </c>
      <c r="T445" s="408">
        <v>0.8</v>
      </c>
      <c r="U445" s="408">
        <v>0.78800000000000003</v>
      </c>
      <c r="V445" s="408">
        <v>0.2</v>
      </c>
      <c r="W445" s="408">
        <v>1</v>
      </c>
      <c r="X445" s="408">
        <v>1.2</v>
      </c>
      <c r="Y445" s="408">
        <v>1.8</v>
      </c>
      <c r="Z445" s="408">
        <v>0.3</v>
      </c>
      <c r="AA445" s="408">
        <v>0.1</v>
      </c>
      <c r="AB445" s="408">
        <v>0.8</v>
      </c>
      <c r="AC445" s="408">
        <v>0.9</v>
      </c>
      <c r="AD445" s="408">
        <v>4.5999999999999996</v>
      </c>
    </row>
    <row r="446" spans="1:30">
      <c r="A446">
        <v>360</v>
      </c>
      <c r="B446" s="1" t="s">
        <v>723</v>
      </c>
      <c r="C446" s="5" t="s">
        <v>38</v>
      </c>
      <c r="D446" s="408">
        <v>24</v>
      </c>
      <c r="E446" s="5" t="s">
        <v>305</v>
      </c>
      <c r="F446" s="408">
        <v>5</v>
      </c>
      <c r="G446" s="408">
        <v>0</v>
      </c>
      <c r="H446" s="408">
        <v>2.4</v>
      </c>
      <c r="I446" s="408">
        <v>0.4</v>
      </c>
      <c r="J446" s="408">
        <v>0.8</v>
      </c>
      <c r="K446" s="408">
        <v>0.5</v>
      </c>
      <c r="L446" s="408">
        <v>0</v>
      </c>
      <c r="M446" s="408">
        <v>0.2</v>
      </c>
      <c r="N446" s="5">
        <v>0</v>
      </c>
      <c r="O446" s="408">
        <v>0.4</v>
      </c>
      <c r="P446" s="408">
        <v>0.6</v>
      </c>
      <c r="Q446" s="408">
        <v>0.66700000000000004</v>
      </c>
      <c r="R446" s="408">
        <v>0.5</v>
      </c>
      <c r="S446" s="408">
        <v>0</v>
      </c>
      <c r="T446" s="408">
        <v>0</v>
      </c>
      <c r="U446" s="408"/>
      <c r="V446" s="408">
        <v>0</v>
      </c>
      <c r="W446" s="408">
        <v>0.2</v>
      </c>
      <c r="X446" s="408">
        <v>0.2</v>
      </c>
      <c r="Y446" s="408">
        <v>0.4</v>
      </c>
      <c r="Z446" s="408">
        <v>0.4</v>
      </c>
      <c r="AA446" s="408">
        <v>0</v>
      </c>
      <c r="AB446" s="408">
        <v>0.4</v>
      </c>
      <c r="AC446" s="408">
        <v>0.2</v>
      </c>
      <c r="AD446" s="408">
        <v>0.8</v>
      </c>
    </row>
    <row r="447" spans="1:30">
      <c r="A447">
        <v>361</v>
      </c>
      <c r="B447" s="1" t="s">
        <v>592</v>
      </c>
      <c r="C447" s="5" t="s">
        <v>83</v>
      </c>
      <c r="D447" s="408">
        <v>32</v>
      </c>
      <c r="E447" s="5" t="s">
        <v>21</v>
      </c>
      <c r="F447" s="408">
        <v>7</v>
      </c>
      <c r="G447" s="408">
        <v>0</v>
      </c>
      <c r="H447" s="408">
        <v>5.7</v>
      </c>
      <c r="I447" s="408">
        <v>0.7</v>
      </c>
      <c r="J447" s="408">
        <v>1.4</v>
      </c>
      <c r="K447" s="408">
        <v>0.5</v>
      </c>
      <c r="L447" s="408">
        <v>0</v>
      </c>
      <c r="M447" s="408">
        <v>0</v>
      </c>
      <c r="O447" s="408">
        <v>0.7</v>
      </c>
      <c r="P447" s="408">
        <v>1.4</v>
      </c>
      <c r="Q447" s="408">
        <v>0.5</v>
      </c>
      <c r="R447" s="408">
        <v>0.5</v>
      </c>
      <c r="S447" s="408">
        <v>0.3</v>
      </c>
      <c r="T447" s="408">
        <v>0.6</v>
      </c>
      <c r="U447" s="408">
        <v>0.5</v>
      </c>
      <c r="V447" s="408">
        <v>0.9</v>
      </c>
      <c r="W447" s="408">
        <v>1.1000000000000001</v>
      </c>
      <c r="X447" s="408">
        <v>2</v>
      </c>
      <c r="Y447" s="408">
        <v>0.6</v>
      </c>
      <c r="Z447" s="408">
        <v>0.3</v>
      </c>
      <c r="AA447" s="408">
        <v>0.3</v>
      </c>
      <c r="AB447" s="408">
        <v>0.6</v>
      </c>
      <c r="AC447" s="408">
        <v>0.7</v>
      </c>
      <c r="AD447" s="408">
        <v>1.7</v>
      </c>
    </row>
    <row r="448" spans="1:30">
      <c r="A448">
        <v>362</v>
      </c>
      <c r="B448" s="1" t="s">
        <v>107</v>
      </c>
      <c r="C448" s="5" t="s">
        <v>83</v>
      </c>
      <c r="D448" s="408">
        <v>23</v>
      </c>
      <c r="E448" s="5" t="s">
        <v>33</v>
      </c>
      <c r="F448" s="408">
        <v>25</v>
      </c>
      <c r="G448" s="408">
        <v>6</v>
      </c>
      <c r="H448" s="408">
        <v>14.5</v>
      </c>
      <c r="I448" s="408">
        <v>1.7</v>
      </c>
      <c r="J448" s="408">
        <v>3.5</v>
      </c>
      <c r="K448" s="408">
        <v>0.49399999999999999</v>
      </c>
      <c r="L448" s="408">
        <v>0</v>
      </c>
      <c r="M448" s="408">
        <v>0</v>
      </c>
      <c r="N448" s="5">
        <v>0</v>
      </c>
      <c r="O448" s="408">
        <v>1.7</v>
      </c>
      <c r="P448" s="408">
        <v>3.4</v>
      </c>
      <c r="Q448" s="408">
        <v>0.5</v>
      </c>
      <c r="R448" s="408">
        <v>0.49399999999999999</v>
      </c>
      <c r="S448" s="408">
        <v>0.8</v>
      </c>
      <c r="T448" s="408">
        <v>1</v>
      </c>
      <c r="U448" s="408">
        <v>0.76900000000000002</v>
      </c>
      <c r="V448" s="408">
        <v>1.6</v>
      </c>
      <c r="W448" s="408">
        <v>3.4</v>
      </c>
      <c r="X448" s="408">
        <v>5</v>
      </c>
      <c r="Y448" s="408">
        <v>0.5</v>
      </c>
      <c r="Z448" s="408">
        <v>0.9</v>
      </c>
      <c r="AA448" s="408">
        <v>0.7</v>
      </c>
      <c r="AB448" s="408">
        <v>0.8</v>
      </c>
      <c r="AC448" s="408">
        <v>2</v>
      </c>
      <c r="AD448" s="408">
        <v>4.2</v>
      </c>
    </row>
    <row r="449" spans="1:30">
      <c r="A449">
        <v>363</v>
      </c>
      <c r="B449" s="1" t="s">
        <v>90</v>
      </c>
      <c r="C449" s="5" t="s">
        <v>83</v>
      </c>
      <c r="D449" s="408">
        <v>25</v>
      </c>
      <c r="E449" s="5" t="s">
        <v>47</v>
      </c>
      <c r="F449" s="408">
        <v>42</v>
      </c>
      <c r="G449" s="408">
        <v>2</v>
      </c>
      <c r="H449" s="408">
        <v>8.3000000000000007</v>
      </c>
      <c r="I449" s="408">
        <v>1</v>
      </c>
      <c r="J449" s="408">
        <v>1.6</v>
      </c>
      <c r="K449" s="408">
        <v>0.61199999999999999</v>
      </c>
      <c r="L449" s="408">
        <v>0.1</v>
      </c>
      <c r="M449" s="408">
        <v>0.4</v>
      </c>
      <c r="N449" s="5">
        <v>0.25</v>
      </c>
      <c r="O449" s="408">
        <v>0.9</v>
      </c>
      <c r="P449" s="408">
        <v>1.2</v>
      </c>
      <c r="Q449" s="408">
        <v>0.72499999999999998</v>
      </c>
      <c r="R449" s="408">
        <v>0.64200000000000002</v>
      </c>
      <c r="S449" s="408">
        <v>0.4</v>
      </c>
      <c r="T449" s="408">
        <v>0.6</v>
      </c>
      <c r="U449" s="408">
        <v>0.75</v>
      </c>
      <c r="V449" s="408">
        <v>0.4</v>
      </c>
      <c r="W449" s="408">
        <v>1.5</v>
      </c>
      <c r="X449" s="408">
        <v>1.8</v>
      </c>
      <c r="Y449" s="408">
        <v>0.4</v>
      </c>
      <c r="Z449" s="408">
        <v>0.5</v>
      </c>
      <c r="AA449" s="408">
        <v>0.8</v>
      </c>
      <c r="AB449" s="408">
        <v>0.3</v>
      </c>
      <c r="AC449" s="408">
        <v>1</v>
      </c>
      <c r="AD449" s="408">
        <v>2.5</v>
      </c>
    </row>
    <row r="450" spans="1:30">
      <c r="A450">
        <v>364</v>
      </c>
      <c r="B450" s="1" t="s">
        <v>385</v>
      </c>
      <c r="C450" s="5" t="s">
        <v>83</v>
      </c>
      <c r="D450" s="408">
        <v>39</v>
      </c>
      <c r="E450" s="5" t="s">
        <v>33</v>
      </c>
      <c r="F450" s="408">
        <v>69</v>
      </c>
      <c r="G450" s="408">
        <v>69</v>
      </c>
      <c r="H450" s="408">
        <v>24.9</v>
      </c>
      <c r="I450" s="408">
        <v>4.5999999999999996</v>
      </c>
      <c r="J450" s="408">
        <v>9.9</v>
      </c>
      <c r="K450" s="408">
        <v>0.46300000000000002</v>
      </c>
      <c r="L450" s="408">
        <v>1.8</v>
      </c>
      <c r="M450" s="408">
        <v>4.2</v>
      </c>
      <c r="N450" s="5">
        <v>0.42699999999999999</v>
      </c>
      <c r="O450" s="408">
        <v>2.8</v>
      </c>
      <c r="P450" s="408">
        <v>5.7</v>
      </c>
      <c r="Q450" s="408">
        <v>0.49</v>
      </c>
      <c r="R450" s="408">
        <v>0.55400000000000005</v>
      </c>
      <c r="S450" s="408">
        <v>1.3</v>
      </c>
      <c r="T450" s="408">
        <v>1.5</v>
      </c>
      <c r="U450" s="408">
        <v>0.91200000000000003</v>
      </c>
      <c r="V450" s="408">
        <v>0.3</v>
      </c>
      <c r="W450" s="408">
        <v>5.4</v>
      </c>
      <c r="X450" s="408">
        <v>5.7</v>
      </c>
      <c r="Y450" s="408">
        <v>1.6</v>
      </c>
      <c r="Z450" s="408">
        <v>0.6</v>
      </c>
      <c r="AA450" s="408">
        <v>0.6</v>
      </c>
      <c r="AB450" s="408">
        <v>0.7</v>
      </c>
      <c r="AC450" s="408">
        <v>1.9</v>
      </c>
      <c r="AD450" s="408">
        <v>12.3</v>
      </c>
    </row>
    <row r="451" spans="1:30">
      <c r="A451">
        <v>365</v>
      </c>
      <c r="B451" s="1" t="s">
        <v>487</v>
      </c>
      <c r="C451" s="5" t="s">
        <v>20</v>
      </c>
      <c r="D451" s="408">
        <v>19</v>
      </c>
      <c r="E451" s="5" t="s">
        <v>21</v>
      </c>
      <c r="F451" s="408">
        <v>68</v>
      </c>
      <c r="G451" s="408">
        <v>3</v>
      </c>
      <c r="H451" s="408">
        <v>20.9</v>
      </c>
      <c r="I451" s="408">
        <v>2.1</v>
      </c>
      <c r="J451" s="408">
        <v>6</v>
      </c>
      <c r="K451" s="408">
        <v>0.35899999999999999</v>
      </c>
      <c r="L451" s="408">
        <v>0.6</v>
      </c>
      <c r="M451" s="408">
        <v>1.8</v>
      </c>
      <c r="N451" s="5">
        <v>0.32</v>
      </c>
      <c r="O451" s="408">
        <v>1.6</v>
      </c>
      <c r="P451" s="408">
        <v>4.0999999999999996</v>
      </c>
      <c r="Q451" s="408">
        <v>0.376</v>
      </c>
      <c r="R451" s="408">
        <v>0.40799999999999997</v>
      </c>
      <c r="S451" s="408">
        <v>0.7</v>
      </c>
      <c r="T451" s="408">
        <v>1</v>
      </c>
      <c r="U451" s="408">
        <v>0.71599999999999997</v>
      </c>
      <c r="V451" s="408">
        <v>0.4</v>
      </c>
      <c r="W451" s="408">
        <v>1.7</v>
      </c>
      <c r="X451" s="408">
        <v>2.1</v>
      </c>
      <c r="Y451" s="408">
        <v>3.2</v>
      </c>
      <c r="Z451" s="408">
        <v>0.9</v>
      </c>
      <c r="AA451" s="408">
        <v>0.2</v>
      </c>
      <c r="AB451" s="408">
        <v>1.7</v>
      </c>
      <c r="AC451" s="408">
        <v>2.2999999999999998</v>
      </c>
      <c r="AD451" s="408">
        <v>5.6</v>
      </c>
    </row>
    <row r="452" spans="1:30">
      <c r="A452">
        <v>366</v>
      </c>
      <c r="B452" s="1" t="s">
        <v>231</v>
      </c>
      <c r="C452" s="5" t="s">
        <v>83</v>
      </c>
      <c r="D452" s="408">
        <v>23</v>
      </c>
      <c r="E452" s="5" t="s">
        <v>96</v>
      </c>
      <c r="F452" s="408">
        <v>67</v>
      </c>
      <c r="G452" s="408">
        <v>67</v>
      </c>
      <c r="H452" s="408">
        <v>26</v>
      </c>
      <c r="I452" s="408">
        <v>5.9</v>
      </c>
      <c r="J452" s="408">
        <v>12.1</v>
      </c>
      <c r="K452" s="408">
        <v>0.48699999999999999</v>
      </c>
      <c r="L452" s="408">
        <v>0</v>
      </c>
      <c r="M452" s="408">
        <v>0.1</v>
      </c>
      <c r="N452" s="5">
        <v>0</v>
      </c>
      <c r="O452" s="408">
        <v>5.9</v>
      </c>
      <c r="P452" s="408">
        <v>12</v>
      </c>
      <c r="Q452" s="408">
        <v>0.49099999999999999</v>
      </c>
      <c r="R452" s="408">
        <v>0.48699999999999999</v>
      </c>
      <c r="S452" s="408">
        <v>2.2999999999999998</v>
      </c>
      <c r="T452" s="408">
        <v>3.6</v>
      </c>
      <c r="U452" s="408">
        <v>0.64600000000000002</v>
      </c>
      <c r="V452" s="408">
        <v>2.2000000000000002</v>
      </c>
      <c r="W452" s="408">
        <v>6.4</v>
      </c>
      <c r="X452" s="408">
        <v>8.6</v>
      </c>
      <c r="Y452" s="408">
        <v>1.8</v>
      </c>
      <c r="Z452" s="408">
        <v>0.7</v>
      </c>
      <c r="AA452" s="408">
        <v>1.3</v>
      </c>
      <c r="AB452" s="408">
        <v>2.4</v>
      </c>
      <c r="AC452" s="408">
        <v>3.1</v>
      </c>
      <c r="AD452" s="408">
        <v>14.1</v>
      </c>
    </row>
    <row r="453" spans="1:30">
      <c r="A453">
        <v>367</v>
      </c>
      <c r="B453" s="1" t="s">
        <v>177</v>
      </c>
      <c r="C453" s="5" t="s">
        <v>26</v>
      </c>
      <c r="D453" s="408">
        <v>25</v>
      </c>
      <c r="E453" s="5" t="s">
        <v>43</v>
      </c>
      <c r="F453" s="408">
        <v>58</v>
      </c>
      <c r="G453" s="408">
        <v>12</v>
      </c>
      <c r="H453" s="408">
        <v>22.6</v>
      </c>
      <c r="I453" s="408">
        <v>2.7</v>
      </c>
      <c r="J453" s="408">
        <v>5.2</v>
      </c>
      <c r="K453" s="408">
        <v>0.52500000000000002</v>
      </c>
      <c r="L453" s="408">
        <v>0.2</v>
      </c>
      <c r="M453" s="408">
        <v>0.6</v>
      </c>
      <c r="N453" s="5">
        <v>0.4</v>
      </c>
      <c r="O453" s="408">
        <v>2.5</v>
      </c>
      <c r="P453" s="408">
        <v>4.5999999999999996</v>
      </c>
      <c r="Q453" s="408">
        <v>0.54200000000000004</v>
      </c>
      <c r="R453" s="408">
        <v>0.54800000000000004</v>
      </c>
      <c r="S453" s="408">
        <v>1.9</v>
      </c>
      <c r="T453" s="408">
        <v>3</v>
      </c>
      <c r="U453" s="408">
        <v>0.63</v>
      </c>
      <c r="V453" s="408">
        <v>1.2</v>
      </c>
      <c r="W453" s="408">
        <v>3.3</v>
      </c>
      <c r="X453" s="408">
        <v>4.5</v>
      </c>
      <c r="Y453" s="408">
        <v>1.3</v>
      </c>
      <c r="Z453" s="408">
        <v>0.8</v>
      </c>
      <c r="AA453" s="408">
        <v>0.5</v>
      </c>
      <c r="AB453" s="408">
        <v>1</v>
      </c>
      <c r="AC453" s="408">
        <v>2.1</v>
      </c>
      <c r="AD453" s="408">
        <v>7.5</v>
      </c>
    </row>
    <row r="454" spans="1:30">
      <c r="A454">
        <v>368</v>
      </c>
      <c r="B454" s="1" t="s">
        <v>123</v>
      </c>
      <c r="C454" s="5" t="s">
        <v>38</v>
      </c>
      <c r="D454" s="408">
        <v>24</v>
      </c>
      <c r="E454" s="5" t="s">
        <v>311</v>
      </c>
      <c r="F454" s="408">
        <v>36</v>
      </c>
      <c r="G454" s="408">
        <v>0</v>
      </c>
      <c r="H454" s="408">
        <v>10.5</v>
      </c>
      <c r="I454" s="408">
        <v>1.9</v>
      </c>
      <c r="J454" s="408">
        <v>4.8</v>
      </c>
      <c r="K454" s="408">
        <v>0.39800000000000002</v>
      </c>
      <c r="L454" s="408">
        <v>0.4</v>
      </c>
      <c r="M454" s="408">
        <v>1.2</v>
      </c>
      <c r="N454" s="5">
        <v>0.32600000000000001</v>
      </c>
      <c r="O454" s="408">
        <v>1.5</v>
      </c>
      <c r="P454" s="408">
        <v>3.6</v>
      </c>
      <c r="Q454" s="408">
        <v>0.42199999999999999</v>
      </c>
      <c r="R454" s="408">
        <v>0.439</v>
      </c>
      <c r="S454" s="408">
        <v>0.6</v>
      </c>
      <c r="T454" s="408">
        <v>0.7</v>
      </c>
      <c r="U454" s="408">
        <v>0.84</v>
      </c>
      <c r="V454" s="408">
        <v>0.8</v>
      </c>
      <c r="W454" s="408">
        <v>1.8</v>
      </c>
      <c r="X454" s="408">
        <v>2.6</v>
      </c>
      <c r="Y454" s="408">
        <v>0.4</v>
      </c>
      <c r="Z454" s="408">
        <v>0.2</v>
      </c>
      <c r="AA454" s="408">
        <v>0.2</v>
      </c>
      <c r="AB454" s="408">
        <v>0.4</v>
      </c>
      <c r="AC454" s="408">
        <v>1.3</v>
      </c>
      <c r="AD454" s="408">
        <v>4.8</v>
      </c>
    </row>
    <row r="455" spans="1:30">
      <c r="A455">
        <v>369</v>
      </c>
      <c r="B455" s="1" t="s">
        <v>512</v>
      </c>
      <c r="C455" s="5" t="s">
        <v>46</v>
      </c>
      <c r="D455" s="408">
        <v>24</v>
      </c>
      <c r="E455" s="5" t="s">
        <v>305</v>
      </c>
      <c r="F455" s="408">
        <v>57</v>
      </c>
      <c r="G455" s="408">
        <v>3</v>
      </c>
      <c r="H455" s="408">
        <v>15.7</v>
      </c>
      <c r="I455" s="408">
        <v>1.6</v>
      </c>
      <c r="J455" s="408">
        <v>4.0999999999999996</v>
      </c>
      <c r="K455" s="408">
        <v>0.39800000000000002</v>
      </c>
      <c r="L455" s="408">
        <v>0.6</v>
      </c>
      <c r="M455" s="408">
        <v>1.7</v>
      </c>
      <c r="N455" s="5">
        <v>0.35099999999999998</v>
      </c>
      <c r="O455" s="408">
        <v>1</v>
      </c>
      <c r="P455" s="408">
        <v>2.4</v>
      </c>
      <c r="Q455" s="408">
        <v>0.433</v>
      </c>
      <c r="R455" s="408">
        <v>0.47199999999999998</v>
      </c>
      <c r="S455" s="408">
        <v>1</v>
      </c>
      <c r="T455" s="408">
        <v>1.2</v>
      </c>
      <c r="U455" s="408">
        <v>0.80900000000000005</v>
      </c>
      <c r="V455" s="408">
        <v>0.4</v>
      </c>
      <c r="W455" s="408">
        <v>2.8</v>
      </c>
      <c r="X455" s="408">
        <v>3.3</v>
      </c>
      <c r="Y455" s="408">
        <v>1.4</v>
      </c>
      <c r="Z455" s="408">
        <v>0.5</v>
      </c>
      <c r="AA455" s="408">
        <v>0.2</v>
      </c>
      <c r="AB455" s="408">
        <v>0.8</v>
      </c>
      <c r="AC455" s="408">
        <v>1.4</v>
      </c>
      <c r="AD455" s="408">
        <v>4.8</v>
      </c>
    </row>
    <row r="456" spans="1:30">
      <c r="A456">
        <v>370</v>
      </c>
      <c r="B456" s="1" t="s">
        <v>568</v>
      </c>
      <c r="C456" s="5" t="s">
        <v>83</v>
      </c>
      <c r="D456" s="408">
        <v>27</v>
      </c>
      <c r="E456" s="5" t="s">
        <v>21</v>
      </c>
      <c r="F456" s="408">
        <v>69</v>
      </c>
      <c r="G456" s="408">
        <v>4</v>
      </c>
      <c r="H456" s="408">
        <v>17.399999999999999</v>
      </c>
      <c r="I456" s="408">
        <v>2.8</v>
      </c>
      <c r="J456" s="408">
        <v>4.7</v>
      </c>
      <c r="K456" s="408">
        <v>0.59199999999999997</v>
      </c>
      <c r="L456" s="408">
        <v>0</v>
      </c>
      <c r="M456" s="408">
        <v>0.2</v>
      </c>
      <c r="N456" s="5">
        <v>9.0999999999999998E-2</v>
      </c>
      <c r="O456" s="408">
        <v>2.8</v>
      </c>
      <c r="P456" s="408">
        <v>4.5999999999999996</v>
      </c>
      <c r="Q456" s="408">
        <v>0.61</v>
      </c>
      <c r="R456" s="408">
        <v>0.59399999999999997</v>
      </c>
      <c r="S456" s="408">
        <v>1.3</v>
      </c>
      <c r="T456" s="408">
        <v>1.7</v>
      </c>
      <c r="U456" s="408">
        <v>0.76500000000000001</v>
      </c>
      <c r="V456" s="408">
        <v>1.4</v>
      </c>
      <c r="W456" s="408">
        <v>4.4000000000000004</v>
      </c>
      <c r="X456" s="408">
        <v>5.8</v>
      </c>
      <c r="Y456" s="408">
        <v>2</v>
      </c>
      <c r="Z456" s="408">
        <v>0.5</v>
      </c>
      <c r="AA456" s="408">
        <v>1.2</v>
      </c>
      <c r="AB456" s="408">
        <v>1.3</v>
      </c>
      <c r="AC456" s="408">
        <v>2.5</v>
      </c>
      <c r="AD456" s="408">
        <v>6.9</v>
      </c>
    </row>
    <row r="457" spans="1:30">
      <c r="A457">
        <v>371</v>
      </c>
      <c r="B457" s="1" t="s">
        <v>488</v>
      </c>
      <c r="C457" s="5" t="s">
        <v>38</v>
      </c>
      <c r="D457" s="408">
        <v>23</v>
      </c>
      <c r="E457" s="5" t="s">
        <v>87</v>
      </c>
      <c r="F457" s="408">
        <v>61</v>
      </c>
      <c r="G457" s="408">
        <v>0</v>
      </c>
      <c r="H457" s="408">
        <v>14.4</v>
      </c>
      <c r="I457" s="408">
        <v>0.7</v>
      </c>
      <c r="J457" s="408">
        <v>2.2999999999999998</v>
      </c>
      <c r="K457" s="408">
        <v>0.31</v>
      </c>
      <c r="L457" s="408">
        <v>0.5</v>
      </c>
      <c r="M457" s="408">
        <v>1.7</v>
      </c>
      <c r="N457" s="5">
        <v>0.29799999999999999</v>
      </c>
      <c r="O457" s="408">
        <v>0.2</v>
      </c>
      <c r="P457" s="408">
        <v>0.6</v>
      </c>
      <c r="Q457" s="408">
        <v>0.34200000000000003</v>
      </c>
      <c r="R457" s="408">
        <v>0.41899999999999998</v>
      </c>
      <c r="S457" s="408">
        <v>0.3</v>
      </c>
      <c r="T457" s="408">
        <v>0.5</v>
      </c>
      <c r="U457" s="408">
        <v>0.625</v>
      </c>
      <c r="V457" s="408">
        <v>0.5</v>
      </c>
      <c r="W457" s="408">
        <v>1.4</v>
      </c>
      <c r="X457" s="408">
        <v>1.9</v>
      </c>
      <c r="Y457" s="408">
        <v>0.3</v>
      </c>
      <c r="Z457" s="408">
        <v>0.3</v>
      </c>
      <c r="AA457" s="408">
        <v>0</v>
      </c>
      <c r="AB457" s="408">
        <v>0.3</v>
      </c>
      <c r="AC457" s="408">
        <v>1.2</v>
      </c>
      <c r="AD457" s="408">
        <v>2.2999999999999998</v>
      </c>
    </row>
    <row r="458" spans="1:30">
      <c r="A458">
        <v>372</v>
      </c>
      <c r="B458" s="1" t="s">
        <v>838</v>
      </c>
      <c r="C458" s="5" t="s">
        <v>83</v>
      </c>
      <c r="D458" s="408">
        <v>35</v>
      </c>
      <c r="E458" s="5" t="s">
        <v>112</v>
      </c>
      <c r="F458" s="408">
        <v>16</v>
      </c>
      <c r="G458" s="408">
        <v>13</v>
      </c>
      <c r="H458" s="408">
        <v>16.399999999999999</v>
      </c>
      <c r="I458" s="408">
        <v>2.5</v>
      </c>
      <c r="J458" s="408">
        <v>4.5999999999999996</v>
      </c>
      <c r="K458" s="408">
        <v>0.54100000000000004</v>
      </c>
      <c r="L458" s="408">
        <v>0</v>
      </c>
      <c r="M458" s="408">
        <v>0</v>
      </c>
      <c r="O458" s="408">
        <v>2.5</v>
      </c>
      <c r="P458" s="408">
        <v>4.5999999999999996</v>
      </c>
      <c r="Q458" s="408">
        <v>0.54100000000000004</v>
      </c>
      <c r="R458" s="408">
        <v>0.54100000000000004</v>
      </c>
      <c r="S458" s="408">
        <v>0.9</v>
      </c>
      <c r="T458" s="408">
        <v>1.2</v>
      </c>
      <c r="U458" s="408">
        <v>0.78900000000000003</v>
      </c>
      <c r="V458" s="408">
        <v>2</v>
      </c>
      <c r="W458" s="408">
        <v>3.4</v>
      </c>
      <c r="X458" s="408">
        <v>5.4</v>
      </c>
      <c r="Y458" s="408">
        <v>0.3</v>
      </c>
      <c r="Z458" s="408">
        <v>0.3</v>
      </c>
      <c r="AA458" s="408">
        <v>1.3</v>
      </c>
      <c r="AB458" s="408">
        <v>0.4</v>
      </c>
      <c r="AC458" s="408">
        <v>1.4</v>
      </c>
      <c r="AD458" s="408">
        <v>5.9</v>
      </c>
    </row>
    <row r="459" spans="1:30">
      <c r="A459">
        <v>373</v>
      </c>
      <c r="B459" s="1" t="s">
        <v>147</v>
      </c>
      <c r="C459" s="5" t="s">
        <v>83</v>
      </c>
      <c r="D459" s="408">
        <v>22</v>
      </c>
      <c r="E459" s="5" t="s">
        <v>357</v>
      </c>
      <c r="F459" s="408">
        <v>27</v>
      </c>
      <c r="G459" s="408">
        <v>0</v>
      </c>
      <c r="H459" s="408">
        <v>12.4</v>
      </c>
      <c r="I459" s="408">
        <v>2.6</v>
      </c>
      <c r="J459" s="408">
        <v>4.8</v>
      </c>
      <c r="K459" s="408">
        <v>0.54300000000000004</v>
      </c>
      <c r="L459" s="408">
        <v>0</v>
      </c>
      <c r="M459" s="408">
        <v>0.1</v>
      </c>
      <c r="N459" s="5">
        <v>0</v>
      </c>
      <c r="O459" s="408">
        <v>2.6</v>
      </c>
      <c r="P459" s="408">
        <v>4.7</v>
      </c>
      <c r="Q459" s="408">
        <v>0.55600000000000005</v>
      </c>
      <c r="R459" s="408">
        <v>0.54300000000000004</v>
      </c>
      <c r="S459" s="408">
        <v>0.8</v>
      </c>
      <c r="T459" s="408">
        <v>1.1000000000000001</v>
      </c>
      <c r="U459" s="408">
        <v>0.72399999999999998</v>
      </c>
      <c r="V459" s="408">
        <v>0.7</v>
      </c>
      <c r="W459" s="408">
        <v>2.2000000000000002</v>
      </c>
      <c r="X459" s="408">
        <v>3</v>
      </c>
      <c r="Y459" s="408">
        <v>0.4</v>
      </c>
      <c r="Z459" s="408">
        <v>0.1</v>
      </c>
      <c r="AA459" s="408">
        <v>0.6</v>
      </c>
      <c r="AB459" s="408">
        <v>0.8</v>
      </c>
      <c r="AC459" s="408">
        <v>1.9</v>
      </c>
      <c r="AD459" s="408">
        <v>6</v>
      </c>
    </row>
    <row r="460" spans="1:30">
      <c r="A460">
        <v>373</v>
      </c>
      <c r="B460" s="1" t="s">
        <v>147</v>
      </c>
      <c r="C460" s="5" t="s">
        <v>83</v>
      </c>
      <c r="D460" s="408">
        <v>22</v>
      </c>
      <c r="E460" s="5" t="s">
        <v>118</v>
      </c>
      <c r="F460" s="408">
        <v>2</v>
      </c>
      <c r="G460" s="408">
        <v>0</v>
      </c>
      <c r="H460" s="408">
        <v>12.5</v>
      </c>
      <c r="I460" s="408">
        <v>2</v>
      </c>
      <c r="J460" s="408">
        <v>4.5</v>
      </c>
      <c r="K460" s="408">
        <v>0.44400000000000001</v>
      </c>
      <c r="L460" s="408">
        <v>0</v>
      </c>
      <c r="M460" s="408">
        <v>0</v>
      </c>
      <c r="O460" s="408">
        <v>2</v>
      </c>
      <c r="P460" s="408">
        <v>4.5</v>
      </c>
      <c r="Q460" s="408">
        <v>0.44400000000000001</v>
      </c>
      <c r="R460" s="408">
        <v>0.44400000000000001</v>
      </c>
      <c r="S460" s="408">
        <v>1</v>
      </c>
      <c r="T460" s="408">
        <v>2</v>
      </c>
      <c r="U460" s="408">
        <v>0.5</v>
      </c>
      <c r="V460" s="408">
        <v>2</v>
      </c>
      <c r="W460" s="408">
        <v>2.5</v>
      </c>
      <c r="X460" s="408">
        <v>4.5</v>
      </c>
      <c r="Y460" s="408">
        <v>0.5</v>
      </c>
      <c r="Z460" s="408">
        <v>0</v>
      </c>
      <c r="AA460" s="408">
        <v>1</v>
      </c>
      <c r="AB460" s="408">
        <v>1.5</v>
      </c>
      <c r="AC460" s="408">
        <v>3.5</v>
      </c>
      <c r="AD460" s="408">
        <v>5</v>
      </c>
    </row>
    <row r="461" spans="1:30">
      <c r="A461">
        <v>373</v>
      </c>
      <c r="B461" s="1" t="s">
        <v>147</v>
      </c>
      <c r="C461" s="5" t="s">
        <v>83</v>
      </c>
      <c r="D461" s="408">
        <v>22</v>
      </c>
      <c r="E461" s="5" t="s">
        <v>315</v>
      </c>
      <c r="F461" s="408">
        <v>25</v>
      </c>
      <c r="G461" s="408">
        <v>0</v>
      </c>
      <c r="H461" s="408">
        <v>12.4</v>
      </c>
      <c r="I461" s="408">
        <v>2.6</v>
      </c>
      <c r="J461" s="408">
        <v>4.8</v>
      </c>
      <c r="K461" s="408">
        <v>0.55000000000000004</v>
      </c>
      <c r="L461" s="408">
        <v>0</v>
      </c>
      <c r="M461" s="408">
        <v>0.1</v>
      </c>
      <c r="N461" s="5">
        <v>0</v>
      </c>
      <c r="O461" s="408">
        <v>2.6</v>
      </c>
      <c r="P461" s="408">
        <v>4.7</v>
      </c>
      <c r="Q461" s="408">
        <v>0.56399999999999995</v>
      </c>
      <c r="R461" s="408">
        <v>0.55000000000000004</v>
      </c>
      <c r="S461" s="408">
        <v>0.8</v>
      </c>
      <c r="T461" s="408">
        <v>1</v>
      </c>
      <c r="U461" s="408">
        <v>0.76</v>
      </c>
      <c r="V461" s="408">
        <v>0.6</v>
      </c>
      <c r="W461" s="408">
        <v>2.2000000000000002</v>
      </c>
      <c r="X461" s="408">
        <v>2.8</v>
      </c>
      <c r="Y461" s="408">
        <v>0.4</v>
      </c>
      <c r="Z461" s="408">
        <v>0.1</v>
      </c>
      <c r="AA461" s="408">
        <v>0.6</v>
      </c>
      <c r="AB461" s="408">
        <v>0.7</v>
      </c>
      <c r="AC461" s="408">
        <v>1.8</v>
      </c>
      <c r="AD461" s="408">
        <v>6</v>
      </c>
    </row>
    <row r="462" spans="1:30">
      <c r="A462">
        <v>374</v>
      </c>
      <c r="B462" s="1" t="s">
        <v>323</v>
      </c>
      <c r="C462" s="5" t="s">
        <v>26</v>
      </c>
      <c r="D462" s="408">
        <v>25</v>
      </c>
      <c r="E462" s="5" t="s">
        <v>30</v>
      </c>
      <c r="F462" s="408">
        <v>65</v>
      </c>
      <c r="G462" s="408">
        <v>65</v>
      </c>
      <c r="H462" s="408">
        <v>34.1</v>
      </c>
      <c r="I462" s="408">
        <v>8.6</v>
      </c>
      <c r="J462" s="408">
        <v>18.2</v>
      </c>
      <c r="K462" s="408">
        <v>0.47099999999999997</v>
      </c>
      <c r="L462" s="408">
        <v>2.1</v>
      </c>
      <c r="M462" s="408">
        <v>5.8</v>
      </c>
      <c r="N462" s="5">
        <v>0.36599999999999999</v>
      </c>
      <c r="O462" s="408">
        <v>6.5</v>
      </c>
      <c r="P462" s="408">
        <v>12.4</v>
      </c>
      <c r="Q462" s="408">
        <v>0.52</v>
      </c>
      <c r="R462" s="408">
        <v>0.53</v>
      </c>
      <c r="S462" s="408">
        <v>4</v>
      </c>
      <c r="T462" s="408">
        <v>5</v>
      </c>
      <c r="U462" s="408">
        <v>0.80300000000000005</v>
      </c>
      <c r="V462" s="408">
        <v>0.6</v>
      </c>
      <c r="W462" s="408">
        <v>4.5999999999999996</v>
      </c>
      <c r="X462" s="408">
        <v>5.2</v>
      </c>
      <c r="Y462" s="408">
        <v>4.2</v>
      </c>
      <c r="Z462" s="408">
        <v>2.2999999999999998</v>
      </c>
      <c r="AA462" s="408">
        <v>0.8</v>
      </c>
      <c r="AB462" s="408">
        <v>3</v>
      </c>
      <c r="AC462" s="408">
        <v>2.2999999999999998</v>
      </c>
      <c r="AD462" s="408">
        <v>23.3</v>
      </c>
    </row>
    <row r="463" spans="1:30">
      <c r="A463">
        <v>375</v>
      </c>
      <c r="B463" s="1" t="s">
        <v>433</v>
      </c>
      <c r="C463" s="5" t="s">
        <v>38</v>
      </c>
      <c r="D463" s="408">
        <v>26</v>
      </c>
      <c r="E463" s="5" t="s">
        <v>50</v>
      </c>
      <c r="F463" s="408">
        <v>65</v>
      </c>
      <c r="G463" s="408">
        <v>22</v>
      </c>
      <c r="H463" s="408">
        <v>23.6</v>
      </c>
      <c r="I463" s="408">
        <v>4.0999999999999996</v>
      </c>
      <c r="J463" s="408">
        <v>8.1999999999999993</v>
      </c>
      <c r="K463" s="408">
        <v>0.49399999999999999</v>
      </c>
      <c r="L463" s="408">
        <v>1.3</v>
      </c>
      <c r="M463" s="408">
        <v>3.6</v>
      </c>
      <c r="N463" s="5">
        <v>0.36799999999999999</v>
      </c>
      <c r="O463" s="408">
        <v>2.8</v>
      </c>
      <c r="P463" s="408">
        <v>4.5999999999999996</v>
      </c>
      <c r="Q463" s="408">
        <v>0.59299999999999997</v>
      </c>
      <c r="R463" s="408">
        <v>0.57499999999999996</v>
      </c>
      <c r="S463" s="408">
        <v>1.7</v>
      </c>
      <c r="T463" s="408">
        <v>2.2999999999999998</v>
      </c>
      <c r="U463" s="408">
        <v>0.76900000000000002</v>
      </c>
      <c r="V463" s="408">
        <v>1.2</v>
      </c>
      <c r="W463" s="408">
        <v>4.5</v>
      </c>
      <c r="X463" s="408">
        <v>5.6</v>
      </c>
      <c r="Y463" s="408">
        <v>2.6</v>
      </c>
      <c r="Z463" s="408">
        <v>0.8</v>
      </c>
      <c r="AA463" s="408">
        <v>0.5</v>
      </c>
      <c r="AB463" s="408">
        <v>2</v>
      </c>
      <c r="AC463" s="408">
        <v>2.9</v>
      </c>
      <c r="AD463" s="408">
        <v>11.2</v>
      </c>
    </row>
    <row r="464" spans="1:30">
      <c r="A464">
        <v>376</v>
      </c>
      <c r="B464" s="1" t="s">
        <v>478</v>
      </c>
      <c r="C464" s="5" t="s">
        <v>46</v>
      </c>
      <c r="D464" s="408">
        <v>22</v>
      </c>
      <c r="E464" s="5" t="s">
        <v>102</v>
      </c>
      <c r="F464" s="408">
        <v>54</v>
      </c>
      <c r="G464" s="408">
        <v>9</v>
      </c>
      <c r="H464" s="408">
        <v>10.5</v>
      </c>
      <c r="I464" s="408">
        <v>1.4</v>
      </c>
      <c r="J464" s="408">
        <v>2.8</v>
      </c>
      <c r="K464" s="408">
        <v>0.51</v>
      </c>
      <c r="L464" s="408">
        <v>0.5</v>
      </c>
      <c r="M464" s="408">
        <v>1.2</v>
      </c>
      <c r="N464" s="5">
        <v>0.39100000000000001</v>
      </c>
      <c r="O464" s="408">
        <v>0.9</v>
      </c>
      <c r="P464" s="408">
        <v>1.6</v>
      </c>
      <c r="Q464" s="408">
        <v>0.6</v>
      </c>
      <c r="R464" s="408">
        <v>0.59399999999999997</v>
      </c>
      <c r="S464" s="408">
        <v>0.4</v>
      </c>
      <c r="T464" s="408">
        <v>0.6</v>
      </c>
      <c r="U464" s="408">
        <v>0.57599999999999996</v>
      </c>
      <c r="V464" s="408">
        <v>0.3</v>
      </c>
      <c r="W464" s="408">
        <v>1.6</v>
      </c>
      <c r="X464" s="408">
        <v>1.9</v>
      </c>
      <c r="Y464" s="408">
        <v>0.5</v>
      </c>
      <c r="Z464" s="408">
        <v>0.3</v>
      </c>
      <c r="AA464" s="408">
        <v>0.1</v>
      </c>
      <c r="AB464" s="408">
        <v>0.5</v>
      </c>
      <c r="AC464" s="408">
        <v>1.3</v>
      </c>
      <c r="AD464" s="408">
        <v>3.6</v>
      </c>
    </row>
    <row r="465" spans="1:30">
      <c r="A465">
        <v>377</v>
      </c>
      <c r="B465" s="1" t="s">
        <v>389</v>
      </c>
      <c r="C465" s="5" t="s">
        <v>46</v>
      </c>
      <c r="D465" s="408">
        <v>22</v>
      </c>
      <c r="E465" s="5" t="s">
        <v>27</v>
      </c>
      <c r="F465" s="408">
        <v>69</v>
      </c>
      <c r="G465" s="408">
        <v>10</v>
      </c>
      <c r="H465" s="408">
        <v>27.5</v>
      </c>
      <c r="I465" s="408">
        <v>3.9</v>
      </c>
      <c r="J465" s="408">
        <v>9.5</v>
      </c>
      <c r="K465" s="408">
        <v>0.41399999999999998</v>
      </c>
      <c r="L465" s="408">
        <v>1.6</v>
      </c>
      <c r="M465" s="408">
        <v>4.4000000000000004</v>
      </c>
      <c r="N465" s="5">
        <v>0.36199999999999999</v>
      </c>
      <c r="O465" s="408">
        <v>2.2999999999999998</v>
      </c>
      <c r="P465" s="408">
        <v>5.0999999999999996</v>
      </c>
      <c r="Q465" s="408">
        <v>0.46</v>
      </c>
      <c r="R465" s="408">
        <v>0.498</v>
      </c>
      <c r="S465" s="408">
        <v>2.4</v>
      </c>
      <c r="T465" s="408">
        <v>2.8</v>
      </c>
      <c r="U465" s="408">
        <v>0.84499999999999997</v>
      </c>
      <c r="V465" s="408">
        <v>0.7</v>
      </c>
      <c r="W465" s="408">
        <v>3.8</v>
      </c>
      <c r="X465" s="408">
        <v>4.5</v>
      </c>
      <c r="Y465" s="408">
        <v>1.1000000000000001</v>
      </c>
      <c r="Z465" s="408">
        <v>0.9</v>
      </c>
      <c r="AA465" s="408">
        <v>0.4</v>
      </c>
      <c r="AB465" s="408">
        <v>1.1000000000000001</v>
      </c>
      <c r="AC465" s="408">
        <v>2.9</v>
      </c>
      <c r="AD465" s="408">
        <v>11.8</v>
      </c>
    </row>
    <row r="466" spans="1:30">
      <c r="A466">
        <v>378</v>
      </c>
      <c r="B466" s="1" t="s">
        <v>138</v>
      </c>
      <c r="C466" s="5" t="s">
        <v>83</v>
      </c>
      <c r="D466" s="408">
        <v>33</v>
      </c>
      <c r="E466" s="5" t="s">
        <v>73</v>
      </c>
      <c r="F466" s="408">
        <v>60</v>
      </c>
      <c r="G466" s="408">
        <v>52</v>
      </c>
      <c r="H466" s="408">
        <v>14.6</v>
      </c>
      <c r="I466" s="408">
        <v>2.2999999999999998</v>
      </c>
      <c r="J466" s="408">
        <v>4</v>
      </c>
      <c r="K466" s="408">
        <v>0.57499999999999996</v>
      </c>
      <c r="L466" s="408">
        <v>0</v>
      </c>
      <c r="M466" s="408">
        <v>0</v>
      </c>
      <c r="N466" s="5">
        <v>0</v>
      </c>
      <c r="O466" s="408">
        <v>2.2999999999999998</v>
      </c>
      <c r="P466" s="408">
        <v>4</v>
      </c>
      <c r="Q466" s="408">
        <v>0.57699999999999996</v>
      </c>
      <c r="R466" s="408">
        <v>0.57499999999999996</v>
      </c>
      <c r="S466" s="408">
        <v>1.2</v>
      </c>
      <c r="T466" s="408">
        <v>1.5</v>
      </c>
      <c r="U466" s="408">
        <v>0.80500000000000005</v>
      </c>
      <c r="V466" s="408">
        <v>1.3</v>
      </c>
      <c r="W466" s="408">
        <v>3.6</v>
      </c>
      <c r="X466" s="408">
        <v>4.9000000000000004</v>
      </c>
      <c r="Y466" s="408">
        <v>1.7</v>
      </c>
      <c r="Z466" s="408">
        <v>0.6</v>
      </c>
      <c r="AA466" s="408">
        <v>0.2</v>
      </c>
      <c r="AB466" s="408">
        <v>1</v>
      </c>
      <c r="AC466" s="408">
        <v>1.9</v>
      </c>
      <c r="AD466" s="408">
        <v>5.8</v>
      </c>
    </row>
    <row r="467" spans="1:30">
      <c r="A467">
        <v>379</v>
      </c>
      <c r="B467" s="1" t="s">
        <v>651</v>
      </c>
      <c r="C467" s="5" t="s">
        <v>20</v>
      </c>
      <c r="D467" s="408">
        <v>24</v>
      </c>
      <c r="E467" s="5" t="s">
        <v>311</v>
      </c>
      <c r="F467" s="408">
        <v>1</v>
      </c>
      <c r="G467" s="408">
        <v>0</v>
      </c>
      <c r="H467" s="408">
        <v>3</v>
      </c>
      <c r="I467" s="408">
        <v>0</v>
      </c>
      <c r="J467" s="408">
        <v>2</v>
      </c>
      <c r="K467" s="408">
        <v>0</v>
      </c>
      <c r="L467" s="408">
        <v>0</v>
      </c>
      <c r="M467" s="408">
        <v>0</v>
      </c>
      <c r="O467" s="408">
        <v>0</v>
      </c>
      <c r="P467" s="408">
        <v>2</v>
      </c>
      <c r="Q467" s="408">
        <v>0</v>
      </c>
      <c r="R467" s="408">
        <v>0</v>
      </c>
      <c r="S467" s="408">
        <v>0</v>
      </c>
      <c r="T467" s="408">
        <v>0</v>
      </c>
      <c r="U467" s="408"/>
      <c r="V467" s="408">
        <v>0</v>
      </c>
      <c r="W467" s="408">
        <v>2</v>
      </c>
      <c r="X467" s="408">
        <v>2</v>
      </c>
      <c r="Y467" s="408">
        <v>0</v>
      </c>
      <c r="Z467" s="408">
        <v>0</v>
      </c>
      <c r="AA467" s="408">
        <v>0</v>
      </c>
      <c r="AB467" s="408">
        <v>0</v>
      </c>
      <c r="AC467" s="408">
        <v>0</v>
      </c>
      <c r="AD467" s="408">
        <v>0</v>
      </c>
    </row>
    <row r="468" spans="1:30">
      <c r="A468">
        <v>380</v>
      </c>
      <c r="B468" s="1" t="s">
        <v>627</v>
      </c>
      <c r="C468" s="5" t="s">
        <v>83</v>
      </c>
      <c r="D468" s="408">
        <v>20</v>
      </c>
      <c r="E468" s="5" t="s">
        <v>100</v>
      </c>
      <c r="F468" s="408">
        <v>16</v>
      </c>
      <c r="G468" s="408">
        <v>0</v>
      </c>
      <c r="H468" s="408">
        <v>7.4</v>
      </c>
      <c r="I468" s="408">
        <v>1.1000000000000001</v>
      </c>
      <c r="J468" s="408">
        <v>2.6</v>
      </c>
      <c r="K468" s="408">
        <v>0.41499999999999998</v>
      </c>
      <c r="L468" s="408">
        <v>0</v>
      </c>
      <c r="M468" s="408">
        <v>0</v>
      </c>
      <c r="O468" s="408">
        <v>1.1000000000000001</v>
      </c>
      <c r="P468" s="408">
        <v>2.6</v>
      </c>
      <c r="Q468" s="408">
        <v>0.41499999999999998</v>
      </c>
      <c r="R468" s="408">
        <v>0.41499999999999998</v>
      </c>
      <c r="S468" s="408">
        <v>0</v>
      </c>
      <c r="T468" s="408">
        <v>0</v>
      </c>
      <c r="U468" s="408"/>
      <c r="V468" s="408">
        <v>0.8</v>
      </c>
      <c r="W468" s="408">
        <v>1.5</v>
      </c>
      <c r="X468" s="408">
        <v>2.2999999999999998</v>
      </c>
      <c r="Y468" s="408">
        <v>0.6</v>
      </c>
      <c r="Z468" s="408">
        <v>0.1</v>
      </c>
      <c r="AA468" s="408">
        <v>0.4</v>
      </c>
      <c r="AB468" s="408">
        <v>0.5</v>
      </c>
      <c r="AC468" s="408">
        <v>0.8</v>
      </c>
      <c r="AD468" s="408">
        <v>2.1</v>
      </c>
    </row>
    <row r="469" spans="1:30">
      <c r="A469">
        <v>381</v>
      </c>
      <c r="B469" s="1" t="s">
        <v>42</v>
      </c>
      <c r="C469" s="5" t="s">
        <v>38</v>
      </c>
      <c r="D469" s="408">
        <v>22</v>
      </c>
      <c r="E469" s="5" t="s">
        <v>41</v>
      </c>
      <c r="F469" s="408">
        <v>19</v>
      </c>
      <c r="G469" s="408">
        <v>0</v>
      </c>
      <c r="H469" s="408">
        <v>21.3</v>
      </c>
      <c r="I469" s="408">
        <v>4.5</v>
      </c>
      <c r="J469" s="408">
        <v>8.9</v>
      </c>
      <c r="K469" s="408">
        <v>0.50600000000000001</v>
      </c>
      <c r="L469" s="408">
        <v>0.9</v>
      </c>
      <c r="M469" s="408">
        <v>2.2000000000000002</v>
      </c>
      <c r="N469" s="5">
        <v>0.41499999999999998</v>
      </c>
      <c r="O469" s="408">
        <v>3.6</v>
      </c>
      <c r="P469" s="408">
        <v>6.8</v>
      </c>
      <c r="Q469" s="408">
        <v>0.53500000000000003</v>
      </c>
      <c r="R469" s="408">
        <v>0.55600000000000005</v>
      </c>
      <c r="S469" s="408">
        <v>1.4</v>
      </c>
      <c r="T469" s="408">
        <v>1.9</v>
      </c>
      <c r="U469" s="408">
        <v>0.75</v>
      </c>
      <c r="V469" s="408">
        <v>1.1000000000000001</v>
      </c>
      <c r="W469" s="408">
        <v>3.2</v>
      </c>
      <c r="X469" s="408">
        <v>4.2</v>
      </c>
      <c r="Y469" s="408">
        <v>1.5</v>
      </c>
      <c r="Z469" s="408">
        <v>0.6</v>
      </c>
      <c r="AA469" s="408">
        <v>0.3</v>
      </c>
      <c r="AB469" s="408">
        <v>1.3</v>
      </c>
      <c r="AC469" s="408">
        <v>1.3</v>
      </c>
      <c r="AD469" s="408">
        <v>11.4</v>
      </c>
    </row>
    <row r="470" spans="1:30">
      <c r="A470">
        <v>382</v>
      </c>
      <c r="B470" s="1" t="s">
        <v>189</v>
      </c>
      <c r="C470" s="5" t="s">
        <v>20</v>
      </c>
      <c r="D470" s="408">
        <v>35</v>
      </c>
      <c r="E470" s="5" t="s">
        <v>140</v>
      </c>
      <c r="F470" s="408">
        <v>44</v>
      </c>
      <c r="G470" s="408">
        <v>21</v>
      </c>
      <c r="H470" s="408">
        <v>20.3</v>
      </c>
      <c r="I470" s="408">
        <v>3.7</v>
      </c>
      <c r="J470" s="408">
        <v>7.7</v>
      </c>
      <c r="K470" s="408">
        <v>0.47899999999999998</v>
      </c>
      <c r="L470" s="408">
        <v>0.2</v>
      </c>
      <c r="M470" s="408">
        <v>0.7</v>
      </c>
      <c r="N470" s="5">
        <v>0.23300000000000001</v>
      </c>
      <c r="O470" s="408">
        <v>3.5</v>
      </c>
      <c r="P470" s="408">
        <v>7</v>
      </c>
      <c r="Q470" s="408">
        <v>0.503</v>
      </c>
      <c r="R470" s="408">
        <v>0.49</v>
      </c>
      <c r="S470" s="408">
        <v>1</v>
      </c>
      <c r="T470" s="408">
        <v>1.5</v>
      </c>
      <c r="U470" s="408">
        <v>0.70299999999999996</v>
      </c>
      <c r="V470" s="408">
        <v>0.1</v>
      </c>
      <c r="W470" s="408">
        <v>1.7</v>
      </c>
      <c r="X470" s="408">
        <v>1.8</v>
      </c>
      <c r="Y470" s="408">
        <v>3.9</v>
      </c>
      <c r="Z470" s="408">
        <v>0.6</v>
      </c>
      <c r="AA470" s="408">
        <v>0</v>
      </c>
      <c r="AB470" s="408">
        <v>1.3</v>
      </c>
      <c r="AC470" s="408">
        <v>0.8</v>
      </c>
      <c r="AD470" s="408">
        <v>8.6</v>
      </c>
    </row>
    <row r="471" spans="1:30">
      <c r="A471">
        <v>383</v>
      </c>
      <c r="B471" s="1" t="s">
        <v>404</v>
      </c>
      <c r="C471" s="5" t="s">
        <v>46</v>
      </c>
      <c r="D471" s="408">
        <v>29</v>
      </c>
      <c r="E471" s="5" t="s">
        <v>128</v>
      </c>
      <c r="F471" s="408">
        <v>33</v>
      </c>
      <c r="G471" s="408">
        <v>8</v>
      </c>
      <c r="H471" s="408">
        <v>19.3</v>
      </c>
      <c r="I471" s="408">
        <v>3</v>
      </c>
      <c r="J471" s="408">
        <v>6.5</v>
      </c>
      <c r="K471" s="408">
        <v>0.46899999999999997</v>
      </c>
      <c r="L471" s="408">
        <v>1.4</v>
      </c>
      <c r="M471" s="408">
        <v>3.4</v>
      </c>
      <c r="N471" s="5">
        <v>0.42</v>
      </c>
      <c r="O471" s="408">
        <v>1.6</v>
      </c>
      <c r="P471" s="408">
        <v>3.1</v>
      </c>
      <c r="Q471" s="408">
        <v>0.52500000000000002</v>
      </c>
      <c r="R471" s="408">
        <v>0.57999999999999996</v>
      </c>
      <c r="S471" s="408">
        <v>0.5</v>
      </c>
      <c r="T471" s="408">
        <v>0.8</v>
      </c>
      <c r="U471" s="408">
        <v>0.63</v>
      </c>
      <c r="V471" s="408">
        <v>0.4</v>
      </c>
      <c r="W471" s="408">
        <v>2.1</v>
      </c>
      <c r="X471" s="408">
        <v>2.5</v>
      </c>
      <c r="Y471" s="408">
        <v>1.9</v>
      </c>
      <c r="Z471" s="408">
        <v>0.5</v>
      </c>
      <c r="AA471" s="408">
        <v>0.3</v>
      </c>
      <c r="AB471" s="408">
        <v>1.1000000000000001</v>
      </c>
      <c r="AC471" s="408">
        <v>1.5</v>
      </c>
      <c r="AD471" s="408">
        <v>8</v>
      </c>
    </row>
    <row r="472" spans="1:30">
      <c r="A472">
        <v>384</v>
      </c>
      <c r="B472" s="1" t="s">
        <v>484</v>
      </c>
      <c r="C472" s="5" t="s">
        <v>38</v>
      </c>
      <c r="D472" s="408">
        <v>28</v>
      </c>
      <c r="E472" s="5" t="s">
        <v>58</v>
      </c>
      <c r="F472" s="408">
        <v>72</v>
      </c>
      <c r="G472" s="408">
        <v>3</v>
      </c>
      <c r="H472" s="408">
        <v>15.8</v>
      </c>
      <c r="I472" s="408">
        <v>1.3</v>
      </c>
      <c r="J472" s="408">
        <v>3.3</v>
      </c>
      <c r="K472" s="408">
        <v>0.38700000000000001</v>
      </c>
      <c r="L472" s="408">
        <v>0.8</v>
      </c>
      <c r="M472" s="408">
        <v>2.1</v>
      </c>
      <c r="N472" s="5">
        <v>0.36799999999999999</v>
      </c>
      <c r="O472" s="408">
        <v>0.5</v>
      </c>
      <c r="P472" s="408">
        <v>1.2</v>
      </c>
      <c r="Q472" s="408">
        <v>0.41899999999999998</v>
      </c>
      <c r="R472" s="408">
        <v>0.504</v>
      </c>
      <c r="S472" s="408">
        <v>0.5</v>
      </c>
      <c r="T472" s="408">
        <v>0.6</v>
      </c>
      <c r="U472" s="408">
        <v>0.85399999999999998</v>
      </c>
      <c r="V472" s="408">
        <v>0.4</v>
      </c>
      <c r="W472" s="408">
        <v>2</v>
      </c>
      <c r="X472" s="408">
        <v>2.4</v>
      </c>
      <c r="Y472" s="408">
        <v>0.7</v>
      </c>
      <c r="Z472" s="408">
        <v>0.6</v>
      </c>
      <c r="AA472" s="408">
        <v>0.3</v>
      </c>
      <c r="AB472" s="408">
        <v>0.4</v>
      </c>
      <c r="AC472" s="408">
        <v>1.1000000000000001</v>
      </c>
      <c r="AD472" s="408">
        <v>3.8</v>
      </c>
    </row>
    <row r="473" spans="1:30">
      <c r="A473">
        <v>385</v>
      </c>
      <c r="B473" s="1" t="s">
        <v>529</v>
      </c>
      <c r="C473" s="5" t="s">
        <v>26</v>
      </c>
      <c r="D473" s="408">
        <v>26</v>
      </c>
      <c r="E473" s="5" t="s">
        <v>140</v>
      </c>
      <c r="F473" s="408">
        <v>58</v>
      </c>
      <c r="G473" s="408">
        <v>2</v>
      </c>
      <c r="H473" s="408">
        <v>9.3000000000000007</v>
      </c>
      <c r="I473" s="408">
        <v>0.8</v>
      </c>
      <c r="J473" s="408">
        <v>2</v>
      </c>
      <c r="K473" s="408">
        <v>0.42199999999999999</v>
      </c>
      <c r="L473" s="408">
        <v>0.2</v>
      </c>
      <c r="M473" s="408">
        <v>0.9</v>
      </c>
      <c r="N473" s="5">
        <v>0.27500000000000002</v>
      </c>
      <c r="O473" s="408">
        <v>0.6</v>
      </c>
      <c r="P473" s="408">
        <v>1.1000000000000001</v>
      </c>
      <c r="Q473" s="408">
        <v>0.53800000000000003</v>
      </c>
      <c r="R473" s="408">
        <v>0.48299999999999998</v>
      </c>
      <c r="S473" s="408">
        <v>0.4</v>
      </c>
      <c r="T473" s="408">
        <v>0.6</v>
      </c>
      <c r="U473" s="408">
        <v>0.56799999999999995</v>
      </c>
      <c r="V473" s="408">
        <v>0.1</v>
      </c>
      <c r="W473" s="408">
        <v>1</v>
      </c>
      <c r="X473" s="408">
        <v>1.1000000000000001</v>
      </c>
      <c r="Y473" s="408">
        <v>0.6</v>
      </c>
      <c r="Z473" s="408">
        <v>0.4</v>
      </c>
      <c r="AA473" s="408">
        <v>0.1</v>
      </c>
      <c r="AB473" s="408">
        <v>0.4</v>
      </c>
      <c r="AC473" s="408">
        <v>0.9</v>
      </c>
      <c r="AD473" s="408">
        <v>2.2999999999999998</v>
      </c>
    </row>
    <row r="474" spans="1:30">
      <c r="A474">
        <v>386</v>
      </c>
      <c r="B474" s="1" t="s">
        <v>240</v>
      </c>
      <c r="C474" s="5" t="s">
        <v>20</v>
      </c>
      <c r="D474" s="408">
        <v>32</v>
      </c>
      <c r="E474" s="5" t="s">
        <v>92</v>
      </c>
      <c r="F474" s="408">
        <v>52</v>
      </c>
      <c r="G474" s="408">
        <v>52</v>
      </c>
      <c r="H474" s="408">
        <v>31.9</v>
      </c>
      <c r="I474" s="408">
        <v>6.3</v>
      </c>
      <c r="J474" s="408">
        <v>13.7</v>
      </c>
      <c r="K474" s="408">
        <v>0.46100000000000002</v>
      </c>
      <c r="L474" s="408">
        <v>2.4</v>
      </c>
      <c r="M474" s="408">
        <v>6.3</v>
      </c>
      <c r="N474" s="5">
        <v>0.38100000000000001</v>
      </c>
      <c r="O474" s="408">
        <v>3.9</v>
      </c>
      <c r="P474" s="408">
        <v>7.4</v>
      </c>
      <c r="Q474" s="408">
        <v>0.53</v>
      </c>
      <c r="R474" s="408">
        <v>0.54900000000000004</v>
      </c>
      <c r="S474" s="408">
        <v>3.7</v>
      </c>
      <c r="T474" s="408">
        <v>4</v>
      </c>
      <c r="U474" s="408">
        <v>0.91800000000000004</v>
      </c>
      <c r="V474" s="408">
        <v>0.6</v>
      </c>
      <c r="W474" s="408">
        <v>4.9000000000000004</v>
      </c>
      <c r="X474" s="408">
        <v>5.5</v>
      </c>
      <c r="Y474" s="408">
        <v>8</v>
      </c>
      <c r="Z474" s="408">
        <v>1.7</v>
      </c>
      <c r="AA474" s="408">
        <v>0.3</v>
      </c>
      <c r="AB474" s="408">
        <v>2.2999999999999998</v>
      </c>
      <c r="AC474" s="408">
        <v>2.4</v>
      </c>
      <c r="AD474" s="408">
        <v>18.7</v>
      </c>
    </row>
    <row r="475" spans="1:30">
      <c r="A475">
        <v>387</v>
      </c>
      <c r="B475" s="1" t="s">
        <v>378</v>
      </c>
      <c r="C475" s="5" t="s">
        <v>38</v>
      </c>
      <c r="D475" s="408">
        <v>26</v>
      </c>
      <c r="E475" s="5" t="s">
        <v>75</v>
      </c>
      <c r="F475" s="408">
        <v>5</v>
      </c>
      <c r="G475" s="408">
        <v>0</v>
      </c>
      <c r="H475" s="408">
        <v>8.6</v>
      </c>
      <c r="I475" s="408">
        <v>1.4</v>
      </c>
      <c r="J475" s="408">
        <v>2</v>
      </c>
      <c r="K475" s="408">
        <v>0.7</v>
      </c>
      <c r="L475" s="408">
        <v>0.4</v>
      </c>
      <c r="M475" s="408">
        <v>0.6</v>
      </c>
      <c r="N475" s="5">
        <v>0.66700000000000004</v>
      </c>
      <c r="O475" s="408">
        <v>1</v>
      </c>
      <c r="P475" s="408">
        <v>1.4</v>
      </c>
      <c r="Q475" s="408">
        <v>0.71399999999999997</v>
      </c>
      <c r="R475" s="408">
        <v>0.8</v>
      </c>
      <c r="S475" s="408">
        <v>1</v>
      </c>
      <c r="T475" s="408">
        <v>1.2</v>
      </c>
      <c r="U475" s="408">
        <v>0.83299999999999996</v>
      </c>
      <c r="V475" s="408">
        <v>0.4</v>
      </c>
      <c r="W475" s="408">
        <v>1.4</v>
      </c>
      <c r="X475" s="408">
        <v>1.8</v>
      </c>
      <c r="Y475" s="408">
        <v>0</v>
      </c>
      <c r="Z475" s="408">
        <v>0.4</v>
      </c>
      <c r="AA475" s="408">
        <v>0</v>
      </c>
      <c r="AB475" s="408">
        <v>0.4</v>
      </c>
      <c r="AC475" s="408">
        <v>1.2</v>
      </c>
      <c r="AD475" s="408">
        <v>4.2</v>
      </c>
    </row>
    <row r="476" spans="1:30">
      <c r="A476">
        <v>388</v>
      </c>
      <c r="B476" s="1" t="s">
        <v>771</v>
      </c>
      <c r="C476" s="5" t="s">
        <v>20</v>
      </c>
      <c r="D476" s="408">
        <v>23</v>
      </c>
      <c r="E476" s="5" t="s">
        <v>43</v>
      </c>
      <c r="F476" s="408">
        <v>13</v>
      </c>
      <c r="G476" s="408">
        <v>2</v>
      </c>
      <c r="H476" s="408">
        <v>20.8</v>
      </c>
      <c r="I476" s="408">
        <v>3.3</v>
      </c>
      <c r="J476" s="408">
        <v>8.1999999999999993</v>
      </c>
      <c r="K476" s="408">
        <v>0.40600000000000003</v>
      </c>
      <c r="L476" s="408">
        <v>1.2</v>
      </c>
      <c r="M476" s="408">
        <v>3.4</v>
      </c>
      <c r="N476" s="5">
        <v>0.34100000000000003</v>
      </c>
      <c r="O476" s="408">
        <v>2.2000000000000002</v>
      </c>
      <c r="P476" s="408">
        <v>4.8</v>
      </c>
      <c r="Q476" s="408">
        <v>0.45200000000000001</v>
      </c>
      <c r="R476" s="408">
        <v>0.47599999999999998</v>
      </c>
      <c r="S476" s="408">
        <v>0.4</v>
      </c>
      <c r="T476" s="408">
        <v>0.5</v>
      </c>
      <c r="U476" s="408">
        <v>0.71399999999999997</v>
      </c>
      <c r="V476" s="408">
        <v>0.6</v>
      </c>
      <c r="W476" s="408">
        <v>1.8</v>
      </c>
      <c r="X476" s="408">
        <v>2.4</v>
      </c>
      <c r="Y476" s="408">
        <v>3.9</v>
      </c>
      <c r="Z476" s="408">
        <v>1.2</v>
      </c>
      <c r="AA476" s="408">
        <v>0.5</v>
      </c>
      <c r="AB476" s="408">
        <v>1.2</v>
      </c>
      <c r="AC476" s="408">
        <v>1.5</v>
      </c>
      <c r="AD476" s="408">
        <v>8.1999999999999993</v>
      </c>
    </row>
    <row r="477" spans="1:30">
      <c r="A477">
        <v>389</v>
      </c>
      <c r="B477" s="1" t="s">
        <v>219</v>
      </c>
      <c r="C477" s="5" t="s">
        <v>20</v>
      </c>
      <c r="D477" s="408">
        <v>23</v>
      </c>
      <c r="E477" s="5" t="s">
        <v>357</v>
      </c>
      <c r="F477" s="408">
        <v>59</v>
      </c>
      <c r="G477" s="408">
        <v>59</v>
      </c>
      <c r="H477" s="408">
        <v>29.1</v>
      </c>
      <c r="I477" s="408">
        <v>5.4</v>
      </c>
      <c r="J477" s="408">
        <v>10.8</v>
      </c>
      <c r="K477" s="408">
        <v>0.502</v>
      </c>
      <c r="L477" s="408">
        <v>0.5</v>
      </c>
      <c r="M477" s="408">
        <v>1.5</v>
      </c>
      <c r="N477" s="5">
        <v>0.34100000000000003</v>
      </c>
      <c r="O477" s="408">
        <v>4.9000000000000004</v>
      </c>
      <c r="P477" s="408">
        <v>9.3000000000000007</v>
      </c>
      <c r="Q477" s="408">
        <v>0.52700000000000002</v>
      </c>
      <c r="R477" s="408">
        <v>0.52500000000000002</v>
      </c>
      <c r="S477" s="408">
        <v>1.8</v>
      </c>
      <c r="T477" s="408">
        <v>2.7</v>
      </c>
      <c r="U477" s="408">
        <v>0.66</v>
      </c>
      <c r="V477" s="408">
        <v>1.1000000000000001</v>
      </c>
      <c r="W477" s="408">
        <v>3.4</v>
      </c>
      <c r="X477" s="408">
        <v>4.5</v>
      </c>
      <c r="Y477" s="408">
        <v>6.4</v>
      </c>
      <c r="Z477" s="408">
        <v>1.3</v>
      </c>
      <c r="AA477" s="408">
        <v>0.4</v>
      </c>
      <c r="AB477" s="408">
        <v>2.7</v>
      </c>
      <c r="AC477" s="408">
        <v>2.4</v>
      </c>
      <c r="AD477" s="408">
        <v>13.1</v>
      </c>
    </row>
    <row r="478" spans="1:30">
      <c r="A478">
        <v>389</v>
      </c>
      <c r="B478" s="1" t="s">
        <v>219</v>
      </c>
      <c r="C478" s="5" t="s">
        <v>20</v>
      </c>
      <c r="D478" s="408">
        <v>23</v>
      </c>
      <c r="E478" s="5" t="s">
        <v>75</v>
      </c>
      <c r="F478" s="408">
        <v>44</v>
      </c>
      <c r="G478" s="408">
        <v>44</v>
      </c>
      <c r="H478" s="408">
        <v>28.6</v>
      </c>
      <c r="I478" s="408">
        <v>5.4</v>
      </c>
      <c r="J478" s="408">
        <v>10.4</v>
      </c>
      <c r="K478" s="408">
        <v>0.52</v>
      </c>
      <c r="L478" s="408">
        <v>0.6</v>
      </c>
      <c r="M478" s="408">
        <v>1.5</v>
      </c>
      <c r="N478" s="5">
        <v>0.373</v>
      </c>
      <c r="O478" s="408">
        <v>4.8</v>
      </c>
      <c r="P478" s="408">
        <v>8.9</v>
      </c>
      <c r="Q478" s="408">
        <v>0.54500000000000004</v>
      </c>
      <c r="R478" s="408">
        <v>0.54700000000000004</v>
      </c>
      <c r="S478" s="408">
        <v>1.6</v>
      </c>
      <c r="T478" s="408">
        <v>2.6</v>
      </c>
      <c r="U478" s="408">
        <v>0.63200000000000001</v>
      </c>
      <c r="V478" s="408">
        <v>1.1000000000000001</v>
      </c>
      <c r="W478" s="408">
        <v>2.9</v>
      </c>
      <c r="X478" s="408">
        <v>4</v>
      </c>
      <c r="Y478" s="408">
        <v>6.3</v>
      </c>
      <c r="Z478" s="408">
        <v>1.5</v>
      </c>
      <c r="AA478" s="408">
        <v>0.4</v>
      </c>
      <c r="AB478" s="408">
        <v>2.6</v>
      </c>
      <c r="AC478" s="408">
        <v>2.2000000000000002</v>
      </c>
      <c r="AD478" s="408">
        <v>13</v>
      </c>
    </row>
    <row r="479" spans="1:30">
      <c r="A479">
        <v>389</v>
      </c>
      <c r="B479" s="1" t="s">
        <v>219</v>
      </c>
      <c r="C479" s="5" t="s">
        <v>20</v>
      </c>
      <c r="D479" s="408">
        <v>23</v>
      </c>
      <c r="E479" s="5" t="s">
        <v>313</v>
      </c>
      <c r="F479" s="408">
        <v>15</v>
      </c>
      <c r="G479" s="408">
        <v>15</v>
      </c>
      <c r="H479" s="408">
        <v>30.6</v>
      </c>
      <c r="I479" s="408">
        <v>5.4</v>
      </c>
      <c r="J479" s="408">
        <v>11.9</v>
      </c>
      <c r="K479" s="408">
        <v>0.45500000000000002</v>
      </c>
      <c r="L479" s="408">
        <v>0.3</v>
      </c>
      <c r="M479" s="408">
        <v>1.4</v>
      </c>
      <c r="N479" s="5">
        <v>0.23799999999999999</v>
      </c>
      <c r="O479" s="408">
        <v>5.0999999999999996</v>
      </c>
      <c r="P479" s="408">
        <v>10.5</v>
      </c>
      <c r="Q479" s="408">
        <v>0.48399999999999999</v>
      </c>
      <c r="R479" s="408">
        <v>0.46899999999999997</v>
      </c>
      <c r="S479" s="408">
        <v>2.2999999999999998</v>
      </c>
      <c r="T479" s="408">
        <v>3.2</v>
      </c>
      <c r="U479" s="408">
        <v>0.72899999999999998</v>
      </c>
      <c r="V479" s="408">
        <v>1</v>
      </c>
      <c r="W479" s="408">
        <v>4.9000000000000004</v>
      </c>
      <c r="X479" s="408">
        <v>5.9</v>
      </c>
      <c r="Y479" s="408">
        <v>6.7</v>
      </c>
      <c r="Z479" s="408">
        <v>1</v>
      </c>
      <c r="AA479" s="408">
        <v>0.3</v>
      </c>
      <c r="AB479" s="408">
        <v>3.1</v>
      </c>
      <c r="AC479" s="408">
        <v>2.8</v>
      </c>
      <c r="AD479" s="408">
        <v>13.5</v>
      </c>
    </row>
    <row r="480" spans="1:30">
      <c r="A480">
        <v>390</v>
      </c>
      <c r="B480" s="1" t="s">
        <v>546</v>
      </c>
      <c r="C480" s="5" t="s">
        <v>20</v>
      </c>
      <c r="D480" s="408">
        <v>25</v>
      </c>
      <c r="E480" s="5" t="s">
        <v>357</v>
      </c>
      <c r="F480" s="408">
        <v>18</v>
      </c>
      <c r="G480" s="408">
        <v>6</v>
      </c>
      <c r="H480" s="408">
        <v>8.1</v>
      </c>
      <c r="I480" s="408">
        <v>1</v>
      </c>
      <c r="J480" s="408">
        <v>2.6</v>
      </c>
      <c r="K480" s="408">
        <v>0.38300000000000001</v>
      </c>
      <c r="L480" s="408">
        <v>0.1</v>
      </c>
      <c r="M480" s="408">
        <v>0.8</v>
      </c>
      <c r="N480" s="5">
        <v>0.13300000000000001</v>
      </c>
      <c r="O480" s="408">
        <v>0.9</v>
      </c>
      <c r="P480" s="408">
        <v>1.8</v>
      </c>
      <c r="Q480" s="408">
        <v>0.5</v>
      </c>
      <c r="R480" s="408">
        <v>0.40400000000000003</v>
      </c>
      <c r="S480" s="408">
        <v>0.1</v>
      </c>
      <c r="T480" s="408">
        <v>0.2</v>
      </c>
      <c r="U480" s="408">
        <v>0.66700000000000004</v>
      </c>
      <c r="V480" s="408">
        <v>0.4</v>
      </c>
      <c r="W480" s="408">
        <v>0.8</v>
      </c>
      <c r="X480" s="408">
        <v>1.3</v>
      </c>
      <c r="Y480" s="408">
        <v>0.7</v>
      </c>
      <c r="Z480" s="408">
        <v>0.2</v>
      </c>
      <c r="AA480" s="408">
        <v>0.2</v>
      </c>
      <c r="AB480" s="408">
        <v>0.2</v>
      </c>
      <c r="AC480" s="408">
        <v>1.3</v>
      </c>
      <c r="AD480" s="408">
        <v>2.2000000000000002</v>
      </c>
    </row>
    <row r="481" spans="1:30">
      <c r="A481">
        <v>390</v>
      </c>
      <c r="B481" s="1" t="s">
        <v>546</v>
      </c>
      <c r="C481" s="5" t="s">
        <v>20</v>
      </c>
      <c r="D481" s="408">
        <v>25</v>
      </c>
      <c r="E481" s="5" t="s">
        <v>41</v>
      </c>
      <c r="F481" s="408">
        <v>12</v>
      </c>
      <c r="G481" s="408">
        <v>6</v>
      </c>
      <c r="H481" s="408">
        <v>8.8000000000000007</v>
      </c>
      <c r="I481" s="408">
        <v>1.1000000000000001</v>
      </c>
      <c r="J481" s="408">
        <v>2.8</v>
      </c>
      <c r="K481" s="408">
        <v>0.39400000000000002</v>
      </c>
      <c r="L481" s="408">
        <v>0.2</v>
      </c>
      <c r="M481" s="408">
        <v>1</v>
      </c>
      <c r="N481" s="5">
        <v>0.16700000000000001</v>
      </c>
      <c r="O481" s="408">
        <v>0.9</v>
      </c>
      <c r="P481" s="408">
        <v>1.8</v>
      </c>
      <c r="Q481" s="408">
        <v>0.52400000000000002</v>
      </c>
      <c r="R481" s="408">
        <v>0.42399999999999999</v>
      </c>
      <c r="S481" s="408">
        <v>0.2</v>
      </c>
      <c r="T481" s="408">
        <v>0.3</v>
      </c>
      <c r="U481" s="408">
        <v>0.66700000000000004</v>
      </c>
      <c r="V481" s="408">
        <v>0.3</v>
      </c>
      <c r="W481" s="408">
        <v>1.1000000000000001</v>
      </c>
      <c r="X481" s="408">
        <v>1.4</v>
      </c>
      <c r="Y481" s="408">
        <v>0.8</v>
      </c>
      <c r="Z481" s="408">
        <v>0.3</v>
      </c>
      <c r="AA481" s="408">
        <v>0.1</v>
      </c>
      <c r="AB481" s="408">
        <v>0.3</v>
      </c>
      <c r="AC481" s="408">
        <v>1.4</v>
      </c>
      <c r="AD481" s="408">
        <v>2.5</v>
      </c>
    </row>
    <row r="482" spans="1:30">
      <c r="A482">
        <v>390</v>
      </c>
      <c r="B482" s="1" t="s">
        <v>546</v>
      </c>
      <c r="C482" s="5" t="s">
        <v>20</v>
      </c>
      <c r="D482" s="408">
        <v>25</v>
      </c>
      <c r="E482" s="5" t="s">
        <v>78</v>
      </c>
      <c r="F482" s="408">
        <v>6</v>
      </c>
      <c r="G482" s="408">
        <v>0</v>
      </c>
      <c r="H482" s="408">
        <v>6.7</v>
      </c>
      <c r="I482" s="408">
        <v>0.8</v>
      </c>
      <c r="J482" s="408">
        <v>2.2999999999999998</v>
      </c>
      <c r="K482" s="408">
        <v>0.35699999999999998</v>
      </c>
      <c r="L482" s="408">
        <v>0</v>
      </c>
      <c r="M482" s="408">
        <v>0.5</v>
      </c>
      <c r="N482" s="5">
        <v>0</v>
      </c>
      <c r="O482" s="408">
        <v>0.8</v>
      </c>
      <c r="P482" s="408">
        <v>1.8</v>
      </c>
      <c r="Q482" s="408">
        <v>0.45500000000000002</v>
      </c>
      <c r="R482" s="408">
        <v>0.35699999999999998</v>
      </c>
      <c r="S482" s="408">
        <v>0</v>
      </c>
      <c r="T482" s="408">
        <v>0</v>
      </c>
      <c r="U482" s="408"/>
      <c r="V482" s="408">
        <v>0.7</v>
      </c>
      <c r="W482" s="408">
        <v>0.3</v>
      </c>
      <c r="X482" s="408">
        <v>1</v>
      </c>
      <c r="Y482" s="408">
        <v>0.7</v>
      </c>
      <c r="Z482" s="408">
        <v>0</v>
      </c>
      <c r="AA482" s="408">
        <v>0.3</v>
      </c>
      <c r="AB482" s="408">
        <v>0</v>
      </c>
      <c r="AC482" s="408">
        <v>1</v>
      </c>
      <c r="AD482" s="408">
        <v>1.7</v>
      </c>
    </row>
    <row r="483" spans="1:30">
      <c r="A483">
        <v>391</v>
      </c>
      <c r="B483" s="1" t="s">
        <v>638</v>
      </c>
      <c r="C483" s="5" t="s">
        <v>20</v>
      </c>
      <c r="D483" s="408">
        <v>23</v>
      </c>
      <c r="E483" s="5" t="s">
        <v>102</v>
      </c>
      <c r="F483" s="408">
        <v>9</v>
      </c>
      <c r="G483" s="408">
        <v>0</v>
      </c>
      <c r="H483" s="408">
        <v>2.8</v>
      </c>
      <c r="I483" s="408">
        <v>0.1</v>
      </c>
      <c r="J483" s="408">
        <v>0.3</v>
      </c>
      <c r="K483" s="408">
        <v>0.33300000000000002</v>
      </c>
      <c r="L483" s="408">
        <v>0</v>
      </c>
      <c r="M483" s="408">
        <v>0.1</v>
      </c>
      <c r="N483" s="5">
        <v>0</v>
      </c>
      <c r="O483" s="408">
        <v>0.1</v>
      </c>
      <c r="P483" s="408">
        <v>0.2</v>
      </c>
      <c r="Q483" s="408">
        <v>0.5</v>
      </c>
      <c r="R483" s="408">
        <v>0.33300000000000002</v>
      </c>
      <c r="S483" s="408">
        <v>0</v>
      </c>
      <c r="T483" s="408">
        <v>0</v>
      </c>
      <c r="U483" s="408"/>
      <c r="V483" s="408">
        <v>0</v>
      </c>
      <c r="W483" s="408">
        <v>0.1</v>
      </c>
      <c r="X483" s="408">
        <v>0.1</v>
      </c>
      <c r="Y483" s="408">
        <v>0.6</v>
      </c>
      <c r="Z483" s="408">
        <v>0</v>
      </c>
      <c r="AA483" s="408">
        <v>0</v>
      </c>
      <c r="AB483" s="408">
        <v>0.1</v>
      </c>
      <c r="AC483" s="408">
        <v>0.3</v>
      </c>
      <c r="AD483" s="408">
        <v>0.2</v>
      </c>
    </row>
    <row r="484" spans="1:30">
      <c r="A484">
        <v>392</v>
      </c>
      <c r="B484" s="1" t="s">
        <v>641</v>
      </c>
      <c r="C484" s="5" t="s">
        <v>38</v>
      </c>
      <c r="D484" s="408">
        <v>22</v>
      </c>
      <c r="E484" s="5" t="s">
        <v>313</v>
      </c>
      <c r="F484" s="408">
        <v>12</v>
      </c>
      <c r="G484" s="408">
        <v>0</v>
      </c>
      <c r="H484" s="408">
        <v>8.1999999999999993</v>
      </c>
      <c r="I484" s="408">
        <v>0.7</v>
      </c>
      <c r="J484" s="408">
        <v>2.7</v>
      </c>
      <c r="K484" s="408">
        <v>0.25</v>
      </c>
      <c r="L484" s="408">
        <v>0.4</v>
      </c>
      <c r="M484" s="408">
        <v>2.2999999999999998</v>
      </c>
      <c r="N484" s="5">
        <v>0.185</v>
      </c>
      <c r="O484" s="408">
        <v>0.3</v>
      </c>
      <c r="P484" s="408">
        <v>0.4</v>
      </c>
      <c r="Q484" s="408">
        <v>0.6</v>
      </c>
      <c r="R484" s="408">
        <v>0.32800000000000001</v>
      </c>
      <c r="S484" s="408">
        <v>0.3</v>
      </c>
      <c r="T484" s="408">
        <v>0.3</v>
      </c>
      <c r="U484" s="408">
        <v>1</v>
      </c>
      <c r="V484" s="408">
        <v>0.3</v>
      </c>
      <c r="W484" s="408">
        <v>1.3</v>
      </c>
      <c r="X484" s="408">
        <v>1.7</v>
      </c>
      <c r="Y484" s="408">
        <v>0.7</v>
      </c>
      <c r="Z484" s="408">
        <v>0</v>
      </c>
      <c r="AA484" s="408">
        <v>0.2</v>
      </c>
      <c r="AB484" s="408">
        <v>0.1</v>
      </c>
      <c r="AC484" s="408">
        <v>0.3</v>
      </c>
      <c r="AD484" s="408">
        <v>2</v>
      </c>
    </row>
    <row r="485" spans="1:30">
      <c r="A485">
        <v>393</v>
      </c>
      <c r="B485" s="1" t="s">
        <v>724</v>
      </c>
      <c r="C485" s="5" t="s">
        <v>83</v>
      </c>
      <c r="D485" s="408">
        <v>25</v>
      </c>
      <c r="E485" s="5" t="s">
        <v>41</v>
      </c>
      <c r="F485" s="408">
        <v>7</v>
      </c>
      <c r="G485" s="408">
        <v>0</v>
      </c>
      <c r="H485" s="408">
        <v>6.4</v>
      </c>
      <c r="I485" s="408">
        <v>0.1</v>
      </c>
      <c r="J485" s="408">
        <v>0.4</v>
      </c>
      <c r="K485" s="408">
        <v>0.33300000000000002</v>
      </c>
      <c r="L485" s="408">
        <v>0</v>
      </c>
      <c r="M485" s="408">
        <v>0</v>
      </c>
      <c r="O485" s="408">
        <v>0.1</v>
      </c>
      <c r="P485" s="408">
        <v>0.4</v>
      </c>
      <c r="Q485" s="408">
        <v>0.33300000000000002</v>
      </c>
      <c r="R485" s="408">
        <v>0.33300000000000002</v>
      </c>
      <c r="S485" s="408">
        <v>1.7</v>
      </c>
      <c r="T485" s="408">
        <v>2.2999999999999998</v>
      </c>
      <c r="U485" s="408">
        <v>0.75</v>
      </c>
      <c r="V485" s="408">
        <v>0.6</v>
      </c>
      <c r="W485" s="408">
        <v>1.7</v>
      </c>
      <c r="X485" s="408">
        <v>2.2999999999999998</v>
      </c>
      <c r="Y485" s="408">
        <v>0.3</v>
      </c>
      <c r="Z485" s="408">
        <v>0</v>
      </c>
      <c r="AA485" s="408">
        <v>0.1</v>
      </c>
      <c r="AB485" s="408">
        <v>0.4</v>
      </c>
      <c r="AC485" s="408">
        <v>1.1000000000000001</v>
      </c>
      <c r="AD485" s="408">
        <v>2</v>
      </c>
    </row>
    <row r="486" spans="1:30">
      <c r="A486">
        <v>394</v>
      </c>
      <c r="B486" s="1" t="s">
        <v>621</v>
      </c>
      <c r="C486" s="5" t="s">
        <v>83</v>
      </c>
      <c r="D486" s="408">
        <v>27</v>
      </c>
      <c r="E486" s="5" t="s">
        <v>61</v>
      </c>
      <c r="F486" s="408">
        <v>63</v>
      </c>
      <c r="G486" s="408">
        <v>26</v>
      </c>
      <c r="H486" s="408">
        <v>20.399999999999999</v>
      </c>
      <c r="I486" s="408">
        <v>3.1</v>
      </c>
      <c r="J486" s="408">
        <v>5.3</v>
      </c>
      <c r="K486" s="408">
        <v>0.59</v>
      </c>
      <c r="L486" s="408">
        <v>0</v>
      </c>
      <c r="M486" s="408">
        <v>0</v>
      </c>
      <c r="N486" s="5">
        <v>0</v>
      </c>
      <c r="O486" s="408">
        <v>3.1</v>
      </c>
      <c r="P486" s="408">
        <v>5.3</v>
      </c>
      <c r="Q486" s="408">
        <v>0.59199999999999997</v>
      </c>
      <c r="R486" s="408">
        <v>0.59</v>
      </c>
      <c r="S486" s="408">
        <v>1.1000000000000001</v>
      </c>
      <c r="T486" s="408">
        <v>2.5</v>
      </c>
      <c r="U486" s="408">
        <v>0.44</v>
      </c>
      <c r="V486" s="408">
        <v>1.9</v>
      </c>
      <c r="W486" s="408">
        <v>3.9</v>
      </c>
      <c r="X486" s="408">
        <v>5.7</v>
      </c>
      <c r="Y486" s="408">
        <v>2</v>
      </c>
      <c r="Z486" s="408">
        <v>0.7</v>
      </c>
      <c r="AA486" s="408">
        <v>1.1000000000000001</v>
      </c>
      <c r="AB486" s="408">
        <v>1.5</v>
      </c>
      <c r="AC486" s="408">
        <v>2.5</v>
      </c>
      <c r="AD486" s="408">
        <v>7.3</v>
      </c>
    </row>
    <row r="487" spans="1:30">
      <c r="A487">
        <v>395</v>
      </c>
      <c r="B487" s="1" t="s">
        <v>619</v>
      </c>
      <c r="C487" s="5" t="s">
        <v>83</v>
      </c>
      <c r="D487" s="408">
        <v>29</v>
      </c>
      <c r="E487" s="5" t="s">
        <v>149</v>
      </c>
      <c r="F487" s="408">
        <v>46</v>
      </c>
      <c r="G487" s="408">
        <v>34</v>
      </c>
      <c r="H487" s="408">
        <v>16.600000000000001</v>
      </c>
      <c r="I487" s="408">
        <v>2</v>
      </c>
      <c r="J487" s="408">
        <v>3.4</v>
      </c>
      <c r="K487" s="408">
        <v>0.58099999999999996</v>
      </c>
      <c r="L487" s="408">
        <v>0</v>
      </c>
      <c r="M487" s="408">
        <v>0</v>
      </c>
      <c r="O487" s="408">
        <v>2</v>
      </c>
      <c r="P487" s="408">
        <v>3.4</v>
      </c>
      <c r="Q487" s="408">
        <v>0.58099999999999996</v>
      </c>
      <c r="R487" s="408">
        <v>0.58099999999999996</v>
      </c>
      <c r="S487" s="408">
        <v>0.5</v>
      </c>
      <c r="T487" s="408">
        <v>1</v>
      </c>
      <c r="U487" s="408">
        <v>0.45800000000000002</v>
      </c>
      <c r="V487" s="408">
        <v>1.3</v>
      </c>
      <c r="W487" s="408">
        <v>2.7</v>
      </c>
      <c r="X487" s="408">
        <v>4</v>
      </c>
      <c r="Y487" s="408">
        <v>0.8</v>
      </c>
      <c r="Z487" s="408">
        <v>0.3</v>
      </c>
      <c r="AA487" s="408">
        <v>0.6</v>
      </c>
      <c r="AB487" s="408">
        <v>1.2</v>
      </c>
      <c r="AC487" s="408">
        <v>1.5</v>
      </c>
      <c r="AD487" s="408">
        <v>4.4000000000000004</v>
      </c>
    </row>
    <row r="488" spans="1:30">
      <c r="A488">
        <v>396</v>
      </c>
      <c r="B488" s="1" t="s">
        <v>583</v>
      </c>
      <c r="C488" s="5" t="s">
        <v>83</v>
      </c>
      <c r="D488" s="408">
        <v>22</v>
      </c>
      <c r="E488" s="5" t="s">
        <v>47</v>
      </c>
      <c r="F488" s="408">
        <v>70</v>
      </c>
      <c r="G488" s="408">
        <v>0</v>
      </c>
      <c r="H488" s="408">
        <v>18.399999999999999</v>
      </c>
      <c r="I488" s="408">
        <v>2.9</v>
      </c>
      <c r="J488" s="408">
        <v>4.5999999999999996</v>
      </c>
      <c r="K488" s="408">
        <v>0.64400000000000002</v>
      </c>
      <c r="L488" s="408">
        <v>0</v>
      </c>
      <c r="M488" s="408">
        <v>0</v>
      </c>
      <c r="N488" s="5">
        <v>0.5</v>
      </c>
      <c r="O488" s="408">
        <v>2.9</v>
      </c>
      <c r="P488" s="408">
        <v>4.5</v>
      </c>
      <c r="Q488" s="408">
        <v>0.64500000000000002</v>
      </c>
      <c r="R488" s="408">
        <v>0.64500000000000002</v>
      </c>
      <c r="S488" s="408">
        <v>0.8</v>
      </c>
      <c r="T488" s="408">
        <v>1.3</v>
      </c>
      <c r="U488" s="408">
        <v>0.60199999999999998</v>
      </c>
      <c r="V488" s="408">
        <v>2</v>
      </c>
      <c r="W488" s="408">
        <v>2.7</v>
      </c>
      <c r="X488" s="408">
        <v>4.7</v>
      </c>
      <c r="Y488" s="408">
        <v>0.7</v>
      </c>
      <c r="Z488" s="408">
        <v>0.4</v>
      </c>
      <c r="AA488" s="408">
        <v>1.3</v>
      </c>
      <c r="AB488" s="408">
        <v>1</v>
      </c>
      <c r="AC488" s="408">
        <v>2.7</v>
      </c>
      <c r="AD488" s="408">
        <v>6.7</v>
      </c>
    </row>
    <row r="489" spans="1:30">
      <c r="A489">
        <v>397</v>
      </c>
      <c r="B489" s="1" t="s">
        <v>66</v>
      </c>
      <c r="C489" s="5" t="s">
        <v>46</v>
      </c>
      <c r="D489" s="408">
        <v>29</v>
      </c>
      <c r="E489" s="5" t="s">
        <v>43</v>
      </c>
      <c r="F489" s="408">
        <v>23</v>
      </c>
      <c r="G489" s="408">
        <v>1</v>
      </c>
      <c r="H489" s="408">
        <v>8.5</v>
      </c>
      <c r="I489" s="408">
        <v>0.6</v>
      </c>
      <c r="J489" s="408">
        <v>2.1</v>
      </c>
      <c r="K489" s="408">
        <v>0.28599999999999998</v>
      </c>
      <c r="L489" s="408">
        <v>0.1</v>
      </c>
      <c r="M489" s="408">
        <v>1</v>
      </c>
      <c r="N489" s="5">
        <v>0.13600000000000001</v>
      </c>
      <c r="O489" s="408">
        <v>0.5</v>
      </c>
      <c r="P489" s="408">
        <v>1.2</v>
      </c>
      <c r="Q489" s="408">
        <v>0.40699999999999997</v>
      </c>
      <c r="R489" s="408">
        <v>0.316</v>
      </c>
      <c r="S489" s="408">
        <v>0.6</v>
      </c>
      <c r="T489" s="408">
        <v>0.7</v>
      </c>
      <c r="U489" s="408">
        <v>0.82399999999999995</v>
      </c>
      <c r="V489" s="408">
        <v>0.3</v>
      </c>
      <c r="W489" s="408">
        <v>0.8</v>
      </c>
      <c r="X489" s="408">
        <v>1.2</v>
      </c>
      <c r="Y489" s="408">
        <v>0.4</v>
      </c>
      <c r="Z489" s="408">
        <v>0.3</v>
      </c>
      <c r="AA489" s="408">
        <v>0.1</v>
      </c>
      <c r="AB489" s="408">
        <v>0.5</v>
      </c>
      <c r="AC489" s="408">
        <v>1</v>
      </c>
      <c r="AD489" s="408">
        <v>2</v>
      </c>
    </row>
    <row r="490" spans="1:30">
      <c r="A490">
        <v>398</v>
      </c>
      <c r="B490" s="1" t="s">
        <v>386</v>
      </c>
      <c r="C490" s="5" t="s">
        <v>46</v>
      </c>
      <c r="D490" s="408">
        <v>24</v>
      </c>
      <c r="E490" s="5" t="s">
        <v>27</v>
      </c>
      <c r="F490" s="408">
        <v>66</v>
      </c>
      <c r="G490" s="408">
        <v>66</v>
      </c>
      <c r="H490" s="408">
        <v>32.200000000000003</v>
      </c>
      <c r="I490" s="408">
        <v>5.8</v>
      </c>
      <c r="J490" s="408">
        <v>11.7</v>
      </c>
      <c r="K490" s="408">
        <v>0.499</v>
      </c>
      <c r="L490" s="408">
        <v>1.7</v>
      </c>
      <c r="M490" s="408">
        <v>4.0999999999999996</v>
      </c>
      <c r="N490" s="5">
        <v>0.42499999999999999</v>
      </c>
      <c r="O490" s="408">
        <v>4.0999999999999996</v>
      </c>
      <c r="P490" s="408">
        <v>7.6</v>
      </c>
      <c r="Q490" s="408">
        <v>0.53800000000000003</v>
      </c>
      <c r="R490" s="408">
        <v>0.57299999999999995</v>
      </c>
      <c r="S490" s="408">
        <v>1.5</v>
      </c>
      <c r="T490" s="408">
        <v>1.8</v>
      </c>
      <c r="U490" s="408">
        <v>0.83799999999999997</v>
      </c>
      <c r="V490" s="408">
        <v>1.3</v>
      </c>
      <c r="W490" s="408">
        <v>5.2</v>
      </c>
      <c r="X490" s="408">
        <v>6.5</v>
      </c>
      <c r="Y490" s="408">
        <v>2</v>
      </c>
      <c r="Z490" s="408">
        <v>1.6</v>
      </c>
      <c r="AA490" s="408">
        <v>0.5</v>
      </c>
      <c r="AB490" s="408">
        <v>0.9</v>
      </c>
      <c r="AC490" s="408">
        <v>2</v>
      </c>
      <c r="AD490" s="408">
        <v>14.8</v>
      </c>
    </row>
    <row r="491" spans="1:30">
      <c r="A491">
        <v>399</v>
      </c>
      <c r="B491" s="1" t="s">
        <v>447</v>
      </c>
      <c r="C491" s="5" t="s">
        <v>38</v>
      </c>
      <c r="D491" s="408">
        <v>22</v>
      </c>
      <c r="E491" s="5" t="s">
        <v>43</v>
      </c>
      <c r="F491" s="408">
        <v>61</v>
      </c>
      <c r="G491" s="408">
        <v>3</v>
      </c>
      <c r="H491" s="408">
        <v>22.3</v>
      </c>
      <c r="I491" s="408">
        <v>5.2</v>
      </c>
      <c r="J491" s="408">
        <v>11</v>
      </c>
      <c r="K491" s="408">
        <v>0.47</v>
      </c>
      <c r="L491" s="408">
        <v>1.1000000000000001</v>
      </c>
      <c r="M491" s="408">
        <v>3.1</v>
      </c>
      <c r="N491" s="5">
        <v>0.35099999999999998</v>
      </c>
      <c r="O491" s="408">
        <v>4.0999999999999996</v>
      </c>
      <c r="P491" s="408">
        <v>8</v>
      </c>
      <c r="Q491" s="408">
        <v>0.51500000000000001</v>
      </c>
      <c r="R491" s="408">
        <v>0.51900000000000002</v>
      </c>
      <c r="S491" s="408">
        <v>1.8</v>
      </c>
      <c r="T491" s="408">
        <v>2.2999999999999998</v>
      </c>
      <c r="U491" s="408">
        <v>0.78200000000000003</v>
      </c>
      <c r="V491" s="408">
        <v>2.2000000000000002</v>
      </c>
      <c r="W491" s="408">
        <v>4.5</v>
      </c>
      <c r="X491" s="408">
        <v>6.7</v>
      </c>
      <c r="Y491" s="408">
        <v>1.8</v>
      </c>
      <c r="Z491" s="408">
        <v>0.7</v>
      </c>
      <c r="AA491" s="408">
        <v>0.2</v>
      </c>
      <c r="AB491" s="408">
        <v>1.3</v>
      </c>
      <c r="AC491" s="408">
        <v>1.7</v>
      </c>
      <c r="AD491" s="408">
        <v>13.3</v>
      </c>
    </row>
    <row r="492" spans="1:30">
      <c r="A492">
        <v>400</v>
      </c>
      <c r="B492" s="1" t="s">
        <v>360</v>
      </c>
      <c r="C492" s="5" t="s">
        <v>38</v>
      </c>
      <c r="D492" s="408">
        <v>22</v>
      </c>
      <c r="E492" s="5" t="s">
        <v>21</v>
      </c>
      <c r="F492" s="408">
        <v>48</v>
      </c>
      <c r="G492" s="408">
        <v>48</v>
      </c>
      <c r="H492" s="408">
        <v>32.4</v>
      </c>
      <c r="I492" s="408">
        <v>8.1</v>
      </c>
      <c r="J492" s="408">
        <v>18.5</v>
      </c>
      <c r="K492" s="408">
        <v>0.439</v>
      </c>
      <c r="L492" s="408">
        <v>1.9</v>
      </c>
      <c r="M492" s="408">
        <v>4.8</v>
      </c>
      <c r="N492" s="5">
        <v>0.39300000000000002</v>
      </c>
      <c r="O492" s="408">
        <v>6.3</v>
      </c>
      <c r="P492" s="408">
        <v>13.8</v>
      </c>
      <c r="Q492" s="408">
        <v>0.45500000000000002</v>
      </c>
      <c r="R492" s="408">
        <v>0.48899999999999999</v>
      </c>
      <c r="S492" s="408">
        <v>4.5</v>
      </c>
      <c r="T492" s="408">
        <v>5.7</v>
      </c>
      <c r="U492" s="408">
        <v>0.79300000000000004</v>
      </c>
      <c r="V492" s="408">
        <v>1.3</v>
      </c>
      <c r="W492" s="408">
        <v>5.3</v>
      </c>
      <c r="X492" s="408">
        <v>6.6</v>
      </c>
      <c r="Y492" s="408">
        <v>1.2</v>
      </c>
      <c r="Z492" s="408">
        <v>0.8</v>
      </c>
      <c r="AA492" s="408">
        <v>2.4</v>
      </c>
      <c r="AB492" s="408">
        <v>1.9</v>
      </c>
      <c r="AC492" s="408">
        <v>2.9</v>
      </c>
      <c r="AD492" s="408">
        <v>22.7</v>
      </c>
    </row>
    <row r="493" spans="1:30">
      <c r="A493">
        <v>401</v>
      </c>
      <c r="B493" s="1" t="s">
        <v>526</v>
      </c>
      <c r="C493" s="5" t="s">
        <v>83</v>
      </c>
      <c r="D493" s="408">
        <v>26</v>
      </c>
      <c r="E493" s="5" t="s">
        <v>33</v>
      </c>
      <c r="F493" s="408">
        <v>69</v>
      </c>
      <c r="G493" s="408">
        <v>15</v>
      </c>
      <c r="H493" s="408">
        <v>20.9</v>
      </c>
      <c r="I493" s="408">
        <v>3.3</v>
      </c>
      <c r="J493" s="408">
        <v>5.4</v>
      </c>
      <c r="K493" s="408">
        <v>0.60699999999999998</v>
      </c>
      <c r="L493" s="408">
        <v>0.3</v>
      </c>
      <c r="M493" s="408">
        <v>0.8</v>
      </c>
      <c r="N493" s="5">
        <v>0.32800000000000001</v>
      </c>
      <c r="O493" s="408">
        <v>3</v>
      </c>
      <c r="P493" s="408">
        <v>4.5999999999999996</v>
      </c>
      <c r="Q493" s="408">
        <v>0.65800000000000003</v>
      </c>
      <c r="R493" s="408">
        <v>0.63200000000000001</v>
      </c>
      <c r="S493" s="408">
        <v>1.7</v>
      </c>
      <c r="T493" s="408">
        <v>2.2999999999999998</v>
      </c>
      <c r="U493" s="408">
        <v>0.71299999999999997</v>
      </c>
      <c r="V493" s="408">
        <v>1.7</v>
      </c>
      <c r="W493" s="408">
        <v>3.8</v>
      </c>
      <c r="X493" s="408">
        <v>5.6</v>
      </c>
      <c r="Y493" s="408">
        <v>1</v>
      </c>
      <c r="Z493" s="408">
        <v>0.8</v>
      </c>
      <c r="AA493" s="408">
        <v>0.4</v>
      </c>
      <c r="AB493" s="408">
        <v>0.7</v>
      </c>
      <c r="AC493" s="408">
        <v>2.2999999999999998</v>
      </c>
      <c r="AD493" s="408">
        <v>8.5</v>
      </c>
    </row>
    <row r="494" spans="1:30">
      <c r="A494">
        <v>402</v>
      </c>
      <c r="B494" s="1" t="s">
        <v>422</v>
      </c>
      <c r="C494" s="5" t="s">
        <v>26</v>
      </c>
      <c r="D494" s="408">
        <v>24</v>
      </c>
      <c r="E494" s="5" t="s">
        <v>47</v>
      </c>
      <c r="F494" s="408">
        <v>59</v>
      </c>
      <c r="G494" s="408">
        <v>17</v>
      </c>
      <c r="H494" s="408">
        <v>16</v>
      </c>
      <c r="I494" s="408">
        <v>2.2000000000000002</v>
      </c>
      <c r="J494" s="408">
        <v>5.6</v>
      </c>
      <c r="K494" s="408">
        <v>0.40100000000000002</v>
      </c>
      <c r="L494" s="408">
        <v>0.8</v>
      </c>
      <c r="M494" s="408">
        <v>2.7</v>
      </c>
      <c r="N494" s="5">
        <v>0.29299999999999998</v>
      </c>
      <c r="O494" s="408">
        <v>1.5</v>
      </c>
      <c r="P494" s="408">
        <v>2.9</v>
      </c>
      <c r="Q494" s="408">
        <v>0.5</v>
      </c>
      <c r="R494" s="408">
        <v>0.47099999999999997</v>
      </c>
      <c r="S494" s="408">
        <v>0.5</v>
      </c>
      <c r="T494" s="408">
        <v>0.7</v>
      </c>
      <c r="U494" s="408">
        <v>0.82099999999999995</v>
      </c>
      <c r="V494" s="408">
        <v>0.2</v>
      </c>
      <c r="W494" s="408">
        <v>1.5</v>
      </c>
      <c r="X494" s="408">
        <v>1.7</v>
      </c>
      <c r="Y494" s="408">
        <v>1.4</v>
      </c>
      <c r="Z494" s="408">
        <v>0.6</v>
      </c>
      <c r="AA494" s="408">
        <v>0.2</v>
      </c>
      <c r="AB494" s="408">
        <v>1</v>
      </c>
      <c r="AC494" s="408">
        <v>1.7</v>
      </c>
      <c r="AD494" s="408">
        <v>5.8</v>
      </c>
    </row>
    <row r="495" spans="1:30">
      <c r="A495">
        <v>403</v>
      </c>
      <c r="B495" s="1" t="s">
        <v>634</v>
      </c>
      <c r="C495" s="5" t="s">
        <v>38</v>
      </c>
      <c r="D495" s="408">
        <v>24</v>
      </c>
      <c r="E495" s="5" t="s">
        <v>30</v>
      </c>
      <c r="F495" s="408">
        <v>24</v>
      </c>
      <c r="G495" s="408">
        <v>0</v>
      </c>
      <c r="H495" s="408">
        <v>4.2</v>
      </c>
      <c r="I495" s="408">
        <v>0.5</v>
      </c>
      <c r="J495" s="408">
        <v>1</v>
      </c>
      <c r="K495" s="408">
        <v>0.44</v>
      </c>
      <c r="L495" s="408">
        <v>0.2</v>
      </c>
      <c r="M495" s="408">
        <v>0.5</v>
      </c>
      <c r="N495" s="5">
        <v>0.36399999999999999</v>
      </c>
      <c r="O495" s="408">
        <v>0.3</v>
      </c>
      <c r="P495" s="408">
        <v>0.6</v>
      </c>
      <c r="Q495" s="408">
        <v>0.5</v>
      </c>
      <c r="R495" s="408">
        <v>0.52</v>
      </c>
      <c r="S495" s="408">
        <v>0</v>
      </c>
      <c r="T495" s="408">
        <v>0</v>
      </c>
      <c r="U495" s="408"/>
      <c r="V495" s="408">
        <v>0.3</v>
      </c>
      <c r="W495" s="408">
        <v>0.4</v>
      </c>
      <c r="X495" s="408">
        <v>0.7</v>
      </c>
      <c r="Y495" s="408">
        <v>0.1</v>
      </c>
      <c r="Z495" s="408">
        <v>0.1</v>
      </c>
      <c r="AA495" s="408">
        <v>0</v>
      </c>
      <c r="AB495" s="408">
        <v>0.1</v>
      </c>
      <c r="AC495" s="408">
        <v>0.7</v>
      </c>
      <c r="AD495" s="408">
        <v>1.1000000000000001</v>
      </c>
    </row>
    <row r="496" spans="1:30">
      <c r="A496">
        <v>404</v>
      </c>
      <c r="B496" s="1" t="s">
        <v>633</v>
      </c>
      <c r="C496" s="5" t="s">
        <v>20</v>
      </c>
      <c r="D496" s="408">
        <v>28</v>
      </c>
      <c r="E496" s="5" t="s">
        <v>118</v>
      </c>
      <c r="F496" s="408">
        <v>3</v>
      </c>
      <c r="G496" s="408">
        <v>0</v>
      </c>
      <c r="H496" s="408">
        <v>2</v>
      </c>
      <c r="I496" s="408">
        <v>0.3</v>
      </c>
      <c r="J496" s="408">
        <v>0.7</v>
      </c>
      <c r="K496" s="408">
        <v>0.5</v>
      </c>
      <c r="L496" s="408">
        <v>0</v>
      </c>
      <c r="M496" s="408">
        <v>0.3</v>
      </c>
      <c r="N496" s="5">
        <v>0</v>
      </c>
      <c r="O496" s="408">
        <v>0.3</v>
      </c>
      <c r="P496" s="408">
        <v>0.3</v>
      </c>
      <c r="Q496" s="408">
        <v>1</v>
      </c>
      <c r="R496" s="408">
        <v>0.5</v>
      </c>
      <c r="S496" s="408">
        <v>0</v>
      </c>
      <c r="T496" s="408">
        <v>0</v>
      </c>
      <c r="U496" s="408"/>
      <c r="V496" s="408">
        <v>0</v>
      </c>
      <c r="W496" s="408">
        <v>0</v>
      </c>
      <c r="X496" s="408">
        <v>0</v>
      </c>
      <c r="Y496" s="408">
        <v>0</v>
      </c>
      <c r="Z496" s="408">
        <v>0</v>
      </c>
      <c r="AA496" s="408">
        <v>0</v>
      </c>
      <c r="AB496" s="408">
        <v>0.3</v>
      </c>
      <c r="AC496" s="408">
        <v>0</v>
      </c>
      <c r="AD496" s="408">
        <v>0.7</v>
      </c>
    </row>
    <row r="497" spans="1:30">
      <c r="A497">
        <v>405</v>
      </c>
      <c r="B497" s="1" t="s">
        <v>1163</v>
      </c>
      <c r="C497" s="5" t="s">
        <v>26</v>
      </c>
      <c r="D497" s="408">
        <v>23</v>
      </c>
      <c r="E497" s="5" t="s">
        <v>75</v>
      </c>
      <c r="F497" s="408">
        <v>5</v>
      </c>
      <c r="G497" s="408">
        <v>0</v>
      </c>
      <c r="H497" s="408">
        <v>11.4</v>
      </c>
      <c r="I497" s="408">
        <v>1.2</v>
      </c>
      <c r="J497" s="408">
        <v>3.2</v>
      </c>
      <c r="K497" s="408">
        <v>0.375</v>
      </c>
      <c r="L497" s="408">
        <v>0.4</v>
      </c>
      <c r="M497" s="408">
        <v>2</v>
      </c>
      <c r="N497" s="5">
        <v>0.2</v>
      </c>
      <c r="O497" s="408">
        <v>0.8</v>
      </c>
      <c r="P497" s="408">
        <v>1.2</v>
      </c>
      <c r="Q497" s="408">
        <v>0.66700000000000004</v>
      </c>
      <c r="R497" s="408">
        <v>0.438</v>
      </c>
      <c r="S497" s="408">
        <v>1</v>
      </c>
      <c r="T497" s="408">
        <v>1</v>
      </c>
      <c r="U497" s="408">
        <v>1</v>
      </c>
      <c r="V497" s="408">
        <v>0</v>
      </c>
      <c r="W497" s="408">
        <v>0.6</v>
      </c>
      <c r="X497" s="408">
        <v>0.6</v>
      </c>
      <c r="Y497" s="408">
        <v>0.2</v>
      </c>
      <c r="Z497" s="408">
        <v>0.2</v>
      </c>
      <c r="AA497" s="408">
        <v>0.4</v>
      </c>
      <c r="AB497" s="408">
        <v>1</v>
      </c>
      <c r="AC497" s="408">
        <v>1.2</v>
      </c>
      <c r="AD497" s="408">
        <v>3.8</v>
      </c>
    </row>
    <row r="498" spans="1:30">
      <c r="A498">
        <v>406</v>
      </c>
      <c r="B498" s="1" t="s">
        <v>521</v>
      </c>
      <c r="C498" s="5" t="s">
        <v>83</v>
      </c>
      <c r="D498" s="408">
        <v>22</v>
      </c>
      <c r="E498" s="5" t="s">
        <v>92</v>
      </c>
      <c r="F498" s="408">
        <v>14</v>
      </c>
      <c r="G498" s="408">
        <v>0</v>
      </c>
      <c r="H498" s="408">
        <v>5.4</v>
      </c>
      <c r="I498" s="408">
        <v>0.3</v>
      </c>
      <c r="J498" s="408">
        <v>1.7</v>
      </c>
      <c r="K498" s="408">
        <v>0.16700000000000001</v>
      </c>
      <c r="L498" s="408">
        <v>0.1</v>
      </c>
      <c r="M498" s="408">
        <v>1.1000000000000001</v>
      </c>
      <c r="N498" s="5">
        <v>0.13300000000000001</v>
      </c>
      <c r="O498" s="408">
        <v>0.1</v>
      </c>
      <c r="P498" s="408">
        <v>0.6</v>
      </c>
      <c r="Q498" s="408">
        <v>0.222</v>
      </c>
      <c r="R498" s="408">
        <v>0.20799999999999999</v>
      </c>
      <c r="S498" s="408">
        <v>0.5</v>
      </c>
      <c r="T498" s="408">
        <v>0.7</v>
      </c>
      <c r="U498" s="408">
        <v>0.7</v>
      </c>
      <c r="V498" s="408">
        <v>0.1</v>
      </c>
      <c r="W498" s="408">
        <v>0.8</v>
      </c>
      <c r="X498" s="408">
        <v>0.9</v>
      </c>
      <c r="Y498" s="408">
        <v>0.1</v>
      </c>
      <c r="Z498" s="408">
        <v>0.1</v>
      </c>
      <c r="AA498" s="408">
        <v>0.4</v>
      </c>
      <c r="AB498" s="408">
        <v>0.4</v>
      </c>
      <c r="AC498" s="408">
        <v>0.9</v>
      </c>
      <c r="AD498" s="408">
        <v>1.2</v>
      </c>
    </row>
    <row r="499" spans="1:30">
      <c r="A499">
        <v>407</v>
      </c>
      <c r="B499" s="1" t="s">
        <v>630</v>
      </c>
      <c r="C499" s="5" t="s">
        <v>38</v>
      </c>
      <c r="D499" s="408">
        <v>20</v>
      </c>
      <c r="E499" s="5" t="s">
        <v>128</v>
      </c>
      <c r="F499" s="408">
        <v>28</v>
      </c>
      <c r="G499" s="408">
        <v>1</v>
      </c>
      <c r="H499" s="408">
        <v>11.8</v>
      </c>
      <c r="I499" s="408">
        <v>2</v>
      </c>
      <c r="J499" s="408">
        <v>3.4</v>
      </c>
      <c r="K499" s="408">
        <v>0.59599999999999997</v>
      </c>
      <c r="L499" s="408">
        <v>0</v>
      </c>
      <c r="M499" s="408">
        <v>0</v>
      </c>
      <c r="O499" s="408">
        <v>2</v>
      </c>
      <c r="P499" s="408">
        <v>3.4</v>
      </c>
      <c r="Q499" s="408">
        <v>0.59599999999999997</v>
      </c>
      <c r="R499" s="408">
        <v>0.59599999999999997</v>
      </c>
      <c r="S499" s="408">
        <v>0.6</v>
      </c>
      <c r="T499" s="408">
        <v>0.8</v>
      </c>
      <c r="U499" s="408">
        <v>0.77300000000000002</v>
      </c>
      <c r="V499" s="408">
        <v>1.3</v>
      </c>
      <c r="W499" s="408">
        <v>2.2000000000000002</v>
      </c>
      <c r="X499" s="408">
        <v>3.4</v>
      </c>
      <c r="Y499" s="408">
        <v>0.8</v>
      </c>
      <c r="Z499" s="408">
        <v>0.3</v>
      </c>
      <c r="AA499" s="408">
        <v>0.2</v>
      </c>
      <c r="AB499" s="408">
        <v>0.9</v>
      </c>
      <c r="AC499" s="408">
        <v>1.3</v>
      </c>
      <c r="AD499" s="408">
        <v>4.5999999999999996</v>
      </c>
    </row>
    <row r="500" spans="1:30">
      <c r="A500">
        <v>408</v>
      </c>
      <c r="B500" s="1" t="s">
        <v>221</v>
      </c>
      <c r="C500" s="5" t="s">
        <v>83</v>
      </c>
      <c r="D500" s="408">
        <v>23</v>
      </c>
      <c r="E500" s="5" t="s">
        <v>78</v>
      </c>
      <c r="F500" s="408">
        <v>70</v>
      </c>
      <c r="G500" s="408">
        <v>37</v>
      </c>
      <c r="H500" s="408">
        <v>26.2</v>
      </c>
      <c r="I500" s="408">
        <v>6.2</v>
      </c>
      <c r="J500" s="408">
        <v>11</v>
      </c>
      <c r="K500" s="408">
        <v>0.56599999999999995</v>
      </c>
      <c r="L500" s="408">
        <v>0.1</v>
      </c>
      <c r="M500" s="408">
        <v>0.6</v>
      </c>
      <c r="N500" s="5">
        <v>0.214</v>
      </c>
      <c r="O500" s="408">
        <v>6.1</v>
      </c>
      <c r="P500" s="408">
        <v>10.4</v>
      </c>
      <c r="Q500" s="408">
        <v>0.58699999999999997</v>
      </c>
      <c r="R500" s="408">
        <v>0.57199999999999995</v>
      </c>
      <c r="S500" s="408">
        <v>3.4</v>
      </c>
      <c r="T500" s="408">
        <v>4.8</v>
      </c>
      <c r="U500" s="408">
        <v>0.70099999999999996</v>
      </c>
      <c r="V500" s="408">
        <v>2.2000000000000002</v>
      </c>
      <c r="W500" s="408">
        <v>5.6</v>
      </c>
      <c r="X500" s="408">
        <v>7.9</v>
      </c>
      <c r="Y500" s="408">
        <v>2.5</v>
      </c>
      <c r="Z500" s="408">
        <v>0.5</v>
      </c>
      <c r="AA500" s="408">
        <v>0.6</v>
      </c>
      <c r="AB500" s="408">
        <v>2.5</v>
      </c>
      <c r="AC500" s="408">
        <v>3.3</v>
      </c>
      <c r="AD500" s="408">
        <v>15.9</v>
      </c>
    </row>
    <row r="501" spans="1:30">
      <c r="A501">
        <v>409</v>
      </c>
      <c r="B501" s="1" t="s">
        <v>469</v>
      </c>
      <c r="C501" s="5" t="s">
        <v>38</v>
      </c>
      <c r="D501" s="408">
        <v>36</v>
      </c>
      <c r="E501" s="5" t="s">
        <v>100</v>
      </c>
      <c r="F501" s="408">
        <v>59</v>
      </c>
      <c r="G501" s="408">
        <v>57</v>
      </c>
      <c r="H501" s="408">
        <v>25.6</v>
      </c>
      <c r="I501" s="408">
        <v>6.1</v>
      </c>
      <c r="J501" s="408">
        <v>12.9</v>
      </c>
      <c r="K501" s="408">
        <v>0.47299999999999998</v>
      </c>
      <c r="L501" s="408">
        <v>0.9</v>
      </c>
      <c r="M501" s="408">
        <v>2.5</v>
      </c>
      <c r="N501" s="5">
        <v>0.34699999999999998</v>
      </c>
      <c r="O501" s="408">
        <v>5.3</v>
      </c>
      <c r="P501" s="408">
        <v>10.4</v>
      </c>
      <c r="Q501" s="408">
        <v>0.503</v>
      </c>
      <c r="R501" s="408">
        <v>0.50700000000000001</v>
      </c>
      <c r="S501" s="408">
        <v>1.4</v>
      </c>
      <c r="T501" s="408">
        <v>1.8</v>
      </c>
      <c r="U501" s="408">
        <v>0.78500000000000003</v>
      </c>
      <c r="V501" s="408">
        <v>1.6</v>
      </c>
      <c r="W501" s="408">
        <v>5.0999999999999996</v>
      </c>
      <c r="X501" s="408">
        <v>6.7</v>
      </c>
      <c r="Y501" s="408">
        <v>2.2000000000000002</v>
      </c>
      <c r="Z501" s="408">
        <v>0.7</v>
      </c>
      <c r="AA501" s="408">
        <v>0.2</v>
      </c>
      <c r="AB501" s="408">
        <v>2</v>
      </c>
      <c r="AC501" s="408">
        <v>2</v>
      </c>
      <c r="AD501" s="408">
        <v>14.5</v>
      </c>
    </row>
    <row r="502" spans="1:30">
      <c r="A502">
        <v>410</v>
      </c>
      <c r="B502" s="1" t="s">
        <v>1091</v>
      </c>
      <c r="C502" s="5" t="s">
        <v>26</v>
      </c>
      <c r="D502" s="408">
        <v>23</v>
      </c>
      <c r="E502" s="5" t="s">
        <v>128</v>
      </c>
      <c r="F502" s="408">
        <v>5</v>
      </c>
      <c r="G502" s="408">
        <v>0</v>
      </c>
      <c r="H502" s="408">
        <v>23.6</v>
      </c>
      <c r="I502" s="408">
        <v>2.4</v>
      </c>
      <c r="J502" s="408">
        <v>8.4</v>
      </c>
      <c r="K502" s="408">
        <v>0.28599999999999998</v>
      </c>
      <c r="L502" s="408">
        <v>0.2</v>
      </c>
      <c r="M502" s="408">
        <v>2.8</v>
      </c>
      <c r="N502" s="5">
        <v>7.0999999999999994E-2</v>
      </c>
      <c r="O502" s="408">
        <v>2.2000000000000002</v>
      </c>
      <c r="P502" s="408">
        <v>5.6</v>
      </c>
      <c r="Q502" s="408">
        <v>0.39300000000000002</v>
      </c>
      <c r="R502" s="408">
        <v>0.29799999999999999</v>
      </c>
      <c r="S502" s="408">
        <v>0.8</v>
      </c>
      <c r="T502" s="408">
        <v>1.8</v>
      </c>
      <c r="U502" s="408">
        <v>0.44400000000000001</v>
      </c>
      <c r="V502" s="408">
        <v>0</v>
      </c>
      <c r="W502" s="408">
        <v>1</v>
      </c>
      <c r="X502" s="408">
        <v>1</v>
      </c>
      <c r="Y502" s="408">
        <v>3.6</v>
      </c>
      <c r="Z502" s="408">
        <v>1.2</v>
      </c>
      <c r="AA502" s="408">
        <v>0.6</v>
      </c>
      <c r="AB502" s="408">
        <v>2.2000000000000002</v>
      </c>
      <c r="AC502" s="408">
        <v>3.6</v>
      </c>
      <c r="AD502" s="408">
        <v>5.8</v>
      </c>
    </row>
    <row r="503" spans="1:30">
      <c r="A503">
        <v>411</v>
      </c>
      <c r="B503" s="1" t="s">
        <v>238</v>
      </c>
      <c r="C503" s="5" t="s">
        <v>26</v>
      </c>
      <c r="D503" s="408">
        <v>33</v>
      </c>
      <c r="E503" s="5" t="s">
        <v>118</v>
      </c>
      <c r="F503" s="408">
        <v>58</v>
      </c>
      <c r="G503" s="408">
        <v>58</v>
      </c>
      <c r="H503" s="408">
        <v>31</v>
      </c>
      <c r="I503" s="408">
        <v>5.6</v>
      </c>
      <c r="J503" s="408">
        <v>12.3</v>
      </c>
      <c r="K503" s="408">
        <v>0.45</v>
      </c>
      <c r="L503" s="408">
        <v>2.7</v>
      </c>
      <c r="M503" s="408">
        <v>6.5</v>
      </c>
      <c r="N503" s="5">
        <v>0.41199999999999998</v>
      </c>
      <c r="O503" s="408">
        <v>2.9</v>
      </c>
      <c r="P503" s="408">
        <v>5.8</v>
      </c>
      <c r="Q503" s="408">
        <v>0.49299999999999999</v>
      </c>
      <c r="R503" s="408">
        <v>0.55900000000000005</v>
      </c>
      <c r="S503" s="408">
        <v>2.9</v>
      </c>
      <c r="T503" s="408">
        <v>3.2</v>
      </c>
      <c r="U503" s="408">
        <v>0.90700000000000003</v>
      </c>
      <c r="V503" s="408">
        <v>0.2</v>
      </c>
      <c r="W503" s="408">
        <v>2.4</v>
      </c>
      <c r="X503" s="408">
        <v>2.6</v>
      </c>
      <c r="Y503" s="408">
        <v>3</v>
      </c>
      <c r="Z503" s="408">
        <v>0.6</v>
      </c>
      <c r="AA503" s="408">
        <v>0.1</v>
      </c>
      <c r="AB503" s="408">
        <v>1.5</v>
      </c>
      <c r="AC503" s="408">
        <v>1.9</v>
      </c>
      <c r="AD503" s="408">
        <v>16.7</v>
      </c>
    </row>
    <row r="504" spans="1:30">
      <c r="A504">
        <v>412</v>
      </c>
      <c r="B504" s="1" t="s">
        <v>673</v>
      </c>
      <c r="C504" s="5" t="s">
        <v>26</v>
      </c>
      <c r="D504" s="408">
        <v>22</v>
      </c>
      <c r="E504" s="5" t="s">
        <v>313</v>
      </c>
      <c r="F504" s="408">
        <v>12</v>
      </c>
      <c r="G504" s="408">
        <v>0</v>
      </c>
      <c r="H504" s="408">
        <v>9.3000000000000007</v>
      </c>
      <c r="I504" s="408">
        <v>1</v>
      </c>
      <c r="J504" s="408">
        <v>3.1</v>
      </c>
      <c r="K504" s="408">
        <v>0.32400000000000001</v>
      </c>
      <c r="L504" s="408">
        <v>0.5</v>
      </c>
      <c r="M504" s="408">
        <v>1.3</v>
      </c>
      <c r="N504" s="5">
        <v>0.375</v>
      </c>
      <c r="O504" s="408">
        <v>0.5</v>
      </c>
      <c r="P504" s="408">
        <v>1.8</v>
      </c>
      <c r="Q504" s="408">
        <v>0.28599999999999998</v>
      </c>
      <c r="R504" s="408">
        <v>0.40500000000000003</v>
      </c>
      <c r="S504" s="408">
        <v>0.3</v>
      </c>
      <c r="T504" s="408">
        <v>0.3</v>
      </c>
      <c r="U504" s="408">
        <v>0.75</v>
      </c>
      <c r="V504" s="408">
        <v>0.1</v>
      </c>
      <c r="W504" s="408">
        <v>1.5</v>
      </c>
      <c r="X504" s="408">
        <v>1.6</v>
      </c>
      <c r="Y504" s="408">
        <v>0.6</v>
      </c>
      <c r="Z504" s="408">
        <v>0.3</v>
      </c>
      <c r="AA504" s="408">
        <v>0.1</v>
      </c>
      <c r="AB504" s="408">
        <v>0.3</v>
      </c>
      <c r="AC504" s="408">
        <v>0.8</v>
      </c>
      <c r="AD504" s="408">
        <v>2.8</v>
      </c>
    </row>
    <row r="505" spans="1:30">
      <c r="A505">
        <v>413</v>
      </c>
      <c r="B505" s="1" t="s">
        <v>134</v>
      </c>
      <c r="C505" s="5" t="s">
        <v>83</v>
      </c>
      <c r="D505" s="408">
        <v>27</v>
      </c>
      <c r="E505" s="5" t="s">
        <v>357</v>
      </c>
      <c r="F505" s="408">
        <v>42</v>
      </c>
      <c r="G505" s="408">
        <v>5</v>
      </c>
      <c r="H505" s="408">
        <v>10.199999999999999</v>
      </c>
      <c r="I505" s="408">
        <v>1.9</v>
      </c>
      <c r="J505" s="408">
        <v>2.9</v>
      </c>
      <c r="K505" s="408">
        <v>0.66900000000000004</v>
      </c>
      <c r="L505" s="408">
        <v>0</v>
      </c>
      <c r="M505" s="408">
        <v>0</v>
      </c>
      <c r="N505" s="5">
        <v>0.5</v>
      </c>
      <c r="O505" s="408">
        <v>1.9</v>
      </c>
      <c r="P505" s="408">
        <v>2.8</v>
      </c>
      <c r="Q505" s="408">
        <v>0.67200000000000004</v>
      </c>
      <c r="R505" s="408">
        <v>0.67400000000000004</v>
      </c>
      <c r="S505" s="408">
        <v>0.8</v>
      </c>
      <c r="T505" s="408">
        <v>1.3</v>
      </c>
      <c r="U505" s="408">
        <v>0.58199999999999996</v>
      </c>
      <c r="V505" s="408">
        <v>0.8</v>
      </c>
      <c r="W505" s="408">
        <v>2</v>
      </c>
      <c r="X505" s="408">
        <v>2.9</v>
      </c>
      <c r="Y505" s="408">
        <v>0.2</v>
      </c>
      <c r="Z505" s="408">
        <v>0.2</v>
      </c>
      <c r="AA505" s="408">
        <v>0.5</v>
      </c>
      <c r="AB505" s="408">
        <v>0.5</v>
      </c>
      <c r="AC505" s="408">
        <v>1.3</v>
      </c>
      <c r="AD505" s="408">
        <v>4.5999999999999996</v>
      </c>
    </row>
    <row r="506" spans="1:30">
      <c r="A506">
        <v>413</v>
      </c>
      <c r="B506" s="1" t="s">
        <v>134</v>
      </c>
      <c r="C506" s="5" t="s">
        <v>83</v>
      </c>
      <c r="D506" s="408">
        <v>27</v>
      </c>
      <c r="E506" s="5" t="s">
        <v>64</v>
      </c>
      <c r="F506" s="408">
        <v>39</v>
      </c>
      <c r="G506" s="408">
        <v>5</v>
      </c>
      <c r="H506" s="408">
        <v>10.7</v>
      </c>
      <c r="I506" s="408">
        <v>2.1</v>
      </c>
      <c r="J506" s="408">
        <v>3.1</v>
      </c>
      <c r="K506" s="408">
        <v>0.66700000000000004</v>
      </c>
      <c r="L506" s="408">
        <v>0</v>
      </c>
      <c r="M506" s="408">
        <v>0.1</v>
      </c>
      <c r="N506" s="5">
        <v>0.5</v>
      </c>
      <c r="O506" s="408">
        <v>2</v>
      </c>
      <c r="P506" s="408">
        <v>3</v>
      </c>
      <c r="Q506" s="408">
        <v>0.66900000000000004</v>
      </c>
      <c r="R506" s="408">
        <v>0.67100000000000004</v>
      </c>
      <c r="S506" s="408">
        <v>0.8</v>
      </c>
      <c r="T506" s="408">
        <v>1.4</v>
      </c>
      <c r="U506" s="408">
        <v>0.58199999999999996</v>
      </c>
      <c r="V506" s="408">
        <v>0.9</v>
      </c>
      <c r="W506" s="408">
        <v>2.2000000000000002</v>
      </c>
      <c r="X506" s="408">
        <v>3.1</v>
      </c>
      <c r="Y506" s="408">
        <v>0.2</v>
      </c>
      <c r="Z506" s="408">
        <v>0.2</v>
      </c>
      <c r="AA506" s="408">
        <v>0.6</v>
      </c>
      <c r="AB506" s="408">
        <v>0.5</v>
      </c>
      <c r="AC506" s="408">
        <v>1.4</v>
      </c>
      <c r="AD506" s="408">
        <v>4.9000000000000004</v>
      </c>
    </row>
    <row r="507" spans="1:30">
      <c r="A507">
        <v>413</v>
      </c>
      <c r="B507" s="1" t="s">
        <v>134</v>
      </c>
      <c r="C507" s="5" t="s">
        <v>83</v>
      </c>
      <c r="D507" s="408">
        <v>27</v>
      </c>
      <c r="E507" s="5" t="s">
        <v>157</v>
      </c>
      <c r="F507" s="408">
        <v>3</v>
      </c>
      <c r="G507" s="408">
        <v>0</v>
      </c>
      <c r="H507" s="408">
        <v>3</v>
      </c>
      <c r="I507" s="408">
        <v>0.3</v>
      </c>
      <c r="J507" s="408">
        <v>0.3</v>
      </c>
      <c r="K507" s="408">
        <v>1</v>
      </c>
      <c r="L507" s="408">
        <v>0</v>
      </c>
      <c r="M507" s="408">
        <v>0</v>
      </c>
      <c r="O507" s="408">
        <v>0.3</v>
      </c>
      <c r="P507" s="408">
        <v>0.3</v>
      </c>
      <c r="Q507" s="408">
        <v>1</v>
      </c>
      <c r="R507" s="408">
        <v>1</v>
      </c>
      <c r="S507" s="408">
        <v>0</v>
      </c>
      <c r="T507" s="408">
        <v>0</v>
      </c>
      <c r="U507" s="408"/>
      <c r="V507" s="408">
        <v>0</v>
      </c>
      <c r="W507" s="408">
        <v>0.3</v>
      </c>
      <c r="X507" s="408">
        <v>0.3</v>
      </c>
      <c r="Y507" s="408">
        <v>0.3</v>
      </c>
      <c r="Z507" s="408">
        <v>0</v>
      </c>
      <c r="AA507" s="408">
        <v>0</v>
      </c>
      <c r="AB507" s="408">
        <v>0</v>
      </c>
      <c r="AC507" s="408">
        <v>1</v>
      </c>
      <c r="AD507" s="408">
        <v>0.7</v>
      </c>
    </row>
    <row r="508" spans="1:30">
      <c r="A508">
        <v>414</v>
      </c>
      <c r="B508" s="1" t="s">
        <v>364</v>
      </c>
      <c r="C508" s="5" t="s">
        <v>46</v>
      </c>
      <c r="D508" s="408">
        <v>24</v>
      </c>
      <c r="E508" s="5" t="s">
        <v>50</v>
      </c>
      <c r="F508" s="408">
        <v>70</v>
      </c>
      <c r="G508" s="408">
        <v>70</v>
      </c>
      <c r="H508" s="408">
        <v>33.4</v>
      </c>
      <c r="I508" s="408">
        <v>5</v>
      </c>
      <c r="J508" s="408">
        <v>11</v>
      </c>
      <c r="K508" s="408">
        <v>0.45400000000000001</v>
      </c>
      <c r="L508" s="408">
        <v>1.7</v>
      </c>
      <c r="M508" s="408">
        <v>4.3</v>
      </c>
      <c r="N508" s="5">
        <v>0.39100000000000001</v>
      </c>
      <c r="O508" s="408">
        <v>3.3</v>
      </c>
      <c r="P508" s="408">
        <v>6.6</v>
      </c>
      <c r="Q508" s="408">
        <v>0.495</v>
      </c>
      <c r="R508" s="408">
        <v>0.53100000000000003</v>
      </c>
      <c r="S508" s="408">
        <v>1.4</v>
      </c>
      <c r="T508" s="408">
        <v>1.7</v>
      </c>
      <c r="U508" s="408">
        <v>0.82799999999999996</v>
      </c>
      <c r="V508" s="408">
        <v>0.9</v>
      </c>
      <c r="W508" s="408">
        <v>2.5</v>
      </c>
      <c r="X508" s="408">
        <v>3.4</v>
      </c>
      <c r="Y508" s="408">
        <v>2.8</v>
      </c>
      <c r="Z508" s="408">
        <v>1.5</v>
      </c>
      <c r="AA508" s="408">
        <v>0.9</v>
      </c>
      <c r="AB508" s="408">
        <v>1.8</v>
      </c>
      <c r="AC508" s="408">
        <v>2.6</v>
      </c>
      <c r="AD508" s="408">
        <v>13.1</v>
      </c>
    </row>
    <row r="509" spans="1:30">
      <c r="A509">
        <v>415</v>
      </c>
      <c r="B509" s="1" t="s">
        <v>500</v>
      </c>
      <c r="C509" s="5" t="s">
        <v>26</v>
      </c>
      <c r="D509" s="408">
        <v>22</v>
      </c>
      <c r="E509" s="5" t="s">
        <v>357</v>
      </c>
      <c r="F509" s="408">
        <v>26</v>
      </c>
      <c r="G509" s="408">
        <v>4</v>
      </c>
      <c r="H509" s="408">
        <v>12.5</v>
      </c>
      <c r="I509" s="408">
        <v>1.2</v>
      </c>
      <c r="J509" s="408">
        <v>3.5</v>
      </c>
      <c r="K509" s="408">
        <v>0.33300000000000002</v>
      </c>
      <c r="L509" s="408">
        <v>0.5</v>
      </c>
      <c r="M509" s="408">
        <v>1.5</v>
      </c>
      <c r="N509" s="5">
        <v>0.3</v>
      </c>
      <c r="O509" s="408">
        <v>0.7</v>
      </c>
      <c r="P509" s="408">
        <v>1.9</v>
      </c>
      <c r="Q509" s="408">
        <v>0.36</v>
      </c>
      <c r="R509" s="408">
        <v>0.4</v>
      </c>
      <c r="S509" s="408">
        <v>0.7</v>
      </c>
      <c r="T509" s="408">
        <v>0.8</v>
      </c>
      <c r="U509" s="408">
        <v>0.77300000000000002</v>
      </c>
      <c r="V509" s="408">
        <v>0.2</v>
      </c>
      <c r="W509" s="408">
        <v>1.1000000000000001</v>
      </c>
      <c r="X509" s="408">
        <v>1.3</v>
      </c>
      <c r="Y509" s="408">
        <v>0.5</v>
      </c>
      <c r="Z509" s="408">
        <v>0.4</v>
      </c>
      <c r="AA509" s="408">
        <v>0</v>
      </c>
      <c r="AB509" s="408">
        <v>0.4</v>
      </c>
      <c r="AC509" s="408">
        <v>1</v>
      </c>
      <c r="AD509" s="408">
        <v>3.4</v>
      </c>
    </row>
    <row r="510" spans="1:30">
      <c r="A510">
        <v>415</v>
      </c>
      <c r="B510" s="1" t="s">
        <v>500</v>
      </c>
      <c r="C510" s="5" t="s">
        <v>26</v>
      </c>
      <c r="D510" s="408">
        <v>22</v>
      </c>
      <c r="E510" s="5" t="s">
        <v>100</v>
      </c>
      <c r="F510" s="408">
        <v>25</v>
      </c>
      <c r="G510" s="408">
        <v>4</v>
      </c>
      <c r="H510" s="408">
        <v>12.8</v>
      </c>
      <c r="I510" s="408">
        <v>1.2</v>
      </c>
      <c r="J510" s="408">
        <v>3.5</v>
      </c>
      <c r="K510" s="408">
        <v>0.33</v>
      </c>
      <c r="L510" s="408">
        <v>0.5</v>
      </c>
      <c r="M510" s="408">
        <v>1.6</v>
      </c>
      <c r="N510" s="5">
        <v>0.308</v>
      </c>
      <c r="O510" s="408">
        <v>0.7</v>
      </c>
      <c r="P510" s="408">
        <v>2</v>
      </c>
      <c r="Q510" s="408">
        <v>0.34699999999999998</v>
      </c>
      <c r="R510" s="408">
        <v>0.39800000000000002</v>
      </c>
      <c r="S510" s="408">
        <v>0.7</v>
      </c>
      <c r="T510" s="408">
        <v>0.9</v>
      </c>
      <c r="U510" s="408">
        <v>0.77300000000000002</v>
      </c>
      <c r="V510" s="408">
        <v>0.2</v>
      </c>
      <c r="W510" s="408">
        <v>1.1000000000000001</v>
      </c>
      <c r="X510" s="408">
        <v>1.3</v>
      </c>
      <c r="Y510" s="408">
        <v>0.5</v>
      </c>
      <c r="Z510" s="408">
        <v>0.4</v>
      </c>
      <c r="AA510" s="408">
        <v>0</v>
      </c>
      <c r="AB510" s="408">
        <v>0.4</v>
      </c>
      <c r="AC510" s="408">
        <v>1.1000000000000001</v>
      </c>
      <c r="AD510" s="408">
        <v>3.5</v>
      </c>
    </row>
    <row r="511" spans="1:30">
      <c r="A511">
        <v>415</v>
      </c>
      <c r="B511" s="1" t="s">
        <v>500</v>
      </c>
      <c r="C511" s="5" t="s">
        <v>26</v>
      </c>
      <c r="D511" s="408">
        <v>22</v>
      </c>
      <c r="E511" s="5" t="s">
        <v>47</v>
      </c>
      <c r="F511" s="408">
        <v>1</v>
      </c>
      <c r="G511" s="408">
        <v>0</v>
      </c>
      <c r="H511" s="408">
        <v>5</v>
      </c>
      <c r="I511" s="408">
        <v>1</v>
      </c>
      <c r="J511" s="408">
        <v>2</v>
      </c>
      <c r="K511" s="408">
        <v>0.5</v>
      </c>
      <c r="L511" s="408">
        <v>0</v>
      </c>
      <c r="M511" s="408">
        <v>1</v>
      </c>
      <c r="N511" s="5">
        <v>0</v>
      </c>
      <c r="O511" s="408">
        <v>1</v>
      </c>
      <c r="P511" s="408">
        <v>1</v>
      </c>
      <c r="Q511" s="408">
        <v>1</v>
      </c>
      <c r="R511" s="408">
        <v>0.5</v>
      </c>
      <c r="S511" s="408">
        <v>0</v>
      </c>
      <c r="T511" s="408">
        <v>0</v>
      </c>
      <c r="U511" s="408"/>
      <c r="V511" s="408">
        <v>0</v>
      </c>
      <c r="W511" s="408">
        <v>1</v>
      </c>
      <c r="X511" s="408">
        <v>1</v>
      </c>
      <c r="Y511" s="408">
        <v>0</v>
      </c>
      <c r="Z511" s="408">
        <v>0</v>
      </c>
      <c r="AA511" s="408">
        <v>0</v>
      </c>
      <c r="AB511" s="408">
        <v>0</v>
      </c>
      <c r="AC511" s="408">
        <v>0</v>
      </c>
      <c r="AD511" s="408">
        <v>2</v>
      </c>
    </row>
    <row r="512" spans="1:30">
      <c r="A512">
        <v>416</v>
      </c>
      <c r="B512" s="1" t="s">
        <v>324</v>
      </c>
      <c r="C512" s="5" t="s">
        <v>26</v>
      </c>
      <c r="D512" s="408">
        <v>25</v>
      </c>
      <c r="E512" s="5" t="s">
        <v>64</v>
      </c>
      <c r="F512" s="408">
        <v>49</v>
      </c>
      <c r="G512" s="408">
        <v>47</v>
      </c>
      <c r="H512" s="408">
        <v>33.6</v>
      </c>
      <c r="I512" s="408">
        <v>5.8</v>
      </c>
      <c r="J512" s="408">
        <v>13.4</v>
      </c>
      <c r="K512" s="408">
        <v>0.437</v>
      </c>
      <c r="L512" s="408">
        <v>2.2999999999999998</v>
      </c>
      <c r="M512" s="408">
        <v>6</v>
      </c>
      <c r="N512" s="5">
        <v>0.38400000000000001</v>
      </c>
      <c r="O512" s="408">
        <v>3.5</v>
      </c>
      <c r="P512" s="408">
        <v>7.4</v>
      </c>
      <c r="Q512" s="408">
        <v>0.47899999999999998</v>
      </c>
      <c r="R512" s="408">
        <v>0.52300000000000002</v>
      </c>
      <c r="S512" s="408">
        <v>1.7</v>
      </c>
      <c r="T512" s="408">
        <v>2.6</v>
      </c>
      <c r="U512" s="408">
        <v>0.64800000000000002</v>
      </c>
      <c r="V512" s="408">
        <v>0.4</v>
      </c>
      <c r="W512" s="408">
        <v>2.1</v>
      </c>
      <c r="X512" s="408">
        <v>2.6</v>
      </c>
      <c r="Y512" s="408">
        <v>3.7</v>
      </c>
      <c r="Z512" s="408">
        <v>1.1000000000000001</v>
      </c>
      <c r="AA512" s="408">
        <v>0.3</v>
      </c>
      <c r="AB512" s="408">
        <v>1.8</v>
      </c>
      <c r="AC512" s="408">
        <v>2.5</v>
      </c>
      <c r="AD512" s="408">
        <v>15.6</v>
      </c>
    </row>
    <row r="513" spans="1:30">
      <c r="A513">
        <v>417</v>
      </c>
      <c r="B513" s="1" t="s">
        <v>531</v>
      </c>
      <c r="C513" s="5" t="s">
        <v>26</v>
      </c>
      <c r="D513" s="408">
        <v>26</v>
      </c>
      <c r="E513" s="5" t="s">
        <v>58</v>
      </c>
      <c r="F513" s="408">
        <v>39</v>
      </c>
      <c r="G513" s="408">
        <v>39</v>
      </c>
      <c r="H513" s="408">
        <v>26.6</v>
      </c>
      <c r="I513" s="408">
        <v>2.2000000000000002</v>
      </c>
      <c r="J513" s="408">
        <v>4.2</v>
      </c>
      <c r="K513" s="408">
        <v>0.53700000000000003</v>
      </c>
      <c r="L513" s="408">
        <v>0.2</v>
      </c>
      <c r="M513" s="408">
        <v>0.9</v>
      </c>
      <c r="N513" s="5">
        <v>0.222</v>
      </c>
      <c r="O513" s="408">
        <v>2</v>
      </c>
      <c r="P513" s="408">
        <v>3.2</v>
      </c>
      <c r="Q513" s="408">
        <v>0.627</v>
      </c>
      <c r="R513" s="408">
        <v>0.56200000000000006</v>
      </c>
      <c r="S513" s="408">
        <v>0.3</v>
      </c>
      <c r="T513" s="408">
        <v>1</v>
      </c>
      <c r="U513" s="408">
        <v>0.316</v>
      </c>
      <c r="V513" s="408">
        <v>1.9</v>
      </c>
      <c r="W513" s="408">
        <v>2.8</v>
      </c>
      <c r="X513" s="408">
        <v>4.7</v>
      </c>
      <c r="Y513" s="408">
        <v>1.2</v>
      </c>
      <c r="Z513" s="408">
        <v>1.2</v>
      </c>
      <c r="AA513" s="408">
        <v>0.9</v>
      </c>
      <c r="AB513" s="408">
        <v>0.8</v>
      </c>
      <c r="AC513" s="408">
        <v>2.2999999999999998</v>
      </c>
      <c r="AD513" s="408">
        <v>5</v>
      </c>
    </row>
    <row r="514" spans="1:30">
      <c r="A514">
        <v>418</v>
      </c>
      <c r="B514" s="1" t="s">
        <v>712</v>
      </c>
      <c r="C514" s="5" t="s">
        <v>46</v>
      </c>
      <c r="D514" s="408">
        <v>24</v>
      </c>
      <c r="E514" s="5" t="s">
        <v>30</v>
      </c>
      <c r="F514" s="408">
        <v>12</v>
      </c>
      <c r="G514" s="408">
        <v>0</v>
      </c>
      <c r="H514" s="408">
        <v>13.8</v>
      </c>
      <c r="I514" s="408">
        <v>1.3</v>
      </c>
      <c r="J514" s="408">
        <v>3.3</v>
      </c>
      <c r="K514" s="408">
        <v>0.375</v>
      </c>
      <c r="L514" s="408">
        <v>0.2</v>
      </c>
      <c r="M514" s="408">
        <v>1</v>
      </c>
      <c r="N514" s="5">
        <v>0.16700000000000001</v>
      </c>
      <c r="O514" s="408">
        <v>1.1000000000000001</v>
      </c>
      <c r="P514" s="408">
        <v>2.2999999999999998</v>
      </c>
      <c r="Q514" s="408">
        <v>0.46400000000000002</v>
      </c>
      <c r="R514" s="408">
        <v>0.4</v>
      </c>
      <c r="S514" s="408">
        <v>0.3</v>
      </c>
      <c r="T514" s="408">
        <v>0.4</v>
      </c>
      <c r="U514" s="408">
        <v>0.8</v>
      </c>
      <c r="V514" s="408">
        <v>0.4</v>
      </c>
      <c r="W514" s="408">
        <v>0.7</v>
      </c>
      <c r="X514" s="408">
        <v>1.1000000000000001</v>
      </c>
      <c r="Y514" s="408">
        <v>0.9</v>
      </c>
      <c r="Z514" s="408">
        <v>0.5</v>
      </c>
      <c r="AA514" s="408">
        <v>0.1</v>
      </c>
      <c r="AB514" s="408">
        <v>0.2</v>
      </c>
      <c r="AC514" s="408">
        <v>0.8</v>
      </c>
      <c r="AD514" s="408">
        <v>3</v>
      </c>
    </row>
    <row r="515" spans="1:30">
      <c r="A515">
        <v>419</v>
      </c>
      <c r="B515" s="1" t="s">
        <v>171</v>
      </c>
      <c r="C515" s="5" t="s">
        <v>20</v>
      </c>
      <c r="D515" s="408">
        <v>31</v>
      </c>
      <c r="E515" s="5" t="s">
        <v>112</v>
      </c>
      <c r="F515" s="408">
        <v>55</v>
      </c>
      <c r="G515" s="408">
        <v>53</v>
      </c>
      <c r="H515" s="408">
        <v>25.7</v>
      </c>
      <c r="I515" s="408">
        <v>3.3</v>
      </c>
      <c r="J515" s="408">
        <v>7.3</v>
      </c>
      <c r="K515" s="408">
        <v>0.45800000000000002</v>
      </c>
      <c r="L515" s="408">
        <v>0.8</v>
      </c>
      <c r="M515" s="408">
        <v>2.2000000000000002</v>
      </c>
      <c r="N515" s="5">
        <v>0.35</v>
      </c>
      <c r="O515" s="408">
        <v>2.5</v>
      </c>
      <c r="P515" s="408">
        <v>5</v>
      </c>
      <c r="Q515" s="408">
        <v>0.505</v>
      </c>
      <c r="R515" s="408">
        <v>0.51100000000000001</v>
      </c>
      <c r="S515" s="408">
        <v>0.4</v>
      </c>
      <c r="T515" s="408">
        <v>0.7</v>
      </c>
      <c r="U515" s="408">
        <v>0.58299999999999996</v>
      </c>
      <c r="V515" s="408">
        <v>0.5</v>
      </c>
      <c r="W515" s="408">
        <v>3.4</v>
      </c>
      <c r="X515" s="408">
        <v>3.9</v>
      </c>
      <c r="Y515" s="408">
        <v>7.8</v>
      </c>
      <c r="Z515" s="408">
        <v>1</v>
      </c>
      <c r="AA515" s="408">
        <v>0.2</v>
      </c>
      <c r="AB515" s="408">
        <v>2.1</v>
      </c>
      <c r="AC515" s="408">
        <v>1.8</v>
      </c>
      <c r="AD515" s="408">
        <v>7.8</v>
      </c>
    </row>
    <row r="516" spans="1:30">
      <c r="A516">
        <v>420</v>
      </c>
      <c r="B516" s="1" t="s">
        <v>226</v>
      </c>
      <c r="C516" s="5" t="s">
        <v>20</v>
      </c>
      <c r="D516" s="408">
        <v>29</v>
      </c>
      <c r="E516" s="5" t="s">
        <v>357</v>
      </c>
      <c r="F516" s="408">
        <v>20</v>
      </c>
      <c r="G516" s="408">
        <v>7</v>
      </c>
      <c r="H516" s="408">
        <v>18</v>
      </c>
      <c r="I516" s="408">
        <v>3.5</v>
      </c>
      <c r="J516" s="408">
        <v>8</v>
      </c>
      <c r="K516" s="408">
        <v>0.434</v>
      </c>
      <c r="L516" s="408">
        <v>0.3</v>
      </c>
      <c r="M516" s="408">
        <v>1.4</v>
      </c>
      <c r="N516" s="5">
        <v>0.222</v>
      </c>
      <c r="O516" s="408">
        <v>3.2</v>
      </c>
      <c r="P516" s="408">
        <v>6.6</v>
      </c>
      <c r="Q516" s="408">
        <v>0.47699999999999998</v>
      </c>
      <c r="R516" s="408">
        <v>0.45300000000000001</v>
      </c>
      <c r="S516" s="408">
        <v>1.9</v>
      </c>
      <c r="T516" s="408">
        <v>2.2000000000000002</v>
      </c>
      <c r="U516" s="408">
        <v>0.86</v>
      </c>
      <c r="V516" s="408">
        <v>0.7</v>
      </c>
      <c r="W516" s="408">
        <v>1</v>
      </c>
      <c r="X516" s="408">
        <v>1.7</v>
      </c>
      <c r="Y516" s="408">
        <v>1.7</v>
      </c>
      <c r="Z516" s="408">
        <v>0.3</v>
      </c>
      <c r="AA516" s="408">
        <v>0.2</v>
      </c>
      <c r="AB516" s="408">
        <v>1.6</v>
      </c>
      <c r="AC516" s="408">
        <v>0.7</v>
      </c>
      <c r="AD516" s="408">
        <v>9.1</v>
      </c>
    </row>
    <row r="517" spans="1:30">
      <c r="A517">
        <v>420</v>
      </c>
      <c r="B517" s="1" t="s">
        <v>226</v>
      </c>
      <c r="C517" s="5" t="s">
        <v>20</v>
      </c>
      <c r="D517" s="408">
        <v>29</v>
      </c>
      <c r="E517" s="5" t="s">
        <v>102</v>
      </c>
      <c r="F517" s="408">
        <v>16</v>
      </c>
      <c r="G517" s="408">
        <v>7</v>
      </c>
      <c r="H517" s="408">
        <v>19.3</v>
      </c>
      <c r="I517" s="408">
        <v>3.6</v>
      </c>
      <c r="J517" s="408">
        <v>8.3000000000000007</v>
      </c>
      <c r="K517" s="408">
        <v>0.439</v>
      </c>
      <c r="L517" s="408">
        <v>0.4</v>
      </c>
      <c r="M517" s="408">
        <v>1.5</v>
      </c>
      <c r="N517" s="5">
        <v>0.25</v>
      </c>
      <c r="O517" s="408">
        <v>3.3</v>
      </c>
      <c r="P517" s="408">
        <v>6.8</v>
      </c>
      <c r="Q517" s="408">
        <v>0.48099999999999998</v>
      </c>
      <c r="R517" s="408">
        <v>0.46200000000000002</v>
      </c>
      <c r="S517" s="408">
        <v>2.2000000000000002</v>
      </c>
      <c r="T517" s="408">
        <v>2.6</v>
      </c>
      <c r="U517" s="408">
        <v>0.85399999999999998</v>
      </c>
      <c r="V517" s="408">
        <v>0.6</v>
      </c>
      <c r="W517" s="408">
        <v>1.2</v>
      </c>
      <c r="X517" s="408">
        <v>1.8</v>
      </c>
      <c r="Y517" s="408">
        <v>1.6</v>
      </c>
      <c r="Z517" s="408">
        <v>0.2</v>
      </c>
      <c r="AA517" s="408">
        <v>0.3</v>
      </c>
      <c r="AB517" s="408">
        <v>1.8</v>
      </c>
      <c r="AC517" s="408">
        <v>0.9</v>
      </c>
      <c r="AD517" s="408">
        <v>9.8000000000000007</v>
      </c>
    </row>
    <row r="518" spans="1:30">
      <c r="A518">
        <v>420</v>
      </c>
      <c r="B518" s="1" t="s">
        <v>226</v>
      </c>
      <c r="C518" s="5" t="s">
        <v>20</v>
      </c>
      <c r="D518" s="408">
        <v>29</v>
      </c>
      <c r="E518" s="5" t="s">
        <v>56</v>
      </c>
      <c r="F518" s="408">
        <v>4</v>
      </c>
      <c r="G518" s="408">
        <v>0</v>
      </c>
      <c r="H518" s="408">
        <v>13</v>
      </c>
      <c r="I518" s="408">
        <v>2.8</v>
      </c>
      <c r="J518" s="408">
        <v>6.8</v>
      </c>
      <c r="K518" s="408">
        <v>0.40699999999999997</v>
      </c>
      <c r="L518" s="408">
        <v>0</v>
      </c>
      <c r="M518" s="408">
        <v>0.8</v>
      </c>
      <c r="N518" s="5">
        <v>0</v>
      </c>
      <c r="O518" s="408">
        <v>2.8</v>
      </c>
      <c r="P518" s="408">
        <v>6</v>
      </c>
      <c r="Q518" s="408">
        <v>0.45800000000000002</v>
      </c>
      <c r="R518" s="408">
        <v>0.40699999999999997</v>
      </c>
      <c r="S518" s="408">
        <v>0.5</v>
      </c>
      <c r="T518" s="408">
        <v>0.5</v>
      </c>
      <c r="U518" s="408">
        <v>1</v>
      </c>
      <c r="V518" s="408">
        <v>0.8</v>
      </c>
      <c r="W518" s="408">
        <v>0.3</v>
      </c>
      <c r="X518" s="408">
        <v>1</v>
      </c>
      <c r="Y518" s="408">
        <v>1.8</v>
      </c>
      <c r="Z518" s="408">
        <v>0.5</v>
      </c>
      <c r="AA518" s="408">
        <v>0</v>
      </c>
      <c r="AB518" s="408">
        <v>0.8</v>
      </c>
      <c r="AC518" s="408">
        <v>0</v>
      </c>
      <c r="AD518" s="408">
        <v>6</v>
      </c>
    </row>
    <row r="519" spans="1:30">
      <c r="A519">
        <v>421</v>
      </c>
      <c r="B519" s="1" t="s">
        <v>392</v>
      </c>
      <c r="C519" s="5" t="s">
        <v>26</v>
      </c>
      <c r="D519" s="408">
        <v>26</v>
      </c>
      <c r="E519" s="5" t="s">
        <v>75</v>
      </c>
      <c r="F519" s="408">
        <v>22</v>
      </c>
      <c r="G519" s="408">
        <v>20</v>
      </c>
      <c r="H519" s="408">
        <v>26.2</v>
      </c>
      <c r="I519" s="408">
        <v>3.3</v>
      </c>
      <c r="J519" s="408">
        <v>8</v>
      </c>
      <c r="K519" s="408">
        <v>0.40699999999999997</v>
      </c>
      <c r="L519" s="408">
        <v>1.3</v>
      </c>
      <c r="M519" s="408">
        <v>3.9</v>
      </c>
      <c r="N519" s="5">
        <v>0.32900000000000001</v>
      </c>
      <c r="O519" s="408">
        <v>2</v>
      </c>
      <c r="P519" s="408">
        <v>4.2</v>
      </c>
      <c r="Q519" s="408">
        <v>0.47799999999999998</v>
      </c>
      <c r="R519" s="408">
        <v>0.48599999999999999</v>
      </c>
      <c r="S519" s="408">
        <v>1.2</v>
      </c>
      <c r="T519" s="408">
        <v>1.6</v>
      </c>
      <c r="U519" s="408">
        <v>0.74299999999999999</v>
      </c>
      <c r="V519" s="408">
        <v>0.5</v>
      </c>
      <c r="W519" s="408">
        <v>2.7</v>
      </c>
      <c r="X519" s="408">
        <v>3.2</v>
      </c>
      <c r="Y519" s="408">
        <v>1.6</v>
      </c>
      <c r="Z519" s="408">
        <v>1.2</v>
      </c>
      <c r="AA519" s="408">
        <v>0.4</v>
      </c>
      <c r="AB519" s="408">
        <v>1.1000000000000001</v>
      </c>
      <c r="AC519" s="408">
        <v>2</v>
      </c>
      <c r="AD519" s="408">
        <v>9</v>
      </c>
    </row>
    <row r="520" spans="1:30">
      <c r="A520">
        <v>422</v>
      </c>
      <c r="B520" s="1" t="s">
        <v>374</v>
      </c>
      <c r="C520" s="5" t="s">
        <v>20</v>
      </c>
      <c r="D520" s="408">
        <v>23</v>
      </c>
      <c r="E520" s="5" t="s">
        <v>87</v>
      </c>
      <c r="F520" s="408">
        <v>70</v>
      </c>
      <c r="G520" s="408">
        <v>6</v>
      </c>
      <c r="H520" s="408">
        <v>25</v>
      </c>
      <c r="I520" s="408">
        <v>3.8</v>
      </c>
      <c r="J520" s="408">
        <v>9.6</v>
      </c>
      <c r="K520" s="408">
        <v>0.40200000000000002</v>
      </c>
      <c r="L520" s="408">
        <v>1.8</v>
      </c>
      <c r="M520" s="408">
        <v>4.8</v>
      </c>
      <c r="N520" s="5">
        <v>0.38100000000000001</v>
      </c>
      <c r="O520" s="408">
        <v>2</v>
      </c>
      <c r="P520" s="408">
        <v>4.8</v>
      </c>
      <c r="Q520" s="408">
        <v>0.42299999999999999</v>
      </c>
      <c r="R520" s="408">
        <v>0.497</v>
      </c>
      <c r="S520" s="408">
        <v>1.4</v>
      </c>
      <c r="T520" s="408">
        <v>1.8</v>
      </c>
      <c r="U520" s="408">
        <v>0.754</v>
      </c>
      <c r="V520" s="408">
        <v>0.8</v>
      </c>
      <c r="W520" s="408">
        <v>3.7</v>
      </c>
      <c r="X520" s="408">
        <v>4.5</v>
      </c>
      <c r="Y520" s="408">
        <v>2.7</v>
      </c>
      <c r="Z520" s="408">
        <v>1</v>
      </c>
      <c r="AA520" s="408">
        <v>0.2</v>
      </c>
      <c r="AB520" s="408">
        <v>0.9</v>
      </c>
      <c r="AC520" s="408">
        <v>1.5</v>
      </c>
      <c r="AD520" s="408">
        <v>10.9</v>
      </c>
    </row>
    <row r="521" spans="1:30">
      <c r="A521">
        <v>423</v>
      </c>
      <c r="B521" s="1" t="s">
        <v>405</v>
      </c>
      <c r="C521" s="5" t="s">
        <v>20</v>
      </c>
      <c r="D521" s="408">
        <v>27</v>
      </c>
      <c r="E521" s="5" t="s">
        <v>305</v>
      </c>
      <c r="F521" s="408">
        <v>66</v>
      </c>
      <c r="G521" s="408">
        <v>66</v>
      </c>
      <c r="H521" s="408">
        <v>29.6</v>
      </c>
      <c r="I521" s="408">
        <v>4.3</v>
      </c>
      <c r="J521" s="408">
        <v>10.6</v>
      </c>
      <c r="K521" s="408">
        <v>0.40200000000000002</v>
      </c>
      <c r="L521" s="408">
        <v>1.1000000000000001</v>
      </c>
      <c r="M521" s="408">
        <v>3.4</v>
      </c>
      <c r="N521" s="5">
        <v>0.318</v>
      </c>
      <c r="O521" s="408">
        <v>3.2</v>
      </c>
      <c r="P521" s="408">
        <v>7.3</v>
      </c>
      <c r="Q521" s="408">
        <v>0.441</v>
      </c>
      <c r="R521" s="408">
        <v>0.45200000000000001</v>
      </c>
      <c r="S521" s="408">
        <v>2.7</v>
      </c>
      <c r="T521" s="408">
        <v>3.2</v>
      </c>
      <c r="U521" s="408">
        <v>0.84599999999999997</v>
      </c>
      <c r="V521" s="408">
        <v>0.6</v>
      </c>
      <c r="W521" s="408">
        <v>4</v>
      </c>
      <c r="X521" s="408">
        <v>4.5999999999999996</v>
      </c>
      <c r="Y521" s="408">
        <v>5.5</v>
      </c>
      <c r="Z521" s="408">
        <v>1.5</v>
      </c>
      <c r="AA521" s="408">
        <v>0.1</v>
      </c>
      <c r="AB521" s="408">
        <v>2.8</v>
      </c>
      <c r="AC521" s="408">
        <v>2.7</v>
      </c>
      <c r="AD521" s="408">
        <v>12.4</v>
      </c>
    </row>
    <row r="522" spans="1:30">
      <c r="A522">
        <v>424</v>
      </c>
      <c r="B522" s="1" t="s">
        <v>349</v>
      </c>
      <c r="C522" s="5" t="s">
        <v>20</v>
      </c>
      <c r="D522" s="408">
        <v>21</v>
      </c>
      <c r="E522" s="5" t="s">
        <v>315</v>
      </c>
      <c r="F522" s="408">
        <v>37</v>
      </c>
      <c r="G522" s="408">
        <v>24</v>
      </c>
      <c r="H522" s="408">
        <v>25.8</v>
      </c>
      <c r="I522" s="408">
        <v>5.9</v>
      </c>
      <c r="J522" s="408">
        <v>14.3</v>
      </c>
      <c r="K522" s="408">
        <v>0.41699999999999998</v>
      </c>
      <c r="L522" s="408">
        <v>1.8</v>
      </c>
      <c r="M522" s="408">
        <v>5.5</v>
      </c>
      <c r="N522" s="5">
        <v>0.32200000000000001</v>
      </c>
      <c r="O522" s="408">
        <v>4.2</v>
      </c>
      <c r="P522" s="408">
        <v>8.6999999999999993</v>
      </c>
      <c r="Q522" s="408">
        <v>0.47699999999999998</v>
      </c>
      <c r="R522" s="408">
        <v>0.47899999999999998</v>
      </c>
      <c r="S522" s="408">
        <v>2.4</v>
      </c>
      <c r="T522" s="408">
        <v>3.1</v>
      </c>
      <c r="U522" s="408">
        <v>0.75700000000000001</v>
      </c>
      <c r="V522" s="408">
        <v>0.7</v>
      </c>
      <c r="W522" s="408">
        <v>3.2</v>
      </c>
      <c r="X522" s="408">
        <v>3.9</v>
      </c>
      <c r="Y522" s="408">
        <v>4.9000000000000004</v>
      </c>
      <c r="Z522" s="408">
        <v>0.7</v>
      </c>
      <c r="AA522" s="408">
        <v>0.3</v>
      </c>
      <c r="AB522" s="408">
        <v>3.1</v>
      </c>
      <c r="AC522" s="408">
        <v>2</v>
      </c>
      <c r="AD522" s="408">
        <v>16</v>
      </c>
    </row>
    <row r="523" spans="1:30">
      <c r="A523">
        <v>425</v>
      </c>
      <c r="B523" s="1" t="s">
        <v>555</v>
      </c>
      <c r="C523" s="5" t="s">
        <v>83</v>
      </c>
      <c r="D523" s="408">
        <v>21</v>
      </c>
      <c r="E523" s="5" t="s">
        <v>30</v>
      </c>
      <c r="F523" s="408">
        <v>66</v>
      </c>
      <c r="G523" s="408">
        <v>19</v>
      </c>
      <c r="H523" s="408">
        <v>24.7</v>
      </c>
      <c r="I523" s="408">
        <v>4.5999999999999996</v>
      </c>
      <c r="J523" s="408">
        <v>8.9</v>
      </c>
      <c r="K523" s="408">
        <v>0.51800000000000002</v>
      </c>
      <c r="L523" s="408">
        <v>0.2</v>
      </c>
      <c r="M523" s="408">
        <v>0.5</v>
      </c>
      <c r="N523" s="5">
        <v>0.36399999999999999</v>
      </c>
      <c r="O523" s="408">
        <v>4.4000000000000004</v>
      </c>
      <c r="P523" s="408">
        <v>8.4</v>
      </c>
      <c r="Q523" s="408">
        <v>0.52700000000000002</v>
      </c>
      <c r="R523" s="408">
        <v>0.52800000000000002</v>
      </c>
      <c r="S523" s="408">
        <v>2.2999999999999998</v>
      </c>
      <c r="T523" s="408">
        <v>3.1</v>
      </c>
      <c r="U523" s="408">
        <v>0.73699999999999999</v>
      </c>
      <c r="V523" s="408">
        <v>2.2999999999999998</v>
      </c>
      <c r="W523" s="408">
        <v>5.6</v>
      </c>
      <c r="X523" s="408">
        <v>7.9</v>
      </c>
      <c r="Y523" s="408">
        <v>2</v>
      </c>
      <c r="Z523" s="408">
        <v>0.5</v>
      </c>
      <c r="AA523" s="408">
        <v>0.4</v>
      </c>
      <c r="AB523" s="408">
        <v>1.9</v>
      </c>
      <c r="AC523" s="408">
        <v>2.9</v>
      </c>
      <c r="AD523" s="408">
        <v>11.7</v>
      </c>
    </row>
    <row r="524" spans="1:30">
      <c r="A524">
        <v>426</v>
      </c>
      <c r="B524" s="1" t="s">
        <v>553</v>
      </c>
      <c r="C524" s="5" t="s">
        <v>46</v>
      </c>
      <c r="D524" s="408">
        <v>24</v>
      </c>
      <c r="E524" s="5" t="s">
        <v>100</v>
      </c>
      <c r="F524" s="408">
        <v>15</v>
      </c>
      <c r="G524" s="408">
        <v>3</v>
      </c>
      <c r="H524" s="408">
        <v>15.1</v>
      </c>
      <c r="I524" s="408">
        <v>1.9</v>
      </c>
      <c r="J524" s="408">
        <v>2.9</v>
      </c>
      <c r="K524" s="408">
        <v>0.65900000000000003</v>
      </c>
      <c r="L524" s="408">
        <v>0.3</v>
      </c>
      <c r="M524" s="408">
        <v>0.5</v>
      </c>
      <c r="N524" s="5">
        <v>0.71399999999999997</v>
      </c>
      <c r="O524" s="408">
        <v>1.6</v>
      </c>
      <c r="P524" s="408">
        <v>2.5</v>
      </c>
      <c r="Q524" s="408">
        <v>0.64900000000000002</v>
      </c>
      <c r="R524" s="408">
        <v>0.71599999999999997</v>
      </c>
      <c r="S524" s="408">
        <v>0.3</v>
      </c>
      <c r="T524" s="408">
        <v>0.5</v>
      </c>
      <c r="U524" s="408">
        <v>0.625</v>
      </c>
      <c r="V524" s="408">
        <v>0.9</v>
      </c>
      <c r="W524" s="408">
        <v>2.7</v>
      </c>
      <c r="X524" s="408">
        <v>3.6</v>
      </c>
      <c r="Y524" s="408">
        <v>0.5</v>
      </c>
      <c r="Z524" s="408">
        <v>0.4</v>
      </c>
      <c r="AA524" s="408">
        <v>0.9</v>
      </c>
      <c r="AB524" s="408">
        <v>0.4</v>
      </c>
      <c r="AC524" s="408">
        <v>2.5</v>
      </c>
      <c r="AD524" s="408">
        <v>4.5</v>
      </c>
    </row>
    <row r="525" spans="1:30">
      <c r="A525">
        <v>427</v>
      </c>
      <c r="B525" s="1" t="s">
        <v>352</v>
      </c>
      <c r="C525" s="5" t="s">
        <v>38</v>
      </c>
      <c r="D525" s="408">
        <v>23</v>
      </c>
      <c r="E525" s="5" t="s">
        <v>118</v>
      </c>
      <c r="F525" s="408">
        <v>68</v>
      </c>
      <c r="G525" s="408">
        <v>63</v>
      </c>
      <c r="H525" s="408">
        <v>30.5</v>
      </c>
      <c r="I525" s="408">
        <v>5.2</v>
      </c>
      <c r="J525" s="408">
        <v>11.5</v>
      </c>
      <c r="K525" s="408">
        <v>0.45500000000000002</v>
      </c>
      <c r="L525" s="408">
        <v>2</v>
      </c>
      <c r="M525" s="408">
        <v>5.0999999999999996</v>
      </c>
      <c r="N525" s="5">
        <v>0.39700000000000002</v>
      </c>
      <c r="O525" s="408">
        <v>3.2</v>
      </c>
      <c r="P525" s="408">
        <v>6.4</v>
      </c>
      <c r="Q525" s="408">
        <v>0.501</v>
      </c>
      <c r="R525" s="408">
        <v>0.54300000000000004</v>
      </c>
      <c r="S525" s="408">
        <v>2.4</v>
      </c>
      <c r="T525" s="408">
        <v>2.7</v>
      </c>
      <c r="U525" s="408">
        <v>0.874</v>
      </c>
      <c r="V525" s="408">
        <v>2.1</v>
      </c>
      <c r="W525" s="408">
        <v>4.8</v>
      </c>
      <c r="X525" s="408">
        <v>6.9</v>
      </c>
      <c r="Y525" s="408">
        <v>2.6</v>
      </c>
      <c r="Z525" s="408">
        <v>0.7</v>
      </c>
      <c r="AA525" s="408">
        <v>0.3</v>
      </c>
      <c r="AB525" s="408">
        <v>2</v>
      </c>
      <c r="AC525" s="408">
        <v>2.1</v>
      </c>
      <c r="AD525" s="408">
        <v>14.9</v>
      </c>
    </row>
    <row r="526" spans="1:30">
      <c r="A526">
        <v>428</v>
      </c>
      <c r="B526" s="1" t="s">
        <v>530</v>
      </c>
      <c r="C526" s="5" t="s">
        <v>26</v>
      </c>
      <c r="D526" s="408">
        <v>26</v>
      </c>
      <c r="E526" s="5" t="s">
        <v>27</v>
      </c>
      <c r="F526" s="408">
        <v>61</v>
      </c>
      <c r="G526" s="408">
        <v>22</v>
      </c>
      <c r="H526" s="408">
        <v>21.3</v>
      </c>
      <c r="I526" s="408">
        <v>2.7</v>
      </c>
      <c r="J526" s="408">
        <v>5</v>
      </c>
      <c r="K526" s="408">
        <v>0.53400000000000003</v>
      </c>
      <c r="L526" s="408">
        <v>0.6</v>
      </c>
      <c r="M526" s="408">
        <v>1.4</v>
      </c>
      <c r="N526" s="5">
        <v>0.45900000000000002</v>
      </c>
      <c r="O526" s="408">
        <v>2</v>
      </c>
      <c r="P526" s="408">
        <v>3.6</v>
      </c>
      <c r="Q526" s="408">
        <v>0.56399999999999995</v>
      </c>
      <c r="R526" s="408">
        <v>0.59799999999999998</v>
      </c>
      <c r="S526" s="408">
        <v>1.1000000000000001</v>
      </c>
      <c r="T526" s="408">
        <v>1.5</v>
      </c>
      <c r="U526" s="408">
        <v>0.76700000000000002</v>
      </c>
      <c r="V526" s="408">
        <v>0.9</v>
      </c>
      <c r="W526" s="408">
        <v>2</v>
      </c>
      <c r="X526" s="408">
        <v>2.8</v>
      </c>
      <c r="Y526" s="408">
        <v>3.7</v>
      </c>
      <c r="Z526" s="408">
        <v>0.7</v>
      </c>
      <c r="AA526" s="408">
        <v>0.2</v>
      </c>
      <c r="AB526" s="408">
        <v>1</v>
      </c>
      <c r="AC526" s="408">
        <v>1.7</v>
      </c>
      <c r="AD526" s="408">
        <v>7.1</v>
      </c>
    </row>
    <row r="527" spans="1:30">
      <c r="A527">
        <v>429</v>
      </c>
      <c r="B527" s="1" t="s">
        <v>399</v>
      </c>
      <c r="C527" s="5" t="s">
        <v>20</v>
      </c>
      <c r="D527" s="408">
        <v>24</v>
      </c>
      <c r="E527" s="5" t="s">
        <v>149</v>
      </c>
      <c r="F527" s="408">
        <v>65</v>
      </c>
      <c r="G527" s="408">
        <v>65</v>
      </c>
      <c r="H527" s="408">
        <v>31</v>
      </c>
      <c r="I527" s="408">
        <v>7.3</v>
      </c>
      <c r="J527" s="408">
        <v>16.899999999999999</v>
      </c>
      <c r="K527" s="408">
        <v>0.432</v>
      </c>
      <c r="L527" s="408">
        <v>1.1000000000000001</v>
      </c>
      <c r="M527" s="408">
        <v>3.9</v>
      </c>
      <c r="N527" s="5">
        <v>0.29099999999999998</v>
      </c>
      <c r="O527" s="408">
        <v>6.2</v>
      </c>
      <c r="P527" s="408">
        <v>13.1</v>
      </c>
      <c r="Q527" s="408">
        <v>0.47399999999999998</v>
      </c>
      <c r="R527" s="408">
        <v>0.46500000000000002</v>
      </c>
      <c r="S527" s="408">
        <v>3.4</v>
      </c>
      <c r="T527" s="408">
        <v>3.9</v>
      </c>
      <c r="U527" s="408">
        <v>0.86599999999999999</v>
      </c>
      <c r="V527" s="408">
        <v>0.7</v>
      </c>
      <c r="W527" s="408">
        <v>2.4</v>
      </c>
      <c r="X527" s="408">
        <v>3.1</v>
      </c>
      <c r="Y527" s="408">
        <v>6.2</v>
      </c>
      <c r="Z527" s="408">
        <v>1.1000000000000001</v>
      </c>
      <c r="AA527" s="408">
        <v>0.1</v>
      </c>
      <c r="AB527" s="408">
        <v>2.7</v>
      </c>
      <c r="AC527" s="408">
        <v>2.2000000000000002</v>
      </c>
      <c r="AD527" s="408">
        <v>19.100000000000001</v>
      </c>
    </row>
    <row r="528" spans="1:30">
      <c r="A528">
        <v>430</v>
      </c>
      <c r="B528" s="1" t="s">
        <v>463</v>
      </c>
      <c r="C528" s="5" t="s">
        <v>38</v>
      </c>
      <c r="D528" s="408">
        <v>29</v>
      </c>
      <c r="E528" s="5" t="s">
        <v>27</v>
      </c>
      <c r="F528" s="408">
        <v>65</v>
      </c>
      <c r="G528" s="408">
        <v>1</v>
      </c>
      <c r="H528" s="408">
        <v>18.100000000000001</v>
      </c>
      <c r="I528" s="408">
        <v>3.6</v>
      </c>
      <c r="J528" s="408">
        <v>6.6</v>
      </c>
      <c r="K528" s="408">
        <v>0.53800000000000003</v>
      </c>
      <c r="L528" s="408">
        <v>0.8</v>
      </c>
      <c r="M528" s="408">
        <v>2.1</v>
      </c>
      <c r="N528" s="5">
        <v>0.40699999999999997</v>
      </c>
      <c r="O528" s="408">
        <v>2.7</v>
      </c>
      <c r="P528" s="408">
        <v>4.5999999999999996</v>
      </c>
      <c r="Q528" s="408">
        <v>0.59799999999999998</v>
      </c>
      <c r="R528" s="408">
        <v>0.60199999999999998</v>
      </c>
      <c r="S528" s="408">
        <v>0.6</v>
      </c>
      <c r="T528" s="408">
        <v>1</v>
      </c>
      <c r="U528" s="408">
        <v>0.66700000000000004</v>
      </c>
      <c r="V528" s="408">
        <v>0.6</v>
      </c>
      <c r="W528" s="408">
        <v>2.5</v>
      </c>
      <c r="X528" s="408">
        <v>3.1</v>
      </c>
      <c r="Y528" s="408">
        <v>1</v>
      </c>
      <c r="Z528" s="408">
        <v>0.3</v>
      </c>
      <c r="AA528" s="408">
        <v>0.2</v>
      </c>
      <c r="AB528" s="408">
        <v>1.1000000000000001</v>
      </c>
      <c r="AC528" s="408">
        <v>2</v>
      </c>
      <c r="AD528" s="408">
        <v>8.6</v>
      </c>
    </row>
    <row r="529" spans="1:30">
      <c r="A529">
        <v>431</v>
      </c>
      <c r="B529" s="1" t="s">
        <v>468</v>
      </c>
      <c r="C529" s="5" t="s">
        <v>46</v>
      </c>
      <c r="D529" s="408">
        <v>33</v>
      </c>
      <c r="E529" s="5" t="s">
        <v>305</v>
      </c>
      <c r="F529" s="408">
        <v>38</v>
      </c>
      <c r="G529" s="408">
        <v>6</v>
      </c>
      <c r="H529" s="408">
        <v>21.2</v>
      </c>
      <c r="I529" s="408">
        <v>3.1</v>
      </c>
      <c r="J529" s="408">
        <v>6.3</v>
      </c>
      <c r="K529" s="408">
        <v>0.49199999999999999</v>
      </c>
      <c r="L529" s="408">
        <v>0.8</v>
      </c>
      <c r="M529" s="408">
        <v>2.2000000000000002</v>
      </c>
      <c r="N529" s="5">
        <v>0.38100000000000001</v>
      </c>
      <c r="O529" s="408">
        <v>2.2999999999999998</v>
      </c>
      <c r="P529" s="408">
        <v>4.0999999999999996</v>
      </c>
      <c r="Q529" s="408">
        <v>0.55100000000000005</v>
      </c>
      <c r="R529" s="408">
        <v>0.55800000000000005</v>
      </c>
      <c r="S529" s="408">
        <v>1.2</v>
      </c>
      <c r="T529" s="408">
        <v>1.4</v>
      </c>
      <c r="U529" s="408">
        <v>0.81499999999999995</v>
      </c>
      <c r="V529" s="408">
        <v>0.8</v>
      </c>
      <c r="W529" s="408">
        <v>3.5</v>
      </c>
      <c r="X529" s="408">
        <v>4.2</v>
      </c>
      <c r="Y529" s="408">
        <v>0.9</v>
      </c>
      <c r="Z529" s="408">
        <v>1.4</v>
      </c>
      <c r="AA529" s="408">
        <v>0.3</v>
      </c>
      <c r="AB529" s="408">
        <v>0.8</v>
      </c>
      <c r="AC529" s="408">
        <v>1.6</v>
      </c>
      <c r="AD529" s="408">
        <v>8.1999999999999993</v>
      </c>
    </row>
    <row r="530" spans="1:30">
      <c r="A530">
        <v>432</v>
      </c>
      <c r="B530" s="1" t="s">
        <v>465</v>
      </c>
      <c r="C530" s="5" t="s">
        <v>26</v>
      </c>
      <c r="D530" s="408">
        <v>23</v>
      </c>
      <c r="E530" s="5" t="s">
        <v>128</v>
      </c>
      <c r="F530" s="408">
        <v>28</v>
      </c>
      <c r="G530" s="408">
        <v>8</v>
      </c>
      <c r="H530" s="408">
        <v>18.8</v>
      </c>
      <c r="I530" s="408">
        <v>2.9</v>
      </c>
      <c r="J530" s="408">
        <v>7</v>
      </c>
      <c r="K530" s="408">
        <v>0.41</v>
      </c>
      <c r="L530" s="408">
        <v>1.3</v>
      </c>
      <c r="M530" s="408">
        <v>3.4</v>
      </c>
      <c r="N530" s="5">
        <v>0.38300000000000001</v>
      </c>
      <c r="O530" s="408">
        <v>1.6</v>
      </c>
      <c r="P530" s="408">
        <v>3.6</v>
      </c>
      <c r="Q530" s="408">
        <v>0.436</v>
      </c>
      <c r="R530" s="408">
        <v>0.503</v>
      </c>
      <c r="S530" s="408">
        <v>1</v>
      </c>
      <c r="T530" s="408">
        <v>1.4</v>
      </c>
      <c r="U530" s="408">
        <v>0.72499999999999998</v>
      </c>
      <c r="V530" s="408">
        <v>0.5</v>
      </c>
      <c r="W530" s="408">
        <v>1.2</v>
      </c>
      <c r="X530" s="408">
        <v>1.6</v>
      </c>
      <c r="Y530" s="408">
        <v>1.8</v>
      </c>
      <c r="Z530" s="408">
        <v>0.5</v>
      </c>
      <c r="AA530" s="408">
        <v>0.1</v>
      </c>
      <c r="AB530" s="408">
        <v>1.5</v>
      </c>
      <c r="AC530" s="408">
        <v>1.7</v>
      </c>
      <c r="AD530" s="408">
        <v>8</v>
      </c>
    </row>
    <row r="531" spans="1:30">
      <c r="A531">
        <v>433</v>
      </c>
      <c r="B531" s="1" t="s">
        <v>544</v>
      </c>
      <c r="C531" s="5" t="s">
        <v>20</v>
      </c>
      <c r="D531" s="408">
        <v>31</v>
      </c>
      <c r="E531" s="5" t="s">
        <v>357</v>
      </c>
      <c r="F531" s="408">
        <v>19</v>
      </c>
      <c r="G531" s="408">
        <v>3</v>
      </c>
      <c r="H531" s="408">
        <v>14.6</v>
      </c>
      <c r="I531" s="408">
        <v>1.5</v>
      </c>
      <c r="J531" s="408">
        <v>4.5999999999999996</v>
      </c>
      <c r="K531" s="408">
        <v>0.33</v>
      </c>
      <c r="L531" s="408">
        <v>0.3</v>
      </c>
      <c r="M531" s="408">
        <v>0.9</v>
      </c>
      <c r="N531" s="5">
        <v>0.33300000000000002</v>
      </c>
      <c r="O531" s="408">
        <v>1.2</v>
      </c>
      <c r="P531" s="408">
        <v>3.7</v>
      </c>
      <c r="Q531" s="408">
        <v>0.32900000000000001</v>
      </c>
      <c r="R531" s="408">
        <v>0.36399999999999999</v>
      </c>
      <c r="S531" s="408">
        <v>1.4</v>
      </c>
      <c r="T531" s="408">
        <v>1.8</v>
      </c>
      <c r="U531" s="408">
        <v>0.76500000000000001</v>
      </c>
      <c r="V531" s="408">
        <v>0.2</v>
      </c>
      <c r="W531" s="408">
        <v>1.2</v>
      </c>
      <c r="X531" s="408">
        <v>1.3</v>
      </c>
      <c r="Y531" s="408">
        <v>2.5</v>
      </c>
      <c r="Z531" s="408">
        <v>0.5</v>
      </c>
      <c r="AA531" s="408">
        <v>0.1</v>
      </c>
      <c r="AB531" s="408">
        <v>1.2</v>
      </c>
      <c r="AC531" s="408">
        <v>1.3</v>
      </c>
      <c r="AD531" s="408">
        <v>4.7</v>
      </c>
    </row>
    <row r="532" spans="1:30">
      <c r="A532">
        <v>433</v>
      </c>
      <c r="B532" s="1" t="s">
        <v>544</v>
      </c>
      <c r="C532" s="5" t="s">
        <v>20</v>
      </c>
      <c r="D532" s="408">
        <v>31</v>
      </c>
      <c r="E532" s="5" t="s">
        <v>21</v>
      </c>
      <c r="F532" s="408">
        <v>13</v>
      </c>
      <c r="G532" s="408">
        <v>3</v>
      </c>
      <c r="H532" s="408">
        <v>12.8</v>
      </c>
      <c r="I532" s="408">
        <v>1.3</v>
      </c>
      <c r="J532" s="408">
        <v>4.0999999999999996</v>
      </c>
      <c r="K532" s="408">
        <v>0.32100000000000001</v>
      </c>
      <c r="L532" s="408">
        <v>0.2</v>
      </c>
      <c r="M532" s="408">
        <v>0.8</v>
      </c>
      <c r="N532" s="5">
        <v>0.182</v>
      </c>
      <c r="O532" s="408">
        <v>1.2</v>
      </c>
      <c r="P532" s="408">
        <v>3.2</v>
      </c>
      <c r="Q532" s="408">
        <v>0.35699999999999998</v>
      </c>
      <c r="R532" s="408">
        <v>0.34</v>
      </c>
      <c r="S532" s="408">
        <v>0.9</v>
      </c>
      <c r="T532" s="408">
        <v>1.2</v>
      </c>
      <c r="U532" s="408">
        <v>0.8</v>
      </c>
      <c r="V532" s="408">
        <v>0.1</v>
      </c>
      <c r="W532" s="408">
        <v>1.3</v>
      </c>
      <c r="X532" s="408">
        <v>1.4</v>
      </c>
      <c r="Y532" s="408">
        <v>2.1</v>
      </c>
      <c r="Z532" s="408">
        <v>0.5</v>
      </c>
      <c r="AA532" s="408">
        <v>0.1</v>
      </c>
      <c r="AB532" s="408">
        <v>1.2</v>
      </c>
      <c r="AC532" s="408">
        <v>1.1000000000000001</v>
      </c>
      <c r="AD532" s="408">
        <v>3.7</v>
      </c>
    </row>
    <row r="533" spans="1:30">
      <c r="A533">
        <v>433</v>
      </c>
      <c r="B533" s="1" t="s">
        <v>544</v>
      </c>
      <c r="C533" s="5" t="s">
        <v>20</v>
      </c>
      <c r="D533" s="408">
        <v>31</v>
      </c>
      <c r="E533" s="5" t="s">
        <v>27</v>
      </c>
      <c r="F533" s="408">
        <v>6</v>
      </c>
      <c r="G533" s="408">
        <v>0</v>
      </c>
      <c r="H533" s="408">
        <v>18.5</v>
      </c>
      <c r="I533" s="408">
        <v>2</v>
      </c>
      <c r="J533" s="408">
        <v>5.8</v>
      </c>
      <c r="K533" s="408">
        <v>0.34300000000000003</v>
      </c>
      <c r="L533" s="408">
        <v>0.7</v>
      </c>
      <c r="M533" s="408">
        <v>1.2</v>
      </c>
      <c r="N533" s="5">
        <v>0.57099999999999995</v>
      </c>
      <c r="O533" s="408">
        <v>1.3</v>
      </c>
      <c r="P533" s="408">
        <v>4.7</v>
      </c>
      <c r="Q533" s="408">
        <v>0.28599999999999998</v>
      </c>
      <c r="R533" s="408">
        <v>0.4</v>
      </c>
      <c r="S533" s="408">
        <v>2.2999999999999998</v>
      </c>
      <c r="T533" s="408">
        <v>3.2</v>
      </c>
      <c r="U533" s="408">
        <v>0.73699999999999999</v>
      </c>
      <c r="V533" s="408">
        <v>0.3</v>
      </c>
      <c r="W533" s="408">
        <v>0.8</v>
      </c>
      <c r="X533" s="408">
        <v>1.2</v>
      </c>
      <c r="Y533" s="408">
        <v>3.3</v>
      </c>
      <c r="Z533" s="408">
        <v>0.3</v>
      </c>
      <c r="AA533" s="408">
        <v>0.2</v>
      </c>
      <c r="AB533" s="408">
        <v>1.2</v>
      </c>
      <c r="AC533" s="408">
        <v>1.8</v>
      </c>
      <c r="AD533" s="408">
        <v>7</v>
      </c>
    </row>
    <row r="534" spans="1:30">
      <c r="A534">
        <v>434</v>
      </c>
      <c r="B534" s="1" t="s">
        <v>486</v>
      </c>
      <c r="C534" s="5" t="s">
        <v>26</v>
      </c>
      <c r="D534" s="408">
        <v>27</v>
      </c>
      <c r="E534" s="5" t="s">
        <v>102</v>
      </c>
      <c r="F534" s="408">
        <v>14</v>
      </c>
      <c r="G534" s="408">
        <v>6</v>
      </c>
      <c r="H534" s="408">
        <v>19.7</v>
      </c>
      <c r="I534" s="408">
        <v>1.6</v>
      </c>
      <c r="J534" s="408">
        <v>4.0999999999999996</v>
      </c>
      <c r="K534" s="408">
        <v>0.379</v>
      </c>
      <c r="L534" s="408">
        <v>0.5</v>
      </c>
      <c r="M534" s="408">
        <v>1.9</v>
      </c>
      <c r="N534" s="5">
        <v>0.26900000000000002</v>
      </c>
      <c r="O534" s="408">
        <v>1.1000000000000001</v>
      </c>
      <c r="P534" s="408">
        <v>2.2999999999999998</v>
      </c>
      <c r="Q534" s="408">
        <v>0.46899999999999997</v>
      </c>
      <c r="R534" s="408">
        <v>0.44</v>
      </c>
      <c r="S534" s="408">
        <v>0.8</v>
      </c>
      <c r="T534" s="408">
        <v>1.1000000000000001</v>
      </c>
      <c r="U534" s="408">
        <v>0.73299999999999998</v>
      </c>
      <c r="V534" s="408">
        <v>0.5</v>
      </c>
      <c r="W534" s="408">
        <v>2.4</v>
      </c>
      <c r="X534" s="408">
        <v>2.9</v>
      </c>
      <c r="Y534" s="408">
        <v>1.2</v>
      </c>
      <c r="Z534" s="408">
        <v>0.6</v>
      </c>
      <c r="AA534" s="408">
        <v>0.3</v>
      </c>
      <c r="AB534" s="408">
        <v>1.2</v>
      </c>
      <c r="AC534" s="408">
        <v>1.6</v>
      </c>
      <c r="AD534" s="408">
        <v>4.4000000000000004</v>
      </c>
    </row>
    <row r="535" spans="1:30">
      <c r="A535">
        <v>435</v>
      </c>
      <c r="B535" s="1" t="s">
        <v>483</v>
      </c>
      <c r="C535" s="5" t="s">
        <v>38</v>
      </c>
      <c r="D535" s="408">
        <v>23</v>
      </c>
      <c r="E535" s="5" t="s">
        <v>47</v>
      </c>
      <c r="F535" s="408">
        <v>69</v>
      </c>
      <c r="G535" s="408">
        <v>4</v>
      </c>
      <c r="H535" s="408">
        <v>20.399999999999999</v>
      </c>
      <c r="I535" s="408">
        <v>3.1</v>
      </c>
      <c r="J535" s="408">
        <v>6</v>
      </c>
      <c r="K535" s="408">
        <v>0.51400000000000001</v>
      </c>
      <c r="L535" s="408">
        <v>0.3</v>
      </c>
      <c r="M535" s="408">
        <v>1.7</v>
      </c>
      <c r="N535" s="5">
        <v>0.184</v>
      </c>
      <c r="O535" s="408">
        <v>2.8</v>
      </c>
      <c r="P535" s="408">
        <v>4.3</v>
      </c>
      <c r="Q535" s="408">
        <v>0.64</v>
      </c>
      <c r="R535" s="408">
        <v>0.54</v>
      </c>
      <c r="S535" s="408">
        <v>0.7</v>
      </c>
      <c r="T535" s="408">
        <v>1.1000000000000001</v>
      </c>
      <c r="U535" s="408">
        <v>0.64900000000000002</v>
      </c>
      <c r="V535" s="408">
        <v>1</v>
      </c>
      <c r="W535" s="408">
        <v>3.4</v>
      </c>
      <c r="X535" s="408">
        <v>4.5</v>
      </c>
      <c r="Y535" s="408">
        <v>1.9</v>
      </c>
      <c r="Z535" s="408">
        <v>0.8</v>
      </c>
      <c r="AA535" s="408">
        <v>0.5</v>
      </c>
      <c r="AB535" s="408">
        <v>0.8</v>
      </c>
      <c r="AC535" s="408">
        <v>2</v>
      </c>
      <c r="AD535" s="408">
        <v>7.2</v>
      </c>
    </row>
    <row r="536" spans="1:30">
      <c r="A536">
        <v>436</v>
      </c>
      <c r="B536" s="1" t="s">
        <v>559</v>
      </c>
      <c r="C536" s="5" t="s">
        <v>20</v>
      </c>
      <c r="D536" s="408">
        <v>21</v>
      </c>
      <c r="E536" s="5" t="s">
        <v>118</v>
      </c>
      <c r="F536" s="408">
        <v>68</v>
      </c>
      <c r="G536" s="408">
        <v>68</v>
      </c>
      <c r="H536" s="408">
        <v>34.5</v>
      </c>
      <c r="I536" s="408">
        <v>6.9</v>
      </c>
      <c r="J536" s="408">
        <v>12.8</v>
      </c>
      <c r="K536" s="408">
        <v>0.53500000000000003</v>
      </c>
      <c r="L536" s="408">
        <v>0</v>
      </c>
      <c r="M536" s="408">
        <v>0.1</v>
      </c>
      <c r="N536" s="5">
        <v>0</v>
      </c>
      <c r="O536" s="408">
        <v>6.9</v>
      </c>
      <c r="P536" s="408">
        <v>12.7</v>
      </c>
      <c r="Q536" s="408">
        <v>0.54100000000000004</v>
      </c>
      <c r="R536" s="408">
        <v>0.53500000000000003</v>
      </c>
      <c r="S536" s="408">
        <v>2.5</v>
      </c>
      <c r="T536" s="408">
        <v>4.3</v>
      </c>
      <c r="U536" s="408">
        <v>0.57099999999999995</v>
      </c>
      <c r="V536" s="408">
        <v>1.8</v>
      </c>
      <c r="W536" s="408">
        <v>6</v>
      </c>
      <c r="X536" s="408">
        <v>7.8</v>
      </c>
      <c r="Y536" s="408">
        <v>7.9</v>
      </c>
      <c r="Z536" s="408">
        <v>1.7</v>
      </c>
      <c r="AA536" s="408">
        <v>0.9</v>
      </c>
      <c r="AB536" s="408">
        <v>3.5</v>
      </c>
      <c r="AC536" s="408">
        <v>2.6</v>
      </c>
      <c r="AD536" s="408">
        <v>16.2</v>
      </c>
    </row>
    <row r="537" spans="1:30">
      <c r="A537">
        <v>437</v>
      </c>
      <c r="B537" s="1" t="s">
        <v>435</v>
      </c>
      <c r="C537" s="5" t="s">
        <v>26</v>
      </c>
      <c r="D537" s="408">
        <v>28</v>
      </c>
      <c r="E537" s="5" t="s">
        <v>75</v>
      </c>
      <c r="F537" s="408">
        <v>69</v>
      </c>
      <c r="G537" s="408">
        <v>50</v>
      </c>
      <c r="H537" s="408">
        <v>29.4</v>
      </c>
      <c r="I537" s="408">
        <v>5.0999999999999996</v>
      </c>
      <c r="J537" s="408">
        <v>11</v>
      </c>
      <c r="K537" s="408">
        <v>0.46500000000000002</v>
      </c>
      <c r="L537" s="408">
        <v>1</v>
      </c>
      <c r="M537" s="408">
        <v>3</v>
      </c>
      <c r="N537" s="5">
        <v>0.33800000000000002</v>
      </c>
      <c r="O537" s="408">
        <v>4.0999999999999996</v>
      </c>
      <c r="P537" s="408">
        <v>8.1</v>
      </c>
      <c r="Q537" s="408">
        <v>0.51200000000000001</v>
      </c>
      <c r="R537" s="408">
        <v>0.51100000000000001</v>
      </c>
      <c r="S537" s="408">
        <v>2.7</v>
      </c>
      <c r="T537" s="408">
        <v>3.5</v>
      </c>
      <c r="U537" s="408">
        <v>0.76800000000000002</v>
      </c>
      <c r="V537" s="408">
        <v>0.9</v>
      </c>
      <c r="W537" s="408">
        <v>2.6</v>
      </c>
      <c r="X537" s="408">
        <v>3.5</v>
      </c>
      <c r="Y537" s="408">
        <v>2.5</v>
      </c>
      <c r="Z537" s="408">
        <v>0.8</v>
      </c>
      <c r="AA537" s="408">
        <v>0.2</v>
      </c>
      <c r="AB537" s="408">
        <v>2.1</v>
      </c>
      <c r="AC537" s="408">
        <v>2.5</v>
      </c>
      <c r="AD537" s="408">
        <v>13.9</v>
      </c>
    </row>
    <row r="538" spans="1:30">
      <c r="A538">
        <v>438</v>
      </c>
      <c r="B538" s="1" t="s">
        <v>532</v>
      </c>
      <c r="C538" s="5" t="s">
        <v>20</v>
      </c>
      <c r="D538" s="408">
        <v>20</v>
      </c>
      <c r="E538" s="5" t="s">
        <v>128</v>
      </c>
      <c r="F538" s="408">
        <v>21</v>
      </c>
      <c r="G538" s="408">
        <v>5</v>
      </c>
      <c r="H538" s="408">
        <v>18.2</v>
      </c>
      <c r="I538" s="408">
        <v>2.2999999999999998</v>
      </c>
      <c r="J538" s="408">
        <v>5.5</v>
      </c>
      <c r="K538" s="408">
        <v>0.42199999999999999</v>
      </c>
      <c r="L538" s="408">
        <v>0.2</v>
      </c>
      <c r="M538" s="408">
        <v>0.9</v>
      </c>
      <c r="N538" s="5">
        <v>0.26300000000000001</v>
      </c>
      <c r="O538" s="408">
        <v>2.1</v>
      </c>
      <c r="P538" s="408">
        <v>4.5999999999999996</v>
      </c>
      <c r="Q538" s="408">
        <v>0.45400000000000001</v>
      </c>
      <c r="R538" s="408">
        <v>0.44400000000000001</v>
      </c>
      <c r="S538" s="408">
        <v>0.6</v>
      </c>
      <c r="T538" s="408">
        <v>0.6</v>
      </c>
      <c r="U538" s="408">
        <v>1</v>
      </c>
      <c r="V538" s="408">
        <v>0.5</v>
      </c>
      <c r="W538" s="408">
        <v>1.3</v>
      </c>
      <c r="X538" s="408">
        <v>1.8</v>
      </c>
      <c r="Y538" s="408">
        <v>1.7</v>
      </c>
      <c r="Z538" s="408">
        <v>0.7</v>
      </c>
      <c r="AA538" s="408">
        <v>0.2</v>
      </c>
      <c r="AB538" s="408">
        <v>1.1000000000000001</v>
      </c>
      <c r="AC538" s="408">
        <v>2</v>
      </c>
      <c r="AD538" s="408">
        <v>5.5</v>
      </c>
    </row>
    <row r="539" spans="1:30">
      <c r="A539">
        <v>439</v>
      </c>
      <c r="B539" s="1" t="s">
        <v>607</v>
      </c>
      <c r="C539" s="5" t="s">
        <v>46</v>
      </c>
      <c r="D539" s="408">
        <v>29</v>
      </c>
      <c r="E539" s="5" t="s">
        <v>58</v>
      </c>
      <c r="F539" s="408">
        <v>12</v>
      </c>
      <c r="G539" s="408">
        <v>0</v>
      </c>
      <c r="H539" s="408">
        <v>4.9000000000000004</v>
      </c>
      <c r="I539" s="408">
        <v>0.6</v>
      </c>
      <c r="J539" s="408">
        <v>1.8</v>
      </c>
      <c r="K539" s="408">
        <v>0.33300000000000002</v>
      </c>
      <c r="L539" s="408">
        <v>0.2</v>
      </c>
      <c r="M539" s="408">
        <v>0.4</v>
      </c>
      <c r="N539" s="5">
        <v>0.4</v>
      </c>
      <c r="O539" s="408">
        <v>0.4</v>
      </c>
      <c r="P539" s="408">
        <v>1.3</v>
      </c>
      <c r="Q539" s="408">
        <v>0.313</v>
      </c>
      <c r="R539" s="408">
        <v>0.38100000000000001</v>
      </c>
      <c r="S539" s="408">
        <v>0.6</v>
      </c>
      <c r="T539" s="408">
        <v>1.1000000000000001</v>
      </c>
      <c r="U539" s="408">
        <v>0.53800000000000003</v>
      </c>
      <c r="V539" s="408">
        <v>0.1</v>
      </c>
      <c r="W539" s="408">
        <v>0.8</v>
      </c>
      <c r="X539" s="408">
        <v>0.8</v>
      </c>
      <c r="Y539" s="408">
        <v>0.2</v>
      </c>
      <c r="Z539" s="408">
        <v>0.1</v>
      </c>
      <c r="AA539" s="408">
        <v>0</v>
      </c>
      <c r="AB539" s="408">
        <v>0.3</v>
      </c>
      <c r="AC539" s="408">
        <v>0.3</v>
      </c>
      <c r="AD539" s="408">
        <v>1.9</v>
      </c>
    </row>
    <row r="540" spans="1:30">
      <c r="A540">
        <v>440</v>
      </c>
      <c r="B540" s="1" t="s">
        <v>198</v>
      </c>
      <c r="C540" s="5" t="s">
        <v>26</v>
      </c>
      <c r="D540" s="408">
        <v>23</v>
      </c>
      <c r="E540" s="5" t="s">
        <v>87</v>
      </c>
      <c r="F540" s="408">
        <v>54</v>
      </c>
      <c r="G540" s="408">
        <v>11</v>
      </c>
      <c r="H540" s="408">
        <v>29.9</v>
      </c>
      <c r="I540" s="408">
        <v>3.5</v>
      </c>
      <c r="J540" s="408">
        <v>9.5</v>
      </c>
      <c r="K540" s="408">
        <v>0.36699999999999999</v>
      </c>
      <c r="L540" s="408">
        <v>1.4</v>
      </c>
      <c r="M540" s="408">
        <v>4.5999999999999996</v>
      </c>
      <c r="N540" s="5">
        <v>0.30099999999999999</v>
      </c>
      <c r="O540" s="408">
        <v>2.1</v>
      </c>
      <c r="P540" s="408">
        <v>4.9000000000000004</v>
      </c>
      <c r="Q540" s="408">
        <v>0.42899999999999999</v>
      </c>
      <c r="R540" s="408">
        <v>0.44</v>
      </c>
      <c r="S540" s="408">
        <v>1.8</v>
      </c>
      <c r="T540" s="408">
        <v>2.5</v>
      </c>
      <c r="U540" s="408">
        <v>0.72899999999999998</v>
      </c>
      <c r="V540" s="408">
        <v>0.8</v>
      </c>
      <c r="W540" s="408">
        <v>2.7</v>
      </c>
      <c r="X540" s="408">
        <v>3.5</v>
      </c>
      <c r="Y540" s="408">
        <v>4.8</v>
      </c>
      <c r="Z540" s="408">
        <v>1.3</v>
      </c>
      <c r="AA540" s="408">
        <v>0.4</v>
      </c>
      <c r="AB540" s="408">
        <v>2.4</v>
      </c>
      <c r="AC540" s="408">
        <v>2.5</v>
      </c>
      <c r="AD540" s="408">
        <v>10.199999999999999</v>
      </c>
    </row>
    <row r="541" spans="1:30">
      <c r="A541">
        <v>441</v>
      </c>
      <c r="B541" s="1" t="s">
        <v>367</v>
      </c>
      <c r="C541" s="5" t="s">
        <v>20</v>
      </c>
      <c r="D541" s="408">
        <v>20</v>
      </c>
      <c r="E541" s="5" t="s">
        <v>33</v>
      </c>
      <c r="F541" s="408">
        <v>61</v>
      </c>
      <c r="G541" s="408">
        <v>61</v>
      </c>
      <c r="H541" s="408">
        <v>29.7</v>
      </c>
      <c r="I541" s="408">
        <v>5.8</v>
      </c>
      <c r="J541" s="408">
        <v>14.8</v>
      </c>
      <c r="K541" s="408">
        <v>0.39</v>
      </c>
      <c r="L541" s="408">
        <v>1.5</v>
      </c>
      <c r="M541" s="408">
        <v>4.9000000000000004</v>
      </c>
      <c r="N541" s="5">
        <v>0.30499999999999999</v>
      </c>
      <c r="O541" s="408">
        <v>4.3</v>
      </c>
      <c r="P541" s="408">
        <v>9.9</v>
      </c>
      <c r="Q541" s="408">
        <v>0.432</v>
      </c>
      <c r="R541" s="408">
        <v>0.441</v>
      </c>
      <c r="S541" s="408">
        <v>2</v>
      </c>
      <c r="T541" s="408">
        <v>2.9</v>
      </c>
      <c r="U541" s="408">
        <v>0.69899999999999995</v>
      </c>
      <c r="V541" s="408">
        <v>0.7</v>
      </c>
      <c r="W541" s="408">
        <v>3.1</v>
      </c>
      <c r="X541" s="408">
        <v>3.8</v>
      </c>
      <c r="Y541" s="408">
        <v>4.9000000000000004</v>
      </c>
      <c r="Z541" s="408">
        <v>1</v>
      </c>
      <c r="AA541" s="408">
        <v>0.3</v>
      </c>
      <c r="AB541" s="408">
        <v>2.8</v>
      </c>
      <c r="AC541" s="408">
        <v>2.1</v>
      </c>
      <c r="AD541" s="408">
        <v>15</v>
      </c>
    </row>
    <row r="542" spans="1:30">
      <c r="A542">
        <v>442</v>
      </c>
      <c r="B542" s="1" t="s">
        <v>551</v>
      </c>
      <c r="C542" s="5" t="s">
        <v>20</v>
      </c>
      <c r="D542" s="408">
        <v>29</v>
      </c>
      <c r="E542" s="5" t="s">
        <v>157</v>
      </c>
      <c r="F542" s="408">
        <v>70</v>
      </c>
      <c r="G542" s="408">
        <v>35</v>
      </c>
      <c r="H542" s="408">
        <v>25.3</v>
      </c>
      <c r="I542" s="408">
        <v>4.5999999999999996</v>
      </c>
      <c r="J542" s="408">
        <v>9.6999999999999993</v>
      </c>
      <c r="K542" s="408">
        <v>0.47699999999999998</v>
      </c>
      <c r="L542" s="408">
        <v>0.3</v>
      </c>
      <c r="M542" s="408">
        <v>0.9</v>
      </c>
      <c r="N542" s="5">
        <v>0.317</v>
      </c>
      <c r="O542" s="408">
        <v>4.4000000000000004</v>
      </c>
      <c r="P542" s="408">
        <v>8.9</v>
      </c>
      <c r="Q542" s="408">
        <v>0.49299999999999999</v>
      </c>
      <c r="R542" s="408">
        <v>0.49099999999999999</v>
      </c>
      <c r="S542" s="408">
        <v>1.1000000000000001</v>
      </c>
      <c r="T542" s="408">
        <v>1.6</v>
      </c>
      <c r="U542" s="408">
        <v>0.69399999999999995</v>
      </c>
      <c r="V542" s="408">
        <v>0.3</v>
      </c>
      <c r="W542" s="408">
        <v>2.4</v>
      </c>
      <c r="X542" s="408">
        <v>2.8</v>
      </c>
      <c r="Y542" s="408">
        <v>4.4000000000000004</v>
      </c>
      <c r="Z542" s="408">
        <v>0.8</v>
      </c>
      <c r="AA542" s="408">
        <v>0.2</v>
      </c>
      <c r="AB542" s="408">
        <v>1.3</v>
      </c>
      <c r="AC542" s="408">
        <v>1.8</v>
      </c>
      <c r="AD542" s="408">
        <v>10.7</v>
      </c>
    </row>
    <row r="543" spans="1:30">
      <c r="A543">
        <v>443</v>
      </c>
      <c r="B543" s="1" t="s">
        <v>351</v>
      </c>
      <c r="C543" s="5" t="s">
        <v>26</v>
      </c>
      <c r="D543" s="408">
        <v>32</v>
      </c>
      <c r="E543" s="5" t="s">
        <v>102</v>
      </c>
      <c r="F543" s="408">
        <v>68</v>
      </c>
      <c r="G543" s="408">
        <v>61</v>
      </c>
      <c r="H543" s="408">
        <v>28.8</v>
      </c>
      <c r="I543" s="408">
        <v>3</v>
      </c>
      <c r="J543" s="408">
        <v>7.6</v>
      </c>
      <c r="K543" s="408">
        <v>0.38900000000000001</v>
      </c>
      <c r="L543" s="408">
        <v>1.9</v>
      </c>
      <c r="M543" s="408">
        <v>5.0999999999999996</v>
      </c>
      <c r="N543" s="5">
        <v>0.36499999999999999</v>
      </c>
      <c r="O543" s="408">
        <v>1.1000000000000001</v>
      </c>
      <c r="P543" s="408">
        <v>2.5</v>
      </c>
      <c r="Q543" s="408">
        <v>0.436</v>
      </c>
      <c r="R543" s="408">
        <v>0.51100000000000001</v>
      </c>
      <c r="S543" s="408">
        <v>0.5</v>
      </c>
      <c r="T543" s="408">
        <v>0.7</v>
      </c>
      <c r="U543" s="408">
        <v>0.68799999999999994</v>
      </c>
      <c r="V543" s="408">
        <v>0.4</v>
      </c>
      <c r="W543" s="408">
        <v>2.5</v>
      </c>
      <c r="X543" s="408">
        <v>2.9</v>
      </c>
      <c r="Y543" s="408">
        <v>1.9</v>
      </c>
      <c r="Z543" s="408">
        <v>0.9</v>
      </c>
      <c r="AA543" s="408">
        <v>0.1</v>
      </c>
      <c r="AB543" s="408">
        <v>1</v>
      </c>
      <c r="AC543" s="408">
        <v>2.1</v>
      </c>
      <c r="AD543" s="408">
        <v>8.3000000000000007</v>
      </c>
    </row>
    <row r="544" spans="1:30">
      <c r="A544">
        <v>444</v>
      </c>
      <c r="B544" s="1" t="s">
        <v>291</v>
      </c>
      <c r="C544" s="5" t="s">
        <v>83</v>
      </c>
      <c r="D544" s="408">
        <v>31</v>
      </c>
      <c r="E544" s="5" t="s">
        <v>27</v>
      </c>
      <c r="F544" s="408">
        <v>27</v>
      </c>
      <c r="G544" s="408">
        <v>2</v>
      </c>
      <c r="H544" s="408">
        <v>8.9</v>
      </c>
      <c r="I544" s="408">
        <v>1.4</v>
      </c>
      <c r="J544" s="408">
        <v>3.6</v>
      </c>
      <c r="K544" s="408">
        <v>0.378</v>
      </c>
      <c r="L544" s="408">
        <v>0.1</v>
      </c>
      <c r="M544" s="408">
        <v>1</v>
      </c>
      <c r="N544" s="5">
        <v>0.115</v>
      </c>
      <c r="O544" s="408">
        <v>1.3</v>
      </c>
      <c r="P544" s="408">
        <v>2.7</v>
      </c>
      <c r="Q544" s="408">
        <v>0.47199999999999998</v>
      </c>
      <c r="R544" s="408">
        <v>0.39300000000000002</v>
      </c>
      <c r="S544" s="408">
        <v>0.6</v>
      </c>
      <c r="T544" s="408">
        <v>0.6</v>
      </c>
      <c r="U544" s="408">
        <v>0.88200000000000001</v>
      </c>
      <c r="V544" s="408">
        <v>0.6</v>
      </c>
      <c r="W544" s="408">
        <v>1</v>
      </c>
      <c r="X544" s="408">
        <v>1.6</v>
      </c>
      <c r="Y544" s="408">
        <v>0.5</v>
      </c>
      <c r="Z544" s="408">
        <v>0.1</v>
      </c>
      <c r="AA544" s="408">
        <v>0.4</v>
      </c>
      <c r="AB544" s="408">
        <v>0.5</v>
      </c>
      <c r="AC544" s="408">
        <v>1.5</v>
      </c>
      <c r="AD544" s="408">
        <v>3.4</v>
      </c>
    </row>
    <row r="545" spans="1:30">
      <c r="A545">
        <v>445</v>
      </c>
      <c r="B545" s="1" t="s">
        <v>636</v>
      </c>
      <c r="C545" s="5" t="s">
        <v>38</v>
      </c>
      <c r="D545" s="408">
        <v>32</v>
      </c>
      <c r="E545" s="5" t="s">
        <v>112</v>
      </c>
      <c r="F545" s="408">
        <v>3</v>
      </c>
      <c r="G545" s="408">
        <v>0</v>
      </c>
      <c r="H545" s="408">
        <v>4</v>
      </c>
      <c r="I545" s="408">
        <v>0.3</v>
      </c>
      <c r="J545" s="408">
        <v>1.3</v>
      </c>
      <c r="K545" s="408">
        <v>0.25</v>
      </c>
      <c r="L545" s="408">
        <v>0</v>
      </c>
      <c r="M545" s="408">
        <v>0</v>
      </c>
      <c r="O545" s="408">
        <v>0.3</v>
      </c>
      <c r="P545" s="408">
        <v>1.3</v>
      </c>
      <c r="Q545" s="408">
        <v>0.25</v>
      </c>
      <c r="R545" s="408">
        <v>0.25</v>
      </c>
      <c r="S545" s="408">
        <v>0</v>
      </c>
      <c r="T545" s="408">
        <v>0</v>
      </c>
      <c r="U545" s="408"/>
      <c r="V545" s="408">
        <v>1</v>
      </c>
      <c r="W545" s="408">
        <v>0.3</v>
      </c>
      <c r="X545" s="408">
        <v>1.3</v>
      </c>
      <c r="Y545" s="408">
        <v>0</v>
      </c>
      <c r="Z545" s="408">
        <v>0</v>
      </c>
      <c r="AA545" s="408">
        <v>0</v>
      </c>
      <c r="AB545" s="408">
        <v>0</v>
      </c>
      <c r="AC545" s="408">
        <v>1</v>
      </c>
      <c r="AD545" s="408">
        <v>0.7</v>
      </c>
    </row>
    <row r="546" spans="1:30">
      <c r="A546">
        <v>446</v>
      </c>
      <c r="B546" s="1" t="s">
        <v>401</v>
      </c>
      <c r="C546" s="5" t="s">
        <v>26</v>
      </c>
      <c r="D546" s="408">
        <v>26</v>
      </c>
      <c r="E546" s="5" t="s">
        <v>41</v>
      </c>
      <c r="F546" s="408">
        <v>63</v>
      </c>
      <c r="G546" s="408">
        <v>51</v>
      </c>
      <c r="H546" s="408">
        <v>28.5</v>
      </c>
      <c r="I546" s="408">
        <v>2.5</v>
      </c>
      <c r="J546" s="408">
        <v>5.8</v>
      </c>
      <c r="K546" s="408">
        <v>0.437</v>
      </c>
      <c r="L546" s="408">
        <v>1.5</v>
      </c>
      <c r="M546" s="408">
        <v>3.7</v>
      </c>
      <c r="N546" s="5">
        <v>0.40899999999999997</v>
      </c>
      <c r="O546" s="408">
        <v>1</v>
      </c>
      <c r="P546" s="408">
        <v>2.2000000000000002</v>
      </c>
      <c r="Q546" s="408">
        <v>0.48499999999999999</v>
      </c>
      <c r="R546" s="408">
        <v>0.56599999999999995</v>
      </c>
      <c r="S546" s="408">
        <v>0.6</v>
      </c>
      <c r="T546" s="408">
        <v>0.7</v>
      </c>
      <c r="U546" s="408">
        <v>0.79500000000000004</v>
      </c>
      <c r="V546" s="408">
        <v>0.1</v>
      </c>
      <c r="W546" s="408">
        <v>1.8</v>
      </c>
      <c r="X546" s="408">
        <v>2</v>
      </c>
      <c r="Y546" s="408">
        <v>1.3</v>
      </c>
      <c r="Z546" s="408">
        <v>0.7</v>
      </c>
      <c r="AA546" s="408">
        <v>0.3</v>
      </c>
      <c r="AB546" s="408">
        <v>0.5</v>
      </c>
      <c r="AC546" s="408">
        <v>1.6</v>
      </c>
      <c r="AD546" s="408">
        <v>7.1</v>
      </c>
    </row>
    <row r="547" spans="1:30">
      <c r="A547">
        <v>447</v>
      </c>
      <c r="B547" s="1" t="s">
        <v>168</v>
      </c>
      <c r="C547" s="5" t="s">
        <v>83</v>
      </c>
      <c r="D547" s="408">
        <v>30</v>
      </c>
      <c r="E547" s="5" t="s">
        <v>75</v>
      </c>
      <c r="F547" s="408">
        <v>49</v>
      </c>
      <c r="G547" s="408">
        <v>3</v>
      </c>
      <c r="H547" s="408">
        <v>13.1</v>
      </c>
      <c r="I547" s="408">
        <v>2.6</v>
      </c>
      <c r="J547" s="408">
        <v>6.7</v>
      </c>
      <c r="K547" s="408">
        <v>0.39200000000000002</v>
      </c>
      <c r="L547" s="408">
        <v>1.7</v>
      </c>
      <c r="M547" s="408">
        <v>4.5</v>
      </c>
      <c r="N547" s="5">
        <v>0.36899999999999999</v>
      </c>
      <c r="O547" s="408">
        <v>1</v>
      </c>
      <c r="P547" s="408">
        <v>2.2000000000000002</v>
      </c>
      <c r="Q547" s="408">
        <v>0.439</v>
      </c>
      <c r="R547" s="408">
        <v>0.51700000000000002</v>
      </c>
      <c r="S547" s="408">
        <v>0.8</v>
      </c>
      <c r="T547" s="408">
        <v>1</v>
      </c>
      <c r="U547" s="408">
        <v>0.76</v>
      </c>
      <c r="V547" s="408">
        <v>0.4</v>
      </c>
      <c r="W547" s="408">
        <v>2.2000000000000002</v>
      </c>
      <c r="X547" s="408">
        <v>2.6</v>
      </c>
      <c r="Y547" s="408">
        <v>0.8</v>
      </c>
      <c r="Z547" s="408">
        <v>0.1</v>
      </c>
      <c r="AA547" s="408">
        <v>0.4</v>
      </c>
      <c r="AB547" s="408">
        <v>0.7</v>
      </c>
      <c r="AC547" s="408">
        <v>2</v>
      </c>
      <c r="AD547" s="408">
        <v>7.7</v>
      </c>
    </row>
    <row r="548" spans="1:30">
      <c r="A548">
        <v>448</v>
      </c>
      <c r="B548" s="1" t="s">
        <v>111</v>
      </c>
      <c r="C548" s="5" t="s">
        <v>26</v>
      </c>
      <c r="D548" s="408">
        <v>24</v>
      </c>
      <c r="E548" s="5" t="s">
        <v>357</v>
      </c>
      <c r="F548" s="408">
        <v>35</v>
      </c>
      <c r="G548" s="408">
        <v>0</v>
      </c>
      <c r="H548" s="408">
        <v>12.2</v>
      </c>
      <c r="I548" s="408">
        <v>1.3</v>
      </c>
      <c r="J548" s="408">
        <v>3.4</v>
      </c>
      <c r="K548" s="408">
        <v>0.38300000000000001</v>
      </c>
      <c r="L548" s="408">
        <v>0.9</v>
      </c>
      <c r="M548" s="408">
        <v>2.2999999999999998</v>
      </c>
      <c r="N548" s="5">
        <v>0.40699999999999997</v>
      </c>
      <c r="O548" s="408">
        <v>0.4</v>
      </c>
      <c r="P548" s="408">
        <v>1.1000000000000001</v>
      </c>
      <c r="Q548" s="408">
        <v>0.33300000000000002</v>
      </c>
      <c r="R548" s="408">
        <v>0.52100000000000002</v>
      </c>
      <c r="S548" s="408">
        <v>0.5</v>
      </c>
      <c r="T548" s="408">
        <v>0.6</v>
      </c>
      <c r="U548" s="408">
        <v>0.77300000000000002</v>
      </c>
      <c r="V548" s="408">
        <v>0.1</v>
      </c>
      <c r="W548" s="408">
        <v>1.4</v>
      </c>
      <c r="X548" s="408">
        <v>1.5</v>
      </c>
      <c r="Y548" s="408">
        <v>0.8</v>
      </c>
      <c r="Z548" s="408">
        <v>0.2</v>
      </c>
      <c r="AA548" s="408">
        <v>0.1</v>
      </c>
      <c r="AB548" s="408">
        <v>0.6</v>
      </c>
      <c r="AC548" s="408">
        <v>0.5</v>
      </c>
      <c r="AD548" s="408">
        <v>4.0999999999999996</v>
      </c>
    </row>
    <row r="549" spans="1:30">
      <c r="A549">
        <v>448</v>
      </c>
      <c r="B549" s="1" t="s">
        <v>111</v>
      </c>
      <c r="C549" s="5" t="s">
        <v>26</v>
      </c>
      <c r="D549" s="408">
        <v>24</v>
      </c>
      <c r="E549" s="5" t="s">
        <v>118</v>
      </c>
      <c r="F549" s="408">
        <v>6</v>
      </c>
      <c r="G549" s="408">
        <v>0</v>
      </c>
      <c r="H549" s="408">
        <v>7.5</v>
      </c>
      <c r="I549" s="408">
        <v>0.2</v>
      </c>
      <c r="J549" s="408">
        <v>0.7</v>
      </c>
      <c r="K549" s="408">
        <v>0.25</v>
      </c>
      <c r="L549" s="408">
        <v>0</v>
      </c>
      <c r="M549" s="408">
        <v>0.2</v>
      </c>
      <c r="N549" s="5">
        <v>0</v>
      </c>
      <c r="O549" s="408">
        <v>0.2</v>
      </c>
      <c r="P549" s="408">
        <v>0.5</v>
      </c>
      <c r="Q549" s="408">
        <v>0.33300000000000002</v>
      </c>
      <c r="R549" s="408">
        <v>0.25</v>
      </c>
      <c r="S549" s="408">
        <v>0.3</v>
      </c>
      <c r="T549" s="408">
        <v>0.3</v>
      </c>
      <c r="U549" s="408">
        <v>1</v>
      </c>
      <c r="V549" s="408">
        <v>0</v>
      </c>
      <c r="W549" s="408">
        <v>0.2</v>
      </c>
      <c r="X549" s="408">
        <v>0.2</v>
      </c>
      <c r="Y549" s="408">
        <v>0.2</v>
      </c>
      <c r="Z549" s="408">
        <v>0.7</v>
      </c>
      <c r="AA549" s="408">
        <v>0</v>
      </c>
      <c r="AB549" s="408">
        <v>0.7</v>
      </c>
      <c r="AC549" s="408">
        <v>0.5</v>
      </c>
      <c r="AD549" s="408">
        <v>0.7</v>
      </c>
    </row>
    <row r="550" spans="1:30">
      <c r="A550">
        <v>448</v>
      </c>
      <c r="B550" s="1" t="s">
        <v>111</v>
      </c>
      <c r="C550" s="5" t="s">
        <v>26</v>
      </c>
      <c r="D550" s="408">
        <v>24</v>
      </c>
      <c r="E550" s="5" t="s">
        <v>315</v>
      </c>
      <c r="F550" s="408">
        <v>29</v>
      </c>
      <c r="G550" s="408">
        <v>0</v>
      </c>
      <c r="H550" s="408">
        <v>13.2</v>
      </c>
      <c r="I550" s="408">
        <v>1.6</v>
      </c>
      <c r="J550" s="408">
        <v>4</v>
      </c>
      <c r="K550" s="408">
        <v>0.38800000000000001</v>
      </c>
      <c r="L550" s="408">
        <v>1.1000000000000001</v>
      </c>
      <c r="M550" s="408">
        <v>2.8</v>
      </c>
      <c r="N550" s="5">
        <v>0.41299999999999998</v>
      </c>
      <c r="O550" s="408">
        <v>0.4</v>
      </c>
      <c r="P550" s="408">
        <v>1.2</v>
      </c>
      <c r="Q550" s="408">
        <v>0.33300000000000002</v>
      </c>
      <c r="R550" s="408">
        <v>0.53</v>
      </c>
      <c r="S550" s="408">
        <v>0.5</v>
      </c>
      <c r="T550" s="408">
        <v>0.7</v>
      </c>
      <c r="U550" s="408">
        <v>0.75</v>
      </c>
      <c r="V550" s="408">
        <v>0.1</v>
      </c>
      <c r="W550" s="408">
        <v>1.7</v>
      </c>
      <c r="X550" s="408">
        <v>1.8</v>
      </c>
      <c r="Y550" s="408">
        <v>1</v>
      </c>
      <c r="Z550" s="408">
        <v>0.1</v>
      </c>
      <c r="AA550" s="408">
        <v>0.1</v>
      </c>
      <c r="AB550" s="408">
        <v>0.6</v>
      </c>
      <c r="AC550" s="408">
        <v>0.5</v>
      </c>
      <c r="AD550" s="408">
        <v>4.8</v>
      </c>
    </row>
    <row r="551" spans="1:30">
      <c r="A551">
        <v>449</v>
      </c>
      <c r="B551" s="1" t="s">
        <v>458</v>
      </c>
      <c r="C551" s="5" t="s">
        <v>26</v>
      </c>
      <c r="D551" s="408">
        <v>27</v>
      </c>
      <c r="E551" s="5" t="s">
        <v>30</v>
      </c>
      <c r="F551" s="408">
        <v>71</v>
      </c>
      <c r="G551" s="408">
        <v>6</v>
      </c>
      <c r="H551" s="408">
        <v>22.8</v>
      </c>
      <c r="I551" s="408">
        <v>3.8</v>
      </c>
      <c r="J551" s="408">
        <v>8.6</v>
      </c>
      <c r="K551" s="408">
        <v>0.438</v>
      </c>
      <c r="L551" s="408">
        <v>0.8</v>
      </c>
      <c r="M551" s="408">
        <v>2.7</v>
      </c>
      <c r="N551" s="5">
        <v>0.311</v>
      </c>
      <c r="O551" s="408">
        <v>2.9</v>
      </c>
      <c r="P551" s="408">
        <v>5.9</v>
      </c>
      <c r="Q551" s="408">
        <v>0.496</v>
      </c>
      <c r="R551" s="408">
        <v>0.48699999999999999</v>
      </c>
      <c r="S551" s="408">
        <v>1.1000000000000001</v>
      </c>
      <c r="T551" s="408">
        <v>1.6</v>
      </c>
      <c r="U551" s="408">
        <v>0.67900000000000005</v>
      </c>
      <c r="V551" s="408">
        <v>0.7</v>
      </c>
      <c r="W551" s="408">
        <v>4.4000000000000004</v>
      </c>
      <c r="X551" s="408">
        <v>5.0999999999999996</v>
      </c>
      <c r="Y551" s="408">
        <v>2.9</v>
      </c>
      <c r="Z551" s="408">
        <v>0.6</v>
      </c>
      <c r="AA551" s="408">
        <v>0.2</v>
      </c>
      <c r="AB551" s="408">
        <v>1.7</v>
      </c>
      <c r="AC551" s="408">
        <v>2.2000000000000002</v>
      </c>
      <c r="AD551" s="408">
        <v>9.5</v>
      </c>
    </row>
    <row r="552" spans="1:30">
      <c r="A552">
        <v>450</v>
      </c>
      <c r="B552" s="1" t="s">
        <v>54</v>
      </c>
      <c r="C552" s="5" t="s">
        <v>26</v>
      </c>
      <c r="D552" s="408">
        <v>29</v>
      </c>
      <c r="E552" s="5" t="s">
        <v>311</v>
      </c>
      <c r="F552" s="408">
        <v>16</v>
      </c>
      <c r="G552" s="408">
        <v>0</v>
      </c>
      <c r="H552" s="408">
        <v>3.8</v>
      </c>
      <c r="I552" s="408">
        <v>0.1</v>
      </c>
      <c r="J552" s="408">
        <v>0.3</v>
      </c>
      <c r="K552" s="408">
        <v>0.5</v>
      </c>
      <c r="L552" s="408">
        <v>0.1</v>
      </c>
      <c r="M552" s="408">
        <v>0.3</v>
      </c>
      <c r="N552" s="5">
        <v>0.5</v>
      </c>
      <c r="O552" s="408">
        <v>0</v>
      </c>
      <c r="P552" s="408">
        <v>0</v>
      </c>
      <c r="Q552" s="408"/>
      <c r="R552" s="408">
        <v>0.75</v>
      </c>
      <c r="S552" s="408">
        <v>0.1</v>
      </c>
      <c r="T552" s="408">
        <v>0.1</v>
      </c>
      <c r="U552" s="408">
        <v>0.5</v>
      </c>
      <c r="V552" s="408">
        <v>0</v>
      </c>
      <c r="W552" s="408">
        <v>1</v>
      </c>
      <c r="X552" s="408">
        <v>1</v>
      </c>
      <c r="Y552" s="408">
        <v>0.8</v>
      </c>
      <c r="Z552" s="408">
        <v>0.1</v>
      </c>
      <c r="AA552" s="408">
        <v>0.1</v>
      </c>
      <c r="AB552" s="408">
        <v>0.3</v>
      </c>
      <c r="AC552" s="408">
        <v>0.6</v>
      </c>
      <c r="AD552" s="408">
        <v>0.4</v>
      </c>
    </row>
    <row r="553" spans="1:30">
      <c r="A553">
        <v>451</v>
      </c>
      <c r="B553" s="1" t="s">
        <v>565</v>
      </c>
      <c r="C553" s="5" t="s">
        <v>38</v>
      </c>
      <c r="D553" s="408">
        <v>20</v>
      </c>
      <c r="E553" s="5" t="s">
        <v>96</v>
      </c>
      <c r="F553" s="408">
        <v>21</v>
      </c>
      <c r="G553" s="408">
        <v>3</v>
      </c>
      <c r="H553" s="408">
        <v>7</v>
      </c>
      <c r="I553" s="408">
        <v>0.8</v>
      </c>
      <c r="J553" s="408">
        <v>2.2000000000000002</v>
      </c>
      <c r="K553" s="408">
        <v>0.37</v>
      </c>
      <c r="L553" s="408">
        <v>0</v>
      </c>
      <c r="M553" s="408">
        <v>0.3</v>
      </c>
      <c r="N553" s="5">
        <v>0.16700000000000001</v>
      </c>
      <c r="O553" s="408">
        <v>0.8</v>
      </c>
      <c r="P553" s="408">
        <v>1.9</v>
      </c>
      <c r="Q553" s="408">
        <v>0.4</v>
      </c>
      <c r="R553" s="408">
        <v>0.38</v>
      </c>
      <c r="S553" s="408">
        <v>0.4</v>
      </c>
      <c r="T553" s="408">
        <v>0.6</v>
      </c>
      <c r="U553" s="408">
        <v>0.61499999999999999</v>
      </c>
      <c r="V553" s="408">
        <v>0.7</v>
      </c>
      <c r="W553" s="408">
        <v>1.1000000000000001</v>
      </c>
      <c r="X553" s="408">
        <v>1.8</v>
      </c>
      <c r="Y553" s="408">
        <v>0.5</v>
      </c>
      <c r="Z553" s="408">
        <v>0.2</v>
      </c>
      <c r="AA553" s="408">
        <v>0.1</v>
      </c>
      <c r="AB553" s="408">
        <v>0.6</v>
      </c>
      <c r="AC553" s="408">
        <v>1.3</v>
      </c>
      <c r="AD553" s="408">
        <v>2</v>
      </c>
    </row>
    <row r="554" spans="1:30">
      <c r="A554">
        <v>452</v>
      </c>
      <c r="B554" s="1" t="s">
        <v>431</v>
      </c>
      <c r="C554" s="5" t="s">
        <v>46</v>
      </c>
      <c r="D554" s="408">
        <v>19</v>
      </c>
      <c r="E554" s="5" t="s">
        <v>87</v>
      </c>
      <c r="F554" s="408">
        <v>70</v>
      </c>
      <c r="G554" s="408">
        <v>70</v>
      </c>
      <c r="H554" s="408">
        <v>30.4</v>
      </c>
      <c r="I554" s="408">
        <v>4.8</v>
      </c>
      <c r="J554" s="408">
        <v>10.1</v>
      </c>
      <c r="K554" s="408">
        <v>0.47199999999999998</v>
      </c>
      <c r="L554" s="408">
        <v>1.3</v>
      </c>
      <c r="M554" s="408">
        <v>3</v>
      </c>
      <c r="N554" s="5">
        <v>0.42699999999999999</v>
      </c>
      <c r="O554" s="408">
        <v>3.5</v>
      </c>
      <c r="P554" s="408">
        <v>7.1</v>
      </c>
      <c r="Q554" s="408">
        <v>0.49199999999999999</v>
      </c>
      <c r="R554" s="408">
        <v>0.53600000000000003</v>
      </c>
      <c r="S554" s="408">
        <v>2.6</v>
      </c>
      <c r="T554" s="408">
        <v>3.2</v>
      </c>
      <c r="U554" s="408">
        <v>0.81799999999999995</v>
      </c>
      <c r="V554" s="408">
        <v>0.6</v>
      </c>
      <c r="W554" s="408">
        <v>4.4000000000000004</v>
      </c>
      <c r="X554" s="408">
        <v>5</v>
      </c>
      <c r="Y554" s="408">
        <v>1.5</v>
      </c>
      <c r="Z554" s="408">
        <v>0.9</v>
      </c>
      <c r="AA554" s="408">
        <v>0.8</v>
      </c>
      <c r="AB554" s="408">
        <v>1.3</v>
      </c>
      <c r="AC554" s="408">
        <v>2.1</v>
      </c>
      <c r="AD554" s="408">
        <v>13.5</v>
      </c>
    </row>
    <row r="555" spans="1:30">
      <c r="A555">
        <v>453</v>
      </c>
      <c r="B555" s="1" t="s">
        <v>543</v>
      </c>
      <c r="C555" s="5" t="s">
        <v>20</v>
      </c>
      <c r="D555" s="408">
        <v>23</v>
      </c>
      <c r="E555" s="5" t="s">
        <v>149</v>
      </c>
      <c r="F555" s="408">
        <v>55</v>
      </c>
      <c r="G555" s="408">
        <v>1</v>
      </c>
      <c r="H555" s="408">
        <v>15.3</v>
      </c>
      <c r="I555" s="408">
        <v>2</v>
      </c>
      <c r="J555" s="408">
        <v>4.5999999999999996</v>
      </c>
      <c r="K555" s="408">
        <v>0.42499999999999999</v>
      </c>
      <c r="L555" s="408">
        <v>0.2</v>
      </c>
      <c r="M555" s="408">
        <v>0.9</v>
      </c>
      <c r="N555" s="5">
        <v>0.26</v>
      </c>
      <c r="O555" s="408">
        <v>1.7</v>
      </c>
      <c r="P555" s="408">
        <v>3.7</v>
      </c>
      <c r="Q555" s="408">
        <v>0.46600000000000003</v>
      </c>
      <c r="R555" s="408">
        <v>0.45100000000000001</v>
      </c>
      <c r="S555" s="408">
        <v>1.3</v>
      </c>
      <c r="T555" s="408">
        <v>2</v>
      </c>
      <c r="U555" s="408">
        <v>0.68500000000000005</v>
      </c>
      <c r="V555" s="408">
        <v>0.3</v>
      </c>
      <c r="W555" s="408">
        <v>1</v>
      </c>
      <c r="X555" s="408">
        <v>1.3</v>
      </c>
      <c r="Y555" s="408">
        <v>2.7</v>
      </c>
      <c r="Z555" s="408">
        <v>0.5</v>
      </c>
      <c r="AA555" s="408">
        <v>0.2</v>
      </c>
      <c r="AB555" s="408">
        <v>1</v>
      </c>
      <c r="AC555" s="408">
        <v>1.6</v>
      </c>
      <c r="AD555" s="408">
        <v>5.5</v>
      </c>
    </row>
    <row r="556" spans="1:30">
      <c r="A556">
        <v>454</v>
      </c>
      <c r="B556" s="1" t="s">
        <v>12</v>
      </c>
      <c r="C556" s="5" t="s">
        <v>20</v>
      </c>
      <c r="D556" s="408">
        <v>29</v>
      </c>
      <c r="E556" s="5" t="s">
        <v>56</v>
      </c>
      <c r="F556" s="408">
        <v>60</v>
      </c>
      <c r="G556" s="408">
        <v>60</v>
      </c>
      <c r="H556" s="408">
        <v>33.1</v>
      </c>
      <c r="I556" s="408">
        <v>5</v>
      </c>
      <c r="J556" s="408">
        <v>11.1</v>
      </c>
      <c r="K556" s="408">
        <v>0.44700000000000001</v>
      </c>
      <c r="L556" s="408">
        <v>1.2</v>
      </c>
      <c r="M556" s="408">
        <v>3.2</v>
      </c>
      <c r="N556" s="5">
        <v>0.379</v>
      </c>
      <c r="O556" s="408">
        <v>3.8</v>
      </c>
      <c r="P556" s="408">
        <v>8</v>
      </c>
      <c r="Q556" s="408">
        <v>0.47399999999999998</v>
      </c>
      <c r="R556" s="408">
        <v>0.501</v>
      </c>
      <c r="S556" s="408">
        <v>2.7</v>
      </c>
      <c r="T556" s="408">
        <v>3.3</v>
      </c>
      <c r="U556" s="408">
        <v>0.82699999999999996</v>
      </c>
      <c r="V556" s="408">
        <v>0.4</v>
      </c>
      <c r="W556" s="408">
        <v>2.7</v>
      </c>
      <c r="X556" s="408">
        <v>3.1</v>
      </c>
      <c r="Y556" s="408">
        <v>7</v>
      </c>
      <c r="Z556" s="408">
        <v>1.5</v>
      </c>
      <c r="AA556" s="408">
        <v>0.3</v>
      </c>
      <c r="AB556" s="408">
        <v>2.6</v>
      </c>
      <c r="AC556" s="408">
        <v>2.4</v>
      </c>
      <c r="AD556" s="408">
        <v>13.8</v>
      </c>
    </row>
    <row r="557" spans="1:30">
      <c r="A557">
        <v>455</v>
      </c>
      <c r="B557" s="1" t="s">
        <v>370</v>
      </c>
      <c r="C557" s="5" t="s">
        <v>38</v>
      </c>
      <c r="D557" s="408">
        <v>32</v>
      </c>
      <c r="E557" s="5" t="s">
        <v>41</v>
      </c>
      <c r="F557" s="408">
        <v>10</v>
      </c>
      <c r="G557" s="408">
        <v>0</v>
      </c>
      <c r="H557" s="408">
        <v>15.9</v>
      </c>
      <c r="I557" s="408">
        <v>2.5</v>
      </c>
      <c r="J557" s="408">
        <v>5.7</v>
      </c>
      <c r="K557" s="408">
        <v>0.439</v>
      </c>
      <c r="L557" s="408">
        <v>2.1</v>
      </c>
      <c r="M557" s="408">
        <v>4.5</v>
      </c>
      <c r="N557" s="5">
        <v>0.46700000000000003</v>
      </c>
      <c r="O557" s="408">
        <v>0.4</v>
      </c>
      <c r="P557" s="408">
        <v>1.2</v>
      </c>
      <c r="Q557" s="408">
        <v>0.33300000000000002</v>
      </c>
      <c r="R557" s="408">
        <v>0.623</v>
      </c>
      <c r="S557" s="408">
        <v>0</v>
      </c>
      <c r="T557" s="408">
        <v>0</v>
      </c>
      <c r="U557" s="408"/>
      <c r="V557" s="408">
        <v>0.3</v>
      </c>
      <c r="W557" s="408">
        <v>2</v>
      </c>
      <c r="X557" s="408">
        <v>2.2999999999999998</v>
      </c>
      <c r="Y557" s="408">
        <v>1</v>
      </c>
      <c r="Z557" s="408">
        <v>0.4</v>
      </c>
      <c r="AA557" s="408">
        <v>0.1</v>
      </c>
      <c r="AB557" s="408">
        <v>0.7</v>
      </c>
      <c r="AC557" s="408">
        <v>1.4</v>
      </c>
      <c r="AD557" s="408">
        <v>7.1</v>
      </c>
    </row>
    <row r="558" spans="1:30">
      <c r="A558">
        <v>456</v>
      </c>
      <c r="B558" s="1" t="s">
        <v>403</v>
      </c>
      <c r="C558" s="5" t="s">
        <v>26</v>
      </c>
      <c r="D558" s="408">
        <v>31</v>
      </c>
      <c r="E558" s="5" t="s">
        <v>100</v>
      </c>
      <c r="F558" s="408">
        <v>65</v>
      </c>
      <c r="G558" s="408">
        <v>35</v>
      </c>
      <c r="H558" s="408">
        <v>24.8</v>
      </c>
      <c r="I558" s="408">
        <v>3.1</v>
      </c>
      <c r="J558" s="408">
        <v>7.3</v>
      </c>
      <c r="K558" s="408">
        <v>0.41799999999999998</v>
      </c>
      <c r="L558" s="408">
        <v>1.4</v>
      </c>
      <c r="M558" s="408">
        <v>3.5</v>
      </c>
      <c r="N558" s="5">
        <v>0.39200000000000002</v>
      </c>
      <c r="O558" s="408">
        <v>1.7</v>
      </c>
      <c r="P558" s="408">
        <v>3.8</v>
      </c>
      <c r="Q558" s="408">
        <v>0.442</v>
      </c>
      <c r="R558" s="408">
        <v>0.51200000000000001</v>
      </c>
      <c r="S558" s="408">
        <v>0.9</v>
      </c>
      <c r="T558" s="408">
        <v>1.2</v>
      </c>
      <c r="U558" s="408">
        <v>0.76900000000000002</v>
      </c>
      <c r="V558" s="408">
        <v>0.3</v>
      </c>
      <c r="W558" s="408">
        <v>2</v>
      </c>
      <c r="X558" s="408">
        <v>2.2999999999999998</v>
      </c>
      <c r="Y558" s="408">
        <v>1.9</v>
      </c>
      <c r="Z558" s="408">
        <v>0.9</v>
      </c>
      <c r="AA558" s="408">
        <v>0.4</v>
      </c>
      <c r="AB558" s="408">
        <v>1.2</v>
      </c>
      <c r="AC558" s="408">
        <v>2.1</v>
      </c>
      <c r="AD558" s="408">
        <v>8.4</v>
      </c>
    </row>
    <row r="559" spans="1:30">
      <c r="A559">
        <v>457</v>
      </c>
      <c r="B559" s="1" t="s">
        <v>342</v>
      </c>
      <c r="C559" s="5" t="s">
        <v>20</v>
      </c>
      <c r="D559" s="408">
        <v>30</v>
      </c>
      <c r="E559" s="5" t="s">
        <v>64</v>
      </c>
      <c r="F559" s="408">
        <v>40</v>
      </c>
      <c r="G559" s="408">
        <v>31</v>
      </c>
      <c r="H559" s="408">
        <v>25.1</v>
      </c>
      <c r="I559" s="408">
        <v>3.3</v>
      </c>
      <c r="J559" s="408">
        <v>7.9</v>
      </c>
      <c r="K559" s="408">
        <v>0.41</v>
      </c>
      <c r="L559" s="408">
        <v>1.9</v>
      </c>
      <c r="M559" s="408">
        <v>5.0999999999999996</v>
      </c>
      <c r="N559" s="5">
        <v>0.36599999999999999</v>
      </c>
      <c r="O559" s="408">
        <v>1.4</v>
      </c>
      <c r="P559" s="408">
        <v>2.8</v>
      </c>
      <c r="Q559" s="408">
        <v>0.49099999999999999</v>
      </c>
      <c r="R559" s="408">
        <v>0.52800000000000002</v>
      </c>
      <c r="S559" s="408">
        <v>0.8</v>
      </c>
      <c r="T559" s="408">
        <v>0.9</v>
      </c>
      <c r="U559" s="408">
        <v>0.86099999999999999</v>
      </c>
      <c r="V559" s="408">
        <v>0.4</v>
      </c>
      <c r="W559" s="408">
        <v>2.5</v>
      </c>
      <c r="X559" s="408">
        <v>2.9</v>
      </c>
      <c r="Y559" s="408">
        <v>4.9000000000000004</v>
      </c>
      <c r="Z559" s="408">
        <v>0.6</v>
      </c>
      <c r="AA559" s="408">
        <v>0.1</v>
      </c>
      <c r="AB559" s="408">
        <v>2.2000000000000002</v>
      </c>
      <c r="AC559" s="408">
        <v>2.2999999999999998</v>
      </c>
      <c r="AD559" s="408">
        <v>9.1999999999999993</v>
      </c>
    </row>
    <row r="560" spans="1:30">
      <c r="A560">
        <v>458</v>
      </c>
      <c r="B560" s="1" t="s">
        <v>57</v>
      </c>
      <c r="C560" s="5" t="s">
        <v>26</v>
      </c>
      <c r="D560" s="408">
        <v>40</v>
      </c>
      <c r="E560" s="5" t="s">
        <v>41</v>
      </c>
      <c r="F560" s="408">
        <v>39</v>
      </c>
      <c r="G560" s="408">
        <v>1</v>
      </c>
      <c r="H560" s="408">
        <v>14.2</v>
      </c>
      <c r="I560" s="408">
        <v>1</v>
      </c>
      <c r="J560" s="408">
        <v>2.7</v>
      </c>
      <c r="K560" s="408">
        <v>0.38100000000000001</v>
      </c>
      <c r="L560" s="408">
        <v>0.7</v>
      </c>
      <c r="M560" s="408">
        <v>1.9</v>
      </c>
      <c r="N560" s="5">
        <v>0.34200000000000003</v>
      </c>
      <c r="O560" s="408">
        <v>0.4</v>
      </c>
      <c r="P560" s="408">
        <v>0.7</v>
      </c>
      <c r="Q560" s="408">
        <v>0.48299999999999998</v>
      </c>
      <c r="R560" s="408">
        <v>0.505</v>
      </c>
      <c r="S560" s="408">
        <v>0.2</v>
      </c>
      <c r="T560" s="408">
        <v>0.2</v>
      </c>
      <c r="U560" s="408">
        <v>1</v>
      </c>
      <c r="V560" s="408">
        <v>0.1</v>
      </c>
      <c r="W560" s="408">
        <v>0.9</v>
      </c>
      <c r="X560" s="408">
        <v>0.9</v>
      </c>
      <c r="Y560" s="408">
        <v>1.1000000000000001</v>
      </c>
      <c r="Z560" s="408">
        <v>0.6</v>
      </c>
      <c r="AA560" s="408">
        <v>0.3</v>
      </c>
      <c r="AB560" s="408">
        <v>0.5</v>
      </c>
      <c r="AC560" s="408">
        <v>1</v>
      </c>
      <c r="AD560" s="408">
        <v>2.9</v>
      </c>
    </row>
    <row r="561" spans="1:30">
      <c r="A561">
        <v>459</v>
      </c>
      <c r="B561" s="1" t="s">
        <v>545</v>
      </c>
      <c r="C561" s="5" t="s">
        <v>83</v>
      </c>
      <c r="D561" s="408">
        <v>25</v>
      </c>
      <c r="E561" s="5" t="s">
        <v>87</v>
      </c>
      <c r="F561" s="408">
        <v>63</v>
      </c>
      <c r="G561" s="408">
        <v>3</v>
      </c>
      <c r="H561" s="408">
        <v>14.9</v>
      </c>
      <c r="I561" s="408">
        <v>2</v>
      </c>
      <c r="J561" s="408">
        <v>3.7</v>
      </c>
      <c r="K561" s="408">
        <v>0.54100000000000004</v>
      </c>
      <c r="L561" s="408">
        <v>0.3</v>
      </c>
      <c r="M561" s="408">
        <v>0.9</v>
      </c>
      <c r="N561" s="5">
        <v>0.31</v>
      </c>
      <c r="O561" s="408">
        <v>1.7</v>
      </c>
      <c r="P561" s="408">
        <v>2.8</v>
      </c>
      <c r="Q561" s="408">
        <v>0.61699999999999999</v>
      </c>
      <c r="R561" s="408">
        <v>0.57899999999999996</v>
      </c>
      <c r="S561" s="408">
        <v>1</v>
      </c>
      <c r="T561" s="408">
        <v>1.3</v>
      </c>
      <c r="U561" s="408">
        <v>0.753</v>
      </c>
      <c r="V561" s="408">
        <v>1.4</v>
      </c>
      <c r="W561" s="408">
        <v>2.9</v>
      </c>
      <c r="X561" s="408">
        <v>4.3</v>
      </c>
      <c r="Y561" s="408">
        <v>0.9</v>
      </c>
      <c r="Z561" s="408">
        <v>0.5</v>
      </c>
      <c r="AA561" s="408">
        <v>0.8</v>
      </c>
      <c r="AB561" s="408">
        <v>0.9</v>
      </c>
      <c r="AC561" s="408">
        <v>2.5</v>
      </c>
      <c r="AD561" s="408">
        <v>5.3</v>
      </c>
    </row>
    <row r="562" spans="1:30">
      <c r="A562">
        <v>460</v>
      </c>
      <c r="B562" s="1" t="s">
        <v>196</v>
      </c>
      <c r="C562" s="5" t="s">
        <v>20</v>
      </c>
      <c r="D562" s="408">
        <v>28</v>
      </c>
      <c r="E562" s="5" t="s">
        <v>357</v>
      </c>
      <c r="F562" s="408">
        <v>31</v>
      </c>
      <c r="G562" s="408">
        <v>15</v>
      </c>
      <c r="H562" s="408">
        <v>27</v>
      </c>
      <c r="I562" s="408">
        <v>4.9000000000000004</v>
      </c>
      <c r="J562" s="408">
        <v>13.2</v>
      </c>
      <c r="K562" s="408">
        <v>0.36899999999999999</v>
      </c>
      <c r="L562" s="408">
        <v>1.7</v>
      </c>
      <c r="M562" s="408">
        <v>5.9</v>
      </c>
      <c r="N562" s="5">
        <v>0.29299999999999998</v>
      </c>
      <c r="O562" s="408">
        <v>3.1</v>
      </c>
      <c r="P562" s="408">
        <v>7.3</v>
      </c>
      <c r="Q562" s="408">
        <v>0.43099999999999999</v>
      </c>
      <c r="R562" s="408">
        <v>0.435</v>
      </c>
      <c r="S562" s="408">
        <v>3.7</v>
      </c>
      <c r="T562" s="408">
        <v>4.2</v>
      </c>
      <c r="U562" s="408">
        <v>0.89100000000000001</v>
      </c>
      <c r="V562" s="408">
        <v>0.5</v>
      </c>
      <c r="W562" s="408">
        <v>1.6</v>
      </c>
      <c r="X562" s="408">
        <v>2.1</v>
      </c>
      <c r="Y562" s="408">
        <v>4.9000000000000004</v>
      </c>
      <c r="Z562" s="408">
        <v>0.5</v>
      </c>
      <c r="AA562" s="408">
        <v>0.1</v>
      </c>
      <c r="AB562" s="408">
        <v>2.9</v>
      </c>
      <c r="AC562" s="408">
        <v>1.8</v>
      </c>
      <c r="AD562" s="408">
        <v>15.2</v>
      </c>
    </row>
    <row r="563" spans="1:30">
      <c r="A563">
        <v>460</v>
      </c>
      <c r="B563" s="1" t="s">
        <v>196</v>
      </c>
      <c r="C563" s="5" t="s">
        <v>20</v>
      </c>
      <c r="D563" s="408">
        <v>28</v>
      </c>
      <c r="E563" s="5" t="s">
        <v>102</v>
      </c>
      <c r="F563" s="408">
        <v>15</v>
      </c>
      <c r="G563" s="408">
        <v>14</v>
      </c>
      <c r="H563" s="408">
        <v>27.1</v>
      </c>
      <c r="I563" s="408">
        <v>4.7</v>
      </c>
      <c r="J563" s="408">
        <v>12.9</v>
      </c>
      <c r="K563" s="408">
        <v>0.36099999999999999</v>
      </c>
      <c r="L563" s="408">
        <v>1.5</v>
      </c>
      <c r="M563" s="408">
        <v>5.8</v>
      </c>
      <c r="N563" s="5">
        <v>0.253</v>
      </c>
      <c r="O563" s="408">
        <v>3.2</v>
      </c>
      <c r="P563" s="408">
        <v>7.1</v>
      </c>
      <c r="Q563" s="408">
        <v>0.44900000000000001</v>
      </c>
      <c r="R563" s="408">
        <v>0.41799999999999998</v>
      </c>
      <c r="S563" s="408">
        <v>3.9</v>
      </c>
      <c r="T563" s="408">
        <v>4.5</v>
      </c>
      <c r="U563" s="408">
        <v>0.86799999999999999</v>
      </c>
      <c r="V563" s="408">
        <v>0.5</v>
      </c>
      <c r="W563" s="408">
        <v>1.6</v>
      </c>
      <c r="X563" s="408">
        <v>2.1</v>
      </c>
      <c r="Y563" s="408">
        <v>4.5</v>
      </c>
      <c r="Z563" s="408">
        <v>0.6</v>
      </c>
      <c r="AA563" s="408">
        <v>0.1</v>
      </c>
      <c r="AB563" s="408">
        <v>2.7</v>
      </c>
      <c r="AC563" s="408">
        <v>1.7</v>
      </c>
      <c r="AD563" s="408">
        <v>14.7</v>
      </c>
    </row>
    <row r="564" spans="1:30">
      <c r="A564">
        <v>460</v>
      </c>
      <c r="B564" s="1" t="s">
        <v>196</v>
      </c>
      <c r="C564" s="5" t="s">
        <v>20</v>
      </c>
      <c r="D564" s="408">
        <v>28</v>
      </c>
      <c r="E564" s="5" t="s">
        <v>78</v>
      </c>
      <c r="F564" s="408">
        <v>16</v>
      </c>
      <c r="G564" s="408">
        <v>1</v>
      </c>
      <c r="H564" s="408">
        <v>26.9</v>
      </c>
      <c r="I564" s="408">
        <v>5.0999999999999996</v>
      </c>
      <c r="J564" s="408">
        <v>13.4</v>
      </c>
      <c r="K564" s="408">
        <v>0.377</v>
      </c>
      <c r="L564" s="408">
        <v>2</v>
      </c>
      <c r="M564" s="408">
        <v>6.1</v>
      </c>
      <c r="N564" s="5">
        <v>0.33</v>
      </c>
      <c r="O564" s="408">
        <v>3.1</v>
      </c>
      <c r="P564" s="408">
        <v>7.4</v>
      </c>
      <c r="Q564" s="408">
        <v>0.41499999999999998</v>
      </c>
      <c r="R564" s="408">
        <v>0.45100000000000001</v>
      </c>
      <c r="S564" s="408">
        <v>3.5</v>
      </c>
      <c r="T564" s="408">
        <v>3.8</v>
      </c>
      <c r="U564" s="408">
        <v>0.91800000000000004</v>
      </c>
      <c r="V564" s="408">
        <v>0.6</v>
      </c>
      <c r="W564" s="408">
        <v>1.6</v>
      </c>
      <c r="X564" s="408">
        <v>2.2000000000000002</v>
      </c>
      <c r="Y564" s="408">
        <v>5.2</v>
      </c>
      <c r="Z564" s="408">
        <v>0.4</v>
      </c>
      <c r="AA564" s="408">
        <v>0.1</v>
      </c>
      <c r="AB564" s="408">
        <v>3</v>
      </c>
      <c r="AC564" s="408">
        <v>1.9</v>
      </c>
      <c r="AD564" s="408">
        <v>15.6</v>
      </c>
    </row>
    <row r="565" spans="1:30">
      <c r="A565">
        <v>461</v>
      </c>
      <c r="B565" s="1" t="s">
        <v>507</v>
      </c>
      <c r="C565" s="5" t="s">
        <v>38</v>
      </c>
      <c r="D565" s="408">
        <v>29</v>
      </c>
      <c r="E565" s="5" t="s">
        <v>21</v>
      </c>
      <c r="F565" s="408">
        <v>65</v>
      </c>
      <c r="G565" s="408">
        <v>26</v>
      </c>
      <c r="H565" s="408">
        <v>18.5</v>
      </c>
      <c r="I565" s="408">
        <v>1.4</v>
      </c>
      <c r="J565" s="408">
        <v>3.5</v>
      </c>
      <c r="K565" s="408">
        <v>0.38900000000000001</v>
      </c>
      <c r="L565" s="408">
        <v>0.7</v>
      </c>
      <c r="M565" s="408">
        <v>1.7</v>
      </c>
      <c r="N565" s="5">
        <v>0.39400000000000002</v>
      </c>
      <c r="O565" s="408">
        <v>0.7</v>
      </c>
      <c r="P565" s="408">
        <v>1.8</v>
      </c>
      <c r="Q565" s="408">
        <v>0.38300000000000001</v>
      </c>
      <c r="R565" s="408">
        <v>0.48299999999999998</v>
      </c>
      <c r="S565" s="408">
        <v>0.6</v>
      </c>
      <c r="T565" s="408">
        <v>0.7</v>
      </c>
      <c r="U565" s="408">
        <v>0.85099999999999998</v>
      </c>
      <c r="V565" s="408">
        <v>0.6</v>
      </c>
      <c r="W565" s="408">
        <v>1.8</v>
      </c>
      <c r="X565" s="408">
        <v>2.4</v>
      </c>
      <c r="Y565" s="408">
        <v>0.6</v>
      </c>
      <c r="Z565" s="408">
        <v>0.4</v>
      </c>
      <c r="AA565" s="408">
        <v>0.2</v>
      </c>
      <c r="AB565" s="408">
        <v>0.6</v>
      </c>
      <c r="AC565" s="408">
        <v>1.8</v>
      </c>
      <c r="AD565" s="408">
        <v>4</v>
      </c>
    </row>
    <row r="566" spans="1:30">
      <c r="A566">
        <v>462</v>
      </c>
      <c r="B566" s="1" t="s">
        <v>293</v>
      </c>
      <c r="C566" s="5" t="s">
        <v>26</v>
      </c>
      <c r="D566" s="408">
        <v>27</v>
      </c>
      <c r="E566" s="5" t="s">
        <v>73</v>
      </c>
      <c r="F566" s="408">
        <v>66</v>
      </c>
      <c r="G566" s="408">
        <v>66</v>
      </c>
      <c r="H566" s="408">
        <v>34.4</v>
      </c>
      <c r="I566" s="408">
        <v>7.7</v>
      </c>
      <c r="J566" s="408">
        <v>15.8</v>
      </c>
      <c r="K566" s="408">
        <v>0.49</v>
      </c>
      <c r="L566" s="408">
        <v>3.1</v>
      </c>
      <c r="M566" s="408">
        <v>7</v>
      </c>
      <c r="N566" s="5">
        <v>0.443</v>
      </c>
      <c r="O566" s="408">
        <v>4.5999999999999996</v>
      </c>
      <c r="P566" s="408">
        <v>8.6999999999999993</v>
      </c>
      <c r="Q566" s="408">
        <v>0.52800000000000002</v>
      </c>
      <c r="R566" s="408">
        <v>0.58899999999999997</v>
      </c>
      <c r="S566" s="408">
        <v>1.2</v>
      </c>
      <c r="T566" s="408">
        <v>1.4</v>
      </c>
      <c r="U566" s="408">
        <v>0.83499999999999996</v>
      </c>
      <c r="V566" s="408">
        <v>0.4</v>
      </c>
      <c r="W566" s="408">
        <v>3.5</v>
      </c>
      <c r="X566" s="408">
        <v>3.8</v>
      </c>
      <c r="Y566" s="408">
        <v>2.7</v>
      </c>
      <c r="Z566" s="408">
        <v>0.7</v>
      </c>
      <c r="AA566" s="408">
        <v>0.5</v>
      </c>
      <c r="AB566" s="408">
        <v>1.7</v>
      </c>
      <c r="AC566" s="408">
        <v>1.6</v>
      </c>
      <c r="AD566" s="408">
        <v>19.7</v>
      </c>
    </row>
    <row r="567" spans="1:30">
      <c r="A567">
        <v>463</v>
      </c>
      <c r="B567" s="1" t="s">
        <v>609</v>
      </c>
      <c r="C567" s="5" t="s">
        <v>83</v>
      </c>
      <c r="D567" s="408">
        <v>26</v>
      </c>
      <c r="E567" s="5" t="s">
        <v>102</v>
      </c>
      <c r="F567" s="408">
        <v>42</v>
      </c>
      <c r="G567" s="408">
        <v>21</v>
      </c>
      <c r="H567" s="408">
        <v>21.4</v>
      </c>
      <c r="I567" s="408">
        <v>2.7</v>
      </c>
      <c r="J567" s="408">
        <v>4.5999999999999996</v>
      </c>
      <c r="K567" s="408">
        <v>0.58799999999999997</v>
      </c>
      <c r="L567" s="408">
        <v>0</v>
      </c>
      <c r="M567" s="408">
        <v>0</v>
      </c>
      <c r="O567" s="408">
        <v>2.7</v>
      </c>
      <c r="P567" s="408">
        <v>4.5999999999999996</v>
      </c>
      <c r="Q567" s="408">
        <v>0.58799999999999997</v>
      </c>
      <c r="R567" s="408">
        <v>0.58799999999999997</v>
      </c>
      <c r="S567" s="408">
        <v>0.9</v>
      </c>
      <c r="T567" s="408">
        <v>1.6</v>
      </c>
      <c r="U567" s="408">
        <v>0.54500000000000004</v>
      </c>
      <c r="V567" s="408">
        <v>2.2999999999999998</v>
      </c>
      <c r="W567" s="408">
        <v>4.2</v>
      </c>
      <c r="X567" s="408">
        <v>6.5</v>
      </c>
      <c r="Y567" s="408">
        <v>0.6</v>
      </c>
      <c r="Z567" s="408">
        <v>0.4</v>
      </c>
      <c r="AA567" s="408">
        <v>0.4</v>
      </c>
      <c r="AB567" s="408">
        <v>0.7</v>
      </c>
      <c r="AC567" s="408">
        <v>2.1</v>
      </c>
      <c r="AD567" s="408">
        <v>6.3</v>
      </c>
    </row>
    <row r="568" spans="1:30">
      <c r="A568">
        <v>464</v>
      </c>
      <c r="B568" s="1" t="s">
        <v>542</v>
      </c>
      <c r="C568" s="5" t="s">
        <v>26</v>
      </c>
      <c r="D568" s="408">
        <v>23</v>
      </c>
      <c r="E568" s="5" t="s">
        <v>64</v>
      </c>
      <c r="F568" s="408">
        <v>60</v>
      </c>
      <c r="G568" s="408">
        <v>14</v>
      </c>
      <c r="H568" s="408">
        <v>15</v>
      </c>
      <c r="I568" s="408">
        <v>1.3</v>
      </c>
      <c r="J568" s="408">
        <v>2.9</v>
      </c>
      <c r="K568" s="408">
        <v>0.434</v>
      </c>
      <c r="L568" s="408">
        <v>0.3</v>
      </c>
      <c r="M568" s="408">
        <v>0.9</v>
      </c>
      <c r="N568" s="5">
        <v>0.35299999999999998</v>
      </c>
      <c r="O568" s="408">
        <v>1</v>
      </c>
      <c r="P568" s="408">
        <v>2.1</v>
      </c>
      <c r="Q568" s="408">
        <v>0.46800000000000003</v>
      </c>
      <c r="R568" s="408">
        <v>0.48599999999999999</v>
      </c>
      <c r="S568" s="408">
        <v>0.8</v>
      </c>
      <c r="T568" s="408">
        <v>1.1000000000000001</v>
      </c>
      <c r="U568" s="408">
        <v>0.69199999999999995</v>
      </c>
      <c r="V568" s="408">
        <v>0.4</v>
      </c>
      <c r="W568" s="408">
        <v>1.3</v>
      </c>
      <c r="X568" s="408">
        <v>1.7</v>
      </c>
      <c r="Y568" s="408">
        <v>0.7</v>
      </c>
      <c r="Z568" s="408">
        <v>0.6</v>
      </c>
      <c r="AA568" s="408">
        <v>0.4</v>
      </c>
      <c r="AB568" s="408">
        <v>0.6</v>
      </c>
      <c r="AC568" s="408">
        <v>1.6</v>
      </c>
      <c r="AD568" s="408">
        <v>3.6</v>
      </c>
    </row>
    <row r="569" spans="1:30">
      <c r="A569">
        <v>465</v>
      </c>
      <c r="B569" s="1" t="s">
        <v>158</v>
      </c>
      <c r="C569" s="5" t="s">
        <v>38</v>
      </c>
      <c r="D569" s="408">
        <v>32</v>
      </c>
      <c r="E569" s="5" t="s">
        <v>157</v>
      </c>
      <c r="F569" s="408">
        <v>67</v>
      </c>
      <c r="G569" s="408">
        <v>6</v>
      </c>
      <c r="H569" s="408">
        <v>20.7</v>
      </c>
      <c r="I569" s="408">
        <v>2.4</v>
      </c>
      <c r="J569" s="408">
        <v>5.5</v>
      </c>
      <c r="K569" s="408">
        <v>0.436</v>
      </c>
      <c r="L569" s="408">
        <v>1.8</v>
      </c>
      <c r="M569" s="408">
        <v>4.3</v>
      </c>
      <c r="N569" s="5">
        <v>0.41199999999999998</v>
      </c>
      <c r="O569" s="408">
        <v>0.6</v>
      </c>
      <c r="P569" s="408">
        <v>1.2</v>
      </c>
      <c r="Q569" s="408">
        <v>0.52500000000000002</v>
      </c>
      <c r="R569" s="408">
        <v>0.59799999999999998</v>
      </c>
      <c r="S569" s="408">
        <v>1.2</v>
      </c>
      <c r="T569" s="408">
        <v>1.5</v>
      </c>
      <c r="U569" s="408">
        <v>0.8</v>
      </c>
      <c r="V569" s="408">
        <v>0.6</v>
      </c>
      <c r="W569" s="408">
        <v>2.2000000000000002</v>
      </c>
      <c r="X569" s="408">
        <v>2.8</v>
      </c>
      <c r="Y569" s="408">
        <v>1.1000000000000001</v>
      </c>
      <c r="Z569" s="408">
        <v>0.4</v>
      </c>
      <c r="AA569" s="408">
        <v>0.2</v>
      </c>
      <c r="AB569" s="408">
        <v>0.8</v>
      </c>
      <c r="AC569" s="408">
        <v>1.7</v>
      </c>
      <c r="AD569" s="408">
        <v>7.8</v>
      </c>
    </row>
    <row r="570" spans="1:30">
      <c r="A570">
        <v>466</v>
      </c>
      <c r="B570" s="1" t="s">
        <v>6</v>
      </c>
      <c r="C570" s="5" t="s">
        <v>83</v>
      </c>
      <c r="D570" s="408">
        <v>22</v>
      </c>
      <c r="E570" s="5" t="s">
        <v>56</v>
      </c>
      <c r="F570" s="408">
        <v>71</v>
      </c>
      <c r="G570" s="408">
        <v>71</v>
      </c>
      <c r="H570" s="408">
        <v>35.299999999999997</v>
      </c>
      <c r="I570" s="408">
        <v>7.6</v>
      </c>
      <c r="J570" s="408">
        <v>13.8</v>
      </c>
      <c r="K570" s="408">
        <v>0.54900000000000004</v>
      </c>
      <c r="L570" s="408">
        <v>1.4</v>
      </c>
      <c r="M570" s="408">
        <v>3.3</v>
      </c>
      <c r="N570" s="5">
        <v>0.42599999999999999</v>
      </c>
      <c r="O570" s="408">
        <v>6.2</v>
      </c>
      <c r="P570" s="408">
        <v>10.5</v>
      </c>
      <c r="Q570" s="408">
        <v>0.58799999999999997</v>
      </c>
      <c r="R570" s="408">
        <v>0.60099999999999998</v>
      </c>
      <c r="S570" s="408">
        <v>4.0999999999999996</v>
      </c>
      <c r="T570" s="408">
        <v>4.8</v>
      </c>
      <c r="U570" s="408">
        <v>0.85599999999999998</v>
      </c>
      <c r="V570" s="408">
        <v>2.9</v>
      </c>
      <c r="W570" s="408">
        <v>9.3000000000000007</v>
      </c>
      <c r="X570" s="408">
        <v>12.2</v>
      </c>
      <c r="Y570" s="408">
        <v>2.4</v>
      </c>
      <c r="Z570" s="408">
        <v>0.8</v>
      </c>
      <c r="AA570" s="408">
        <v>1.4</v>
      </c>
      <c r="AB570" s="408">
        <v>2</v>
      </c>
      <c r="AC570" s="408">
        <v>3.4</v>
      </c>
      <c r="AD570" s="408">
        <v>20.7</v>
      </c>
    </row>
    <row r="571" spans="1:30">
      <c r="A571">
        <v>467</v>
      </c>
      <c r="B571" s="1" t="s">
        <v>420</v>
      </c>
      <c r="C571" s="5" t="s">
        <v>46</v>
      </c>
      <c r="D571" s="408">
        <v>32</v>
      </c>
      <c r="E571" s="5" t="s">
        <v>92</v>
      </c>
      <c r="F571" s="408">
        <v>70</v>
      </c>
      <c r="G571" s="408">
        <v>22</v>
      </c>
      <c r="H571" s="408">
        <v>27.7</v>
      </c>
      <c r="I571" s="408">
        <v>2</v>
      </c>
      <c r="J571" s="408">
        <v>5.0999999999999996</v>
      </c>
      <c r="K571" s="408">
        <v>0.38800000000000001</v>
      </c>
      <c r="L571" s="408">
        <v>1.3</v>
      </c>
      <c r="M571" s="408">
        <v>3.5</v>
      </c>
      <c r="N571" s="5">
        <v>0.371</v>
      </c>
      <c r="O571" s="408">
        <v>0.7</v>
      </c>
      <c r="P571" s="408">
        <v>1.6</v>
      </c>
      <c r="Q571" s="408">
        <v>0.42499999999999999</v>
      </c>
      <c r="R571" s="408">
        <v>0.51500000000000001</v>
      </c>
      <c r="S571" s="408">
        <v>0.6</v>
      </c>
      <c r="T571" s="408">
        <v>0.8</v>
      </c>
      <c r="U571" s="408">
        <v>0.72399999999999998</v>
      </c>
      <c r="V571" s="408">
        <v>1.1000000000000001</v>
      </c>
      <c r="W571" s="408">
        <v>4.5</v>
      </c>
      <c r="X571" s="408">
        <v>5.6</v>
      </c>
      <c r="Y571" s="408">
        <v>0.9</v>
      </c>
      <c r="Z571" s="408">
        <v>1</v>
      </c>
      <c r="AA571" s="408">
        <v>0.3</v>
      </c>
      <c r="AB571" s="408">
        <v>0.9</v>
      </c>
      <c r="AC571" s="408">
        <v>2.6</v>
      </c>
      <c r="AD571" s="408">
        <v>5.9</v>
      </c>
    </row>
    <row r="572" spans="1:30">
      <c r="A572">
        <v>468</v>
      </c>
      <c r="B572" s="1" t="s">
        <v>505</v>
      </c>
      <c r="C572" s="5" t="s">
        <v>46</v>
      </c>
      <c r="D572" s="408">
        <v>29</v>
      </c>
      <c r="E572" s="5" t="s">
        <v>96</v>
      </c>
      <c r="F572" s="408">
        <v>67</v>
      </c>
      <c r="G572" s="408">
        <v>31</v>
      </c>
      <c r="H572" s="408">
        <v>25.5</v>
      </c>
      <c r="I572" s="408">
        <v>3.2</v>
      </c>
      <c r="J572" s="408">
        <v>7.2</v>
      </c>
      <c r="K572" s="408">
        <v>0.44500000000000001</v>
      </c>
      <c r="L572" s="408">
        <v>0.5</v>
      </c>
      <c r="M572" s="408">
        <v>1.5</v>
      </c>
      <c r="N572" s="5">
        <v>0.32400000000000001</v>
      </c>
      <c r="O572" s="408">
        <v>2.7</v>
      </c>
      <c r="P572" s="408">
        <v>5.7</v>
      </c>
      <c r="Q572" s="408">
        <v>0.47799999999999998</v>
      </c>
      <c r="R572" s="408">
        <v>0.47899999999999998</v>
      </c>
      <c r="S572" s="408">
        <v>1.2</v>
      </c>
      <c r="T572" s="408">
        <v>1.4</v>
      </c>
      <c r="U572" s="408">
        <v>0.85099999999999998</v>
      </c>
      <c r="V572" s="408">
        <v>0.4</v>
      </c>
      <c r="W572" s="408">
        <v>2.9</v>
      </c>
      <c r="X572" s="408">
        <v>3.2</v>
      </c>
      <c r="Y572" s="408">
        <v>2.2999999999999998</v>
      </c>
      <c r="Z572" s="408">
        <v>0.6</v>
      </c>
      <c r="AA572" s="408">
        <v>0.3</v>
      </c>
      <c r="AB572" s="408">
        <v>1.3</v>
      </c>
      <c r="AC572" s="408">
        <v>2</v>
      </c>
      <c r="AD572" s="408">
        <v>8.1</v>
      </c>
    </row>
    <row r="573" spans="1:30">
      <c r="A573">
        <v>469</v>
      </c>
      <c r="B573" s="1" t="s">
        <v>448</v>
      </c>
      <c r="C573" s="5" t="s">
        <v>83</v>
      </c>
      <c r="D573" s="408">
        <v>21</v>
      </c>
      <c r="E573" s="5" t="s">
        <v>30</v>
      </c>
      <c r="F573" s="408">
        <v>54</v>
      </c>
      <c r="G573" s="408">
        <v>51</v>
      </c>
      <c r="H573" s="408">
        <v>28.4</v>
      </c>
      <c r="I573" s="408">
        <v>5.0999999999999996</v>
      </c>
      <c r="J573" s="408">
        <v>10.1</v>
      </c>
      <c r="K573" s="408">
        <v>0.50600000000000001</v>
      </c>
      <c r="L573" s="408">
        <v>1</v>
      </c>
      <c r="M573" s="408">
        <v>2.5</v>
      </c>
      <c r="N573" s="5">
        <v>0.38500000000000001</v>
      </c>
      <c r="O573" s="408">
        <v>4.0999999999999996</v>
      </c>
      <c r="P573" s="408">
        <v>7.6</v>
      </c>
      <c r="Q573" s="408">
        <v>0.54600000000000004</v>
      </c>
      <c r="R573" s="408">
        <v>0.55400000000000005</v>
      </c>
      <c r="S573" s="408">
        <v>2.6</v>
      </c>
      <c r="T573" s="408">
        <v>3.3</v>
      </c>
      <c r="U573" s="408">
        <v>0.76700000000000002</v>
      </c>
      <c r="V573" s="408">
        <v>1.5</v>
      </c>
      <c r="W573" s="408">
        <v>5.3</v>
      </c>
      <c r="X573" s="408">
        <v>6.9</v>
      </c>
      <c r="Y573" s="408">
        <v>1.4</v>
      </c>
      <c r="Z573" s="408">
        <v>0.5</v>
      </c>
      <c r="AA573" s="408">
        <v>1.9</v>
      </c>
      <c r="AB573" s="408">
        <v>1.5</v>
      </c>
      <c r="AC573" s="408">
        <v>2.9</v>
      </c>
      <c r="AD573" s="408">
        <v>13.7</v>
      </c>
    </row>
    <row r="574" spans="1:30">
      <c r="A574">
        <v>470</v>
      </c>
      <c r="B574" s="1" t="s">
        <v>584</v>
      </c>
      <c r="C574" s="5" t="s">
        <v>83</v>
      </c>
      <c r="D574" s="408">
        <v>30</v>
      </c>
      <c r="E574" s="5" t="s">
        <v>305</v>
      </c>
      <c r="F574" s="408">
        <v>56</v>
      </c>
      <c r="G574" s="408">
        <v>3</v>
      </c>
      <c r="H574" s="408">
        <v>13.6</v>
      </c>
      <c r="I574" s="408">
        <v>1</v>
      </c>
      <c r="J574" s="408">
        <v>2</v>
      </c>
      <c r="K574" s="408">
        <v>0.51800000000000002</v>
      </c>
      <c r="L574" s="408">
        <v>0</v>
      </c>
      <c r="M574" s="408">
        <v>0</v>
      </c>
      <c r="O574" s="408">
        <v>1</v>
      </c>
      <c r="P574" s="408">
        <v>2</v>
      </c>
      <c r="Q574" s="408">
        <v>0.51800000000000002</v>
      </c>
      <c r="R574" s="408">
        <v>0.51800000000000002</v>
      </c>
      <c r="S574" s="408">
        <v>0.7</v>
      </c>
      <c r="T574" s="408">
        <v>1</v>
      </c>
      <c r="U574" s="408">
        <v>0.75900000000000001</v>
      </c>
      <c r="V574" s="408">
        <v>1.1000000000000001</v>
      </c>
      <c r="W574" s="408">
        <v>1.4</v>
      </c>
      <c r="X574" s="408">
        <v>2.5</v>
      </c>
      <c r="Y574" s="408">
        <v>0.9</v>
      </c>
      <c r="Z574" s="408">
        <v>0.7</v>
      </c>
      <c r="AA574" s="408">
        <v>1.2</v>
      </c>
      <c r="AB574" s="408">
        <v>0.3</v>
      </c>
      <c r="AC574" s="408">
        <v>1.8</v>
      </c>
      <c r="AD574" s="408">
        <v>2.8</v>
      </c>
    </row>
    <row r="575" spans="1:30">
      <c r="A575">
        <v>471</v>
      </c>
      <c r="B575" s="1" t="s">
        <v>489</v>
      </c>
      <c r="C575" s="5" t="s">
        <v>20</v>
      </c>
      <c r="D575" s="408">
        <v>22</v>
      </c>
      <c r="E575" s="5" t="s">
        <v>313</v>
      </c>
      <c r="F575" s="408">
        <v>60</v>
      </c>
      <c r="G575" s="408">
        <v>37</v>
      </c>
      <c r="H575" s="408">
        <v>21.9</v>
      </c>
      <c r="I575" s="408">
        <v>2.6</v>
      </c>
      <c r="J575" s="408">
        <v>6.9</v>
      </c>
      <c r="K575" s="408">
        <v>0.373</v>
      </c>
      <c r="L575" s="408">
        <v>0.5</v>
      </c>
      <c r="M575" s="408">
        <v>1.8</v>
      </c>
      <c r="N575" s="5">
        <v>0.26900000000000002</v>
      </c>
      <c r="O575" s="408">
        <v>2.1</v>
      </c>
      <c r="P575" s="408">
        <v>5.0999999999999996</v>
      </c>
      <c r="Q575" s="408">
        <v>0.40899999999999997</v>
      </c>
      <c r="R575" s="408">
        <v>0.40699999999999997</v>
      </c>
      <c r="S575" s="408">
        <v>1</v>
      </c>
      <c r="T575" s="408">
        <v>1.2</v>
      </c>
      <c r="U575" s="408">
        <v>0.81100000000000005</v>
      </c>
      <c r="V575" s="408">
        <v>0.3</v>
      </c>
      <c r="W575" s="408">
        <v>1.3</v>
      </c>
      <c r="X575" s="408">
        <v>1.6</v>
      </c>
      <c r="Y575" s="408">
        <v>3.9</v>
      </c>
      <c r="Z575" s="408">
        <v>1</v>
      </c>
      <c r="AA575" s="408">
        <v>0.1</v>
      </c>
      <c r="AB575" s="408">
        <v>1.6</v>
      </c>
      <c r="AC575" s="408">
        <v>1.7</v>
      </c>
      <c r="AD575" s="408">
        <v>6.7</v>
      </c>
    </row>
    <row r="576" spans="1:30">
      <c r="A576">
        <v>472</v>
      </c>
      <c r="B576" s="1" t="s">
        <v>554</v>
      </c>
      <c r="C576" s="5" t="s">
        <v>83</v>
      </c>
      <c r="D576" s="408">
        <v>25</v>
      </c>
      <c r="E576" s="5" t="s">
        <v>47</v>
      </c>
      <c r="F576" s="408">
        <v>66</v>
      </c>
      <c r="G576" s="408">
        <v>66</v>
      </c>
      <c r="H576" s="408">
        <v>22.6</v>
      </c>
      <c r="I576" s="408">
        <v>4.9000000000000004</v>
      </c>
      <c r="J576" s="408">
        <v>8.6999999999999993</v>
      </c>
      <c r="K576" s="408">
        <v>0.56299999999999994</v>
      </c>
      <c r="L576" s="408">
        <v>0.4</v>
      </c>
      <c r="M576" s="408">
        <v>0.9</v>
      </c>
      <c r="N576" s="5">
        <v>0.44800000000000001</v>
      </c>
      <c r="O576" s="408">
        <v>4.5</v>
      </c>
      <c r="P576" s="408">
        <v>7.8</v>
      </c>
      <c r="Q576" s="408">
        <v>0.57599999999999996</v>
      </c>
      <c r="R576" s="408">
        <v>0.58599999999999997</v>
      </c>
      <c r="S576" s="408">
        <v>2.2999999999999998</v>
      </c>
      <c r="T576" s="408">
        <v>2.8</v>
      </c>
      <c r="U576" s="408">
        <v>0.81399999999999995</v>
      </c>
      <c r="V576" s="408">
        <v>2.4</v>
      </c>
      <c r="W576" s="408">
        <v>6.2</v>
      </c>
      <c r="X576" s="408">
        <v>8.5</v>
      </c>
      <c r="Y576" s="408">
        <v>1.1000000000000001</v>
      </c>
      <c r="Z576" s="408">
        <v>0.4</v>
      </c>
      <c r="AA576" s="408">
        <v>0.9</v>
      </c>
      <c r="AB576" s="408">
        <v>1.5</v>
      </c>
      <c r="AC576" s="408">
        <v>2.6</v>
      </c>
      <c r="AD576" s="408">
        <v>12.5</v>
      </c>
    </row>
    <row r="577" spans="1:30">
      <c r="A577">
        <v>473</v>
      </c>
      <c r="B577" s="1" t="s">
        <v>361</v>
      </c>
      <c r="C577" s="5" t="s">
        <v>26</v>
      </c>
      <c r="D577" s="408">
        <v>24</v>
      </c>
      <c r="E577" s="5" t="s">
        <v>43</v>
      </c>
      <c r="F577" s="408">
        <v>70</v>
      </c>
      <c r="G577" s="408">
        <v>34</v>
      </c>
      <c r="H577" s="408">
        <v>27.4</v>
      </c>
      <c r="I577" s="408">
        <v>3.9</v>
      </c>
      <c r="J577" s="408">
        <v>9.3000000000000007</v>
      </c>
      <c r="K577" s="408">
        <v>0.41799999999999998</v>
      </c>
      <c r="L577" s="408">
        <v>1.8</v>
      </c>
      <c r="M577" s="408">
        <v>4.7</v>
      </c>
      <c r="N577" s="5">
        <v>0.38700000000000001</v>
      </c>
      <c r="O577" s="408">
        <v>2.1</v>
      </c>
      <c r="P577" s="408">
        <v>4.5999999999999996</v>
      </c>
      <c r="Q577" s="408">
        <v>0.45100000000000001</v>
      </c>
      <c r="R577" s="408">
        <v>0.51700000000000002</v>
      </c>
      <c r="S577" s="408">
        <v>0.5</v>
      </c>
      <c r="T577" s="408">
        <v>0.6</v>
      </c>
      <c r="U577" s="408">
        <v>0.8</v>
      </c>
      <c r="V577" s="408">
        <v>0.7</v>
      </c>
      <c r="W577" s="408">
        <v>4.7</v>
      </c>
      <c r="X577" s="408">
        <v>5.3</v>
      </c>
      <c r="Y577" s="408">
        <v>3.2</v>
      </c>
      <c r="Z577" s="408">
        <v>0.7</v>
      </c>
      <c r="AA577" s="408">
        <v>0.1</v>
      </c>
      <c r="AB577" s="408">
        <v>1.2</v>
      </c>
      <c r="AC577" s="408">
        <v>2.4</v>
      </c>
      <c r="AD577" s="408">
        <v>10.1</v>
      </c>
    </row>
    <row r="578" spans="1:30">
      <c r="A578">
        <v>474</v>
      </c>
      <c r="B578" s="1" t="s">
        <v>162</v>
      </c>
      <c r="C578" s="5" t="s">
        <v>20</v>
      </c>
      <c r="D578" s="408">
        <v>23</v>
      </c>
      <c r="E578" s="5" t="s">
        <v>47</v>
      </c>
      <c r="F578" s="408">
        <v>66</v>
      </c>
      <c r="G578" s="408">
        <v>0</v>
      </c>
      <c r="H578" s="408">
        <v>19.8</v>
      </c>
      <c r="I578" s="408">
        <v>2.9</v>
      </c>
      <c r="J578" s="408">
        <v>7</v>
      </c>
      <c r="K578" s="408">
        <v>0.41799999999999998</v>
      </c>
      <c r="L578" s="408">
        <v>1.3</v>
      </c>
      <c r="M578" s="408">
        <v>3.2</v>
      </c>
      <c r="N578" s="5">
        <v>0.39400000000000002</v>
      </c>
      <c r="O578" s="408">
        <v>1.7</v>
      </c>
      <c r="P578" s="408">
        <v>3.8</v>
      </c>
      <c r="Q578" s="408">
        <v>0.438</v>
      </c>
      <c r="R578" s="408">
        <v>0.50900000000000001</v>
      </c>
      <c r="S578" s="408">
        <v>1.2</v>
      </c>
      <c r="T578" s="408">
        <v>1.4</v>
      </c>
      <c r="U578" s="408">
        <v>0.85599999999999998</v>
      </c>
      <c r="V578" s="408">
        <v>0.3</v>
      </c>
      <c r="W578" s="408">
        <v>2.2000000000000002</v>
      </c>
      <c r="X578" s="408">
        <v>2.5</v>
      </c>
      <c r="Y578" s="408">
        <v>3.2</v>
      </c>
      <c r="Z578" s="408">
        <v>0.9</v>
      </c>
      <c r="AA578" s="408">
        <v>0.3</v>
      </c>
      <c r="AB578" s="408">
        <v>1</v>
      </c>
      <c r="AC578" s="408">
        <v>1.7</v>
      </c>
      <c r="AD578" s="408">
        <v>8.3000000000000007</v>
      </c>
    </row>
    <row r="579" spans="1:30">
      <c r="A579">
        <v>475</v>
      </c>
      <c r="B579" s="1" t="s">
        <v>85</v>
      </c>
      <c r="C579" s="5" t="s">
        <v>26</v>
      </c>
      <c r="D579" s="408">
        <v>21</v>
      </c>
      <c r="E579" s="5" t="s">
        <v>357</v>
      </c>
      <c r="F579" s="408">
        <v>28</v>
      </c>
      <c r="G579" s="408">
        <v>0</v>
      </c>
      <c r="H579" s="408">
        <v>7.6</v>
      </c>
      <c r="I579" s="408">
        <v>0.8</v>
      </c>
      <c r="J579" s="408">
        <v>2</v>
      </c>
      <c r="K579" s="408">
        <v>0.41099999999999998</v>
      </c>
      <c r="L579" s="408">
        <v>0.5</v>
      </c>
      <c r="M579" s="408">
        <v>1.3</v>
      </c>
      <c r="N579" s="5">
        <v>0.378</v>
      </c>
      <c r="O579" s="408">
        <v>0.3</v>
      </c>
      <c r="P579" s="408">
        <v>0.7</v>
      </c>
      <c r="Q579" s="408">
        <v>0.47399999999999998</v>
      </c>
      <c r="R579" s="408">
        <v>0.53600000000000003</v>
      </c>
      <c r="S579" s="408">
        <v>0.1</v>
      </c>
      <c r="T579" s="408">
        <v>0.2</v>
      </c>
      <c r="U579" s="408">
        <v>0.66700000000000004</v>
      </c>
      <c r="V579" s="408">
        <v>0.1</v>
      </c>
      <c r="W579" s="408">
        <v>0.6</v>
      </c>
      <c r="X579" s="408">
        <v>0.8</v>
      </c>
      <c r="Y579" s="408">
        <v>0.5</v>
      </c>
      <c r="Z579" s="408">
        <v>0.2</v>
      </c>
      <c r="AA579" s="408">
        <v>0.1</v>
      </c>
      <c r="AB579" s="408">
        <v>0.2</v>
      </c>
      <c r="AC579" s="408">
        <v>0.5</v>
      </c>
      <c r="AD579" s="408">
        <v>2.2999999999999998</v>
      </c>
    </row>
    <row r="580" spans="1:30">
      <c r="A580">
        <v>475</v>
      </c>
      <c r="B580" s="1" t="s">
        <v>85</v>
      </c>
      <c r="C580" s="5" t="s">
        <v>26</v>
      </c>
      <c r="D580" s="408">
        <v>21</v>
      </c>
      <c r="E580" s="5" t="s">
        <v>41</v>
      </c>
      <c r="F580" s="408">
        <v>22</v>
      </c>
      <c r="G580" s="408">
        <v>0</v>
      </c>
      <c r="H580" s="408">
        <v>7.9</v>
      </c>
      <c r="I580" s="408">
        <v>1</v>
      </c>
      <c r="J580" s="408">
        <v>2.2999999999999998</v>
      </c>
      <c r="K580" s="408">
        <v>0.42</v>
      </c>
      <c r="L580" s="408">
        <v>0.6</v>
      </c>
      <c r="M580" s="408">
        <v>1.6</v>
      </c>
      <c r="N580" s="5">
        <v>0.371</v>
      </c>
      <c r="O580" s="408">
        <v>0.4</v>
      </c>
      <c r="P580" s="408">
        <v>0.7</v>
      </c>
      <c r="Q580" s="408">
        <v>0.53300000000000003</v>
      </c>
      <c r="R580" s="408">
        <v>0.55000000000000004</v>
      </c>
      <c r="S580" s="408">
        <v>0.2</v>
      </c>
      <c r="T580" s="408">
        <v>0.3</v>
      </c>
      <c r="U580" s="408">
        <v>0.66700000000000004</v>
      </c>
      <c r="V580" s="408">
        <v>0.1</v>
      </c>
      <c r="W580" s="408">
        <v>0.7</v>
      </c>
      <c r="X580" s="408">
        <v>0.8</v>
      </c>
      <c r="Y580" s="408">
        <v>0.5</v>
      </c>
      <c r="Z580" s="408">
        <v>0.2</v>
      </c>
      <c r="AA580" s="408">
        <v>0.1</v>
      </c>
      <c r="AB580" s="408">
        <v>0.2</v>
      </c>
      <c r="AC580" s="408">
        <v>0.5</v>
      </c>
      <c r="AD580" s="408">
        <v>2.7</v>
      </c>
    </row>
    <row r="581" spans="1:30">
      <c r="A581">
        <v>475</v>
      </c>
      <c r="B581" s="1" t="s">
        <v>85</v>
      </c>
      <c r="C581" s="5" t="s">
        <v>26</v>
      </c>
      <c r="D581" s="408">
        <v>21</v>
      </c>
      <c r="E581" s="5" t="s">
        <v>315</v>
      </c>
      <c r="F581" s="408">
        <v>1</v>
      </c>
      <c r="G581" s="408">
        <v>0</v>
      </c>
      <c r="H581" s="408">
        <v>4</v>
      </c>
      <c r="I581" s="408">
        <v>0</v>
      </c>
      <c r="J581" s="408">
        <v>0</v>
      </c>
      <c r="K581" s="408"/>
      <c r="L581" s="408">
        <v>0</v>
      </c>
      <c r="M581" s="408">
        <v>0</v>
      </c>
      <c r="O581" s="408">
        <v>0</v>
      </c>
      <c r="P581" s="408">
        <v>0</v>
      </c>
      <c r="Q581" s="408"/>
      <c r="R581" s="408"/>
      <c r="S581" s="408">
        <v>0</v>
      </c>
      <c r="T581" s="408">
        <v>0</v>
      </c>
      <c r="U581" s="408"/>
      <c r="V581" s="408">
        <v>0</v>
      </c>
      <c r="W581" s="408">
        <v>0</v>
      </c>
      <c r="X581" s="408">
        <v>0</v>
      </c>
      <c r="Y581" s="408">
        <v>1</v>
      </c>
      <c r="Z581" s="408">
        <v>0</v>
      </c>
      <c r="AA581" s="408">
        <v>0</v>
      </c>
      <c r="AB581" s="408">
        <v>0</v>
      </c>
      <c r="AC581" s="408">
        <v>1</v>
      </c>
      <c r="AD581" s="408">
        <v>0</v>
      </c>
    </row>
    <row r="582" spans="1:30">
      <c r="A582">
        <v>475</v>
      </c>
      <c r="B582" s="1" t="s">
        <v>85</v>
      </c>
      <c r="C582" s="5" t="s">
        <v>26</v>
      </c>
      <c r="D582" s="408">
        <v>21</v>
      </c>
      <c r="E582" s="5" t="s">
        <v>75</v>
      </c>
      <c r="F582" s="408">
        <v>5</v>
      </c>
      <c r="G582" s="408">
        <v>0</v>
      </c>
      <c r="H582" s="408">
        <v>7</v>
      </c>
      <c r="I582" s="408">
        <v>0.4</v>
      </c>
      <c r="J582" s="408">
        <v>1.2</v>
      </c>
      <c r="K582" s="408">
        <v>0.33300000000000002</v>
      </c>
      <c r="L582" s="408">
        <v>0.2</v>
      </c>
      <c r="M582" s="408">
        <v>0.4</v>
      </c>
      <c r="N582" s="5">
        <v>0.5</v>
      </c>
      <c r="O582" s="408">
        <v>0.2</v>
      </c>
      <c r="P582" s="408">
        <v>0.8</v>
      </c>
      <c r="Q582" s="408">
        <v>0.25</v>
      </c>
      <c r="R582" s="408">
        <v>0.41699999999999998</v>
      </c>
      <c r="S582" s="408">
        <v>0</v>
      </c>
      <c r="T582" s="408">
        <v>0</v>
      </c>
      <c r="U582" s="408"/>
      <c r="V582" s="408">
        <v>0.2</v>
      </c>
      <c r="W582" s="408">
        <v>0.6</v>
      </c>
      <c r="X582" s="408">
        <v>0.8</v>
      </c>
      <c r="Y582" s="408">
        <v>0</v>
      </c>
      <c r="Z582" s="408">
        <v>0.2</v>
      </c>
      <c r="AA582" s="408">
        <v>0</v>
      </c>
      <c r="AB582" s="408">
        <v>0.4</v>
      </c>
      <c r="AC582" s="408">
        <v>0.4</v>
      </c>
      <c r="AD582" s="408">
        <v>1</v>
      </c>
    </row>
    <row r="583" spans="1:30">
      <c r="A583">
        <v>476</v>
      </c>
      <c r="B583" s="1" t="s">
        <v>97</v>
      </c>
      <c r="C583" s="5" t="s">
        <v>38</v>
      </c>
      <c r="D583" s="408">
        <v>22</v>
      </c>
      <c r="E583" s="5" t="s">
        <v>357</v>
      </c>
      <c r="F583" s="408">
        <v>46</v>
      </c>
      <c r="G583" s="408">
        <v>14</v>
      </c>
      <c r="H583" s="408">
        <v>15.2</v>
      </c>
      <c r="I583" s="408">
        <v>1.7</v>
      </c>
      <c r="J583" s="408">
        <v>3.8</v>
      </c>
      <c r="K583" s="408">
        <v>0.44600000000000001</v>
      </c>
      <c r="L583" s="408">
        <v>0.3</v>
      </c>
      <c r="M583" s="408">
        <v>0.9</v>
      </c>
      <c r="N583" s="5">
        <v>0.29299999999999998</v>
      </c>
      <c r="O583" s="408">
        <v>1.4</v>
      </c>
      <c r="P583" s="408">
        <v>2.9</v>
      </c>
      <c r="Q583" s="408">
        <v>0.49299999999999999</v>
      </c>
      <c r="R583" s="408">
        <v>0.48</v>
      </c>
      <c r="S583" s="408">
        <v>0.7</v>
      </c>
      <c r="T583" s="408">
        <v>1</v>
      </c>
      <c r="U583" s="408">
        <v>0.66</v>
      </c>
      <c r="V583" s="408">
        <v>1.2</v>
      </c>
      <c r="W583" s="408">
        <v>4.2</v>
      </c>
      <c r="X583" s="408">
        <v>5.4</v>
      </c>
      <c r="Y583" s="408">
        <v>0.6</v>
      </c>
      <c r="Z583" s="408">
        <v>0.2</v>
      </c>
      <c r="AA583" s="408">
        <v>0.3</v>
      </c>
      <c r="AB583" s="408">
        <v>0.5</v>
      </c>
      <c r="AC583" s="408">
        <v>1.2</v>
      </c>
      <c r="AD583" s="408">
        <v>4.3</v>
      </c>
    </row>
    <row r="584" spans="1:30">
      <c r="A584">
        <v>476</v>
      </c>
      <c r="B584" s="1" t="s">
        <v>97</v>
      </c>
      <c r="C584" s="5" t="s">
        <v>38</v>
      </c>
      <c r="D584" s="408">
        <v>22</v>
      </c>
      <c r="E584" s="5" t="s">
        <v>96</v>
      </c>
      <c r="F584" s="408">
        <v>33</v>
      </c>
      <c r="G584" s="408">
        <v>12</v>
      </c>
      <c r="H584" s="408">
        <v>14.4</v>
      </c>
      <c r="I584" s="408">
        <v>1.4</v>
      </c>
      <c r="J584" s="408">
        <v>2.9</v>
      </c>
      <c r="K584" s="408">
        <v>0.49</v>
      </c>
      <c r="L584" s="408">
        <v>0.1</v>
      </c>
      <c r="M584" s="408">
        <v>0.2</v>
      </c>
      <c r="N584" s="5">
        <v>0.33300000000000002</v>
      </c>
      <c r="O584" s="408">
        <v>1.4</v>
      </c>
      <c r="P584" s="408">
        <v>2.7</v>
      </c>
      <c r="Q584" s="408">
        <v>0.5</v>
      </c>
      <c r="R584" s="408">
        <v>0.5</v>
      </c>
      <c r="S584" s="408">
        <v>0.7</v>
      </c>
      <c r="T584" s="408">
        <v>0.9</v>
      </c>
      <c r="U584" s="408">
        <v>0.74199999999999999</v>
      </c>
      <c r="V584" s="408">
        <v>1.1000000000000001</v>
      </c>
      <c r="W584" s="408">
        <v>4</v>
      </c>
      <c r="X584" s="408">
        <v>5.0999999999999996</v>
      </c>
      <c r="Y584" s="408">
        <v>0.4</v>
      </c>
      <c r="Z584" s="408">
        <v>0.2</v>
      </c>
      <c r="AA584" s="408">
        <v>0.3</v>
      </c>
      <c r="AB584" s="408">
        <v>0.5</v>
      </c>
      <c r="AC584" s="408">
        <v>1.3</v>
      </c>
      <c r="AD584" s="408">
        <v>3.6</v>
      </c>
    </row>
    <row r="585" spans="1:30">
      <c r="A585">
        <v>476</v>
      </c>
      <c r="B585" s="1" t="s">
        <v>97</v>
      </c>
      <c r="C585" s="5" t="s">
        <v>38</v>
      </c>
      <c r="D585" s="408">
        <v>22</v>
      </c>
      <c r="E585" s="5" t="s">
        <v>43</v>
      </c>
      <c r="F585" s="408">
        <v>13</v>
      </c>
      <c r="G585" s="408">
        <v>2</v>
      </c>
      <c r="H585" s="408">
        <v>17.2</v>
      </c>
      <c r="I585" s="408">
        <v>2.4</v>
      </c>
      <c r="J585" s="408">
        <v>6.1</v>
      </c>
      <c r="K585" s="408">
        <v>0.39200000000000002</v>
      </c>
      <c r="L585" s="408">
        <v>0.8</v>
      </c>
      <c r="M585" s="408">
        <v>2.7</v>
      </c>
      <c r="N585" s="5">
        <v>0.28599999999999998</v>
      </c>
      <c r="O585" s="408">
        <v>1.6</v>
      </c>
      <c r="P585" s="408">
        <v>3.4</v>
      </c>
      <c r="Q585" s="408">
        <v>0.47699999999999998</v>
      </c>
      <c r="R585" s="408">
        <v>0.45600000000000002</v>
      </c>
      <c r="S585" s="408">
        <v>0.6</v>
      </c>
      <c r="T585" s="408">
        <v>1.2</v>
      </c>
      <c r="U585" s="408">
        <v>0.5</v>
      </c>
      <c r="V585" s="408">
        <v>1.5</v>
      </c>
      <c r="W585" s="408">
        <v>4.8</v>
      </c>
      <c r="X585" s="408">
        <v>6.2</v>
      </c>
      <c r="Y585" s="408">
        <v>1</v>
      </c>
      <c r="Z585" s="408">
        <v>0.3</v>
      </c>
      <c r="AA585" s="408">
        <v>0.2</v>
      </c>
      <c r="AB585" s="408">
        <v>0.5</v>
      </c>
      <c r="AC585" s="408">
        <v>1</v>
      </c>
      <c r="AD585" s="408">
        <v>6.2</v>
      </c>
    </row>
    <row r="586" spans="1:30">
      <c r="A586">
        <v>477</v>
      </c>
      <c r="B586" s="1" t="s">
        <v>381</v>
      </c>
      <c r="C586" s="5" t="s">
        <v>83</v>
      </c>
      <c r="D586" s="408">
        <v>27</v>
      </c>
      <c r="E586" s="5" t="s">
        <v>75</v>
      </c>
      <c r="F586" s="408">
        <v>47</v>
      </c>
      <c r="G586" s="408">
        <v>47</v>
      </c>
      <c r="H586" s="408">
        <v>30.1</v>
      </c>
      <c r="I586" s="408">
        <v>7.3</v>
      </c>
      <c r="J586" s="408">
        <v>14.7</v>
      </c>
      <c r="K586" s="408">
        <v>0.49399999999999999</v>
      </c>
      <c r="L586" s="408">
        <v>1.3</v>
      </c>
      <c r="M586" s="408">
        <v>3.9</v>
      </c>
      <c r="N586" s="5">
        <v>0.33500000000000002</v>
      </c>
      <c r="O586" s="408">
        <v>6</v>
      </c>
      <c r="P586" s="408">
        <v>10.8</v>
      </c>
      <c r="Q586" s="408">
        <v>0.55100000000000005</v>
      </c>
      <c r="R586" s="408">
        <v>0.53800000000000003</v>
      </c>
      <c r="S586" s="408">
        <v>1.4</v>
      </c>
      <c r="T586" s="408">
        <v>1.7</v>
      </c>
      <c r="U586" s="408">
        <v>0.8</v>
      </c>
      <c r="V586" s="408">
        <v>1.7</v>
      </c>
      <c r="W586" s="408">
        <v>7.3</v>
      </c>
      <c r="X586" s="408">
        <v>9</v>
      </c>
      <c r="Y586" s="408">
        <v>3.3</v>
      </c>
      <c r="Z586" s="408">
        <v>1</v>
      </c>
      <c r="AA586" s="408">
        <v>1.1000000000000001</v>
      </c>
      <c r="AB586" s="408">
        <v>2</v>
      </c>
      <c r="AC586" s="408">
        <v>2.6</v>
      </c>
      <c r="AD586" s="408">
        <v>17.2</v>
      </c>
    </row>
    <row r="587" spans="1:30">
      <c r="A587">
        <v>478</v>
      </c>
      <c r="B587" s="1" t="s">
        <v>210</v>
      </c>
      <c r="C587" s="5" t="s">
        <v>26</v>
      </c>
      <c r="D587" s="408">
        <v>36</v>
      </c>
      <c r="E587" s="5" t="s">
        <v>357</v>
      </c>
      <c r="F587" s="408">
        <v>58</v>
      </c>
      <c r="G587" s="408">
        <v>3</v>
      </c>
      <c r="H587" s="408">
        <v>23.1</v>
      </c>
      <c r="I587" s="408">
        <v>4.5</v>
      </c>
      <c r="J587" s="408">
        <v>10.1</v>
      </c>
      <c r="K587" s="408">
        <v>0.45</v>
      </c>
      <c r="L587" s="408">
        <v>0.5</v>
      </c>
      <c r="M587" s="408">
        <v>1.7</v>
      </c>
      <c r="N587" s="5">
        <v>0.29899999999999999</v>
      </c>
      <c r="O587" s="408">
        <v>4</v>
      </c>
      <c r="P587" s="408">
        <v>8.4</v>
      </c>
      <c r="Q587" s="408">
        <v>0.48</v>
      </c>
      <c r="R587" s="408">
        <v>0.47499999999999998</v>
      </c>
      <c r="S587" s="408">
        <v>2.1</v>
      </c>
      <c r="T587" s="408">
        <v>2.9</v>
      </c>
      <c r="U587" s="408">
        <v>0.71799999999999997</v>
      </c>
      <c r="V587" s="408">
        <v>0.8</v>
      </c>
      <c r="W587" s="408">
        <v>3.1</v>
      </c>
      <c r="X587" s="408">
        <v>3.9</v>
      </c>
      <c r="Y587" s="408">
        <v>3.3</v>
      </c>
      <c r="Z587" s="408">
        <v>0.9</v>
      </c>
      <c r="AA587" s="408">
        <v>0.6</v>
      </c>
      <c r="AB587" s="408">
        <v>2.1</v>
      </c>
      <c r="AC587" s="408">
        <v>1.9</v>
      </c>
      <c r="AD587" s="408">
        <v>11.7</v>
      </c>
    </row>
    <row r="588" spans="1:30">
      <c r="A588">
        <v>478</v>
      </c>
      <c r="B588" s="1" t="s">
        <v>210</v>
      </c>
      <c r="C588" s="5" t="s">
        <v>26</v>
      </c>
      <c r="D588" s="408">
        <v>36</v>
      </c>
      <c r="E588" s="5" t="s">
        <v>102</v>
      </c>
      <c r="F588" s="408">
        <v>46</v>
      </c>
      <c r="G588" s="408">
        <v>3</v>
      </c>
      <c r="H588" s="408">
        <v>23.2</v>
      </c>
      <c r="I588" s="408">
        <v>4.3</v>
      </c>
      <c r="J588" s="408">
        <v>9.5</v>
      </c>
      <c r="K588" s="408">
        <v>0.45500000000000002</v>
      </c>
      <c r="L588" s="408">
        <v>0.5</v>
      </c>
      <c r="M588" s="408">
        <v>1.5</v>
      </c>
      <c r="N588" s="5">
        <v>0.32900000000000001</v>
      </c>
      <c r="O588" s="408">
        <v>3.8</v>
      </c>
      <c r="P588" s="408">
        <v>7.9</v>
      </c>
      <c r="Q588" s="408">
        <v>0.47899999999999998</v>
      </c>
      <c r="R588" s="408">
        <v>0.48199999999999998</v>
      </c>
      <c r="S588" s="408">
        <v>2</v>
      </c>
      <c r="T588" s="408">
        <v>2.9</v>
      </c>
      <c r="U588" s="408">
        <v>0.70099999999999996</v>
      </c>
      <c r="V588" s="408">
        <v>0.8</v>
      </c>
      <c r="W588" s="408">
        <v>3.1</v>
      </c>
      <c r="X588" s="408">
        <v>3.9</v>
      </c>
      <c r="Y588" s="408">
        <v>3.5</v>
      </c>
      <c r="Z588" s="408">
        <v>0.9</v>
      </c>
      <c r="AA588" s="408">
        <v>0.7</v>
      </c>
      <c r="AB588" s="408">
        <v>2</v>
      </c>
      <c r="AC588" s="408">
        <v>1.8</v>
      </c>
      <c r="AD588" s="408">
        <v>11.2</v>
      </c>
    </row>
    <row r="589" spans="1:30">
      <c r="A589">
        <v>478</v>
      </c>
      <c r="B589" s="1" t="s">
        <v>210</v>
      </c>
      <c r="C589" s="5" t="s">
        <v>26</v>
      </c>
      <c r="D589" s="408">
        <v>36</v>
      </c>
      <c r="E589" s="5" t="s">
        <v>50</v>
      </c>
      <c r="F589" s="408">
        <v>12</v>
      </c>
      <c r="G589" s="408">
        <v>0</v>
      </c>
      <c r="H589" s="408">
        <v>22.8</v>
      </c>
      <c r="I589" s="408">
        <v>5.4</v>
      </c>
      <c r="J589" s="408">
        <v>12.4</v>
      </c>
      <c r="K589" s="408">
        <v>0.436</v>
      </c>
      <c r="L589" s="408">
        <v>0.5</v>
      </c>
      <c r="M589" s="408">
        <v>2.2999999999999998</v>
      </c>
      <c r="N589" s="5">
        <v>0.222</v>
      </c>
      <c r="O589" s="408">
        <v>4.9000000000000004</v>
      </c>
      <c r="P589" s="408">
        <v>10.199999999999999</v>
      </c>
      <c r="Q589" s="408">
        <v>0.48399999999999999</v>
      </c>
      <c r="R589" s="408">
        <v>0.45600000000000002</v>
      </c>
      <c r="S589" s="408">
        <v>2.2999999999999998</v>
      </c>
      <c r="T589" s="408">
        <v>3</v>
      </c>
      <c r="U589" s="408">
        <v>0.77800000000000002</v>
      </c>
      <c r="V589" s="408">
        <v>0.8</v>
      </c>
      <c r="W589" s="408">
        <v>3.1</v>
      </c>
      <c r="X589" s="408">
        <v>3.8</v>
      </c>
      <c r="Y589" s="408">
        <v>2.6</v>
      </c>
      <c r="Z589" s="408">
        <v>0.8</v>
      </c>
      <c r="AA589" s="408">
        <v>0.4</v>
      </c>
      <c r="AB589" s="408">
        <v>2.2999999999999998</v>
      </c>
      <c r="AC589" s="408">
        <v>2.2999999999999998</v>
      </c>
      <c r="AD589" s="408">
        <v>13.7</v>
      </c>
    </row>
    <row r="590" spans="1:30">
      <c r="A590">
        <v>479</v>
      </c>
      <c r="B590" s="1" t="s">
        <v>336</v>
      </c>
      <c r="C590" s="5" t="s">
        <v>26</v>
      </c>
      <c r="D590" s="408">
        <v>26</v>
      </c>
      <c r="E590" s="5" t="s">
        <v>50</v>
      </c>
      <c r="F590" s="408">
        <v>30</v>
      </c>
      <c r="G590" s="408">
        <v>30</v>
      </c>
      <c r="H590" s="408">
        <v>30.6</v>
      </c>
      <c r="I590" s="408">
        <v>5.4</v>
      </c>
      <c r="J590" s="408">
        <v>13.7</v>
      </c>
      <c r="K590" s="408">
        <v>0.39800000000000002</v>
      </c>
      <c r="L590" s="408">
        <v>1.7</v>
      </c>
      <c r="M590" s="408">
        <v>5.7</v>
      </c>
      <c r="N590" s="5">
        <v>0.30599999999999999</v>
      </c>
      <c r="O590" s="408">
        <v>3.7</v>
      </c>
      <c r="P590" s="408">
        <v>8</v>
      </c>
      <c r="Q590" s="408">
        <v>0.46300000000000002</v>
      </c>
      <c r="R590" s="408">
        <v>0.46100000000000002</v>
      </c>
      <c r="S590" s="408">
        <v>1.7</v>
      </c>
      <c r="T590" s="408">
        <v>2.2999999999999998</v>
      </c>
      <c r="U590" s="408">
        <v>0.73899999999999999</v>
      </c>
      <c r="V590" s="408">
        <v>0.3</v>
      </c>
      <c r="W590" s="408">
        <v>2.2999999999999998</v>
      </c>
      <c r="X590" s="408">
        <v>2.6</v>
      </c>
      <c r="Y590" s="408">
        <v>3.8</v>
      </c>
      <c r="Z590" s="408">
        <v>0.8</v>
      </c>
      <c r="AA590" s="408">
        <v>0.3</v>
      </c>
      <c r="AB590" s="408">
        <v>2.2999999999999998</v>
      </c>
      <c r="AC590" s="408">
        <v>2</v>
      </c>
      <c r="AD590" s="408">
        <v>14.3</v>
      </c>
    </row>
    <row r="591" spans="1:30">
      <c r="A591">
        <v>480</v>
      </c>
      <c r="B591" s="1" t="s">
        <v>310</v>
      </c>
      <c r="C591" s="5" t="s">
        <v>20</v>
      </c>
      <c r="D591" s="408">
        <v>27</v>
      </c>
      <c r="E591" s="5" t="s">
        <v>311</v>
      </c>
      <c r="F591" s="408">
        <v>69</v>
      </c>
      <c r="G591" s="408">
        <v>69</v>
      </c>
      <c r="H591" s="408">
        <v>34.799999999999997</v>
      </c>
      <c r="I591" s="408">
        <v>7.5</v>
      </c>
      <c r="J591" s="408">
        <v>17.5</v>
      </c>
      <c r="K591" s="408">
        <v>0.43</v>
      </c>
      <c r="L591" s="408">
        <v>2.9</v>
      </c>
      <c r="M591" s="408">
        <v>7.6</v>
      </c>
      <c r="N591" s="5">
        <v>0.38700000000000001</v>
      </c>
      <c r="O591" s="408">
        <v>4.5999999999999996</v>
      </c>
      <c r="P591" s="408">
        <v>9.9</v>
      </c>
      <c r="Q591" s="408">
        <v>0.46300000000000002</v>
      </c>
      <c r="R591" s="408">
        <v>0.51400000000000001</v>
      </c>
      <c r="S591" s="408">
        <v>4.5999999999999996</v>
      </c>
      <c r="T591" s="408">
        <v>5.4</v>
      </c>
      <c r="U591" s="408">
        <v>0.84899999999999998</v>
      </c>
      <c r="V591" s="408">
        <v>0.4</v>
      </c>
      <c r="W591" s="408">
        <v>2.8</v>
      </c>
      <c r="X591" s="408">
        <v>3.2</v>
      </c>
      <c r="Y591" s="408">
        <v>5.8</v>
      </c>
      <c r="Z591" s="408">
        <v>1.2</v>
      </c>
      <c r="AA591" s="408">
        <v>0.3</v>
      </c>
      <c r="AB591" s="408">
        <v>2.2000000000000002</v>
      </c>
      <c r="AC591" s="408">
        <v>1.3</v>
      </c>
      <c r="AD591" s="408">
        <v>22.6</v>
      </c>
    </row>
    <row r="592" spans="1:30">
      <c r="A592">
        <v>481</v>
      </c>
      <c r="B592" s="1" t="s">
        <v>387</v>
      </c>
      <c r="C592" s="5" t="s">
        <v>20</v>
      </c>
      <c r="D592" s="408">
        <v>27</v>
      </c>
      <c r="E592" s="5" t="s">
        <v>27</v>
      </c>
      <c r="F592" s="408">
        <v>37</v>
      </c>
      <c r="G592" s="408">
        <v>37</v>
      </c>
      <c r="H592" s="408">
        <v>34.299999999999997</v>
      </c>
      <c r="I592" s="408">
        <v>6.8</v>
      </c>
      <c r="J592" s="408">
        <v>16.3</v>
      </c>
      <c r="K592" s="408">
        <v>0.41699999999999998</v>
      </c>
      <c r="L592" s="408">
        <v>1.4</v>
      </c>
      <c r="M592" s="408">
        <v>4</v>
      </c>
      <c r="N592" s="5">
        <v>0.35799999999999998</v>
      </c>
      <c r="O592" s="408">
        <v>5.4</v>
      </c>
      <c r="P592" s="408">
        <v>12.3</v>
      </c>
      <c r="Q592" s="408">
        <v>0.436</v>
      </c>
      <c r="R592" s="408">
        <v>0.46100000000000002</v>
      </c>
      <c r="S592" s="408">
        <v>4.3</v>
      </c>
      <c r="T592" s="408">
        <v>6</v>
      </c>
      <c r="U592" s="408">
        <v>0.71899999999999997</v>
      </c>
      <c r="V592" s="408">
        <v>0.5</v>
      </c>
      <c r="W592" s="408">
        <v>3</v>
      </c>
      <c r="X592" s="408">
        <v>3.6</v>
      </c>
      <c r="Y592" s="408">
        <v>9.3000000000000007</v>
      </c>
      <c r="Z592" s="408">
        <v>1.3</v>
      </c>
      <c r="AA592" s="408">
        <v>1.1000000000000001</v>
      </c>
      <c r="AB592" s="408">
        <v>3.6</v>
      </c>
      <c r="AC592" s="408">
        <v>1.9</v>
      </c>
      <c r="AD592" s="408">
        <v>19.399999999999999</v>
      </c>
    </row>
    <row r="593" spans="1:30">
      <c r="A593">
        <v>482</v>
      </c>
      <c r="B593" s="1" t="s">
        <v>509</v>
      </c>
      <c r="C593" s="5" t="s">
        <v>20</v>
      </c>
      <c r="D593" s="408">
        <v>23</v>
      </c>
      <c r="E593" s="5" t="s">
        <v>64</v>
      </c>
      <c r="F593" s="408">
        <v>21</v>
      </c>
      <c r="G593" s="408">
        <v>12</v>
      </c>
      <c r="H593" s="408">
        <v>27.7</v>
      </c>
      <c r="I593" s="408">
        <v>3.7</v>
      </c>
      <c r="J593" s="408">
        <v>8</v>
      </c>
      <c r="K593" s="408">
        <v>0.46100000000000002</v>
      </c>
      <c r="L593" s="408">
        <v>0.4</v>
      </c>
      <c r="M593" s="408">
        <v>1.2</v>
      </c>
      <c r="N593" s="5">
        <v>0.308</v>
      </c>
      <c r="O593" s="408">
        <v>3.3</v>
      </c>
      <c r="P593" s="408">
        <v>6.7</v>
      </c>
      <c r="Q593" s="408">
        <v>0.48899999999999999</v>
      </c>
      <c r="R593" s="408">
        <v>0.48499999999999999</v>
      </c>
      <c r="S593" s="408">
        <v>2.4</v>
      </c>
      <c r="T593" s="408">
        <v>3</v>
      </c>
      <c r="U593" s="408">
        <v>0.78100000000000003</v>
      </c>
      <c r="V593" s="408">
        <v>0.7</v>
      </c>
      <c r="W593" s="408">
        <v>2.7</v>
      </c>
      <c r="X593" s="408">
        <v>3.4</v>
      </c>
      <c r="Y593" s="408">
        <v>2.5</v>
      </c>
      <c r="Z593" s="408">
        <v>0.9</v>
      </c>
      <c r="AA593" s="408">
        <v>0.4</v>
      </c>
      <c r="AB593" s="408">
        <v>1.2</v>
      </c>
      <c r="AC593" s="408">
        <v>2.8</v>
      </c>
      <c r="AD593" s="408">
        <v>10.1</v>
      </c>
    </row>
    <row r="594" spans="1:30">
      <c r="A594">
        <v>483</v>
      </c>
      <c r="B594" s="1" t="s">
        <v>365</v>
      </c>
      <c r="C594" s="5" t="s">
        <v>46</v>
      </c>
      <c r="D594" s="408">
        <v>23</v>
      </c>
      <c r="E594" s="5" t="s">
        <v>149</v>
      </c>
      <c r="F594" s="408">
        <v>70</v>
      </c>
      <c r="G594" s="408">
        <v>70</v>
      </c>
      <c r="H594" s="408">
        <v>30.2</v>
      </c>
      <c r="I594" s="408">
        <v>4.8</v>
      </c>
      <c r="J594" s="408">
        <v>11.4</v>
      </c>
      <c r="K594" s="408">
        <v>0.42299999999999999</v>
      </c>
      <c r="L594" s="408">
        <v>2.1</v>
      </c>
      <c r="M594" s="408">
        <v>5.4</v>
      </c>
      <c r="N594" s="5">
        <v>0.38800000000000001</v>
      </c>
      <c r="O594" s="408">
        <v>2.7</v>
      </c>
      <c r="P594" s="408">
        <v>6.1</v>
      </c>
      <c r="Q594" s="408">
        <v>0.45300000000000001</v>
      </c>
      <c r="R594" s="408">
        <v>0.51400000000000001</v>
      </c>
      <c r="S594" s="408">
        <v>1.8</v>
      </c>
      <c r="T594" s="408">
        <v>2.1</v>
      </c>
      <c r="U594" s="408">
        <v>0.83799999999999997</v>
      </c>
      <c r="V594" s="408">
        <v>0.6</v>
      </c>
      <c r="W594" s="408">
        <v>4.2</v>
      </c>
      <c r="X594" s="408">
        <v>4.9000000000000004</v>
      </c>
      <c r="Y594" s="408">
        <v>2.4</v>
      </c>
      <c r="Z594" s="408">
        <v>1</v>
      </c>
      <c r="AA594" s="408">
        <v>0.6</v>
      </c>
      <c r="AB594" s="408">
        <v>2.2999999999999998</v>
      </c>
      <c r="AC594" s="408">
        <v>2</v>
      </c>
      <c r="AD594" s="408">
        <v>13.5</v>
      </c>
    </row>
    <row r="595" spans="1:30">
      <c r="A595">
        <v>484</v>
      </c>
      <c r="B595" s="1" t="s">
        <v>302</v>
      </c>
      <c r="C595" s="5" t="s">
        <v>20</v>
      </c>
      <c r="D595" s="408">
        <v>22</v>
      </c>
      <c r="E595" s="5" t="s">
        <v>50</v>
      </c>
      <c r="F595" s="408">
        <v>14</v>
      </c>
      <c r="G595" s="408">
        <v>0</v>
      </c>
      <c r="H595" s="408">
        <v>9.8000000000000007</v>
      </c>
      <c r="I595" s="408">
        <v>0.6</v>
      </c>
      <c r="J595" s="408">
        <v>1.7</v>
      </c>
      <c r="K595" s="408">
        <v>0.33300000000000002</v>
      </c>
      <c r="L595" s="408">
        <v>0.5</v>
      </c>
      <c r="M595" s="408">
        <v>1.2</v>
      </c>
      <c r="N595" s="5">
        <v>0.41199999999999998</v>
      </c>
      <c r="O595" s="408">
        <v>0.1</v>
      </c>
      <c r="P595" s="408">
        <v>0.5</v>
      </c>
      <c r="Q595" s="408">
        <v>0.14299999999999999</v>
      </c>
      <c r="R595" s="408">
        <v>0.47899999999999998</v>
      </c>
      <c r="S595" s="408">
        <v>0.3</v>
      </c>
      <c r="T595" s="408">
        <v>0.3</v>
      </c>
      <c r="U595" s="408">
        <v>1</v>
      </c>
      <c r="V595" s="408">
        <v>0.1</v>
      </c>
      <c r="W595" s="408">
        <v>0.8</v>
      </c>
      <c r="X595" s="408">
        <v>0.9</v>
      </c>
      <c r="Y595" s="408">
        <v>1.1000000000000001</v>
      </c>
      <c r="Z595" s="408">
        <v>0.4</v>
      </c>
      <c r="AA595" s="408">
        <v>0.2</v>
      </c>
      <c r="AB595" s="408">
        <v>0.1</v>
      </c>
      <c r="AC595" s="408">
        <v>0.4</v>
      </c>
      <c r="AD595" s="408">
        <v>1.9</v>
      </c>
    </row>
    <row r="596" spans="1:30">
      <c r="A596">
        <v>485</v>
      </c>
      <c r="B596" s="1" t="s">
        <v>1203</v>
      </c>
      <c r="C596" s="5" t="s">
        <v>38</v>
      </c>
      <c r="D596" s="408">
        <v>24</v>
      </c>
      <c r="E596" s="5" t="s">
        <v>33</v>
      </c>
      <c r="F596" s="408">
        <v>3</v>
      </c>
      <c r="G596" s="408">
        <v>0</v>
      </c>
      <c r="H596" s="408">
        <v>9</v>
      </c>
      <c r="I596" s="408">
        <v>2.2999999999999998</v>
      </c>
      <c r="J596" s="408">
        <v>4</v>
      </c>
      <c r="K596" s="408">
        <v>0.58299999999999996</v>
      </c>
      <c r="L596" s="408">
        <v>0</v>
      </c>
      <c r="M596" s="408">
        <v>0</v>
      </c>
      <c r="O596" s="408">
        <v>2.2999999999999998</v>
      </c>
      <c r="P596" s="408">
        <v>4</v>
      </c>
      <c r="Q596" s="408">
        <v>0.58299999999999996</v>
      </c>
      <c r="R596" s="408">
        <v>0.58299999999999996</v>
      </c>
      <c r="S596" s="408">
        <v>1</v>
      </c>
      <c r="T596" s="408">
        <v>1.7</v>
      </c>
      <c r="U596" s="408">
        <v>0.6</v>
      </c>
      <c r="V596" s="408">
        <v>1.3</v>
      </c>
      <c r="W596" s="408">
        <v>1.7</v>
      </c>
      <c r="X596" s="408">
        <v>3</v>
      </c>
      <c r="Y596" s="408">
        <v>0</v>
      </c>
      <c r="Z596" s="408">
        <v>0</v>
      </c>
      <c r="AA596" s="408">
        <v>0</v>
      </c>
      <c r="AB596" s="408">
        <v>0.3</v>
      </c>
      <c r="AC596" s="408">
        <v>0.7</v>
      </c>
      <c r="AD596" s="408">
        <v>5.7</v>
      </c>
    </row>
    <row r="597" spans="1:30">
      <c r="A597">
        <v>486</v>
      </c>
      <c r="B597" s="1" t="s">
        <v>508</v>
      </c>
      <c r="C597" s="5" t="s">
        <v>46</v>
      </c>
      <c r="D597" s="408">
        <v>24</v>
      </c>
      <c r="E597" s="5" t="s">
        <v>313</v>
      </c>
      <c r="F597" s="408">
        <v>65</v>
      </c>
      <c r="G597" s="408">
        <v>65</v>
      </c>
      <c r="H597" s="408">
        <v>33</v>
      </c>
      <c r="I597" s="408">
        <v>8.1</v>
      </c>
      <c r="J597" s="408">
        <v>16.399999999999999</v>
      </c>
      <c r="K597" s="408">
        <v>0.498</v>
      </c>
      <c r="L597" s="408">
        <v>0.3</v>
      </c>
      <c r="M597" s="408">
        <v>1.4</v>
      </c>
      <c r="N597" s="5">
        <v>0.222</v>
      </c>
      <c r="O597" s="408">
        <v>7.8</v>
      </c>
      <c r="P597" s="408">
        <v>15</v>
      </c>
      <c r="Q597" s="408">
        <v>0.52300000000000002</v>
      </c>
      <c r="R597" s="408">
        <v>0.50700000000000001</v>
      </c>
      <c r="S597" s="408">
        <v>3</v>
      </c>
      <c r="T597" s="408">
        <v>3.9</v>
      </c>
      <c r="U597" s="408">
        <v>0.75700000000000001</v>
      </c>
      <c r="V597" s="408">
        <v>1.9</v>
      </c>
      <c r="W597" s="408">
        <v>3.2</v>
      </c>
      <c r="X597" s="408">
        <v>5.0999999999999996</v>
      </c>
      <c r="Y597" s="408">
        <v>1.3</v>
      </c>
      <c r="Z597" s="408">
        <v>1</v>
      </c>
      <c r="AA597" s="408">
        <v>0.6</v>
      </c>
      <c r="AB597" s="408">
        <v>1.3</v>
      </c>
      <c r="AC597" s="408">
        <v>2.2999999999999998</v>
      </c>
      <c r="AD597" s="408">
        <v>19.600000000000001</v>
      </c>
    </row>
    <row r="598" spans="1:30">
      <c r="A598">
        <v>487</v>
      </c>
      <c r="B598" s="1" t="s">
        <v>1087</v>
      </c>
      <c r="C598" s="5" t="s">
        <v>46</v>
      </c>
      <c r="D598" s="408">
        <v>27</v>
      </c>
      <c r="E598" s="5" t="s">
        <v>78</v>
      </c>
      <c r="F598" s="408">
        <v>9</v>
      </c>
      <c r="G598" s="408">
        <v>0</v>
      </c>
      <c r="H598" s="408">
        <v>11.9</v>
      </c>
      <c r="I598" s="408">
        <v>1.6</v>
      </c>
      <c r="J598" s="408">
        <v>4.0999999999999996</v>
      </c>
      <c r="K598" s="408">
        <v>0.378</v>
      </c>
      <c r="L598" s="408">
        <v>1.1000000000000001</v>
      </c>
      <c r="M598" s="408">
        <v>2.9</v>
      </c>
      <c r="N598" s="5">
        <v>0.38500000000000001</v>
      </c>
      <c r="O598" s="408">
        <v>0.4</v>
      </c>
      <c r="P598" s="408">
        <v>1.2</v>
      </c>
      <c r="Q598" s="408">
        <v>0.36399999999999999</v>
      </c>
      <c r="R598" s="408">
        <v>0.51400000000000001</v>
      </c>
      <c r="S598" s="408">
        <v>0.4</v>
      </c>
      <c r="T598" s="408">
        <v>0.4</v>
      </c>
      <c r="U598" s="408">
        <v>1</v>
      </c>
      <c r="V598" s="408">
        <v>0</v>
      </c>
      <c r="W598" s="408">
        <v>2.2000000000000002</v>
      </c>
      <c r="X598" s="408">
        <v>2.2000000000000002</v>
      </c>
      <c r="Y598" s="408">
        <v>0.1</v>
      </c>
      <c r="Z598" s="408">
        <v>0</v>
      </c>
      <c r="AA598" s="408">
        <v>0.4</v>
      </c>
      <c r="AB598" s="408">
        <v>0.3</v>
      </c>
      <c r="AC598" s="408">
        <v>2</v>
      </c>
      <c r="AD598" s="408">
        <v>4.7</v>
      </c>
    </row>
    <row r="599" spans="1:30">
      <c r="A599">
        <v>488</v>
      </c>
      <c r="B599" s="1" t="s">
        <v>818</v>
      </c>
      <c r="C599" s="5" t="s">
        <v>46</v>
      </c>
      <c r="D599" s="408">
        <v>24</v>
      </c>
      <c r="E599" s="5" t="s">
        <v>315</v>
      </c>
      <c r="F599" s="408">
        <v>9</v>
      </c>
      <c r="G599" s="408">
        <v>0</v>
      </c>
      <c r="H599" s="408">
        <v>12</v>
      </c>
      <c r="I599" s="408">
        <v>0.6</v>
      </c>
      <c r="J599" s="408">
        <v>2.2999999999999998</v>
      </c>
      <c r="K599" s="408">
        <v>0.23799999999999999</v>
      </c>
      <c r="L599" s="408">
        <v>0.4</v>
      </c>
      <c r="M599" s="408">
        <v>1.9</v>
      </c>
      <c r="N599" s="5">
        <v>0.23499999999999999</v>
      </c>
      <c r="O599" s="408">
        <v>0.1</v>
      </c>
      <c r="P599" s="408">
        <v>0.4</v>
      </c>
      <c r="Q599" s="408">
        <v>0.25</v>
      </c>
      <c r="R599" s="408">
        <v>0.33300000000000002</v>
      </c>
      <c r="S599" s="408">
        <v>0</v>
      </c>
      <c r="T599" s="408">
        <v>0</v>
      </c>
      <c r="U599" s="408"/>
      <c r="V599" s="408">
        <v>0.8</v>
      </c>
      <c r="W599" s="408">
        <v>1.7</v>
      </c>
      <c r="X599" s="408">
        <v>2.4</v>
      </c>
      <c r="Y599" s="408">
        <v>0.4</v>
      </c>
      <c r="Z599" s="408">
        <v>0.1</v>
      </c>
      <c r="AA599" s="408">
        <v>0</v>
      </c>
      <c r="AB599" s="408">
        <v>0.3</v>
      </c>
      <c r="AC599" s="408">
        <v>1.1000000000000001</v>
      </c>
      <c r="AD599" s="408">
        <v>1.6</v>
      </c>
    </row>
    <row r="600" spans="1:30">
      <c r="A600">
        <v>489</v>
      </c>
      <c r="B600" s="1" t="s">
        <v>290</v>
      </c>
      <c r="C600" s="5" t="s">
        <v>20</v>
      </c>
      <c r="D600" s="408">
        <v>25</v>
      </c>
      <c r="E600" s="5" t="s">
        <v>357</v>
      </c>
      <c r="F600" s="408">
        <v>16</v>
      </c>
      <c r="G600" s="408">
        <v>0</v>
      </c>
      <c r="H600" s="408">
        <v>12.1</v>
      </c>
      <c r="I600" s="408">
        <v>1.1000000000000001</v>
      </c>
      <c r="J600" s="408">
        <v>2.2999999999999998</v>
      </c>
      <c r="K600" s="408">
        <v>0.48599999999999999</v>
      </c>
      <c r="L600" s="408">
        <v>0.3</v>
      </c>
      <c r="M600" s="408">
        <v>0.7</v>
      </c>
      <c r="N600" s="5">
        <v>0.36399999999999999</v>
      </c>
      <c r="O600" s="408">
        <v>0.9</v>
      </c>
      <c r="P600" s="408">
        <v>1.6</v>
      </c>
      <c r="Q600" s="408">
        <v>0.53800000000000003</v>
      </c>
      <c r="R600" s="408">
        <v>0.54100000000000004</v>
      </c>
      <c r="S600" s="408">
        <v>0.4</v>
      </c>
      <c r="T600" s="408">
        <v>0.5</v>
      </c>
      <c r="U600" s="408">
        <v>0.75</v>
      </c>
      <c r="V600" s="408">
        <v>0.4</v>
      </c>
      <c r="W600" s="408">
        <v>1.6</v>
      </c>
      <c r="X600" s="408">
        <v>2.1</v>
      </c>
      <c r="Y600" s="408">
        <v>1.1000000000000001</v>
      </c>
      <c r="Z600" s="408">
        <v>0.9</v>
      </c>
      <c r="AA600" s="408">
        <v>0.3</v>
      </c>
      <c r="AB600" s="408">
        <v>0.7</v>
      </c>
      <c r="AC600" s="408">
        <v>1.5</v>
      </c>
      <c r="AD600" s="408">
        <v>2.9</v>
      </c>
    </row>
    <row r="601" spans="1:30">
      <c r="A601">
        <v>489</v>
      </c>
      <c r="B601" s="1" t="s">
        <v>290</v>
      </c>
      <c r="C601" s="5" t="s">
        <v>20</v>
      </c>
      <c r="D601" s="408">
        <v>25</v>
      </c>
      <c r="E601" s="5" t="s">
        <v>92</v>
      </c>
      <c r="F601" s="408">
        <v>13</v>
      </c>
      <c r="G601" s="408">
        <v>0</v>
      </c>
      <c r="H601" s="408">
        <v>9.1</v>
      </c>
      <c r="I601" s="408">
        <v>0.7</v>
      </c>
      <c r="J601" s="408">
        <v>1.7</v>
      </c>
      <c r="K601" s="408">
        <v>0.40899999999999997</v>
      </c>
      <c r="L601" s="408">
        <v>0.3</v>
      </c>
      <c r="M601" s="408">
        <v>0.7</v>
      </c>
      <c r="N601" s="5">
        <v>0.44400000000000001</v>
      </c>
      <c r="O601" s="408">
        <v>0.4</v>
      </c>
      <c r="P601" s="408">
        <v>1</v>
      </c>
      <c r="Q601" s="408">
        <v>0.38500000000000001</v>
      </c>
      <c r="R601" s="408">
        <v>0.5</v>
      </c>
      <c r="S601" s="408">
        <v>0.3</v>
      </c>
      <c r="T601" s="408">
        <v>0.3</v>
      </c>
      <c r="U601" s="408">
        <v>1</v>
      </c>
      <c r="V601" s="408">
        <v>0.2</v>
      </c>
      <c r="W601" s="408">
        <v>1.2</v>
      </c>
      <c r="X601" s="408">
        <v>1.4</v>
      </c>
      <c r="Y601" s="408">
        <v>1</v>
      </c>
      <c r="Z601" s="408">
        <v>0.8</v>
      </c>
      <c r="AA601" s="408">
        <v>0.2</v>
      </c>
      <c r="AB601" s="408">
        <v>0.5</v>
      </c>
      <c r="AC601" s="408">
        <v>1.4</v>
      </c>
      <c r="AD601" s="408">
        <v>2</v>
      </c>
    </row>
    <row r="602" spans="1:30">
      <c r="A602">
        <v>489</v>
      </c>
      <c r="B602" s="1" t="s">
        <v>290</v>
      </c>
      <c r="C602" s="5" t="s">
        <v>20</v>
      </c>
      <c r="D602" s="408">
        <v>25</v>
      </c>
      <c r="E602" s="5" t="s">
        <v>128</v>
      </c>
      <c r="F602" s="408">
        <v>3</v>
      </c>
      <c r="G602" s="408">
        <v>0</v>
      </c>
      <c r="H602" s="408">
        <v>25</v>
      </c>
      <c r="I602" s="408">
        <v>3</v>
      </c>
      <c r="J602" s="408">
        <v>5</v>
      </c>
      <c r="K602" s="408">
        <v>0.6</v>
      </c>
      <c r="L602" s="408">
        <v>0</v>
      </c>
      <c r="M602" s="408">
        <v>0.7</v>
      </c>
      <c r="N602" s="5">
        <v>0</v>
      </c>
      <c r="O602" s="408">
        <v>3</v>
      </c>
      <c r="P602" s="408">
        <v>4.3</v>
      </c>
      <c r="Q602" s="408">
        <v>0.69199999999999995</v>
      </c>
      <c r="R602" s="408">
        <v>0.6</v>
      </c>
      <c r="S602" s="408">
        <v>0.7</v>
      </c>
      <c r="T602" s="408">
        <v>1.3</v>
      </c>
      <c r="U602" s="408">
        <v>0.5</v>
      </c>
      <c r="V602" s="408">
        <v>1.3</v>
      </c>
      <c r="W602" s="408">
        <v>3.7</v>
      </c>
      <c r="X602" s="408">
        <v>5</v>
      </c>
      <c r="Y602" s="408">
        <v>1.3</v>
      </c>
      <c r="Z602" s="408">
        <v>1.7</v>
      </c>
      <c r="AA602" s="408">
        <v>0.3</v>
      </c>
      <c r="AB602" s="408">
        <v>1.3</v>
      </c>
      <c r="AC602" s="408">
        <v>2</v>
      </c>
      <c r="AD602" s="408">
        <v>6.7</v>
      </c>
    </row>
    <row r="603" spans="1:30">
      <c r="A603">
        <v>490</v>
      </c>
      <c r="B603" s="1" t="s">
        <v>167</v>
      </c>
      <c r="C603" s="5" t="s">
        <v>83</v>
      </c>
      <c r="D603" s="408">
        <v>37</v>
      </c>
      <c r="E603" s="5" t="s">
        <v>73</v>
      </c>
      <c r="F603" s="408">
        <v>62</v>
      </c>
      <c r="G603" s="408">
        <v>0</v>
      </c>
      <c r="H603" s="408">
        <v>13.7</v>
      </c>
      <c r="I603" s="408">
        <v>3.1</v>
      </c>
      <c r="J603" s="408">
        <v>5.2</v>
      </c>
      <c r="K603" s="408">
        <v>0.59399999999999997</v>
      </c>
      <c r="L603" s="408">
        <v>0</v>
      </c>
      <c r="M603" s="408">
        <v>0.1</v>
      </c>
      <c r="N603" s="5">
        <v>0.375</v>
      </c>
      <c r="O603" s="408">
        <v>3</v>
      </c>
      <c r="P603" s="408">
        <v>5</v>
      </c>
      <c r="Q603" s="408">
        <v>0.59899999999999998</v>
      </c>
      <c r="R603" s="408">
        <v>0.59799999999999998</v>
      </c>
      <c r="S603" s="408">
        <v>0.8</v>
      </c>
      <c r="T603" s="408">
        <v>1.1000000000000001</v>
      </c>
      <c r="U603" s="408">
        <v>0.75</v>
      </c>
      <c r="V603" s="408">
        <v>0.9</v>
      </c>
      <c r="W603" s="408">
        <v>2.5</v>
      </c>
      <c r="X603" s="408">
        <v>3.4</v>
      </c>
      <c r="Y603" s="408">
        <v>1.9</v>
      </c>
      <c r="Z603" s="408">
        <v>0.6</v>
      </c>
      <c r="AA603" s="408">
        <v>1.1000000000000001</v>
      </c>
      <c r="AB603" s="408">
        <v>1.2</v>
      </c>
      <c r="AC603" s="408">
        <v>1.7</v>
      </c>
      <c r="AD603" s="408">
        <v>7</v>
      </c>
    </row>
    <row r="604" spans="1:30">
      <c r="A604">
        <v>491</v>
      </c>
      <c r="B604" s="1" t="s">
        <v>366</v>
      </c>
      <c r="C604" s="5" t="s">
        <v>20</v>
      </c>
      <c r="D604" s="408">
        <v>29</v>
      </c>
      <c r="E604" s="5" t="s">
        <v>58</v>
      </c>
      <c r="F604" s="408">
        <v>70</v>
      </c>
      <c r="G604" s="408">
        <v>70</v>
      </c>
      <c r="H604" s="408">
        <v>36.200000000000003</v>
      </c>
      <c r="I604" s="408">
        <v>9.5</v>
      </c>
      <c r="J604" s="408">
        <v>21.1</v>
      </c>
      <c r="K604" s="408">
        <v>0.45100000000000001</v>
      </c>
      <c r="L604" s="408">
        <v>1.2</v>
      </c>
      <c r="M604" s="408">
        <v>4.0999999999999996</v>
      </c>
      <c r="N604" s="5">
        <v>0.28699999999999998</v>
      </c>
      <c r="O604" s="408">
        <v>8.4</v>
      </c>
      <c r="P604" s="408">
        <v>17</v>
      </c>
      <c r="Q604" s="408">
        <v>0.49</v>
      </c>
      <c r="R604" s="408">
        <v>0.47899999999999998</v>
      </c>
      <c r="S604" s="408">
        <v>5.0999999999999996</v>
      </c>
      <c r="T604" s="408">
        <v>6.9</v>
      </c>
      <c r="U604" s="408">
        <v>0.73699999999999999</v>
      </c>
      <c r="V604" s="408">
        <v>1.8</v>
      </c>
      <c r="W604" s="408">
        <v>7.9</v>
      </c>
      <c r="X604" s="408">
        <v>9.6999999999999993</v>
      </c>
      <c r="Y604" s="408">
        <v>10.199999999999999</v>
      </c>
      <c r="Z604" s="408">
        <v>1.8</v>
      </c>
      <c r="AA604" s="408">
        <v>0.2</v>
      </c>
      <c r="AB604" s="408">
        <v>4.7</v>
      </c>
      <c r="AC604" s="408">
        <v>2.4</v>
      </c>
      <c r="AD604" s="408">
        <v>25.3</v>
      </c>
    </row>
    <row r="605" spans="1:30">
      <c r="A605">
        <v>492</v>
      </c>
      <c r="B605" s="1" t="s">
        <v>995</v>
      </c>
      <c r="C605" s="5" t="s">
        <v>46</v>
      </c>
      <c r="D605" s="408">
        <v>24</v>
      </c>
      <c r="E605" s="5" t="s">
        <v>149</v>
      </c>
      <c r="F605" s="408">
        <v>8</v>
      </c>
      <c r="G605" s="408">
        <v>0</v>
      </c>
      <c r="H605" s="408">
        <v>13.8</v>
      </c>
      <c r="I605" s="408">
        <v>2.1</v>
      </c>
      <c r="J605" s="408">
        <v>5</v>
      </c>
      <c r="K605" s="408">
        <v>0.42499999999999999</v>
      </c>
      <c r="L605" s="408">
        <v>1.3</v>
      </c>
      <c r="M605" s="408">
        <v>3.3</v>
      </c>
      <c r="N605" s="5">
        <v>0.38500000000000001</v>
      </c>
      <c r="O605" s="408">
        <v>0.9</v>
      </c>
      <c r="P605" s="408">
        <v>1.8</v>
      </c>
      <c r="Q605" s="408">
        <v>0.5</v>
      </c>
      <c r="R605" s="408">
        <v>0.55000000000000004</v>
      </c>
      <c r="S605" s="408">
        <v>0.1</v>
      </c>
      <c r="T605" s="408">
        <v>0.3</v>
      </c>
      <c r="U605" s="408">
        <v>0.5</v>
      </c>
      <c r="V605" s="408">
        <v>0.4</v>
      </c>
      <c r="W605" s="408">
        <v>1.1000000000000001</v>
      </c>
      <c r="X605" s="408">
        <v>1.5</v>
      </c>
      <c r="Y605" s="408">
        <v>0.1</v>
      </c>
      <c r="Z605" s="408">
        <v>0.3</v>
      </c>
      <c r="AA605" s="408">
        <v>0</v>
      </c>
      <c r="AB605" s="408">
        <v>0.3</v>
      </c>
      <c r="AC605" s="408">
        <v>1</v>
      </c>
      <c r="AD605" s="408">
        <v>5.6</v>
      </c>
    </row>
    <row r="606" spans="1:30">
      <c r="A606">
        <v>493</v>
      </c>
      <c r="B606" s="1" t="s">
        <v>572</v>
      </c>
      <c r="C606" s="5" t="s">
        <v>20</v>
      </c>
      <c r="D606" s="408">
        <v>23</v>
      </c>
      <c r="E606" s="5" t="s">
        <v>140</v>
      </c>
      <c r="F606" s="408">
        <v>17</v>
      </c>
      <c r="G606" s="408">
        <v>0</v>
      </c>
      <c r="H606" s="408">
        <v>8.1999999999999993</v>
      </c>
      <c r="I606" s="408">
        <v>0.9</v>
      </c>
      <c r="J606" s="408">
        <v>1.9</v>
      </c>
      <c r="K606" s="408">
        <v>0.48499999999999999</v>
      </c>
      <c r="L606" s="408">
        <v>0.5</v>
      </c>
      <c r="M606" s="408">
        <v>0.8</v>
      </c>
      <c r="N606" s="5">
        <v>0.61499999999999999</v>
      </c>
      <c r="O606" s="408">
        <v>0.5</v>
      </c>
      <c r="P606" s="408">
        <v>1.2</v>
      </c>
      <c r="Q606" s="408">
        <v>0.4</v>
      </c>
      <c r="R606" s="408">
        <v>0.60599999999999998</v>
      </c>
      <c r="S606" s="408">
        <v>0.8</v>
      </c>
      <c r="T606" s="408">
        <v>1.2</v>
      </c>
      <c r="U606" s="408">
        <v>0.7</v>
      </c>
      <c r="V606" s="408">
        <v>0.3</v>
      </c>
      <c r="W606" s="408">
        <v>1.2</v>
      </c>
      <c r="X606" s="408">
        <v>1.5</v>
      </c>
      <c r="Y606" s="408">
        <v>0.5</v>
      </c>
      <c r="Z606" s="408">
        <v>0.2</v>
      </c>
      <c r="AA606" s="408">
        <v>0.2</v>
      </c>
      <c r="AB606" s="408">
        <v>0.4</v>
      </c>
      <c r="AC606" s="408">
        <v>0.5</v>
      </c>
      <c r="AD606" s="408">
        <v>3.2</v>
      </c>
    </row>
    <row r="607" spans="1:30">
      <c r="A607">
        <v>494</v>
      </c>
      <c r="B607" s="1" t="s">
        <v>77</v>
      </c>
      <c r="C607" s="5" t="s">
        <v>38</v>
      </c>
      <c r="D607" s="408">
        <v>25</v>
      </c>
      <c r="E607" s="5" t="s">
        <v>50</v>
      </c>
      <c r="F607" s="408">
        <v>6</v>
      </c>
      <c r="G607" s="408">
        <v>4</v>
      </c>
      <c r="H607" s="408">
        <v>13.3</v>
      </c>
      <c r="I607" s="408">
        <v>1.2</v>
      </c>
      <c r="J607" s="408">
        <v>2.7</v>
      </c>
      <c r="K607" s="408">
        <v>0.438</v>
      </c>
      <c r="L607" s="408">
        <v>0.7</v>
      </c>
      <c r="M607" s="408">
        <v>1.8</v>
      </c>
      <c r="N607" s="5">
        <v>0.36399999999999999</v>
      </c>
      <c r="O607" s="408">
        <v>0.5</v>
      </c>
      <c r="P607" s="408">
        <v>0.8</v>
      </c>
      <c r="Q607" s="408">
        <v>0.6</v>
      </c>
      <c r="R607" s="408">
        <v>0.56299999999999994</v>
      </c>
      <c r="S607" s="408">
        <v>0.3</v>
      </c>
      <c r="T607" s="408">
        <v>0.5</v>
      </c>
      <c r="U607" s="408">
        <v>0.66700000000000004</v>
      </c>
      <c r="V607" s="408">
        <v>0.5</v>
      </c>
      <c r="W607" s="408">
        <v>1.3</v>
      </c>
      <c r="X607" s="408">
        <v>1.8</v>
      </c>
      <c r="Y607" s="408">
        <v>0.3</v>
      </c>
      <c r="Z607" s="408">
        <v>0.2</v>
      </c>
      <c r="AA607" s="408">
        <v>0.2</v>
      </c>
      <c r="AB607" s="408">
        <v>0.2</v>
      </c>
      <c r="AC607" s="408">
        <v>1</v>
      </c>
      <c r="AD607" s="408">
        <v>3.3</v>
      </c>
    </row>
    <row r="608" spans="1:30">
      <c r="A608">
        <v>495</v>
      </c>
      <c r="B608" s="1" t="s">
        <v>524</v>
      </c>
      <c r="C608" s="5" t="s">
        <v>20</v>
      </c>
      <c r="D608" s="408">
        <v>22</v>
      </c>
      <c r="E608" s="5" t="s">
        <v>315</v>
      </c>
      <c r="F608" s="408">
        <v>16</v>
      </c>
      <c r="G608" s="408">
        <v>0</v>
      </c>
      <c r="H608" s="408">
        <v>11.3</v>
      </c>
      <c r="I608" s="408">
        <v>2.5</v>
      </c>
      <c r="J608" s="408">
        <v>5.4</v>
      </c>
      <c r="K608" s="408">
        <v>0.46500000000000002</v>
      </c>
      <c r="L608" s="408">
        <v>0.4</v>
      </c>
      <c r="M608" s="408">
        <v>1.1000000000000001</v>
      </c>
      <c r="N608" s="5">
        <v>0.38900000000000001</v>
      </c>
      <c r="O608" s="408">
        <v>2.1</v>
      </c>
      <c r="P608" s="408">
        <v>4.3</v>
      </c>
      <c r="Q608" s="408">
        <v>0.48499999999999999</v>
      </c>
      <c r="R608" s="408">
        <v>0.50600000000000001</v>
      </c>
      <c r="S608" s="408">
        <v>0.8</v>
      </c>
      <c r="T608" s="408">
        <v>1.2</v>
      </c>
      <c r="U608" s="408">
        <v>0.68400000000000005</v>
      </c>
      <c r="V608" s="408">
        <v>0.3</v>
      </c>
      <c r="W608" s="408">
        <v>1.4</v>
      </c>
      <c r="X608" s="408">
        <v>1.6</v>
      </c>
      <c r="Y608" s="408">
        <v>1.3</v>
      </c>
      <c r="Z608" s="408">
        <v>0.5</v>
      </c>
      <c r="AA608" s="408">
        <v>0.1</v>
      </c>
      <c r="AB608" s="408">
        <v>1.5</v>
      </c>
      <c r="AC608" s="408">
        <v>1.4</v>
      </c>
      <c r="AD608" s="408">
        <v>6.3</v>
      </c>
    </row>
    <row r="609" spans="1:30">
      <c r="A609">
        <v>496</v>
      </c>
      <c r="B609" s="1" t="s">
        <v>574</v>
      </c>
      <c r="C609" s="5" t="s">
        <v>83</v>
      </c>
      <c r="D609" s="408">
        <v>28</v>
      </c>
      <c r="E609" s="5" t="s">
        <v>50</v>
      </c>
      <c r="F609" s="408">
        <v>47</v>
      </c>
      <c r="G609" s="408">
        <v>47</v>
      </c>
      <c r="H609" s="408">
        <v>25.9</v>
      </c>
      <c r="I609" s="408">
        <v>5.9</v>
      </c>
      <c r="J609" s="408">
        <v>10.7</v>
      </c>
      <c r="K609" s="408">
        <v>0.55000000000000004</v>
      </c>
      <c r="L609" s="408">
        <v>0</v>
      </c>
      <c r="M609" s="408">
        <v>0</v>
      </c>
      <c r="N609" s="5">
        <v>1</v>
      </c>
      <c r="O609" s="408">
        <v>5.8</v>
      </c>
      <c r="P609" s="408">
        <v>10.6</v>
      </c>
      <c r="Q609" s="408">
        <v>0.54800000000000004</v>
      </c>
      <c r="R609" s="408">
        <v>0.55200000000000005</v>
      </c>
      <c r="S609" s="408">
        <v>2.5</v>
      </c>
      <c r="T609" s="408">
        <v>3.6</v>
      </c>
      <c r="U609" s="408">
        <v>0.69</v>
      </c>
      <c r="V609" s="408">
        <v>3.2</v>
      </c>
      <c r="W609" s="408">
        <v>8.6</v>
      </c>
      <c r="X609" s="408">
        <v>11.8</v>
      </c>
      <c r="Y609" s="408">
        <v>1</v>
      </c>
      <c r="Z609" s="408">
        <v>0.7</v>
      </c>
      <c r="AA609" s="408">
        <v>1.7</v>
      </c>
      <c r="AB609" s="408">
        <v>1.8</v>
      </c>
      <c r="AC609" s="408">
        <v>2.4</v>
      </c>
      <c r="AD609" s="408">
        <v>14.3</v>
      </c>
    </row>
    <row r="610" spans="1:30">
      <c r="A610">
        <v>497</v>
      </c>
      <c r="B610" s="1" t="s">
        <v>9</v>
      </c>
      <c r="C610" s="5" t="s">
        <v>46</v>
      </c>
      <c r="D610" s="408">
        <v>22</v>
      </c>
      <c r="E610" s="5" t="s">
        <v>56</v>
      </c>
      <c r="F610" s="408">
        <v>71</v>
      </c>
      <c r="G610" s="408">
        <v>71</v>
      </c>
      <c r="H610" s="408">
        <v>36.200000000000003</v>
      </c>
      <c r="I610" s="408">
        <v>7.1</v>
      </c>
      <c r="J610" s="408">
        <v>15.9</v>
      </c>
      <c r="K610" s="408">
        <v>0.44400000000000001</v>
      </c>
      <c r="L610" s="408">
        <v>1.4</v>
      </c>
      <c r="M610" s="408">
        <v>4.2</v>
      </c>
      <c r="N610" s="5">
        <v>0.32900000000000001</v>
      </c>
      <c r="O610" s="408">
        <v>5.7</v>
      </c>
      <c r="P610" s="408">
        <v>11.7</v>
      </c>
      <c r="Q610" s="408">
        <v>0.48499999999999999</v>
      </c>
      <c r="R610" s="408">
        <v>0.48699999999999999</v>
      </c>
      <c r="S610" s="408">
        <v>2.5</v>
      </c>
      <c r="T610" s="408">
        <v>3.9</v>
      </c>
      <c r="U610" s="408">
        <v>0.64</v>
      </c>
      <c r="V610" s="408">
        <v>1</v>
      </c>
      <c r="W610" s="408">
        <v>3.1</v>
      </c>
      <c r="X610" s="408">
        <v>4.0999999999999996</v>
      </c>
      <c r="Y610" s="408">
        <v>1.8</v>
      </c>
      <c r="Z610" s="408">
        <v>1.1000000000000001</v>
      </c>
      <c r="AA610" s="408">
        <v>0.6</v>
      </c>
      <c r="AB610" s="408">
        <v>1.7</v>
      </c>
      <c r="AC610" s="408">
        <v>2</v>
      </c>
      <c r="AD610" s="408">
        <v>18</v>
      </c>
    </row>
    <row r="611" spans="1:30">
      <c r="A611">
        <v>498</v>
      </c>
      <c r="B611" s="1" t="s">
        <v>601</v>
      </c>
      <c r="C611" s="5" t="s">
        <v>38</v>
      </c>
      <c r="D611" s="408">
        <v>23</v>
      </c>
      <c r="E611" s="5" t="s">
        <v>315</v>
      </c>
      <c r="F611" s="408">
        <v>5</v>
      </c>
      <c r="G611" s="408">
        <v>0</v>
      </c>
      <c r="H611" s="408">
        <v>6.6</v>
      </c>
      <c r="I611" s="408">
        <v>0.2</v>
      </c>
      <c r="J611" s="408">
        <v>0.8</v>
      </c>
      <c r="K611" s="408">
        <v>0.25</v>
      </c>
      <c r="L611" s="408">
        <v>0.2</v>
      </c>
      <c r="M611" s="408">
        <v>0.4</v>
      </c>
      <c r="N611" s="5">
        <v>0.5</v>
      </c>
      <c r="O611" s="408">
        <v>0</v>
      </c>
      <c r="P611" s="408">
        <v>0.4</v>
      </c>
      <c r="Q611" s="408">
        <v>0</v>
      </c>
      <c r="R611" s="408">
        <v>0.375</v>
      </c>
      <c r="S611" s="408">
        <v>0.2</v>
      </c>
      <c r="T611" s="408">
        <v>0.4</v>
      </c>
      <c r="U611" s="408">
        <v>0.5</v>
      </c>
      <c r="V611" s="408">
        <v>0.4</v>
      </c>
      <c r="W611" s="408">
        <v>1.8</v>
      </c>
      <c r="X611" s="408">
        <v>2.2000000000000002</v>
      </c>
      <c r="Y611" s="408">
        <v>0.4</v>
      </c>
      <c r="Z611" s="408">
        <v>0.2</v>
      </c>
      <c r="AA611" s="408">
        <v>0</v>
      </c>
      <c r="AB611" s="408">
        <v>0</v>
      </c>
      <c r="AC611" s="408">
        <v>0.8</v>
      </c>
      <c r="AD611" s="408">
        <v>0.8</v>
      </c>
    </row>
    <row r="612" spans="1:30">
      <c r="A612">
        <v>499</v>
      </c>
      <c r="B612" s="1" t="s">
        <v>479</v>
      </c>
      <c r="C612" s="5" t="s">
        <v>46</v>
      </c>
      <c r="D612" s="408">
        <v>38</v>
      </c>
      <c r="E612" s="5" t="s">
        <v>30</v>
      </c>
      <c r="F612" s="408">
        <v>19</v>
      </c>
      <c r="G612" s="408">
        <v>1</v>
      </c>
      <c r="H612" s="408">
        <v>8</v>
      </c>
      <c r="I612" s="408">
        <v>0.7</v>
      </c>
      <c r="J612" s="408">
        <v>2.1</v>
      </c>
      <c r="K612" s="408">
        <v>0.33300000000000002</v>
      </c>
      <c r="L612" s="408">
        <v>0.2</v>
      </c>
      <c r="M612" s="408">
        <v>0.9</v>
      </c>
      <c r="N612" s="5">
        <v>0.222</v>
      </c>
      <c r="O612" s="408">
        <v>0.5</v>
      </c>
      <c r="P612" s="408">
        <v>1.1000000000000001</v>
      </c>
      <c r="Q612" s="408">
        <v>0.42899999999999999</v>
      </c>
      <c r="R612" s="408">
        <v>0.38500000000000001</v>
      </c>
      <c r="S612" s="408">
        <v>0.2</v>
      </c>
      <c r="T612" s="408">
        <v>0.2</v>
      </c>
      <c r="U612" s="408">
        <v>0.75</v>
      </c>
      <c r="V612" s="408">
        <v>0.3</v>
      </c>
      <c r="W612" s="408">
        <v>0.6</v>
      </c>
      <c r="X612" s="408">
        <v>0.8</v>
      </c>
      <c r="Y612" s="408">
        <v>0.5</v>
      </c>
      <c r="Z612" s="408">
        <v>0.1</v>
      </c>
      <c r="AA612" s="408">
        <v>0.1</v>
      </c>
      <c r="AB612" s="408">
        <v>0.3</v>
      </c>
      <c r="AC612" s="408">
        <v>0.4</v>
      </c>
      <c r="AD612" s="408">
        <v>1.7</v>
      </c>
    </row>
    <row r="613" spans="1:30">
      <c r="A613">
        <v>500</v>
      </c>
      <c r="B613" s="1" t="s">
        <v>473</v>
      </c>
      <c r="C613" s="5" t="s">
        <v>26</v>
      </c>
      <c r="D613" s="408">
        <v>27</v>
      </c>
      <c r="E613" s="5" t="s">
        <v>64</v>
      </c>
      <c r="F613" s="408">
        <v>30</v>
      </c>
      <c r="G613" s="408">
        <v>15</v>
      </c>
      <c r="H613" s="408">
        <v>19.7</v>
      </c>
      <c r="I613" s="408">
        <v>2.4</v>
      </c>
      <c r="J613" s="408">
        <v>5.4</v>
      </c>
      <c r="K613" s="408">
        <v>0.44800000000000001</v>
      </c>
      <c r="L613" s="408">
        <v>0.7</v>
      </c>
      <c r="M613" s="408">
        <v>2.2000000000000002</v>
      </c>
      <c r="N613" s="5">
        <v>0.313</v>
      </c>
      <c r="O613" s="408">
        <v>1.7</v>
      </c>
      <c r="P613" s="408">
        <v>3.2</v>
      </c>
      <c r="Q613" s="408">
        <v>0.54200000000000004</v>
      </c>
      <c r="R613" s="408">
        <v>0.51200000000000001</v>
      </c>
      <c r="S613" s="408">
        <v>0.4</v>
      </c>
      <c r="T613" s="408">
        <v>0.5</v>
      </c>
      <c r="U613" s="408">
        <v>0.78600000000000003</v>
      </c>
      <c r="V613" s="408">
        <v>0.4</v>
      </c>
      <c r="W613" s="408">
        <v>1.1000000000000001</v>
      </c>
      <c r="X613" s="408">
        <v>1.5</v>
      </c>
      <c r="Y613" s="408">
        <v>1</v>
      </c>
      <c r="Z613" s="408">
        <v>0.9</v>
      </c>
      <c r="AA613" s="408">
        <v>0.4</v>
      </c>
      <c r="AB613" s="408">
        <v>0.6</v>
      </c>
      <c r="AC613" s="408">
        <v>1.8</v>
      </c>
      <c r="AD613" s="408">
        <v>5.9</v>
      </c>
    </row>
    <row r="614" spans="1:30">
      <c r="A614">
        <v>501</v>
      </c>
      <c r="B614" s="1" t="s">
        <v>1202</v>
      </c>
      <c r="C614" s="5" t="s">
        <v>38</v>
      </c>
      <c r="D614" s="408">
        <v>26</v>
      </c>
      <c r="E614" s="5" t="s">
        <v>78</v>
      </c>
      <c r="F614" s="408">
        <v>2</v>
      </c>
      <c r="G614" s="408">
        <v>0</v>
      </c>
      <c r="H614" s="408">
        <v>4.5</v>
      </c>
      <c r="I614" s="408">
        <v>0.5</v>
      </c>
      <c r="J614" s="408">
        <v>2</v>
      </c>
      <c r="K614" s="408">
        <v>0.25</v>
      </c>
      <c r="L614" s="408">
        <v>0</v>
      </c>
      <c r="M614" s="408">
        <v>1</v>
      </c>
      <c r="N614" s="5">
        <v>0</v>
      </c>
      <c r="O614" s="408">
        <v>0.5</v>
      </c>
      <c r="P614" s="408">
        <v>1</v>
      </c>
      <c r="Q614" s="408">
        <v>0.5</v>
      </c>
      <c r="R614" s="408">
        <v>0.25</v>
      </c>
      <c r="S614" s="408">
        <v>0</v>
      </c>
      <c r="T614" s="408">
        <v>0</v>
      </c>
      <c r="U614" s="408"/>
      <c r="V614" s="408">
        <v>0</v>
      </c>
      <c r="W614" s="408">
        <v>0.5</v>
      </c>
      <c r="X614" s="408">
        <v>0.5</v>
      </c>
      <c r="Y614" s="408">
        <v>0</v>
      </c>
      <c r="Z614" s="408">
        <v>0</v>
      </c>
      <c r="AA614" s="408">
        <v>0</v>
      </c>
      <c r="AB614" s="408">
        <v>0</v>
      </c>
      <c r="AC614" s="408">
        <v>0</v>
      </c>
      <c r="AD614" s="408">
        <v>1</v>
      </c>
    </row>
    <row r="615" spans="1:30">
      <c r="A615">
        <v>502</v>
      </c>
      <c r="B615" s="1" t="s">
        <v>308</v>
      </c>
      <c r="C615" s="5" t="s">
        <v>26</v>
      </c>
      <c r="D615" s="408">
        <v>31</v>
      </c>
      <c r="E615" s="5" t="s">
        <v>64</v>
      </c>
      <c r="F615" s="408">
        <v>68</v>
      </c>
      <c r="G615" s="408">
        <v>19</v>
      </c>
      <c r="H615" s="408">
        <v>32.799999999999997</v>
      </c>
      <c r="I615" s="408">
        <v>7.5</v>
      </c>
      <c r="J615" s="408">
        <v>17.100000000000001</v>
      </c>
      <c r="K615" s="408">
        <v>0.437</v>
      </c>
      <c r="L615" s="408">
        <v>2.5</v>
      </c>
      <c r="M615" s="408">
        <v>7</v>
      </c>
      <c r="N615" s="5">
        <v>0.36099999999999999</v>
      </c>
      <c r="O615" s="408">
        <v>4.9000000000000004</v>
      </c>
      <c r="P615" s="408">
        <v>10.1</v>
      </c>
      <c r="Q615" s="408">
        <v>0.49</v>
      </c>
      <c r="R615" s="408">
        <v>0.51100000000000001</v>
      </c>
      <c r="S615" s="408">
        <v>5.5</v>
      </c>
      <c r="T615" s="408">
        <v>6.3</v>
      </c>
      <c r="U615" s="408">
        <v>0.874</v>
      </c>
      <c r="V615" s="408">
        <v>0.5</v>
      </c>
      <c r="W615" s="408">
        <v>2.1</v>
      </c>
      <c r="X615" s="408">
        <v>2.6</v>
      </c>
      <c r="Y615" s="408">
        <v>5.3</v>
      </c>
      <c r="Z615" s="408">
        <v>1.1000000000000001</v>
      </c>
      <c r="AA615" s="408">
        <v>0.2</v>
      </c>
      <c r="AB615" s="408">
        <v>2.9</v>
      </c>
      <c r="AC615" s="408">
        <v>1.3</v>
      </c>
      <c r="AD615" s="408">
        <v>23</v>
      </c>
    </row>
    <row r="616" spans="1:30">
      <c r="A616">
        <v>503</v>
      </c>
      <c r="B616" s="1" t="s">
        <v>408</v>
      </c>
      <c r="C616" s="5" t="s">
        <v>38</v>
      </c>
      <c r="D616" s="408">
        <v>31</v>
      </c>
      <c r="E616" s="5" t="s">
        <v>311</v>
      </c>
      <c r="F616" s="408">
        <v>67</v>
      </c>
      <c r="G616" s="408">
        <v>67</v>
      </c>
      <c r="H616" s="408">
        <v>25.7</v>
      </c>
      <c r="I616" s="408">
        <v>3.2</v>
      </c>
      <c r="J616" s="408">
        <v>7.1</v>
      </c>
      <c r="K616" s="408">
        <v>0.45300000000000001</v>
      </c>
      <c r="L616" s="408">
        <v>1.6</v>
      </c>
      <c r="M616" s="408">
        <v>3.9</v>
      </c>
      <c r="N616" s="5">
        <v>0.40400000000000003</v>
      </c>
      <c r="O616" s="408">
        <v>1.7</v>
      </c>
      <c r="P616" s="408">
        <v>3.2</v>
      </c>
      <c r="Q616" s="408">
        <v>0.51200000000000001</v>
      </c>
      <c r="R616" s="408">
        <v>0.56299999999999994</v>
      </c>
      <c r="S616" s="408">
        <v>1.2</v>
      </c>
      <c r="T616" s="408">
        <v>1.5</v>
      </c>
      <c r="U616" s="408">
        <v>0.80400000000000005</v>
      </c>
      <c r="V616" s="408">
        <v>1</v>
      </c>
      <c r="W616" s="408">
        <v>3.8</v>
      </c>
      <c r="X616" s="408">
        <v>4.7</v>
      </c>
      <c r="Y616" s="408">
        <v>1.1000000000000001</v>
      </c>
      <c r="Z616" s="408">
        <v>0.7</v>
      </c>
      <c r="AA616" s="408">
        <v>0.4</v>
      </c>
      <c r="AB616" s="408">
        <v>0.9</v>
      </c>
      <c r="AC616" s="408">
        <v>1.6</v>
      </c>
      <c r="AD616" s="408">
        <v>9.1999999999999993</v>
      </c>
    </row>
    <row r="617" spans="1:30">
      <c r="A617">
        <v>504</v>
      </c>
      <c r="B617" s="1" t="s">
        <v>629</v>
      </c>
      <c r="C617" s="5" t="s">
        <v>26</v>
      </c>
      <c r="D617" s="408">
        <v>24</v>
      </c>
      <c r="E617" s="5" t="s">
        <v>50</v>
      </c>
      <c r="F617" s="408">
        <v>3</v>
      </c>
      <c r="G617" s="408">
        <v>0</v>
      </c>
      <c r="H617" s="408">
        <v>3.7</v>
      </c>
      <c r="I617" s="408">
        <v>0.7</v>
      </c>
      <c r="J617" s="408">
        <v>2</v>
      </c>
      <c r="K617" s="408">
        <v>0.33300000000000002</v>
      </c>
      <c r="L617" s="408">
        <v>0.3</v>
      </c>
      <c r="M617" s="408">
        <v>1.7</v>
      </c>
      <c r="N617" s="5">
        <v>0.2</v>
      </c>
      <c r="O617" s="408">
        <v>0.3</v>
      </c>
      <c r="P617" s="408">
        <v>0.3</v>
      </c>
      <c r="Q617" s="408">
        <v>1</v>
      </c>
      <c r="R617" s="408">
        <v>0.41699999999999998</v>
      </c>
      <c r="S617" s="408">
        <v>0</v>
      </c>
      <c r="T617" s="408">
        <v>0</v>
      </c>
      <c r="U617" s="408"/>
      <c r="V617" s="408">
        <v>0</v>
      </c>
      <c r="W617" s="408">
        <v>0.3</v>
      </c>
      <c r="X617" s="408">
        <v>0.3</v>
      </c>
      <c r="Y617" s="408">
        <v>0</v>
      </c>
      <c r="Z617" s="408">
        <v>0</v>
      </c>
      <c r="AA617" s="408">
        <v>0</v>
      </c>
      <c r="AB617" s="408">
        <v>0.3</v>
      </c>
      <c r="AC617" s="408">
        <v>0.3</v>
      </c>
      <c r="AD617" s="408">
        <v>1.7</v>
      </c>
    </row>
    <row r="618" spans="1:30">
      <c r="A618">
        <v>505</v>
      </c>
      <c r="B618" s="1" t="s">
        <v>616</v>
      </c>
      <c r="C618" s="5" t="s">
        <v>46</v>
      </c>
      <c r="D618" s="408">
        <v>23</v>
      </c>
      <c r="E618" s="5" t="s">
        <v>357</v>
      </c>
      <c r="F618" s="408">
        <v>15</v>
      </c>
      <c r="G618" s="408">
        <v>0</v>
      </c>
      <c r="H618" s="408">
        <v>12.9</v>
      </c>
      <c r="I618" s="408">
        <v>2.7</v>
      </c>
      <c r="J618" s="408">
        <v>5.5</v>
      </c>
      <c r="K618" s="408">
        <v>0.48799999999999999</v>
      </c>
      <c r="L618" s="408">
        <v>0.4</v>
      </c>
      <c r="M618" s="408">
        <v>1.8</v>
      </c>
      <c r="N618" s="5">
        <v>0.222</v>
      </c>
      <c r="O618" s="408">
        <v>2.2999999999999998</v>
      </c>
      <c r="P618" s="408">
        <v>3.7</v>
      </c>
      <c r="Q618" s="408">
        <v>0.61799999999999999</v>
      </c>
      <c r="R618" s="408">
        <v>0.52400000000000002</v>
      </c>
      <c r="S618" s="408">
        <v>1</v>
      </c>
      <c r="T618" s="408">
        <v>1.7</v>
      </c>
      <c r="U618" s="408">
        <v>0.6</v>
      </c>
      <c r="V618" s="408">
        <v>0.9</v>
      </c>
      <c r="W618" s="408">
        <v>2.1</v>
      </c>
      <c r="X618" s="408">
        <v>3.1</v>
      </c>
      <c r="Y618" s="408">
        <v>0.5</v>
      </c>
      <c r="Z618" s="408">
        <v>0.8</v>
      </c>
      <c r="AA618" s="408">
        <v>0.2</v>
      </c>
      <c r="AB618" s="408">
        <v>1</v>
      </c>
      <c r="AC618" s="408">
        <v>1.3</v>
      </c>
      <c r="AD618" s="408">
        <v>6.7</v>
      </c>
    </row>
    <row r="619" spans="1:30">
      <c r="A619">
        <v>505</v>
      </c>
      <c r="B619" s="1" t="s">
        <v>616</v>
      </c>
      <c r="C619" s="5" t="s">
        <v>46</v>
      </c>
      <c r="D619" s="408">
        <v>23</v>
      </c>
      <c r="E619" s="5" t="s">
        <v>92</v>
      </c>
      <c r="F619" s="408">
        <v>4</v>
      </c>
      <c r="G619" s="408">
        <v>0</v>
      </c>
      <c r="H619" s="408">
        <v>4.3</v>
      </c>
      <c r="I619" s="408">
        <v>0.5</v>
      </c>
      <c r="J619" s="408">
        <v>2.2999999999999998</v>
      </c>
      <c r="K619" s="408">
        <v>0.222</v>
      </c>
      <c r="L619" s="408">
        <v>0</v>
      </c>
      <c r="M619" s="408">
        <v>1.3</v>
      </c>
      <c r="N619" s="5">
        <v>0</v>
      </c>
      <c r="O619" s="408">
        <v>0.5</v>
      </c>
      <c r="P619" s="408">
        <v>1</v>
      </c>
      <c r="Q619" s="408">
        <v>0.5</v>
      </c>
      <c r="R619" s="408">
        <v>0.222</v>
      </c>
      <c r="S619" s="408">
        <v>0.3</v>
      </c>
      <c r="T619" s="408">
        <v>0.8</v>
      </c>
      <c r="U619" s="408">
        <v>0.33300000000000002</v>
      </c>
      <c r="V619" s="408">
        <v>0.3</v>
      </c>
      <c r="W619" s="408">
        <v>0.8</v>
      </c>
      <c r="X619" s="408">
        <v>1</v>
      </c>
      <c r="Y619" s="408">
        <v>0.3</v>
      </c>
      <c r="Z619" s="408">
        <v>0.3</v>
      </c>
      <c r="AA619" s="408">
        <v>0</v>
      </c>
      <c r="AB619" s="408">
        <v>0.3</v>
      </c>
      <c r="AC619" s="408">
        <v>0.5</v>
      </c>
      <c r="AD619" s="408">
        <v>1.3</v>
      </c>
    </row>
    <row r="620" spans="1:30">
      <c r="A620">
        <v>505</v>
      </c>
      <c r="B620" s="1" t="s">
        <v>616</v>
      </c>
      <c r="C620" s="5" t="s">
        <v>46</v>
      </c>
      <c r="D620" s="408">
        <v>23</v>
      </c>
      <c r="E620" s="5" t="s">
        <v>21</v>
      </c>
      <c r="F620" s="408">
        <v>11</v>
      </c>
      <c r="G620" s="408">
        <v>0</v>
      </c>
      <c r="H620" s="408">
        <v>16</v>
      </c>
      <c r="I620" s="408">
        <v>3.5</v>
      </c>
      <c r="J620" s="408">
        <v>6.6</v>
      </c>
      <c r="K620" s="408">
        <v>0.52100000000000002</v>
      </c>
      <c r="L620" s="408">
        <v>0.5</v>
      </c>
      <c r="M620" s="408">
        <v>2</v>
      </c>
      <c r="N620" s="5">
        <v>0.27300000000000002</v>
      </c>
      <c r="O620" s="408">
        <v>2.9</v>
      </c>
      <c r="P620" s="408">
        <v>4.5999999999999996</v>
      </c>
      <c r="Q620" s="408">
        <v>0.627</v>
      </c>
      <c r="R620" s="408">
        <v>0.56200000000000006</v>
      </c>
      <c r="S620" s="408">
        <v>1.3</v>
      </c>
      <c r="T620" s="408">
        <v>2</v>
      </c>
      <c r="U620" s="408">
        <v>0.63600000000000001</v>
      </c>
      <c r="V620" s="408">
        <v>1.2</v>
      </c>
      <c r="W620" s="408">
        <v>2.6</v>
      </c>
      <c r="X620" s="408">
        <v>3.8</v>
      </c>
      <c r="Y620" s="408">
        <v>0.5</v>
      </c>
      <c r="Z620" s="408">
        <v>1</v>
      </c>
      <c r="AA620" s="408">
        <v>0.3</v>
      </c>
      <c r="AB620" s="408">
        <v>1.3</v>
      </c>
      <c r="AC620" s="408">
        <v>1.5</v>
      </c>
      <c r="AD620" s="408">
        <v>8.6999999999999993</v>
      </c>
    </row>
    <row r="621" spans="1:30">
      <c r="A621">
        <v>506</v>
      </c>
      <c r="B621" s="1" t="s">
        <v>628</v>
      </c>
      <c r="C621" s="5" t="s">
        <v>38</v>
      </c>
      <c r="D621" s="408">
        <v>21</v>
      </c>
      <c r="E621" s="5" t="s">
        <v>41</v>
      </c>
      <c r="F621" s="408">
        <v>21</v>
      </c>
      <c r="G621" s="408">
        <v>0</v>
      </c>
      <c r="H621" s="408">
        <v>3.3</v>
      </c>
      <c r="I621" s="408">
        <v>0.4</v>
      </c>
      <c r="J621" s="408">
        <v>0.7</v>
      </c>
      <c r="K621" s="408">
        <v>0.57099999999999995</v>
      </c>
      <c r="L621" s="408">
        <v>0.1</v>
      </c>
      <c r="M621" s="408">
        <v>0.2</v>
      </c>
      <c r="N621" s="5">
        <v>0.4</v>
      </c>
      <c r="O621" s="408">
        <v>0.3</v>
      </c>
      <c r="P621" s="408">
        <v>0.4</v>
      </c>
      <c r="Q621" s="408">
        <v>0.66700000000000004</v>
      </c>
      <c r="R621" s="408">
        <v>0.64300000000000002</v>
      </c>
      <c r="S621" s="408">
        <v>0</v>
      </c>
      <c r="T621" s="408">
        <v>0.1</v>
      </c>
      <c r="U621" s="408">
        <v>0.5</v>
      </c>
      <c r="V621" s="408">
        <v>0</v>
      </c>
      <c r="W621" s="408">
        <v>0.4</v>
      </c>
      <c r="X621" s="408">
        <v>0.4</v>
      </c>
      <c r="Y621" s="408">
        <v>0.1</v>
      </c>
      <c r="Z621" s="408">
        <v>0.1</v>
      </c>
      <c r="AA621" s="408">
        <v>0</v>
      </c>
      <c r="AB621" s="408">
        <v>0.2</v>
      </c>
      <c r="AC621" s="408">
        <v>0.2</v>
      </c>
      <c r="AD621" s="408">
        <v>0.9</v>
      </c>
    </row>
    <row r="622" spans="1:30">
      <c r="A622">
        <v>507</v>
      </c>
      <c r="B622" s="1" t="s">
        <v>377</v>
      </c>
      <c r="C622" s="5" t="s">
        <v>46</v>
      </c>
      <c r="D622" s="408">
        <v>27</v>
      </c>
      <c r="E622" s="5" t="s">
        <v>64</v>
      </c>
      <c r="F622" s="408">
        <v>15</v>
      </c>
      <c r="G622" s="408">
        <v>10</v>
      </c>
      <c r="H622" s="408">
        <v>18.3</v>
      </c>
      <c r="I622" s="408">
        <v>2.5</v>
      </c>
      <c r="J622" s="408">
        <v>5.4</v>
      </c>
      <c r="K622" s="408">
        <v>0.46899999999999997</v>
      </c>
      <c r="L622" s="408">
        <v>1.8</v>
      </c>
      <c r="M622" s="408">
        <v>4.2</v>
      </c>
      <c r="N622" s="5">
        <v>0.42899999999999999</v>
      </c>
      <c r="O622" s="408">
        <v>0.7</v>
      </c>
      <c r="P622" s="408">
        <v>1.2</v>
      </c>
      <c r="Q622" s="408">
        <v>0.61099999999999999</v>
      </c>
      <c r="R622" s="408">
        <v>0.63600000000000001</v>
      </c>
      <c r="S622" s="408">
        <v>0.1</v>
      </c>
      <c r="T622" s="408">
        <v>0.3</v>
      </c>
      <c r="U622" s="408">
        <v>0.5</v>
      </c>
      <c r="V622" s="408">
        <v>0.2</v>
      </c>
      <c r="W622" s="408">
        <v>1.9</v>
      </c>
      <c r="X622" s="408">
        <v>2.1</v>
      </c>
      <c r="Y622" s="408">
        <v>0.7</v>
      </c>
      <c r="Z622" s="408">
        <v>0.3</v>
      </c>
      <c r="AA622" s="408">
        <v>0.5</v>
      </c>
      <c r="AB622" s="408">
        <v>0.5</v>
      </c>
      <c r="AC622" s="408">
        <v>2.2999999999999998</v>
      </c>
      <c r="AD622" s="408">
        <v>7</v>
      </c>
    </row>
    <row r="623" spans="1:30">
      <c r="A623">
        <v>508</v>
      </c>
      <c r="B623" s="1" t="s">
        <v>514</v>
      </c>
      <c r="C623" s="5" t="s">
        <v>46</v>
      </c>
      <c r="D623" s="408">
        <v>21</v>
      </c>
      <c r="E623" s="5" t="s">
        <v>50</v>
      </c>
      <c r="F623" s="408">
        <v>57</v>
      </c>
      <c r="G623" s="408">
        <v>25</v>
      </c>
      <c r="H623" s="408">
        <v>24.2</v>
      </c>
      <c r="I623" s="408">
        <v>2.8</v>
      </c>
      <c r="J623" s="408">
        <v>6.7</v>
      </c>
      <c r="K623" s="408">
        <v>0.41899999999999998</v>
      </c>
      <c r="L623" s="408">
        <v>0.7</v>
      </c>
      <c r="M623" s="408">
        <v>1.7</v>
      </c>
      <c r="N623" s="5">
        <v>0.42899999999999999</v>
      </c>
      <c r="O623" s="408">
        <v>2.1</v>
      </c>
      <c r="P623" s="408">
        <v>5</v>
      </c>
      <c r="Q623" s="408">
        <v>0.41499999999999998</v>
      </c>
      <c r="R623" s="408">
        <v>0.47399999999999998</v>
      </c>
      <c r="S623" s="408">
        <v>0.8</v>
      </c>
      <c r="T623" s="408">
        <v>1.4</v>
      </c>
      <c r="U623" s="408">
        <v>0.623</v>
      </c>
      <c r="V623" s="408">
        <v>1</v>
      </c>
      <c r="W623" s="408">
        <v>4.5</v>
      </c>
      <c r="X623" s="408">
        <v>5.4</v>
      </c>
      <c r="Y623" s="408">
        <v>2.2000000000000002</v>
      </c>
      <c r="Z623" s="408">
        <v>0.8</v>
      </c>
      <c r="AA623" s="408">
        <v>0.5</v>
      </c>
      <c r="AB623" s="408">
        <v>1.1000000000000001</v>
      </c>
      <c r="AC623" s="408">
        <v>2.1</v>
      </c>
      <c r="AD623" s="408">
        <v>7.2</v>
      </c>
    </row>
    <row r="624" spans="1:30">
      <c r="A624">
        <v>509</v>
      </c>
      <c r="B624" s="1" t="s">
        <v>599</v>
      </c>
      <c r="C624" s="5" t="s">
        <v>83</v>
      </c>
      <c r="D624" s="408">
        <v>27</v>
      </c>
      <c r="E624" s="5" t="s">
        <v>33</v>
      </c>
      <c r="F624" s="408">
        <v>9</v>
      </c>
      <c r="G624" s="408">
        <v>0</v>
      </c>
      <c r="H624" s="408">
        <v>4.3</v>
      </c>
      <c r="I624" s="408">
        <v>0.7</v>
      </c>
      <c r="J624" s="408">
        <v>1.8</v>
      </c>
      <c r="K624" s="408">
        <v>0.375</v>
      </c>
      <c r="L624" s="408">
        <v>0.2</v>
      </c>
      <c r="M624" s="408">
        <v>1.1000000000000001</v>
      </c>
      <c r="N624" s="5">
        <v>0.2</v>
      </c>
      <c r="O624" s="408">
        <v>0.4</v>
      </c>
      <c r="P624" s="408">
        <v>0.7</v>
      </c>
      <c r="Q624" s="408">
        <v>0.66700000000000004</v>
      </c>
      <c r="R624" s="408">
        <v>0.438</v>
      </c>
      <c r="S624" s="408">
        <v>0.1</v>
      </c>
      <c r="T624" s="408">
        <v>0.2</v>
      </c>
      <c r="U624" s="408">
        <v>0.5</v>
      </c>
      <c r="V624" s="408">
        <v>0.1</v>
      </c>
      <c r="W624" s="408">
        <v>1</v>
      </c>
      <c r="X624" s="408">
        <v>1.1000000000000001</v>
      </c>
      <c r="Y624" s="408">
        <v>0</v>
      </c>
      <c r="Z624" s="408">
        <v>0</v>
      </c>
      <c r="AA624" s="408">
        <v>0.3</v>
      </c>
      <c r="AB624" s="408">
        <v>0.2</v>
      </c>
      <c r="AC624" s="408">
        <v>0.3</v>
      </c>
      <c r="AD624" s="408">
        <v>1.7</v>
      </c>
    </row>
    <row r="625" spans="1:30">
      <c r="A625">
        <v>510</v>
      </c>
      <c r="B625" s="1" t="s">
        <v>644</v>
      </c>
      <c r="C625" s="5" t="s">
        <v>20</v>
      </c>
      <c r="D625" s="408">
        <v>26</v>
      </c>
      <c r="E625" s="5" t="s">
        <v>305</v>
      </c>
      <c r="F625" s="408">
        <v>5</v>
      </c>
      <c r="G625" s="408">
        <v>0</v>
      </c>
      <c r="H625" s="408">
        <v>3.8</v>
      </c>
      <c r="I625" s="408">
        <v>0.2</v>
      </c>
      <c r="J625" s="408">
        <v>1.2</v>
      </c>
      <c r="K625" s="408">
        <v>0.16700000000000001</v>
      </c>
      <c r="L625" s="408">
        <v>0</v>
      </c>
      <c r="M625" s="408">
        <v>0</v>
      </c>
      <c r="O625" s="408">
        <v>0.2</v>
      </c>
      <c r="P625" s="408">
        <v>1.2</v>
      </c>
      <c r="Q625" s="408">
        <v>0.16700000000000001</v>
      </c>
      <c r="R625" s="408">
        <v>0.16700000000000001</v>
      </c>
      <c r="S625" s="408">
        <v>0</v>
      </c>
      <c r="T625" s="408">
        <v>0</v>
      </c>
      <c r="U625" s="408"/>
      <c r="V625" s="408">
        <v>0.2</v>
      </c>
      <c r="W625" s="408">
        <v>0.2</v>
      </c>
      <c r="X625" s="408">
        <v>0.4</v>
      </c>
      <c r="Y625" s="408">
        <v>0.2</v>
      </c>
      <c r="Z625" s="408">
        <v>0</v>
      </c>
      <c r="AA625" s="408">
        <v>0</v>
      </c>
      <c r="AB625" s="408">
        <v>0</v>
      </c>
      <c r="AC625" s="408">
        <v>0.2</v>
      </c>
      <c r="AD625" s="408">
        <v>0.4</v>
      </c>
    </row>
    <row r="626" spans="1:30">
      <c r="A626">
        <v>511</v>
      </c>
      <c r="B626" s="1" t="s">
        <v>129</v>
      </c>
      <c r="C626" s="5" t="s">
        <v>38</v>
      </c>
      <c r="D626" s="408">
        <v>30</v>
      </c>
      <c r="E626" s="5" t="s">
        <v>357</v>
      </c>
      <c r="F626" s="408">
        <v>28</v>
      </c>
      <c r="G626" s="408">
        <v>1</v>
      </c>
      <c r="H626" s="408">
        <v>13.6</v>
      </c>
      <c r="I626" s="408">
        <v>2.1</v>
      </c>
      <c r="J626" s="408">
        <v>3.6</v>
      </c>
      <c r="K626" s="408">
        <v>0.57799999999999996</v>
      </c>
      <c r="L626" s="408">
        <v>0</v>
      </c>
      <c r="M626" s="408">
        <v>0</v>
      </c>
      <c r="O626" s="408">
        <v>2.1</v>
      </c>
      <c r="P626" s="408">
        <v>3.6</v>
      </c>
      <c r="Q626" s="408">
        <v>0.57799999999999996</v>
      </c>
      <c r="R626" s="408">
        <v>0.57799999999999996</v>
      </c>
      <c r="S626" s="408">
        <v>0.8</v>
      </c>
      <c r="T626" s="408">
        <v>1.2</v>
      </c>
      <c r="U626" s="408">
        <v>0.63600000000000001</v>
      </c>
      <c r="V626" s="408">
        <v>1.2</v>
      </c>
      <c r="W626" s="408">
        <v>2.2000000000000002</v>
      </c>
      <c r="X626" s="408">
        <v>3.4</v>
      </c>
      <c r="Y626" s="408">
        <v>0.5</v>
      </c>
      <c r="Z626" s="408">
        <v>0.5</v>
      </c>
      <c r="AA626" s="408">
        <v>0.9</v>
      </c>
      <c r="AB626" s="408">
        <v>0.3</v>
      </c>
      <c r="AC626" s="408">
        <v>1.1000000000000001</v>
      </c>
      <c r="AD626" s="408">
        <v>5</v>
      </c>
    </row>
    <row r="627" spans="1:30">
      <c r="A627">
        <v>511</v>
      </c>
      <c r="B627" s="1" t="s">
        <v>129</v>
      </c>
      <c r="C627" s="5" t="s">
        <v>38</v>
      </c>
      <c r="D627" s="408">
        <v>30</v>
      </c>
      <c r="E627" s="5" t="s">
        <v>128</v>
      </c>
      <c r="F627" s="408">
        <v>27</v>
      </c>
      <c r="G627" s="408">
        <v>1</v>
      </c>
      <c r="H627" s="408">
        <v>13.6</v>
      </c>
      <c r="I627" s="408">
        <v>2.1</v>
      </c>
      <c r="J627" s="408">
        <v>3.7</v>
      </c>
      <c r="K627" s="408">
        <v>0.57599999999999996</v>
      </c>
      <c r="L627" s="408">
        <v>0</v>
      </c>
      <c r="M627" s="408">
        <v>0</v>
      </c>
      <c r="O627" s="408">
        <v>2.1</v>
      </c>
      <c r="P627" s="408">
        <v>3.7</v>
      </c>
      <c r="Q627" s="408">
        <v>0.57599999999999996</v>
      </c>
      <c r="R627" s="408">
        <v>0.57599999999999996</v>
      </c>
      <c r="S627" s="408">
        <v>0.8</v>
      </c>
      <c r="T627" s="408">
        <v>1.2</v>
      </c>
      <c r="U627" s="408">
        <v>0.63600000000000001</v>
      </c>
      <c r="V627" s="408">
        <v>1.2</v>
      </c>
      <c r="W627" s="408">
        <v>2.2999999999999998</v>
      </c>
      <c r="X627" s="408">
        <v>3.4</v>
      </c>
      <c r="Y627" s="408">
        <v>0.5</v>
      </c>
      <c r="Z627" s="408">
        <v>0.5</v>
      </c>
      <c r="AA627" s="408">
        <v>0.9</v>
      </c>
      <c r="AB627" s="408">
        <v>0.3</v>
      </c>
      <c r="AC627" s="408">
        <v>1.1000000000000001</v>
      </c>
      <c r="AD627" s="408">
        <v>5</v>
      </c>
    </row>
    <row r="628" spans="1:30">
      <c r="A628">
        <v>511</v>
      </c>
      <c r="B628" s="1" t="s">
        <v>129</v>
      </c>
      <c r="C628" s="5" t="s">
        <v>38</v>
      </c>
      <c r="D628" s="408">
        <v>30</v>
      </c>
      <c r="E628" s="5" t="s">
        <v>92</v>
      </c>
      <c r="F628" s="408">
        <v>1</v>
      </c>
      <c r="G628" s="408">
        <v>0</v>
      </c>
      <c r="H628" s="408">
        <v>15</v>
      </c>
      <c r="I628" s="408">
        <v>2</v>
      </c>
      <c r="J628" s="408">
        <v>3</v>
      </c>
      <c r="K628" s="408">
        <v>0.66700000000000004</v>
      </c>
      <c r="L628" s="408">
        <v>0</v>
      </c>
      <c r="M628" s="408">
        <v>0</v>
      </c>
      <c r="O628" s="408">
        <v>2</v>
      </c>
      <c r="P628" s="408">
        <v>3</v>
      </c>
      <c r="Q628" s="408">
        <v>0.66700000000000004</v>
      </c>
      <c r="R628" s="408">
        <v>0.66700000000000004</v>
      </c>
      <c r="S628" s="408">
        <v>0</v>
      </c>
      <c r="T628" s="408">
        <v>0</v>
      </c>
      <c r="U628" s="408"/>
      <c r="V628" s="408">
        <v>1</v>
      </c>
      <c r="W628" s="408">
        <v>1</v>
      </c>
      <c r="X628" s="408">
        <v>2</v>
      </c>
      <c r="Y628" s="408">
        <v>0</v>
      </c>
      <c r="Z628" s="408">
        <v>0</v>
      </c>
      <c r="AA628" s="408">
        <v>1</v>
      </c>
      <c r="AB628" s="408">
        <v>0</v>
      </c>
      <c r="AC628" s="408">
        <v>3</v>
      </c>
      <c r="AD628" s="408">
        <v>4</v>
      </c>
    </row>
    <row r="629" spans="1:30">
      <c r="A629">
        <v>512</v>
      </c>
      <c r="B629" s="1" t="s">
        <v>472</v>
      </c>
      <c r="C629" s="5" t="s">
        <v>20</v>
      </c>
      <c r="D629" s="408">
        <v>25</v>
      </c>
      <c r="E629" s="5" t="s">
        <v>47</v>
      </c>
      <c r="F629" s="408">
        <v>57</v>
      </c>
      <c r="G629" s="408">
        <v>4</v>
      </c>
      <c r="H629" s="408">
        <v>20.8</v>
      </c>
      <c r="I629" s="408">
        <v>3</v>
      </c>
      <c r="J629" s="408">
        <v>6.3</v>
      </c>
      <c r="K629" s="408">
        <v>0.47599999999999998</v>
      </c>
      <c r="L629" s="408">
        <v>0.8</v>
      </c>
      <c r="M629" s="408">
        <v>2.2000000000000002</v>
      </c>
      <c r="N629" s="5">
        <v>0.36799999999999999</v>
      </c>
      <c r="O629" s="408">
        <v>2.2000000000000002</v>
      </c>
      <c r="P629" s="408">
        <v>4.0999999999999996</v>
      </c>
      <c r="Q629" s="408">
        <v>0.53400000000000003</v>
      </c>
      <c r="R629" s="408">
        <v>0.54</v>
      </c>
      <c r="S629" s="408">
        <v>1.4</v>
      </c>
      <c r="T629" s="408">
        <v>1.7</v>
      </c>
      <c r="U629" s="408">
        <v>0.84399999999999997</v>
      </c>
      <c r="V629" s="408">
        <v>0.7</v>
      </c>
      <c r="W629" s="408">
        <v>2.1</v>
      </c>
      <c r="X629" s="408">
        <v>2.8</v>
      </c>
      <c r="Y629" s="408">
        <v>2.8</v>
      </c>
      <c r="Z629" s="408">
        <v>1.1000000000000001</v>
      </c>
      <c r="AA629" s="408">
        <v>0.5</v>
      </c>
      <c r="AB629" s="408">
        <v>1.2</v>
      </c>
      <c r="AC629" s="408">
        <v>1.2</v>
      </c>
      <c r="AD629" s="408">
        <v>8.3000000000000007</v>
      </c>
    </row>
    <row r="630" spans="1:30">
      <c r="A630">
        <v>513</v>
      </c>
      <c r="B630" s="1" t="s">
        <v>298</v>
      </c>
      <c r="C630" s="5" t="s">
        <v>38</v>
      </c>
      <c r="D630" s="408">
        <v>22</v>
      </c>
      <c r="E630" s="5" t="s">
        <v>87</v>
      </c>
      <c r="F630" s="408">
        <v>25</v>
      </c>
      <c r="G630" s="408">
        <v>1</v>
      </c>
      <c r="H630" s="408">
        <v>5.4</v>
      </c>
      <c r="I630" s="408">
        <v>0.6</v>
      </c>
      <c r="J630" s="408">
        <v>1.4</v>
      </c>
      <c r="K630" s="408">
        <v>0.41699999999999998</v>
      </c>
      <c r="L630" s="408">
        <v>0.3</v>
      </c>
      <c r="M630" s="408">
        <v>0.9</v>
      </c>
      <c r="N630" s="5">
        <v>0.34799999999999998</v>
      </c>
      <c r="O630" s="408">
        <v>0.3</v>
      </c>
      <c r="P630" s="408">
        <v>0.5</v>
      </c>
      <c r="Q630" s="408">
        <v>0.53800000000000003</v>
      </c>
      <c r="R630" s="408">
        <v>0.52800000000000002</v>
      </c>
      <c r="S630" s="408">
        <v>0.3</v>
      </c>
      <c r="T630" s="408">
        <v>0.4</v>
      </c>
      <c r="U630" s="408">
        <v>0.63600000000000001</v>
      </c>
      <c r="V630" s="408">
        <v>0.5</v>
      </c>
      <c r="W630" s="408">
        <v>0.9</v>
      </c>
      <c r="X630" s="408">
        <v>1.4</v>
      </c>
      <c r="Y630" s="408">
        <v>0.4</v>
      </c>
      <c r="Z630" s="408">
        <v>0.1</v>
      </c>
      <c r="AA630" s="408">
        <v>0.1</v>
      </c>
      <c r="AB630" s="408">
        <v>0.3</v>
      </c>
      <c r="AC630" s="408">
        <v>0.6</v>
      </c>
      <c r="AD630" s="408">
        <v>1.8</v>
      </c>
    </row>
    <row r="631" spans="1:30">
      <c r="A631">
        <v>514</v>
      </c>
      <c r="B631" s="1" t="s">
        <v>795</v>
      </c>
      <c r="C631" s="5" t="s">
        <v>26</v>
      </c>
      <c r="D631" s="408">
        <v>22</v>
      </c>
      <c r="E631" s="5" t="s">
        <v>118</v>
      </c>
      <c r="F631" s="408">
        <v>5</v>
      </c>
      <c r="G631" s="408">
        <v>0</v>
      </c>
      <c r="H631" s="408">
        <v>10.4</v>
      </c>
      <c r="I631" s="408">
        <v>0.8</v>
      </c>
      <c r="J631" s="408">
        <v>2.4</v>
      </c>
      <c r="K631" s="408">
        <v>0.33300000000000002</v>
      </c>
      <c r="L631" s="408">
        <v>0.6</v>
      </c>
      <c r="M631" s="408">
        <v>2</v>
      </c>
      <c r="N631" s="5">
        <v>0.3</v>
      </c>
      <c r="O631" s="408">
        <v>0.2</v>
      </c>
      <c r="P631" s="408">
        <v>0.4</v>
      </c>
      <c r="Q631" s="408">
        <v>0.5</v>
      </c>
      <c r="R631" s="408">
        <v>0.45800000000000002</v>
      </c>
      <c r="S631" s="408">
        <v>0.8</v>
      </c>
      <c r="T631" s="408">
        <v>1.2</v>
      </c>
      <c r="U631" s="408">
        <v>0.66700000000000004</v>
      </c>
      <c r="V631" s="408">
        <v>0</v>
      </c>
      <c r="W631" s="408">
        <v>0.4</v>
      </c>
      <c r="X631" s="408">
        <v>0.4</v>
      </c>
      <c r="Y631" s="408">
        <v>0.4</v>
      </c>
      <c r="Z631" s="408">
        <v>0</v>
      </c>
      <c r="AA631" s="408">
        <v>0</v>
      </c>
      <c r="AB631" s="408">
        <v>0</v>
      </c>
      <c r="AC631" s="408">
        <v>0.6</v>
      </c>
      <c r="AD631" s="408">
        <v>3</v>
      </c>
    </row>
    <row r="632" spans="1:30">
      <c r="A632">
        <v>515</v>
      </c>
      <c r="B632" s="1" t="s">
        <v>498</v>
      </c>
      <c r="C632" s="5" t="s">
        <v>20</v>
      </c>
      <c r="D632" s="408">
        <v>25</v>
      </c>
      <c r="E632" s="5" t="s">
        <v>30</v>
      </c>
      <c r="F632" s="408">
        <v>50</v>
      </c>
      <c r="G632" s="408">
        <v>1</v>
      </c>
      <c r="H632" s="408">
        <v>10.4</v>
      </c>
      <c r="I632" s="408">
        <v>1.5</v>
      </c>
      <c r="J632" s="408">
        <v>3.4</v>
      </c>
      <c r="K632" s="408">
        <v>0.433</v>
      </c>
      <c r="L632" s="408">
        <v>0.4</v>
      </c>
      <c r="M632" s="408">
        <v>1.2</v>
      </c>
      <c r="N632" s="5">
        <v>0.36699999999999999</v>
      </c>
      <c r="O632" s="408">
        <v>1</v>
      </c>
      <c r="P632" s="408">
        <v>2.2000000000000002</v>
      </c>
      <c r="Q632" s="408">
        <v>0.46800000000000003</v>
      </c>
      <c r="R632" s="408">
        <v>0.497</v>
      </c>
      <c r="S632" s="408">
        <v>0.4</v>
      </c>
      <c r="T632" s="408">
        <v>0.6</v>
      </c>
      <c r="U632" s="408">
        <v>0.75900000000000001</v>
      </c>
      <c r="V632" s="408">
        <v>0.2</v>
      </c>
      <c r="W632" s="408">
        <v>1</v>
      </c>
      <c r="X632" s="408">
        <v>1.2</v>
      </c>
      <c r="Y632" s="408">
        <v>0.7</v>
      </c>
      <c r="Z632" s="408">
        <v>0.3</v>
      </c>
      <c r="AA632" s="408">
        <v>0</v>
      </c>
      <c r="AB632" s="408">
        <v>0.5</v>
      </c>
      <c r="AC632" s="408">
        <v>0.7</v>
      </c>
      <c r="AD632" s="408">
        <v>3.8</v>
      </c>
    </row>
    <row r="633" spans="1:30">
      <c r="A633">
        <v>516</v>
      </c>
      <c r="B633" s="1" t="s">
        <v>156</v>
      </c>
      <c r="C633" s="5" t="s">
        <v>26</v>
      </c>
      <c r="D633" s="408">
        <v>32</v>
      </c>
      <c r="E633" s="5" t="s">
        <v>73</v>
      </c>
      <c r="F633" s="408">
        <v>69</v>
      </c>
      <c r="G633" s="408">
        <v>5</v>
      </c>
      <c r="H633" s="408">
        <v>16.2</v>
      </c>
      <c r="I633" s="408">
        <v>2.5</v>
      </c>
      <c r="J633" s="408">
        <v>5.8</v>
      </c>
      <c r="K633" s="408">
        <v>0.42699999999999999</v>
      </c>
      <c r="L633" s="408">
        <v>1.5</v>
      </c>
      <c r="M633" s="408">
        <v>3.9</v>
      </c>
      <c r="N633" s="5">
        <v>0.379</v>
      </c>
      <c r="O633" s="408">
        <v>1</v>
      </c>
      <c r="P633" s="408">
        <v>1.8</v>
      </c>
      <c r="Q633" s="408">
        <v>0.53200000000000003</v>
      </c>
      <c r="R633" s="408">
        <v>0.55700000000000005</v>
      </c>
      <c r="S633" s="408">
        <v>0.7</v>
      </c>
      <c r="T633" s="408">
        <v>0.8</v>
      </c>
      <c r="U633" s="408">
        <v>0.83299999999999996</v>
      </c>
      <c r="V633" s="408">
        <v>0.2</v>
      </c>
      <c r="W633" s="408">
        <v>1.1000000000000001</v>
      </c>
      <c r="X633" s="408">
        <v>1.4</v>
      </c>
      <c r="Y633" s="408">
        <v>0.4</v>
      </c>
      <c r="Z633" s="408">
        <v>0.5</v>
      </c>
      <c r="AA633" s="408">
        <v>0.1</v>
      </c>
      <c r="AB633" s="408">
        <v>0.5</v>
      </c>
      <c r="AC633" s="408">
        <v>1.2</v>
      </c>
      <c r="AD633" s="408">
        <v>7.1</v>
      </c>
    </row>
    <row r="634" spans="1:30">
      <c r="A634">
        <v>517</v>
      </c>
      <c r="B634" s="1" t="s">
        <v>453</v>
      </c>
      <c r="C634" s="5" t="s">
        <v>38</v>
      </c>
      <c r="D634" s="408">
        <v>29</v>
      </c>
      <c r="E634" s="5" t="s">
        <v>30</v>
      </c>
      <c r="F634" s="408">
        <v>71</v>
      </c>
      <c r="G634" s="408">
        <v>71</v>
      </c>
      <c r="H634" s="408">
        <v>32.4</v>
      </c>
      <c r="I634" s="408">
        <v>5.0999999999999996</v>
      </c>
      <c r="J634" s="408">
        <v>10.5</v>
      </c>
      <c r="K634" s="408">
        <v>0.48799999999999999</v>
      </c>
      <c r="L634" s="408">
        <v>0.8</v>
      </c>
      <c r="M634" s="408">
        <v>2.4</v>
      </c>
      <c r="N634" s="5">
        <v>0.32700000000000001</v>
      </c>
      <c r="O634" s="408">
        <v>4.4000000000000004</v>
      </c>
      <c r="P634" s="408">
        <v>8.1999999999999993</v>
      </c>
      <c r="Q634" s="408">
        <v>0.53400000000000003</v>
      </c>
      <c r="R634" s="408">
        <v>0.52500000000000002</v>
      </c>
      <c r="S634" s="408">
        <v>0.6</v>
      </c>
      <c r="T634" s="408">
        <v>1</v>
      </c>
      <c r="U634" s="408">
        <v>0.59699999999999998</v>
      </c>
      <c r="V634" s="408">
        <v>2.1</v>
      </c>
      <c r="W634" s="408">
        <v>3.9</v>
      </c>
      <c r="X634" s="408">
        <v>6.1</v>
      </c>
      <c r="Y634" s="408">
        <v>2</v>
      </c>
      <c r="Z634" s="408">
        <v>1.7</v>
      </c>
      <c r="AA634" s="408">
        <v>0.5</v>
      </c>
      <c r="AB634" s="408">
        <v>1.3</v>
      </c>
      <c r="AC634" s="408">
        <v>2.1</v>
      </c>
      <c r="AD634" s="408">
        <v>11.7</v>
      </c>
    </row>
    <row r="635" spans="1:30">
      <c r="A635">
        <v>518</v>
      </c>
      <c r="B635" s="1" t="s">
        <v>570</v>
      </c>
      <c r="C635" s="5" t="s">
        <v>83</v>
      </c>
      <c r="D635" s="408">
        <v>25</v>
      </c>
      <c r="E635" s="5" t="s">
        <v>311</v>
      </c>
      <c r="F635" s="408">
        <v>33</v>
      </c>
      <c r="G635" s="408">
        <v>0</v>
      </c>
      <c r="H635" s="408">
        <v>19</v>
      </c>
      <c r="I635" s="408">
        <v>2.6</v>
      </c>
      <c r="J635" s="408">
        <v>4.7</v>
      </c>
      <c r="K635" s="408">
        <v>0.54500000000000004</v>
      </c>
      <c r="L635" s="408">
        <v>0.1</v>
      </c>
      <c r="M635" s="408">
        <v>0.1</v>
      </c>
      <c r="N635" s="5">
        <v>0.66700000000000004</v>
      </c>
      <c r="O635" s="408">
        <v>2.5</v>
      </c>
      <c r="P635" s="408">
        <v>4.5999999999999996</v>
      </c>
      <c r="Q635" s="408">
        <v>0.54200000000000004</v>
      </c>
      <c r="R635" s="408">
        <v>0.55100000000000005</v>
      </c>
      <c r="S635" s="408">
        <v>1.8</v>
      </c>
      <c r="T635" s="408">
        <v>2.6</v>
      </c>
      <c r="U635" s="408">
        <v>0.71799999999999997</v>
      </c>
      <c r="V635" s="408">
        <v>2</v>
      </c>
      <c r="W635" s="408">
        <v>3.3</v>
      </c>
      <c r="X635" s="408">
        <v>5.4</v>
      </c>
      <c r="Y635" s="408">
        <v>0.9</v>
      </c>
      <c r="Z635" s="408">
        <v>0.4</v>
      </c>
      <c r="AA635" s="408">
        <v>0.6</v>
      </c>
      <c r="AB635" s="408">
        <v>1</v>
      </c>
      <c r="AC635" s="408">
        <v>2.5</v>
      </c>
      <c r="AD635" s="408">
        <v>7.1</v>
      </c>
    </row>
    <row r="636" spans="1:30">
      <c r="A636">
        <v>519</v>
      </c>
      <c r="B636" s="1" t="s">
        <v>552</v>
      </c>
      <c r="C636" s="5" t="s">
        <v>83</v>
      </c>
      <c r="D636" s="408">
        <v>28</v>
      </c>
      <c r="E636" s="5" t="s">
        <v>357</v>
      </c>
      <c r="F636" s="408">
        <v>55</v>
      </c>
      <c r="G636" s="408">
        <v>33</v>
      </c>
      <c r="H636" s="408">
        <v>16.5</v>
      </c>
      <c r="I636" s="408">
        <v>2.9</v>
      </c>
      <c r="J636" s="408">
        <v>5.2</v>
      </c>
      <c r="K636" s="408">
        <v>0.55400000000000005</v>
      </c>
      <c r="L636" s="408">
        <v>0.2</v>
      </c>
      <c r="M636" s="408">
        <v>0.5</v>
      </c>
      <c r="N636" s="5">
        <v>0.35699999999999998</v>
      </c>
      <c r="O636" s="408">
        <v>2.7</v>
      </c>
      <c r="P636" s="408">
        <v>4.7</v>
      </c>
      <c r="Q636" s="408">
        <v>0.57599999999999996</v>
      </c>
      <c r="R636" s="408">
        <v>0.57199999999999995</v>
      </c>
      <c r="S636" s="408">
        <v>0.8</v>
      </c>
      <c r="T636" s="408">
        <v>1.2</v>
      </c>
      <c r="U636" s="408">
        <v>0.68200000000000005</v>
      </c>
      <c r="V636" s="408">
        <v>1.6</v>
      </c>
      <c r="W636" s="408">
        <v>3</v>
      </c>
      <c r="X636" s="408">
        <v>4.5999999999999996</v>
      </c>
      <c r="Y636" s="408">
        <v>0.6</v>
      </c>
      <c r="Z636" s="408">
        <v>0.2</v>
      </c>
      <c r="AA636" s="408">
        <v>0.5</v>
      </c>
      <c r="AB636" s="408">
        <v>0.8</v>
      </c>
      <c r="AC636" s="408">
        <v>1.9</v>
      </c>
      <c r="AD636" s="408">
        <v>6.7</v>
      </c>
    </row>
    <row r="637" spans="1:30">
      <c r="A637">
        <v>519</v>
      </c>
      <c r="B637" s="1" t="s">
        <v>552</v>
      </c>
      <c r="C637" s="5" t="s">
        <v>83</v>
      </c>
      <c r="D637" s="408">
        <v>28</v>
      </c>
      <c r="E637" s="5" t="s">
        <v>315</v>
      </c>
      <c r="F637" s="408">
        <v>42</v>
      </c>
      <c r="G637" s="408">
        <v>33</v>
      </c>
      <c r="H637" s="408">
        <v>16.7</v>
      </c>
      <c r="I637" s="408">
        <v>3</v>
      </c>
      <c r="J637" s="408">
        <v>5.5</v>
      </c>
      <c r="K637" s="408">
        <v>0.54600000000000004</v>
      </c>
      <c r="L637" s="408">
        <v>0.2</v>
      </c>
      <c r="M637" s="408">
        <v>0.6</v>
      </c>
      <c r="N637" s="5">
        <v>0.38500000000000001</v>
      </c>
      <c r="O637" s="408">
        <v>2.7</v>
      </c>
      <c r="P637" s="408">
        <v>4.8</v>
      </c>
      <c r="Q637" s="408">
        <v>0.56699999999999995</v>
      </c>
      <c r="R637" s="408">
        <v>0.56799999999999995</v>
      </c>
      <c r="S637" s="408">
        <v>1</v>
      </c>
      <c r="T637" s="408">
        <v>1.4</v>
      </c>
      <c r="U637" s="408">
        <v>0.66700000000000004</v>
      </c>
      <c r="V637" s="408">
        <v>1.5</v>
      </c>
      <c r="W637" s="408">
        <v>3.1</v>
      </c>
      <c r="X637" s="408">
        <v>4.5999999999999996</v>
      </c>
      <c r="Y637" s="408">
        <v>0.7</v>
      </c>
      <c r="Z637" s="408">
        <v>0.2</v>
      </c>
      <c r="AA637" s="408">
        <v>0.5</v>
      </c>
      <c r="AB637" s="408">
        <v>0.8</v>
      </c>
      <c r="AC637" s="408">
        <v>1.9</v>
      </c>
      <c r="AD637" s="408">
        <v>7.1</v>
      </c>
    </row>
    <row r="638" spans="1:30">
      <c r="A638">
        <v>519</v>
      </c>
      <c r="B638" s="1" t="s">
        <v>552</v>
      </c>
      <c r="C638" s="5" t="s">
        <v>83</v>
      </c>
      <c r="D638" s="408">
        <v>28</v>
      </c>
      <c r="E638" s="5" t="s">
        <v>41</v>
      </c>
      <c r="F638" s="408">
        <v>13</v>
      </c>
      <c r="G638" s="408">
        <v>0</v>
      </c>
      <c r="H638" s="408">
        <v>15.8</v>
      </c>
      <c r="I638" s="408">
        <v>2.5</v>
      </c>
      <c r="J638" s="408">
        <v>4.3</v>
      </c>
      <c r="K638" s="408">
        <v>0.58899999999999997</v>
      </c>
      <c r="L638" s="408">
        <v>0</v>
      </c>
      <c r="M638" s="408">
        <v>0.2</v>
      </c>
      <c r="N638" s="5">
        <v>0</v>
      </c>
      <c r="O638" s="408">
        <v>2.5</v>
      </c>
      <c r="P638" s="408">
        <v>4.2</v>
      </c>
      <c r="Q638" s="408">
        <v>0.61099999999999999</v>
      </c>
      <c r="R638" s="408">
        <v>0.58899999999999997</v>
      </c>
      <c r="S638" s="408">
        <v>0.4</v>
      </c>
      <c r="T638" s="408">
        <v>0.5</v>
      </c>
      <c r="U638" s="408">
        <v>0.83299999999999996</v>
      </c>
      <c r="V638" s="408">
        <v>2</v>
      </c>
      <c r="W638" s="408">
        <v>2.5</v>
      </c>
      <c r="X638" s="408">
        <v>4.5</v>
      </c>
      <c r="Y638" s="408">
        <v>0.3</v>
      </c>
      <c r="Z638" s="408">
        <v>0.2</v>
      </c>
      <c r="AA638" s="408">
        <v>0.7</v>
      </c>
      <c r="AB638" s="408">
        <v>0.5</v>
      </c>
      <c r="AC638" s="408">
        <v>1.8</v>
      </c>
      <c r="AD638" s="408">
        <v>5.5</v>
      </c>
    </row>
    <row r="639" spans="1:30">
      <c r="A639">
        <v>520</v>
      </c>
      <c r="B639" s="1" t="s">
        <v>497</v>
      </c>
      <c r="C639" s="5" t="s">
        <v>46</v>
      </c>
      <c r="D639" s="408">
        <v>23</v>
      </c>
      <c r="E639" s="5" t="s">
        <v>43</v>
      </c>
      <c r="F639" s="408">
        <v>52</v>
      </c>
      <c r="G639" s="408">
        <v>11</v>
      </c>
      <c r="H639" s="408">
        <v>15.2</v>
      </c>
      <c r="I639" s="408">
        <v>1.5</v>
      </c>
      <c r="J639" s="408">
        <v>4.3</v>
      </c>
      <c r="K639" s="408">
        <v>0.35399999999999998</v>
      </c>
      <c r="L639" s="408">
        <v>0.7</v>
      </c>
      <c r="M639" s="408">
        <v>2</v>
      </c>
      <c r="N639" s="5">
        <v>0.34300000000000003</v>
      </c>
      <c r="O639" s="408">
        <v>0.8</v>
      </c>
      <c r="P639" s="408">
        <v>2.2999999999999998</v>
      </c>
      <c r="Q639" s="408">
        <v>0.36399999999999999</v>
      </c>
      <c r="R639" s="408">
        <v>0.433</v>
      </c>
      <c r="S639" s="408">
        <v>0.4</v>
      </c>
      <c r="T639" s="408">
        <v>0.5</v>
      </c>
      <c r="U639" s="408">
        <v>0.73099999999999998</v>
      </c>
      <c r="V639" s="408">
        <v>0.2</v>
      </c>
      <c r="W639" s="408">
        <v>2.2999999999999998</v>
      </c>
      <c r="X639" s="408">
        <v>2.5</v>
      </c>
      <c r="Y639" s="408">
        <v>0.8</v>
      </c>
      <c r="Z639" s="408">
        <v>0.4</v>
      </c>
      <c r="AA639" s="408">
        <v>0.3</v>
      </c>
      <c r="AB639" s="408">
        <v>0.8</v>
      </c>
      <c r="AC639" s="408">
        <v>1.6</v>
      </c>
      <c r="AD639" s="408">
        <v>4.0999999999999996</v>
      </c>
    </row>
    <row r="640" spans="1:30">
      <c r="A640">
        <v>521</v>
      </c>
      <c r="B640" s="1" t="s">
        <v>513</v>
      </c>
      <c r="C640" s="5" t="s">
        <v>83</v>
      </c>
      <c r="D640" s="408">
        <v>21</v>
      </c>
      <c r="E640" s="5" t="s">
        <v>102</v>
      </c>
      <c r="F640" s="408">
        <v>24</v>
      </c>
      <c r="G640" s="408">
        <v>2</v>
      </c>
      <c r="H640" s="408">
        <v>6.6</v>
      </c>
      <c r="I640" s="408">
        <v>1.5</v>
      </c>
      <c r="J640" s="408">
        <v>2.1</v>
      </c>
      <c r="K640" s="408">
        <v>0.70599999999999996</v>
      </c>
      <c r="L640" s="408">
        <v>0</v>
      </c>
      <c r="M640" s="408">
        <v>0</v>
      </c>
      <c r="O640" s="408">
        <v>1.5</v>
      </c>
      <c r="P640" s="408">
        <v>2.1</v>
      </c>
      <c r="Q640" s="408">
        <v>0.70599999999999996</v>
      </c>
      <c r="R640" s="408">
        <v>0.70599999999999996</v>
      </c>
      <c r="S640" s="408">
        <v>0.5</v>
      </c>
      <c r="T640" s="408">
        <v>0.8</v>
      </c>
      <c r="U640" s="408">
        <v>0.72199999999999998</v>
      </c>
      <c r="V640" s="408">
        <v>0.9</v>
      </c>
      <c r="W640" s="408">
        <v>1.2</v>
      </c>
      <c r="X640" s="408">
        <v>2.1</v>
      </c>
      <c r="Y640" s="408">
        <v>0.2</v>
      </c>
      <c r="Z640" s="408">
        <v>0</v>
      </c>
      <c r="AA640" s="408">
        <v>0.5</v>
      </c>
      <c r="AB640" s="408">
        <v>0.4</v>
      </c>
      <c r="AC640" s="408">
        <v>1</v>
      </c>
      <c r="AD640" s="408">
        <v>3.5</v>
      </c>
    </row>
    <row r="641" spans="1:30">
      <c r="A641">
        <v>522</v>
      </c>
      <c r="B641" s="1" t="s">
        <v>625</v>
      </c>
      <c r="C641" s="5" t="s">
        <v>83</v>
      </c>
      <c r="D641" s="408">
        <v>20</v>
      </c>
      <c r="E641" s="5" t="s">
        <v>78</v>
      </c>
      <c r="F641" s="408">
        <v>31</v>
      </c>
      <c r="G641" s="408">
        <v>0</v>
      </c>
      <c r="H641" s="408">
        <v>7.7</v>
      </c>
      <c r="I641" s="408">
        <v>1.2</v>
      </c>
      <c r="J641" s="408">
        <v>2.2999999999999998</v>
      </c>
      <c r="K641" s="408">
        <v>0.5</v>
      </c>
      <c r="L641" s="408">
        <v>0</v>
      </c>
      <c r="M641" s="408">
        <v>0</v>
      </c>
      <c r="O641" s="408">
        <v>1.2</v>
      </c>
      <c r="P641" s="408">
        <v>2.2999999999999998</v>
      </c>
      <c r="Q641" s="408">
        <v>0.5</v>
      </c>
      <c r="R641" s="408">
        <v>0.5</v>
      </c>
      <c r="S641" s="408">
        <v>0.8</v>
      </c>
      <c r="T641" s="408">
        <v>1</v>
      </c>
      <c r="U641" s="408">
        <v>0.78100000000000003</v>
      </c>
      <c r="V641" s="408">
        <v>0.8</v>
      </c>
      <c r="W641" s="408">
        <v>1.4</v>
      </c>
      <c r="X641" s="408">
        <v>2.2000000000000002</v>
      </c>
      <c r="Y641" s="408">
        <v>0.4</v>
      </c>
      <c r="Z641" s="408">
        <v>0.1</v>
      </c>
      <c r="AA641" s="408">
        <v>0.2</v>
      </c>
      <c r="AB641" s="408">
        <v>0.6</v>
      </c>
      <c r="AC641" s="408">
        <v>0.9</v>
      </c>
      <c r="AD641" s="408">
        <v>3.1</v>
      </c>
    </row>
  </sheetData>
  <mergeCells count="1">
    <mergeCell ref="N3:P3"/>
  </mergeCells>
  <conditionalFormatting sqref="AD4:AD1048576">
    <cfRule type="top10" dxfId="134" priority="13" percent="1" rank="10"/>
    <cfRule type="colorScale" priority="23">
      <colorScale>
        <cfvo type="min"/>
        <cfvo type="percentile" val="50"/>
        <cfvo type="max"/>
        <color rgb="FFF8696B"/>
        <color rgb="FFFCFCFF"/>
        <color rgb="FF63BE7B"/>
      </colorScale>
    </cfRule>
  </conditionalFormatting>
  <conditionalFormatting sqref="N4:N1048576">
    <cfRule type="top10" dxfId="133" priority="12" percent="1" rank="10"/>
  </conditionalFormatting>
  <conditionalFormatting sqref="Q6:Q603">
    <cfRule type="top10" dxfId="132" priority="257" percent="1" rank="10"/>
  </conditionalFormatting>
  <conditionalFormatting sqref="R6:R603">
    <cfRule type="top10" dxfId="131" priority="259" percent="1" rank="10"/>
  </conditionalFormatting>
  <conditionalFormatting sqref="U6:U603">
    <cfRule type="top10" dxfId="130" priority="261" percent="1" rank="10"/>
  </conditionalFormatting>
  <conditionalFormatting sqref="V6:V603">
    <cfRule type="top10" dxfId="129" priority="263" percent="1" rank="10"/>
  </conditionalFormatting>
  <conditionalFormatting sqref="W6:W603">
    <cfRule type="top10" dxfId="128" priority="265" percent="1" rank="10"/>
  </conditionalFormatting>
  <conditionalFormatting sqref="X6:X603">
    <cfRule type="top10" dxfId="127" priority="267" percent="1" rank="10"/>
  </conditionalFormatting>
  <conditionalFormatting sqref="Y6:Y603">
    <cfRule type="top10" dxfId="126" priority="269" percent="1" rank="10"/>
  </conditionalFormatting>
  <conditionalFormatting sqref="Z6:Z603">
    <cfRule type="top10" dxfId="125" priority="271" percent="1" rank="10"/>
  </conditionalFormatting>
  <conditionalFormatting sqref="AA6:AA603">
    <cfRule type="top10" dxfId="124" priority="273" percent="1" rank="10"/>
  </conditionalFormatting>
  <conditionalFormatting sqref="AB6:AB603">
    <cfRule type="top10" dxfId="123" priority="275" percent="1" rank="10"/>
  </conditionalFormatting>
  <conditionalFormatting sqref="K6:K603">
    <cfRule type="top10" dxfId="122" priority="277" percent="1" rank="10"/>
  </conditionalFormatting>
  <pageMargins left="0.7" right="0.7" top="0.75" bottom="0.75" header="0.3" footer="0.3"/>
  <pageSetup orientation="portrait" r:id="rId1"/>
  <drawing r:id="rId2"/>
  <tableParts count="1">
    <tablePart r:id="rId3"/>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8"/>
  <dimension ref="A1:AG640"/>
  <sheetViews>
    <sheetView workbookViewId="0">
      <pane ySplit="4" topLeftCell="A5" activePane="bottomLeft" state="frozen"/>
      <selection pane="bottomLeft" activeCell="AE23" sqref="AE23"/>
    </sheetView>
  </sheetViews>
  <sheetFormatPr defaultColWidth="8.85546875" defaultRowHeight="15"/>
  <cols>
    <col min="1" max="1" width="4" bestFit="1" customWidth="1"/>
    <col min="2" max="2" width="24.85546875" bestFit="1" customWidth="1"/>
    <col min="3" max="3" width="6.42578125" bestFit="1" customWidth="1"/>
    <col min="4" max="4" width="4.42578125" bestFit="1" customWidth="1"/>
    <col min="5" max="5" width="5.42578125" bestFit="1" customWidth="1"/>
    <col min="6" max="6" width="3" bestFit="1" customWidth="1"/>
    <col min="7" max="7" width="3.42578125" bestFit="1" customWidth="1"/>
    <col min="8" max="8" width="5" bestFit="1" customWidth="1"/>
    <col min="9" max="9" width="4" bestFit="1" customWidth="1"/>
    <col min="10" max="10" width="5" bestFit="1" customWidth="1"/>
    <col min="11" max="11" width="6" bestFit="1" customWidth="1"/>
    <col min="12" max="12" width="4" bestFit="1" customWidth="1"/>
    <col min="13" max="13" width="4.42578125" bestFit="1" customWidth="1"/>
    <col min="14" max="14" width="6" bestFit="1" customWidth="1"/>
    <col min="15" max="15" width="4" bestFit="1" customWidth="1"/>
    <col min="16" max="16" width="5" bestFit="1" customWidth="1"/>
    <col min="17" max="17" width="6" bestFit="1" customWidth="1"/>
    <col min="18" max="18" width="6.140625" bestFit="1" customWidth="1"/>
    <col min="19" max="19" width="4" bestFit="1" customWidth="1"/>
    <col min="20" max="20" width="4.28515625" bestFit="1" customWidth="1"/>
    <col min="21" max="21" width="6" bestFit="1" customWidth="1"/>
    <col min="22" max="22" width="4.7109375" bestFit="1" customWidth="1"/>
    <col min="23" max="23" width="4.5703125" bestFit="1" customWidth="1"/>
    <col min="24" max="24" width="5" bestFit="1" customWidth="1"/>
    <col min="25" max="25" width="4.28515625" bestFit="1" customWidth="1"/>
    <col min="26" max="26" width="4" bestFit="1" customWidth="1"/>
    <col min="27" max="27" width="4.140625" bestFit="1" customWidth="1"/>
    <col min="28" max="28" width="4.7109375" bestFit="1" customWidth="1"/>
    <col min="29" max="29" width="4" bestFit="1" customWidth="1"/>
    <col min="30" max="30" width="5" bestFit="1" customWidth="1"/>
  </cols>
  <sheetData>
    <row r="1" spans="1:33" s="73" customFormat="1">
      <c r="C1" s="664"/>
      <c r="D1" s="664"/>
      <c r="E1" s="664"/>
      <c r="F1" s="664"/>
      <c r="G1" s="664"/>
      <c r="H1" s="664"/>
      <c r="I1" s="664"/>
      <c r="J1" s="664"/>
      <c r="K1" s="664"/>
    </row>
    <row r="2" spans="1:33" s="223" customFormat="1">
      <c r="C2" s="222"/>
      <c r="D2" s="222"/>
      <c r="E2" s="222"/>
      <c r="F2" s="222"/>
      <c r="G2" s="222"/>
      <c r="H2" s="222"/>
      <c r="I2" s="222"/>
      <c r="J2" s="222"/>
      <c r="K2" s="222"/>
      <c r="N2" s="223" t="s">
        <v>1105</v>
      </c>
    </row>
    <row r="3" spans="1:33" s="223" customFormat="1">
      <c r="C3" s="222"/>
      <c r="D3" s="222"/>
      <c r="E3" s="222"/>
      <c r="F3" s="222"/>
      <c r="G3" s="222"/>
      <c r="H3" s="222"/>
      <c r="I3" s="222"/>
      <c r="J3" s="222"/>
      <c r="K3" s="222"/>
    </row>
    <row r="4" spans="1:33" s="106" customFormat="1">
      <c r="A4" t="s">
        <v>257</v>
      </c>
      <c r="B4" t="s">
        <v>258</v>
      </c>
      <c r="C4" t="s">
        <v>259</v>
      </c>
      <c r="D4" t="s">
        <v>255</v>
      </c>
      <c r="E4" t="s">
        <v>260</v>
      </c>
      <c r="F4" t="s">
        <v>261</v>
      </c>
      <c r="G4" t="s">
        <v>262</v>
      </c>
      <c r="H4" t="s">
        <v>263</v>
      </c>
      <c r="I4" t="s">
        <v>264</v>
      </c>
      <c r="J4" t="s">
        <v>265</v>
      </c>
      <c r="K4" t="s">
        <v>266</v>
      </c>
      <c r="L4" t="s">
        <v>267</v>
      </c>
      <c r="M4" t="s">
        <v>268</v>
      </c>
      <c r="N4" t="s">
        <v>269</v>
      </c>
      <c r="O4" t="s">
        <v>270</v>
      </c>
      <c r="P4" t="s">
        <v>271</v>
      </c>
      <c r="Q4" t="s">
        <v>272</v>
      </c>
      <c r="R4" t="s">
        <v>273</v>
      </c>
      <c r="S4" t="s">
        <v>274</v>
      </c>
      <c r="T4" t="s">
        <v>275</v>
      </c>
      <c r="U4" t="s">
        <v>276</v>
      </c>
      <c r="V4" t="s">
        <v>277</v>
      </c>
      <c r="W4" t="s">
        <v>278</v>
      </c>
      <c r="X4" t="s">
        <v>279</v>
      </c>
      <c r="Y4" t="s">
        <v>280</v>
      </c>
      <c r="Z4" t="s">
        <v>281</v>
      </c>
      <c r="AA4" t="s">
        <v>282</v>
      </c>
      <c r="AB4" t="s">
        <v>283</v>
      </c>
      <c r="AC4" t="s">
        <v>38</v>
      </c>
      <c r="AD4" t="s">
        <v>805</v>
      </c>
      <c r="AF4" s="107"/>
      <c r="AG4" s="223"/>
    </row>
    <row r="5" spans="1:33">
      <c r="A5">
        <v>1</v>
      </c>
      <c r="B5" s="1" t="s">
        <v>442</v>
      </c>
      <c r="C5" s="1" t="s">
        <v>26</v>
      </c>
      <c r="D5" s="408">
        <v>24</v>
      </c>
      <c r="E5" s="5" t="s">
        <v>58</v>
      </c>
      <c r="F5" s="408">
        <v>66</v>
      </c>
      <c r="G5" s="408">
        <v>8</v>
      </c>
      <c r="H5" s="408">
        <v>1005</v>
      </c>
      <c r="I5" s="408">
        <v>104</v>
      </c>
      <c r="J5" s="408">
        <v>263</v>
      </c>
      <c r="K5" s="408">
        <v>0.39500000000000002</v>
      </c>
      <c r="L5" s="408">
        <v>75</v>
      </c>
      <c r="M5" s="408">
        <v>196</v>
      </c>
      <c r="N5" s="408">
        <v>0.38300000000000001</v>
      </c>
      <c r="O5" s="408">
        <v>29</v>
      </c>
      <c r="P5" s="408">
        <v>67</v>
      </c>
      <c r="Q5" s="408">
        <v>0.433</v>
      </c>
      <c r="R5" s="408">
        <v>0.53800000000000003</v>
      </c>
      <c r="S5" s="408">
        <v>34</v>
      </c>
      <c r="T5" s="408">
        <v>39</v>
      </c>
      <c r="U5" s="408">
        <v>0.872</v>
      </c>
      <c r="V5" s="408">
        <v>24</v>
      </c>
      <c r="W5" s="408">
        <v>80</v>
      </c>
      <c r="X5" s="408">
        <v>104</v>
      </c>
      <c r="Y5" s="408">
        <v>25</v>
      </c>
      <c r="Z5" s="408">
        <v>36</v>
      </c>
      <c r="AA5" s="408">
        <v>8</v>
      </c>
      <c r="AB5" s="408">
        <v>25</v>
      </c>
      <c r="AC5" s="408">
        <v>108</v>
      </c>
      <c r="AD5" s="408">
        <v>317</v>
      </c>
    </row>
    <row r="6" spans="1:33">
      <c r="A6">
        <v>2</v>
      </c>
      <c r="B6" s="1" t="s">
        <v>143</v>
      </c>
      <c r="C6" s="1" t="s">
        <v>38</v>
      </c>
      <c r="D6" s="408">
        <v>27</v>
      </c>
      <c r="E6" s="5" t="s">
        <v>315</v>
      </c>
      <c r="F6" s="408">
        <v>62</v>
      </c>
      <c r="G6" s="408">
        <v>8</v>
      </c>
      <c r="H6" s="408">
        <v>1207</v>
      </c>
      <c r="I6" s="408">
        <v>107</v>
      </c>
      <c r="J6" s="408">
        <v>317</v>
      </c>
      <c r="K6" s="408">
        <v>0.33800000000000002</v>
      </c>
      <c r="L6" s="408">
        <v>83</v>
      </c>
      <c r="M6" s="408">
        <v>251</v>
      </c>
      <c r="N6" s="408">
        <v>0.33100000000000002</v>
      </c>
      <c r="O6" s="408">
        <v>24</v>
      </c>
      <c r="P6" s="408">
        <v>66</v>
      </c>
      <c r="Q6" s="408">
        <v>0.36399999999999999</v>
      </c>
      <c r="R6" s="408">
        <v>0.46800000000000003</v>
      </c>
      <c r="S6" s="408">
        <v>46</v>
      </c>
      <c r="T6" s="408">
        <v>56</v>
      </c>
      <c r="U6" s="408">
        <v>0.82099999999999995</v>
      </c>
      <c r="V6" s="408">
        <v>37</v>
      </c>
      <c r="W6" s="408">
        <v>196</v>
      </c>
      <c r="X6" s="408">
        <v>233</v>
      </c>
      <c r="Y6" s="408">
        <v>50</v>
      </c>
      <c r="Z6" s="408">
        <v>29</v>
      </c>
      <c r="AA6" s="408">
        <v>23</v>
      </c>
      <c r="AB6" s="408">
        <v>57</v>
      </c>
      <c r="AC6" s="408">
        <v>130</v>
      </c>
      <c r="AD6" s="408">
        <v>343</v>
      </c>
    </row>
    <row r="7" spans="1:33" ht="15.75">
      <c r="A7">
        <v>3</v>
      </c>
      <c r="B7" s="31" t="s">
        <v>589</v>
      </c>
      <c r="C7" s="1" t="s">
        <v>83</v>
      </c>
      <c r="D7" s="408">
        <v>24</v>
      </c>
      <c r="E7" s="5" t="s">
        <v>58</v>
      </c>
      <c r="F7" s="408">
        <v>66</v>
      </c>
      <c r="G7" s="408">
        <v>66</v>
      </c>
      <c r="H7" s="408">
        <v>2145</v>
      </c>
      <c r="I7" s="408">
        <v>393</v>
      </c>
      <c r="J7" s="408">
        <v>619</v>
      </c>
      <c r="K7" s="408">
        <v>0.63500000000000001</v>
      </c>
      <c r="L7" s="408">
        <v>0</v>
      </c>
      <c r="M7" s="408">
        <v>2</v>
      </c>
      <c r="N7" s="408">
        <v>0</v>
      </c>
      <c r="O7" s="408">
        <v>393</v>
      </c>
      <c r="P7" s="408">
        <v>617</v>
      </c>
      <c r="Q7" s="408">
        <v>0.63700000000000001</v>
      </c>
      <c r="R7" s="408">
        <v>0.63500000000000001</v>
      </c>
      <c r="S7" s="408">
        <v>133</v>
      </c>
      <c r="T7" s="408">
        <v>234</v>
      </c>
      <c r="U7" s="408">
        <v>0.56799999999999995</v>
      </c>
      <c r="V7" s="408">
        <v>335</v>
      </c>
      <c r="W7" s="408">
        <v>257</v>
      </c>
      <c r="X7" s="408">
        <v>592</v>
      </c>
      <c r="Y7" s="408">
        <v>71</v>
      </c>
      <c r="Z7" s="408">
        <v>84</v>
      </c>
      <c r="AA7" s="408">
        <v>74</v>
      </c>
      <c r="AB7" s="408">
        <v>108</v>
      </c>
      <c r="AC7" s="408">
        <v>192</v>
      </c>
      <c r="AD7" s="408">
        <v>919</v>
      </c>
    </row>
    <row r="8" spans="1:33">
      <c r="A8">
        <v>4</v>
      </c>
      <c r="B8" s="1" t="s">
        <v>569</v>
      </c>
      <c r="C8" s="1" t="s">
        <v>83</v>
      </c>
      <c r="D8" s="408">
        <v>20</v>
      </c>
      <c r="E8" s="5" t="s">
        <v>50</v>
      </c>
      <c r="F8" s="408">
        <v>61</v>
      </c>
      <c r="G8" s="408">
        <v>16</v>
      </c>
      <c r="H8" s="408">
        <v>1238</v>
      </c>
      <c r="I8" s="408">
        <v>157</v>
      </c>
      <c r="J8" s="408">
        <v>305</v>
      </c>
      <c r="K8" s="408">
        <v>0.51500000000000001</v>
      </c>
      <c r="L8" s="408">
        <v>0</v>
      </c>
      <c r="M8" s="408">
        <v>7</v>
      </c>
      <c r="N8" s="408">
        <v>0</v>
      </c>
      <c r="O8" s="408">
        <v>157</v>
      </c>
      <c r="P8" s="408">
        <v>298</v>
      </c>
      <c r="Q8" s="408">
        <v>0.52700000000000002</v>
      </c>
      <c r="R8" s="408">
        <v>0.51500000000000001</v>
      </c>
      <c r="S8" s="408">
        <v>116</v>
      </c>
      <c r="T8" s="408">
        <v>165</v>
      </c>
      <c r="U8" s="408">
        <v>0.70299999999999996</v>
      </c>
      <c r="V8" s="408">
        <v>107</v>
      </c>
      <c r="W8" s="408">
        <v>238</v>
      </c>
      <c r="X8" s="408">
        <v>345</v>
      </c>
      <c r="Y8" s="408">
        <v>97</v>
      </c>
      <c r="Z8" s="408">
        <v>29</v>
      </c>
      <c r="AA8" s="408">
        <v>38</v>
      </c>
      <c r="AB8" s="408">
        <v>56</v>
      </c>
      <c r="AC8" s="408">
        <v>125</v>
      </c>
      <c r="AD8" s="408">
        <v>430</v>
      </c>
    </row>
    <row r="9" spans="1:33">
      <c r="A9">
        <v>5</v>
      </c>
      <c r="B9" s="1" t="s">
        <v>76</v>
      </c>
      <c r="C9" s="1" t="s">
        <v>26</v>
      </c>
      <c r="D9" s="408">
        <v>32</v>
      </c>
      <c r="E9" s="5" t="s">
        <v>75</v>
      </c>
      <c r="F9" s="408">
        <v>47</v>
      </c>
      <c r="G9" s="408">
        <v>2</v>
      </c>
      <c r="H9" s="408">
        <v>597</v>
      </c>
      <c r="I9" s="408">
        <v>56</v>
      </c>
      <c r="J9" s="408">
        <v>141</v>
      </c>
      <c r="K9" s="408">
        <v>0.39700000000000002</v>
      </c>
      <c r="L9" s="408">
        <v>23</v>
      </c>
      <c r="M9" s="408">
        <v>59</v>
      </c>
      <c r="N9" s="408">
        <v>0.39</v>
      </c>
      <c r="O9" s="408">
        <v>33</v>
      </c>
      <c r="P9" s="408">
        <v>82</v>
      </c>
      <c r="Q9" s="408">
        <v>0.40200000000000002</v>
      </c>
      <c r="R9" s="408">
        <v>0.47899999999999998</v>
      </c>
      <c r="S9" s="408">
        <v>20</v>
      </c>
      <c r="T9" s="408">
        <v>24</v>
      </c>
      <c r="U9" s="408">
        <v>0.83299999999999996</v>
      </c>
      <c r="V9" s="408">
        <v>3</v>
      </c>
      <c r="W9" s="408">
        <v>59</v>
      </c>
      <c r="X9" s="408">
        <v>62</v>
      </c>
      <c r="Y9" s="408">
        <v>26</v>
      </c>
      <c r="Z9" s="408">
        <v>2</v>
      </c>
      <c r="AA9" s="408">
        <v>7</v>
      </c>
      <c r="AB9" s="408">
        <v>18</v>
      </c>
      <c r="AC9" s="408">
        <v>50</v>
      </c>
      <c r="AD9" s="408">
        <v>155</v>
      </c>
    </row>
    <row r="10" spans="1:33">
      <c r="A10">
        <v>6</v>
      </c>
      <c r="B10" s="1" t="s">
        <v>8</v>
      </c>
      <c r="C10" s="1" t="s">
        <v>83</v>
      </c>
      <c r="D10" s="408">
        <v>29</v>
      </c>
      <c r="E10" s="5" t="s">
        <v>56</v>
      </c>
      <c r="F10" s="408">
        <v>17</v>
      </c>
      <c r="G10" s="408">
        <v>0</v>
      </c>
      <c r="H10" s="408">
        <v>33</v>
      </c>
      <c r="I10" s="408">
        <v>3</v>
      </c>
      <c r="J10" s="408">
        <v>11</v>
      </c>
      <c r="K10" s="408">
        <v>0.27300000000000002</v>
      </c>
      <c r="L10" s="408">
        <v>0</v>
      </c>
      <c r="M10" s="408">
        <v>0</v>
      </c>
      <c r="N10" s="408"/>
      <c r="O10" s="408">
        <v>3</v>
      </c>
      <c r="P10" s="408">
        <v>11</v>
      </c>
      <c r="Q10" s="408">
        <v>0.27300000000000002</v>
      </c>
      <c r="R10" s="408">
        <v>0.27300000000000002</v>
      </c>
      <c r="S10" s="408">
        <v>2</v>
      </c>
      <c r="T10" s="408">
        <v>4</v>
      </c>
      <c r="U10" s="408">
        <v>0.5</v>
      </c>
      <c r="V10" s="408">
        <v>3</v>
      </c>
      <c r="W10" s="408">
        <v>5</v>
      </c>
      <c r="X10" s="408">
        <v>8</v>
      </c>
      <c r="Y10" s="408">
        <v>1</v>
      </c>
      <c r="Z10" s="408">
        <v>2</v>
      </c>
      <c r="AA10" s="408">
        <v>1</v>
      </c>
      <c r="AB10" s="408">
        <v>1</v>
      </c>
      <c r="AC10" s="408">
        <v>7</v>
      </c>
      <c r="AD10" s="408">
        <v>8</v>
      </c>
    </row>
    <row r="11" spans="1:33">
      <c r="A11">
        <v>7</v>
      </c>
      <c r="B11" s="1" t="s">
        <v>504</v>
      </c>
      <c r="C11" s="1" t="s">
        <v>83</v>
      </c>
      <c r="D11" s="408">
        <v>32</v>
      </c>
      <c r="E11" s="5" t="s">
        <v>140</v>
      </c>
      <c r="F11" s="408">
        <v>64</v>
      </c>
      <c r="G11" s="408">
        <v>64</v>
      </c>
      <c r="H11" s="408">
        <v>2143</v>
      </c>
      <c r="I11" s="408">
        <v>571</v>
      </c>
      <c r="J11" s="408">
        <v>1137</v>
      </c>
      <c r="K11" s="408">
        <v>0.502</v>
      </c>
      <c r="L11" s="408">
        <v>25</v>
      </c>
      <c r="M11" s="408">
        <v>83</v>
      </c>
      <c r="N11" s="408">
        <v>0.30099999999999999</v>
      </c>
      <c r="O11" s="408">
        <v>546</v>
      </c>
      <c r="P11" s="408">
        <v>1054</v>
      </c>
      <c r="Q11" s="408">
        <v>0.51800000000000002</v>
      </c>
      <c r="R11" s="408">
        <v>0.51300000000000001</v>
      </c>
      <c r="S11" s="408">
        <v>284</v>
      </c>
      <c r="T11" s="408">
        <v>340</v>
      </c>
      <c r="U11" s="408">
        <v>0.83499999999999996</v>
      </c>
      <c r="V11" s="408">
        <v>211</v>
      </c>
      <c r="W11" s="408">
        <v>325</v>
      </c>
      <c r="X11" s="408">
        <v>536</v>
      </c>
      <c r="Y11" s="408">
        <v>130</v>
      </c>
      <c r="Z11" s="408">
        <v>33</v>
      </c>
      <c r="AA11" s="408">
        <v>72</v>
      </c>
      <c r="AB11" s="408">
        <v>97</v>
      </c>
      <c r="AC11" s="408">
        <v>141</v>
      </c>
      <c r="AD11" s="408">
        <v>1451</v>
      </c>
    </row>
    <row r="12" spans="1:33">
      <c r="A12">
        <v>8</v>
      </c>
      <c r="B12" s="1" t="s">
        <v>561</v>
      </c>
      <c r="C12" s="1" t="s">
        <v>83</v>
      </c>
      <c r="D12" s="408">
        <v>19</v>
      </c>
      <c r="E12" s="5" t="s">
        <v>315</v>
      </c>
      <c r="F12" s="408">
        <v>61</v>
      </c>
      <c r="G12" s="408">
        <v>20</v>
      </c>
      <c r="H12" s="408">
        <v>1171</v>
      </c>
      <c r="I12" s="408">
        <v>195</v>
      </c>
      <c r="J12" s="408">
        <v>335</v>
      </c>
      <c r="K12" s="408">
        <v>0.58199999999999996</v>
      </c>
      <c r="L12" s="408">
        <v>3</v>
      </c>
      <c r="M12" s="408">
        <v>11</v>
      </c>
      <c r="N12" s="408">
        <v>0.27300000000000002</v>
      </c>
      <c r="O12" s="408">
        <v>192</v>
      </c>
      <c r="P12" s="408">
        <v>324</v>
      </c>
      <c r="Q12" s="408">
        <v>0.59299999999999997</v>
      </c>
      <c r="R12" s="408">
        <v>0.58699999999999997</v>
      </c>
      <c r="S12" s="408">
        <v>93</v>
      </c>
      <c r="T12" s="408">
        <v>119</v>
      </c>
      <c r="U12" s="408">
        <v>0.78200000000000003</v>
      </c>
      <c r="V12" s="408">
        <v>127</v>
      </c>
      <c r="W12" s="408">
        <v>196</v>
      </c>
      <c r="X12" s="408">
        <v>323</v>
      </c>
      <c r="Y12" s="408">
        <v>44</v>
      </c>
      <c r="Z12" s="408">
        <v>24</v>
      </c>
      <c r="AA12" s="408">
        <v>58</v>
      </c>
      <c r="AB12" s="408">
        <v>68</v>
      </c>
      <c r="AC12" s="408">
        <v>120</v>
      </c>
      <c r="AD12" s="408">
        <v>486</v>
      </c>
    </row>
    <row r="13" spans="1:33">
      <c r="A13">
        <v>9</v>
      </c>
      <c r="B13" s="1" t="s">
        <v>481</v>
      </c>
      <c r="C13" s="1" t="s">
        <v>20</v>
      </c>
      <c r="D13" s="408">
        <v>25</v>
      </c>
      <c r="E13" s="5" t="s">
        <v>87</v>
      </c>
      <c r="F13" s="408">
        <v>9</v>
      </c>
      <c r="G13" s="408">
        <v>0</v>
      </c>
      <c r="H13" s="408">
        <v>31</v>
      </c>
      <c r="I13" s="408">
        <v>1</v>
      </c>
      <c r="J13" s="408">
        <v>6</v>
      </c>
      <c r="K13" s="408">
        <v>0.16700000000000001</v>
      </c>
      <c r="L13" s="408">
        <v>0</v>
      </c>
      <c r="M13" s="408">
        <v>3</v>
      </c>
      <c r="N13" s="408">
        <v>0</v>
      </c>
      <c r="O13" s="408">
        <v>1</v>
      </c>
      <c r="P13" s="408">
        <v>3</v>
      </c>
      <c r="Q13" s="408">
        <v>0.33300000000000002</v>
      </c>
      <c r="R13" s="408">
        <v>0.16700000000000001</v>
      </c>
      <c r="S13" s="408">
        <v>3</v>
      </c>
      <c r="T13" s="408">
        <v>4</v>
      </c>
      <c r="U13" s="408">
        <v>0.75</v>
      </c>
      <c r="V13" s="408">
        <v>1</v>
      </c>
      <c r="W13" s="408">
        <v>3</v>
      </c>
      <c r="X13" s="408">
        <v>4</v>
      </c>
      <c r="Y13" s="408">
        <v>2</v>
      </c>
      <c r="Z13" s="408">
        <v>1</v>
      </c>
      <c r="AA13" s="408">
        <v>0</v>
      </c>
      <c r="AB13" s="408">
        <v>3</v>
      </c>
      <c r="AC13" s="408">
        <v>2</v>
      </c>
      <c r="AD13" s="408">
        <v>5</v>
      </c>
    </row>
    <row r="14" spans="1:33">
      <c r="A14">
        <v>10</v>
      </c>
      <c r="B14" s="1" t="s">
        <v>113</v>
      </c>
      <c r="C14" s="1" t="s">
        <v>46</v>
      </c>
      <c r="D14" s="408">
        <v>36</v>
      </c>
      <c r="E14" s="5" t="s">
        <v>112</v>
      </c>
      <c r="F14" s="408">
        <v>22</v>
      </c>
      <c r="G14" s="408">
        <v>0</v>
      </c>
      <c r="H14" s="408">
        <v>273</v>
      </c>
      <c r="I14" s="408">
        <v>44</v>
      </c>
      <c r="J14" s="408">
        <v>91</v>
      </c>
      <c r="K14" s="408">
        <v>0.48399999999999999</v>
      </c>
      <c r="L14" s="408">
        <v>4</v>
      </c>
      <c r="M14" s="408">
        <v>12</v>
      </c>
      <c r="N14" s="408">
        <v>0.33300000000000002</v>
      </c>
      <c r="O14" s="408">
        <v>40</v>
      </c>
      <c r="P14" s="408">
        <v>79</v>
      </c>
      <c r="Q14" s="408">
        <v>0.50600000000000001</v>
      </c>
      <c r="R14" s="408">
        <v>0.505</v>
      </c>
      <c r="S14" s="408">
        <v>11</v>
      </c>
      <c r="T14" s="408">
        <v>21</v>
      </c>
      <c r="U14" s="408">
        <v>0.52400000000000002</v>
      </c>
      <c r="V14" s="408">
        <v>20</v>
      </c>
      <c r="W14" s="408">
        <v>27</v>
      </c>
      <c r="X14" s="408">
        <v>47</v>
      </c>
      <c r="Y14" s="408">
        <v>9</v>
      </c>
      <c r="Z14" s="408">
        <v>11</v>
      </c>
      <c r="AA14" s="408">
        <v>3</v>
      </c>
      <c r="AB14" s="408">
        <v>19</v>
      </c>
      <c r="AC14" s="408">
        <v>49</v>
      </c>
      <c r="AD14" s="408">
        <v>103</v>
      </c>
    </row>
    <row r="15" spans="1:33">
      <c r="A15">
        <v>11</v>
      </c>
      <c r="B15" s="1" t="s">
        <v>358</v>
      </c>
      <c r="C15" s="1" t="s">
        <v>38</v>
      </c>
      <c r="D15" s="408">
        <v>27</v>
      </c>
      <c r="E15" s="5" t="s">
        <v>96</v>
      </c>
      <c r="F15" s="408">
        <v>57</v>
      </c>
      <c r="G15" s="408">
        <v>55</v>
      </c>
      <c r="H15" s="408">
        <v>1701</v>
      </c>
      <c r="I15" s="408">
        <v>188</v>
      </c>
      <c r="J15" s="408">
        <v>471</v>
      </c>
      <c r="K15" s="408">
        <v>0.39900000000000002</v>
      </c>
      <c r="L15" s="408">
        <v>106</v>
      </c>
      <c r="M15" s="408">
        <v>270</v>
      </c>
      <c r="N15" s="408">
        <v>0.39300000000000002</v>
      </c>
      <c r="O15" s="408">
        <v>82</v>
      </c>
      <c r="P15" s="408">
        <v>201</v>
      </c>
      <c r="Q15" s="408">
        <v>0.40799999999999997</v>
      </c>
      <c r="R15" s="408">
        <v>0.51200000000000001</v>
      </c>
      <c r="S15" s="408">
        <v>47</v>
      </c>
      <c r="T15" s="408">
        <v>63</v>
      </c>
      <c r="U15" s="408">
        <v>0.746</v>
      </c>
      <c r="V15" s="408">
        <v>73</v>
      </c>
      <c r="W15" s="408">
        <v>351</v>
      </c>
      <c r="X15" s="408">
        <v>424</v>
      </c>
      <c r="Y15" s="408">
        <v>67</v>
      </c>
      <c r="Z15" s="408">
        <v>55</v>
      </c>
      <c r="AA15" s="408">
        <v>33</v>
      </c>
      <c r="AB15" s="408">
        <v>61</v>
      </c>
      <c r="AC15" s="408">
        <v>108</v>
      </c>
      <c r="AD15" s="408">
        <v>529</v>
      </c>
    </row>
    <row r="16" spans="1:33">
      <c r="A16">
        <v>12</v>
      </c>
      <c r="B16" s="1" t="s">
        <v>440</v>
      </c>
      <c r="C16" s="1" t="s">
        <v>46</v>
      </c>
      <c r="D16" s="408">
        <v>24</v>
      </c>
      <c r="E16" s="5" t="s">
        <v>118</v>
      </c>
      <c r="F16" s="408">
        <v>30</v>
      </c>
      <c r="G16" s="408">
        <v>0</v>
      </c>
      <c r="H16" s="408">
        <v>407</v>
      </c>
      <c r="I16" s="408">
        <v>67</v>
      </c>
      <c r="J16" s="408">
        <v>151</v>
      </c>
      <c r="K16" s="408">
        <v>0.44400000000000001</v>
      </c>
      <c r="L16" s="408">
        <v>27</v>
      </c>
      <c r="M16" s="408">
        <v>75</v>
      </c>
      <c r="N16" s="408">
        <v>0.36</v>
      </c>
      <c r="O16" s="408">
        <v>40</v>
      </c>
      <c r="P16" s="408">
        <v>76</v>
      </c>
      <c r="Q16" s="408">
        <v>0.52600000000000002</v>
      </c>
      <c r="R16" s="408">
        <v>0.53300000000000003</v>
      </c>
      <c r="S16" s="408">
        <v>17</v>
      </c>
      <c r="T16" s="408">
        <v>25</v>
      </c>
      <c r="U16" s="408">
        <v>0.68</v>
      </c>
      <c r="V16" s="408">
        <v>18</v>
      </c>
      <c r="W16" s="408">
        <v>53</v>
      </c>
      <c r="X16" s="408">
        <v>71</v>
      </c>
      <c r="Y16" s="408">
        <v>17</v>
      </c>
      <c r="Z16" s="408">
        <v>12</v>
      </c>
      <c r="AA16" s="408">
        <v>5</v>
      </c>
      <c r="AB16" s="408">
        <v>11</v>
      </c>
      <c r="AC16" s="408">
        <v>44</v>
      </c>
      <c r="AD16" s="408">
        <v>178</v>
      </c>
    </row>
    <row r="17" spans="1:30">
      <c r="A17">
        <v>13</v>
      </c>
      <c r="B17" s="1" t="s">
        <v>185</v>
      </c>
      <c r="C17" s="1" t="s">
        <v>46</v>
      </c>
      <c r="D17" s="408">
        <v>24</v>
      </c>
      <c r="E17" s="5" t="s">
        <v>140</v>
      </c>
      <c r="F17" s="408">
        <v>63</v>
      </c>
      <c r="G17" s="408">
        <v>57</v>
      </c>
      <c r="H17" s="408">
        <v>1697</v>
      </c>
      <c r="I17" s="408">
        <v>194</v>
      </c>
      <c r="J17" s="408">
        <v>377</v>
      </c>
      <c r="K17" s="408">
        <v>0.51500000000000001</v>
      </c>
      <c r="L17" s="408">
        <v>13</v>
      </c>
      <c r="M17" s="408">
        <v>47</v>
      </c>
      <c r="N17" s="408">
        <v>0.27700000000000002</v>
      </c>
      <c r="O17" s="408">
        <v>181</v>
      </c>
      <c r="P17" s="408">
        <v>330</v>
      </c>
      <c r="Q17" s="408">
        <v>0.54800000000000004</v>
      </c>
      <c r="R17" s="408">
        <v>0.53200000000000003</v>
      </c>
      <c r="S17" s="408">
        <v>94</v>
      </c>
      <c r="T17" s="408">
        <v>129</v>
      </c>
      <c r="U17" s="408">
        <v>0.72899999999999998</v>
      </c>
      <c r="V17" s="408">
        <v>72</v>
      </c>
      <c r="W17" s="408">
        <v>283</v>
      </c>
      <c r="X17" s="408">
        <v>355</v>
      </c>
      <c r="Y17" s="408">
        <v>176</v>
      </c>
      <c r="Z17" s="408">
        <v>96</v>
      </c>
      <c r="AA17" s="408">
        <v>49</v>
      </c>
      <c r="AB17" s="408">
        <v>84</v>
      </c>
      <c r="AC17" s="408">
        <v>95</v>
      </c>
      <c r="AD17" s="408">
        <v>495</v>
      </c>
    </row>
    <row r="18" spans="1:30">
      <c r="A18">
        <v>14</v>
      </c>
      <c r="B18" s="1" t="s">
        <v>328</v>
      </c>
      <c r="C18" s="1" t="s">
        <v>38</v>
      </c>
      <c r="D18" s="408">
        <v>29</v>
      </c>
      <c r="E18" s="5" t="s">
        <v>92</v>
      </c>
      <c r="F18" s="408">
        <v>59</v>
      </c>
      <c r="G18" s="408">
        <v>50</v>
      </c>
      <c r="H18" s="408">
        <v>1597</v>
      </c>
      <c r="I18" s="408">
        <v>196</v>
      </c>
      <c r="J18" s="408">
        <v>451</v>
      </c>
      <c r="K18" s="408">
        <v>0.435</v>
      </c>
      <c r="L18" s="408">
        <v>124</v>
      </c>
      <c r="M18" s="408">
        <v>320</v>
      </c>
      <c r="N18" s="408">
        <v>0.38800000000000001</v>
      </c>
      <c r="O18" s="408">
        <v>72</v>
      </c>
      <c r="P18" s="408">
        <v>131</v>
      </c>
      <c r="Q18" s="408">
        <v>0.55000000000000004</v>
      </c>
      <c r="R18" s="408">
        <v>0.57199999999999995</v>
      </c>
      <c r="S18" s="408">
        <v>67</v>
      </c>
      <c r="T18" s="408">
        <v>85</v>
      </c>
      <c r="U18" s="408">
        <v>0.78800000000000003</v>
      </c>
      <c r="V18" s="408">
        <v>86</v>
      </c>
      <c r="W18" s="408">
        <v>220</v>
      </c>
      <c r="X18" s="408">
        <v>306</v>
      </c>
      <c r="Y18" s="408">
        <v>56</v>
      </c>
      <c r="Z18" s="408">
        <v>23</v>
      </c>
      <c r="AA18" s="408">
        <v>19</v>
      </c>
      <c r="AB18" s="408">
        <v>41</v>
      </c>
      <c r="AC18" s="408">
        <v>112</v>
      </c>
      <c r="AD18" s="408">
        <v>583</v>
      </c>
    </row>
    <row r="19" spans="1:30">
      <c r="A19">
        <v>15</v>
      </c>
      <c r="B19" s="1" t="s">
        <v>379</v>
      </c>
      <c r="C19" s="1" t="s">
        <v>83</v>
      </c>
      <c r="D19" s="408">
        <v>19</v>
      </c>
      <c r="E19" s="5" t="s">
        <v>30</v>
      </c>
      <c r="F19" s="408">
        <v>10</v>
      </c>
      <c r="G19" s="408">
        <v>0</v>
      </c>
      <c r="H19" s="408">
        <v>28</v>
      </c>
      <c r="I19" s="408">
        <v>4</v>
      </c>
      <c r="J19" s="408">
        <v>9</v>
      </c>
      <c r="K19" s="408">
        <v>0.44400000000000001</v>
      </c>
      <c r="L19" s="408">
        <v>0</v>
      </c>
      <c r="M19" s="408">
        <v>0</v>
      </c>
      <c r="N19" s="408"/>
      <c r="O19" s="408">
        <v>4</v>
      </c>
      <c r="P19" s="408">
        <v>9</v>
      </c>
      <c r="Q19" s="408">
        <v>0.44400000000000001</v>
      </c>
      <c r="R19" s="408">
        <v>0.44400000000000001</v>
      </c>
      <c r="S19" s="408">
        <v>5</v>
      </c>
      <c r="T19" s="408">
        <v>6</v>
      </c>
      <c r="U19" s="408">
        <v>0.83299999999999996</v>
      </c>
      <c r="V19" s="408">
        <v>5</v>
      </c>
      <c r="W19" s="408">
        <v>4</v>
      </c>
      <c r="X19" s="408">
        <v>9</v>
      </c>
      <c r="Y19" s="408">
        <v>0</v>
      </c>
      <c r="Z19" s="408">
        <v>1</v>
      </c>
      <c r="AA19" s="408">
        <v>3</v>
      </c>
      <c r="AB19" s="408">
        <v>2</v>
      </c>
      <c r="AC19" s="408">
        <v>1</v>
      </c>
      <c r="AD19" s="408">
        <v>13</v>
      </c>
    </row>
    <row r="20" spans="1:30">
      <c r="A20">
        <v>16</v>
      </c>
      <c r="B20" s="1" t="s">
        <v>501</v>
      </c>
      <c r="C20" s="1" t="s">
        <v>38</v>
      </c>
      <c r="D20" s="408">
        <v>23</v>
      </c>
      <c r="E20" s="5" t="s">
        <v>41</v>
      </c>
      <c r="F20" s="408">
        <v>66</v>
      </c>
      <c r="G20" s="408">
        <v>66</v>
      </c>
      <c r="H20" s="408">
        <v>2457</v>
      </c>
      <c r="I20" s="408">
        <v>666</v>
      </c>
      <c r="J20" s="408">
        <v>1253</v>
      </c>
      <c r="K20" s="408">
        <v>0.53200000000000003</v>
      </c>
      <c r="L20" s="408">
        <v>36</v>
      </c>
      <c r="M20" s="408">
        <v>121</v>
      </c>
      <c r="N20" s="408">
        <v>0.29799999999999999</v>
      </c>
      <c r="O20" s="408">
        <v>630</v>
      </c>
      <c r="P20" s="408">
        <v>1132</v>
      </c>
      <c r="Q20" s="408">
        <v>0.55700000000000005</v>
      </c>
      <c r="R20" s="408">
        <v>0.54600000000000004</v>
      </c>
      <c r="S20" s="408">
        <v>448</v>
      </c>
      <c r="T20" s="408">
        <v>588</v>
      </c>
      <c r="U20" s="408">
        <v>0.76200000000000001</v>
      </c>
      <c r="V20" s="408">
        <v>141</v>
      </c>
      <c r="W20" s="408">
        <v>528</v>
      </c>
      <c r="X20" s="408">
        <v>669</v>
      </c>
      <c r="Y20" s="408">
        <v>318</v>
      </c>
      <c r="Z20" s="408">
        <v>99</v>
      </c>
      <c r="AA20" s="408">
        <v>94</v>
      </c>
      <c r="AB20" s="408">
        <v>192</v>
      </c>
      <c r="AC20" s="408">
        <v>206</v>
      </c>
      <c r="AD20" s="408">
        <v>1816</v>
      </c>
    </row>
    <row r="21" spans="1:30">
      <c r="A21">
        <v>17</v>
      </c>
      <c r="B21" s="1" t="s">
        <v>329</v>
      </c>
      <c r="C21" s="1" t="s">
        <v>38</v>
      </c>
      <c r="D21" s="408">
        <v>33</v>
      </c>
      <c r="E21" s="5" t="s">
        <v>58</v>
      </c>
      <c r="F21" s="408">
        <v>68</v>
      </c>
      <c r="G21" s="408">
        <v>68</v>
      </c>
      <c r="H21" s="408">
        <v>2189</v>
      </c>
      <c r="I21" s="408">
        <v>425</v>
      </c>
      <c r="J21" s="408">
        <v>1040</v>
      </c>
      <c r="K21" s="408">
        <v>0.40899999999999997</v>
      </c>
      <c r="L21" s="408">
        <v>150</v>
      </c>
      <c r="M21" s="408">
        <v>413</v>
      </c>
      <c r="N21" s="408">
        <v>0.36299999999999999</v>
      </c>
      <c r="O21" s="408">
        <v>275</v>
      </c>
      <c r="P21" s="408">
        <v>627</v>
      </c>
      <c r="Q21" s="408">
        <v>0.439</v>
      </c>
      <c r="R21" s="408">
        <v>0.48099999999999998</v>
      </c>
      <c r="S21" s="408">
        <v>133</v>
      </c>
      <c r="T21" s="408">
        <v>173</v>
      </c>
      <c r="U21" s="408">
        <v>0.76900000000000002</v>
      </c>
      <c r="V21" s="408">
        <v>55</v>
      </c>
      <c r="W21" s="408">
        <v>339</v>
      </c>
      <c r="X21" s="408">
        <v>394</v>
      </c>
      <c r="Y21" s="408">
        <v>88</v>
      </c>
      <c r="Z21" s="408">
        <v>42</v>
      </c>
      <c r="AA21" s="408">
        <v>43</v>
      </c>
      <c r="AB21" s="408">
        <v>88</v>
      </c>
      <c r="AC21" s="408">
        <v>175</v>
      </c>
      <c r="AD21" s="408">
        <v>1133</v>
      </c>
    </row>
    <row r="22" spans="1:30">
      <c r="A22">
        <v>18</v>
      </c>
      <c r="B22" s="1" t="s">
        <v>427</v>
      </c>
      <c r="C22" s="1" t="s">
        <v>46</v>
      </c>
      <c r="D22" s="408">
        <v>20</v>
      </c>
      <c r="E22" s="5" t="s">
        <v>47</v>
      </c>
      <c r="F22" s="408">
        <v>62</v>
      </c>
      <c r="G22" s="408">
        <v>50</v>
      </c>
      <c r="H22" s="408">
        <v>1261</v>
      </c>
      <c r="I22" s="408">
        <v>134</v>
      </c>
      <c r="J22" s="408">
        <v>292</v>
      </c>
      <c r="K22" s="408">
        <v>0.45900000000000002</v>
      </c>
      <c r="L22" s="408">
        <v>60</v>
      </c>
      <c r="M22" s="408">
        <v>169</v>
      </c>
      <c r="N22" s="408">
        <v>0.35499999999999998</v>
      </c>
      <c r="O22" s="408">
        <v>74</v>
      </c>
      <c r="P22" s="408">
        <v>123</v>
      </c>
      <c r="Q22" s="408">
        <v>0.60199999999999998</v>
      </c>
      <c r="R22" s="408">
        <v>0.56200000000000006</v>
      </c>
      <c r="S22" s="408">
        <v>35</v>
      </c>
      <c r="T22" s="408">
        <v>53</v>
      </c>
      <c r="U22" s="408">
        <v>0.66</v>
      </c>
      <c r="V22" s="408">
        <v>36</v>
      </c>
      <c r="W22" s="408">
        <v>113</v>
      </c>
      <c r="X22" s="408">
        <v>149</v>
      </c>
      <c r="Y22" s="408">
        <v>48</v>
      </c>
      <c r="Z22" s="408">
        <v>47</v>
      </c>
      <c r="AA22" s="408">
        <v>10</v>
      </c>
      <c r="AB22" s="408">
        <v>39</v>
      </c>
      <c r="AC22" s="408">
        <v>107</v>
      </c>
      <c r="AD22" s="408">
        <v>363</v>
      </c>
    </row>
    <row r="23" spans="1:30">
      <c r="A23">
        <v>19</v>
      </c>
      <c r="B23" s="1" t="s">
        <v>44</v>
      </c>
      <c r="C23" s="1" t="s">
        <v>20</v>
      </c>
      <c r="D23" s="408">
        <v>23</v>
      </c>
      <c r="E23" s="5" t="s">
        <v>43</v>
      </c>
      <c r="F23" s="408">
        <v>13</v>
      </c>
      <c r="G23" s="408">
        <v>0</v>
      </c>
      <c r="H23" s="408">
        <v>120</v>
      </c>
      <c r="I23" s="408">
        <v>5</v>
      </c>
      <c r="J23" s="408">
        <v>12</v>
      </c>
      <c r="K23" s="408">
        <v>0.41699999999999998</v>
      </c>
      <c r="L23" s="408">
        <v>3</v>
      </c>
      <c r="M23" s="408">
        <v>10</v>
      </c>
      <c r="N23" s="408">
        <v>0.3</v>
      </c>
      <c r="O23" s="408">
        <v>2</v>
      </c>
      <c r="P23" s="408">
        <v>2</v>
      </c>
      <c r="Q23" s="408">
        <v>1</v>
      </c>
      <c r="R23" s="408">
        <v>0.54200000000000004</v>
      </c>
      <c r="S23" s="408">
        <v>2</v>
      </c>
      <c r="T23" s="408">
        <v>2</v>
      </c>
      <c r="U23" s="408">
        <v>1</v>
      </c>
      <c r="V23" s="408">
        <v>0</v>
      </c>
      <c r="W23" s="408">
        <v>7</v>
      </c>
      <c r="X23" s="408">
        <v>7</v>
      </c>
      <c r="Y23" s="408">
        <v>13</v>
      </c>
      <c r="Z23" s="408">
        <v>5</v>
      </c>
      <c r="AA23" s="408">
        <v>0</v>
      </c>
      <c r="AB23" s="408">
        <v>3</v>
      </c>
      <c r="AC23" s="408">
        <v>10</v>
      </c>
      <c r="AD23" s="408">
        <v>15</v>
      </c>
    </row>
    <row r="24" spans="1:30">
      <c r="A24">
        <v>20</v>
      </c>
      <c r="B24" s="1" t="s">
        <v>213</v>
      </c>
      <c r="C24" s="1" t="s">
        <v>46</v>
      </c>
      <c r="D24" s="408">
        <v>32</v>
      </c>
      <c r="E24" s="5" t="s">
        <v>92</v>
      </c>
      <c r="F24" s="408">
        <v>57</v>
      </c>
      <c r="G24" s="408">
        <v>57</v>
      </c>
      <c r="H24" s="408">
        <v>1965</v>
      </c>
      <c r="I24" s="408">
        <v>234</v>
      </c>
      <c r="J24" s="408">
        <v>552</v>
      </c>
      <c r="K24" s="408">
        <v>0.42399999999999999</v>
      </c>
      <c r="L24" s="408">
        <v>151</v>
      </c>
      <c r="M24" s="408">
        <v>397</v>
      </c>
      <c r="N24" s="408">
        <v>0.38</v>
      </c>
      <c r="O24" s="408">
        <v>83</v>
      </c>
      <c r="P24" s="408">
        <v>155</v>
      </c>
      <c r="Q24" s="408">
        <v>0.53500000000000003</v>
      </c>
      <c r="R24" s="408">
        <v>0.56100000000000005</v>
      </c>
      <c r="S24" s="408">
        <v>66</v>
      </c>
      <c r="T24" s="408">
        <v>76</v>
      </c>
      <c r="U24" s="408">
        <v>0.86799999999999999</v>
      </c>
      <c r="V24" s="408">
        <v>32</v>
      </c>
      <c r="W24" s="408">
        <v>224</v>
      </c>
      <c r="X24" s="408">
        <v>256</v>
      </c>
      <c r="Y24" s="408">
        <v>91</v>
      </c>
      <c r="Z24" s="408">
        <v>85</v>
      </c>
      <c r="AA24" s="408">
        <v>12</v>
      </c>
      <c r="AB24" s="408">
        <v>50</v>
      </c>
      <c r="AC24" s="408">
        <v>114</v>
      </c>
      <c r="AD24" s="408">
        <v>685</v>
      </c>
    </row>
    <row r="25" spans="1:30">
      <c r="A25">
        <v>21</v>
      </c>
      <c r="B25" s="1" t="s">
        <v>620</v>
      </c>
      <c r="C25" s="1" t="s">
        <v>38</v>
      </c>
      <c r="D25" s="408">
        <v>29</v>
      </c>
      <c r="E25" s="5" t="s">
        <v>61</v>
      </c>
      <c r="F25" s="408">
        <v>18</v>
      </c>
      <c r="G25" s="408">
        <v>1</v>
      </c>
      <c r="H25" s="408">
        <v>133</v>
      </c>
      <c r="I25" s="408">
        <v>21</v>
      </c>
      <c r="J25" s="408">
        <v>45</v>
      </c>
      <c r="K25" s="408">
        <v>0.46700000000000003</v>
      </c>
      <c r="L25" s="408">
        <v>7</v>
      </c>
      <c r="M25" s="408">
        <v>21</v>
      </c>
      <c r="N25" s="408">
        <v>0.33300000000000002</v>
      </c>
      <c r="O25" s="408">
        <v>14</v>
      </c>
      <c r="P25" s="408">
        <v>24</v>
      </c>
      <c r="Q25" s="408">
        <v>0.58299999999999996</v>
      </c>
      <c r="R25" s="408">
        <v>0.54400000000000004</v>
      </c>
      <c r="S25" s="408">
        <v>2</v>
      </c>
      <c r="T25" s="408">
        <v>3</v>
      </c>
      <c r="U25" s="408">
        <v>0.66700000000000004</v>
      </c>
      <c r="V25" s="408">
        <v>3</v>
      </c>
      <c r="W25" s="408">
        <v>12</v>
      </c>
      <c r="X25" s="408">
        <v>15</v>
      </c>
      <c r="Y25" s="408">
        <v>9</v>
      </c>
      <c r="Z25" s="408">
        <v>8</v>
      </c>
      <c r="AA25" s="408">
        <v>2</v>
      </c>
      <c r="AB25" s="408">
        <v>15</v>
      </c>
      <c r="AC25" s="408">
        <v>20</v>
      </c>
      <c r="AD25" s="408">
        <v>51</v>
      </c>
    </row>
    <row r="26" spans="1:30">
      <c r="A26">
        <v>22</v>
      </c>
      <c r="B26" s="1" t="s">
        <v>537</v>
      </c>
      <c r="C26" s="1" t="s">
        <v>26</v>
      </c>
      <c r="D26" s="408">
        <v>25</v>
      </c>
      <c r="E26" s="5" t="s">
        <v>75</v>
      </c>
      <c r="F26" s="408">
        <v>5</v>
      </c>
      <c r="G26" s="408">
        <v>0</v>
      </c>
      <c r="H26" s="408">
        <v>55</v>
      </c>
      <c r="I26" s="408">
        <v>4</v>
      </c>
      <c r="J26" s="408">
        <v>17</v>
      </c>
      <c r="K26" s="408">
        <v>0.23499999999999999</v>
      </c>
      <c r="L26" s="408">
        <v>0</v>
      </c>
      <c r="M26" s="408">
        <v>5</v>
      </c>
      <c r="N26" s="408">
        <v>0</v>
      </c>
      <c r="O26" s="408">
        <v>4</v>
      </c>
      <c r="P26" s="408">
        <v>12</v>
      </c>
      <c r="Q26" s="408">
        <v>0.33300000000000002</v>
      </c>
      <c r="R26" s="408">
        <v>0.23499999999999999</v>
      </c>
      <c r="S26" s="408">
        <v>1</v>
      </c>
      <c r="T26" s="408">
        <v>3</v>
      </c>
      <c r="U26" s="408">
        <v>0.33300000000000002</v>
      </c>
      <c r="V26" s="408">
        <v>1</v>
      </c>
      <c r="W26" s="408">
        <v>6</v>
      </c>
      <c r="X26" s="408">
        <v>7</v>
      </c>
      <c r="Y26" s="408">
        <v>4</v>
      </c>
      <c r="Z26" s="408">
        <v>0</v>
      </c>
      <c r="AA26" s="408">
        <v>0</v>
      </c>
      <c r="AB26" s="408">
        <v>0</v>
      </c>
      <c r="AC26" s="408">
        <v>0</v>
      </c>
      <c r="AD26" s="408">
        <v>9</v>
      </c>
    </row>
    <row r="27" spans="1:30">
      <c r="A27">
        <v>23</v>
      </c>
      <c r="B27" s="1" t="s">
        <v>611</v>
      </c>
      <c r="C27" s="1" t="s">
        <v>83</v>
      </c>
      <c r="D27" s="408">
        <v>31</v>
      </c>
      <c r="E27" s="5" t="s">
        <v>112</v>
      </c>
      <c r="F27" s="408">
        <v>14</v>
      </c>
      <c r="G27" s="408">
        <v>0</v>
      </c>
      <c r="H27" s="408">
        <v>121</v>
      </c>
      <c r="I27" s="408">
        <v>7</v>
      </c>
      <c r="J27" s="408">
        <v>16</v>
      </c>
      <c r="K27" s="408">
        <v>0.438</v>
      </c>
      <c r="L27" s="408">
        <v>0</v>
      </c>
      <c r="M27" s="408">
        <v>0</v>
      </c>
      <c r="N27" s="408"/>
      <c r="O27" s="408">
        <v>7</v>
      </c>
      <c r="P27" s="408">
        <v>16</v>
      </c>
      <c r="Q27" s="408">
        <v>0.438</v>
      </c>
      <c r="R27" s="408">
        <v>0.438</v>
      </c>
      <c r="S27" s="408">
        <v>4</v>
      </c>
      <c r="T27" s="408">
        <v>12</v>
      </c>
      <c r="U27" s="408">
        <v>0.33300000000000002</v>
      </c>
      <c r="V27" s="408">
        <v>7</v>
      </c>
      <c r="W27" s="408">
        <v>30</v>
      </c>
      <c r="X27" s="408">
        <v>37</v>
      </c>
      <c r="Y27" s="408">
        <v>2</v>
      </c>
      <c r="Z27" s="408">
        <v>1</v>
      </c>
      <c r="AA27" s="408">
        <v>2</v>
      </c>
      <c r="AB27" s="408">
        <v>5</v>
      </c>
      <c r="AC27" s="408">
        <v>14</v>
      </c>
      <c r="AD27" s="408">
        <v>18</v>
      </c>
    </row>
    <row r="28" spans="1:30">
      <c r="A28">
        <v>24</v>
      </c>
      <c r="B28" s="1" t="s">
        <v>421</v>
      </c>
      <c r="C28" s="1" t="s">
        <v>20</v>
      </c>
      <c r="D28" s="408">
        <v>30</v>
      </c>
      <c r="E28" s="5" t="s">
        <v>75</v>
      </c>
      <c r="F28" s="408">
        <v>63</v>
      </c>
      <c r="G28" s="408">
        <v>24</v>
      </c>
      <c r="H28" s="408">
        <v>1442</v>
      </c>
      <c r="I28" s="408">
        <v>194</v>
      </c>
      <c r="J28" s="408">
        <v>432</v>
      </c>
      <c r="K28" s="408">
        <v>0.44900000000000001</v>
      </c>
      <c r="L28" s="408">
        <v>98</v>
      </c>
      <c r="M28" s="408">
        <v>229</v>
      </c>
      <c r="N28" s="408">
        <v>0.42799999999999999</v>
      </c>
      <c r="O28" s="408">
        <v>96</v>
      </c>
      <c r="P28" s="408">
        <v>203</v>
      </c>
      <c r="Q28" s="408">
        <v>0.47299999999999998</v>
      </c>
      <c r="R28" s="408">
        <v>0.56299999999999994</v>
      </c>
      <c r="S28" s="408">
        <v>142</v>
      </c>
      <c r="T28" s="408">
        <v>162</v>
      </c>
      <c r="U28" s="408">
        <v>0.877</v>
      </c>
      <c r="V28" s="408">
        <v>21</v>
      </c>
      <c r="W28" s="408">
        <v>102</v>
      </c>
      <c r="X28" s="408">
        <v>123</v>
      </c>
      <c r="Y28" s="408">
        <v>232</v>
      </c>
      <c r="Z28" s="408">
        <v>49</v>
      </c>
      <c r="AA28" s="408">
        <v>0</v>
      </c>
      <c r="AB28" s="408">
        <v>100</v>
      </c>
      <c r="AC28" s="408">
        <v>80</v>
      </c>
      <c r="AD28" s="408">
        <v>628</v>
      </c>
    </row>
    <row r="29" spans="1:30">
      <c r="A29">
        <v>25</v>
      </c>
      <c r="B29" s="1" t="s">
        <v>152</v>
      </c>
      <c r="C29" s="1" t="s">
        <v>46</v>
      </c>
      <c r="D29" s="408">
        <v>28</v>
      </c>
      <c r="E29" s="5" t="s">
        <v>357</v>
      </c>
      <c r="F29" s="408">
        <v>46</v>
      </c>
      <c r="G29" s="408">
        <v>13</v>
      </c>
      <c r="H29" s="408">
        <v>676</v>
      </c>
      <c r="I29" s="408">
        <v>90</v>
      </c>
      <c r="J29" s="408">
        <v>204</v>
      </c>
      <c r="K29" s="408">
        <v>0.441</v>
      </c>
      <c r="L29" s="408">
        <v>59</v>
      </c>
      <c r="M29" s="408">
        <v>145</v>
      </c>
      <c r="N29" s="408">
        <v>0.40699999999999997</v>
      </c>
      <c r="O29" s="408">
        <v>31</v>
      </c>
      <c r="P29" s="408">
        <v>59</v>
      </c>
      <c r="Q29" s="408">
        <v>0.52500000000000002</v>
      </c>
      <c r="R29" s="408">
        <v>0.58599999999999997</v>
      </c>
      <c r="S29" s="408">
        <v>17</v>
      </c>
      <c r="T29" s="408">
        <v>22</v>
      </c>
      <c r="U29" s="408">
        <v>0.77300000000000002</v>
      </c>
      <c r="V29" s="408">
        <v>6</v>
      </c>
      <c r="W29" s="408">
        <v>86</v>
      </c>
      <c r="X29" s="408">
        <v>92</v>
      </c>
      <c r="Y29" s="408">
        <v>29</v>
      </c>
      <c r="Z29" s="408">
        <v>8</v>
      </c>
      <c r="AA29" s="408">
        <v>7</v>
      </c>
      <c r="AB29" s="408">
        <v>19</v>
      </c>
      <c r="AC29" s="408">
        <v>54</v>
      </c>
      <c r="AD29" s="408">
        <v>256</v>
      </c>
    </row>
    <row r="30" spans="1:30">
      <c r="A30">
        <v>25</v>
      </c>
      <c r="B30" s="1" t="s">
        <v>152</v>
      </c>
      <c r="C30" s="1" t="s">
        <v>46</v>
      </c>
      <c r="D30" s="408">
        <v>28</v>
      </c>
      <c r="E30" s="5" t="s">
        <v>149</v>
      </c>
      <c r="F30" s="408">
        <v>37</v>
      </c>
      <c r="G30" s="408">
        <v>9</v>
      </c>
      <c r="H30" s="408">
        <v>570</v>
      </c>
      <c r="I30" s="408">
        <v>80</v>
      </c>
      <c r="J30" s="408">
        <v>168</v>
      </c>
      <c r="K30" s="408">
        <v>0.47599999999999998</v>
      </c>
      <c r="L30" s="408">
        <v>49</v>
      </c>
      <c r="M30" s="408">
        <v>111</v>
      </c>
      <c r="N30" s="408">
        <v>0.441</v>
      </c>
      <c r="O30" s="408">
        <v>31</v>
      </c>
      <c r="P30" s="408">
        <v>57</v>
      </c>
      <c r="Q30" s="408">
        <v>0.54400000000000004</v>
      </c>
      <c r="R30" s="408">
        <v>0.622</v>
      </c>
      <c r="S30" s="408">
        <v>17</v>
      </c>
      <c r="T30" s="408">
        <v>22</v>
      </c>
      <c r="U30" s="408">
        <v>0.77300000000000002</v>
      </c>
      <c r="V30" s="408">
        <v>5</v>
      </c>
      <c r="W30" s="408">
        <v>76</v>
      </c>
      <c r="X30" s="408">
        <v>81</v>
      </c>
      <c r="Y30" s="408">
        <v>26</v>
      </c>
      <c r="Z30" s="408">
        <v>7</v>
      </c>
      <c r="AA30" s="408">
        <v>5</v>
      </c>
      <c r="AB30" s="408">
        <v>15</v>
      </c>
      <c r="AC30" s="408">
        <v>47</v>
      </c>
      <c r="AD30" s="408">
        <v>226</v>
      </c>
    </row>
    <row r="31" spans="1:30">
      <c r="A31">
        <v>25</v>
      </c>
      <c r="B31" s="1" t="s">
        <v>152</v>
      </c>
      <c r="C31" s="1" t="s">
        <v>46</v>
      </c>
      <c r="D31" s="408">
        <v>28</v>
      </c>
      <c r="E31" s="5" t="s">
        <v>50</v>
      </c>
      <c r="F31" s="408">
        <v>9</v>
      </c>
      <c r="G31" s="408">
        <v>4</v>
      </c>
      <c r="H31" s="408">
        <v>106</v>
      </c>
      <c r="I31" s="408">
        <v>10</v>
      </c>
      <c r="J31" s="408">
        <v>36</v>
      </c>
      <c r="K31" s="408">
        <v>0.27800000000000002</v>
      </c>
      <c r="L31" s="408">
        <v>10</v>
      </c>
      <c r="M31" s="408">
        <v>34</v>
      </c>
      <c r="N31" s="408">
        <v>0.29399999999999998</v>
      </c>
      <c r="O31" s="408">
        <v>0</v>
      </c>
      <c r="P31" s="408">
        <v>2</v>
      </c>
      <c r="Q31" s="408">
        <v>0</v>
      </c>
      <c r="R31" s="408">
        <v>0.41699999999999998</v>
      </c>
      <c r="S31" s="408">
        <v>0</v>
      </c>
      <c r="T31" s="408">
        <v>0</v>
      </c>
      <c r="U31" s="408"/>
      <c r="V31" s="408">
        <v>1</v>
      </c>
      <c r="W31" s="408">
        <v>10</v>
      </c>
      <c r="X31" s="408">
        <v>11</v>
      </c>
      <c r="Y31" s="408">
        <v>3</v>
      </c>
      <c r="Z31" s="408">
        <v>1</v>
      </c>
      <c r="AA31" s="408">
        <v>2</v>
      </c>
      <c r="AB31" s="408">
        <v>4</v>
      </c>
      <c r="AC31" s="408">
        <v>7</v>
      </c>
      <c r="AD31" s="408">
        <v>30</v>
      </c>
    </row>
    <row r="32" spans="1:30">
      <c r="A32">
        <v>26</v>
      </c>
      <c r="B32" s="1" t="s">
        <v>536</v>
      </c>
      <c r="C32" s="1" t="s">
        <v>26</v>
      </c>
      <c r="D32" s="408">
        <v>22</v>
      </c>
      <c r="E32" s="5" t="s">
        <v>311</v>
      </c>
      <c r="F32" s="408">
        <v>47</v>
      </c>
      <c r="G32" s="408">
        <v>6</v>
      </c>
      <c r="H32" s="408">
        <v>554</v>
      </c>
      <c r="I32" s="408">
        <v>52</v>
      </c>
      <c r="J32" s="408">
        <v>142</v>
      </c>
      <c r="K32" s="408">
        <v>0.36599999999999999</v>
      </c>
      <c r="L32" s="408">
        <v>11</v>
      </c>
      <c r="M32" s="408">
        <v>38</v>
      </c>
      <c r="N32" s="408">
        <v>0.28899999999999998</v>
      </c>
      <c r="O32" s="408">
        <v>41</v>
      </c>
      <c r="P32" s="408">
        <v>104</v>
      </c>
      <c r="Q32" s="408">
        <v>0.39400000000000002</v>
      </c>
      <c r="R32" s="408">
        <v>0.40500000000000003</v>
      </c>
      <c r="S32" s="408">
        <v>13</v>
      </c>
      <c r="T32" s="408">
        <v>18</v>
      </c>
      <c r="U32" s="408">
        <v>0.72199999999999998</v>
      </c>
      <c r="V32" s="408">
        <v>4</v>
      </c>
      <c r="W32" s="408">
        <v>98</v>
      </c>
      <c r="X32" s="408">
        <v>102</v>
      </c>
      <c r="Y32" s="408">
        <v>26</v>
      </c>
      <c r="Z32" s="408">
        <v>12</v>
      </c>
      <c r="AA32" s="408">
        <v>2</v>
      </c>
      <c r="AB32" s="408">
        <v>16</v>
      </c>
      <c r="AC32" s="408">
        <v>39</v>
      </c>
      <c r="AD32" s="408">
        <v>128</v>
      </c>
    </row>
    <row r="33" spans="1:30">
      <c r="A33">
        <v>27</v>
      </c>
      <c r="B33" s="1" t="s">
        <v>523</v>
      </c>
      <c r="C33" s="1" t="s">
        <v>26</v>
      </c>
      <c r="D33" s="408">
        <v>24</v>
      </c>
      <c r="E33" s="5" t="s">
        <v>21</v>
      </c>
      <c r="F33" s="408">
        <v>29</v>
      </c>
      <c r="G33" s="408">
        <v>1</v>
      </c>
      <c r="H33" s="408">
        <v>385</v>
      </c>
      <c r="I33" s="408">
        <v>20</v>
      </c>
      <c r="J33" s="408">
        <v>59</v>
      </c>
      <c r="K33" s="408">
        <v>0.33900000000000002</v>
      </c>
      <c r="L33" s="408">
        <v>11</v>
      </c>
      <c r="M33" s="408">
        <v>33</v>
      </c>
      <c r="N33" s="408">
        <v>0.33300000000000002</v>
      </c>
      <c r="O33" s="408">
        <v>9</v>
      </c>
      <c r="P33" s="408">
        <v>26</v>
      </c>
      <c r="Q33" s="408">
        <v>0.34599999999999997</v>
      </c>
      <c r="R33" s="408">
        <v>0.432</v>
      </c>
      <c r="S33" s="408">
        <v>20</v>
      </c>
      <c r="T33" s="408">
        <v>26</v>
      </c>
      <c r="U33" s="408">
        <v>0.76900000000000002</v>
      </c>
      <c r="V33" s="408">
        <v>5</v>
      </c>
      <c r="W33" s="408">
        <v>25</v>
      </c>
      <c r="X33" s="408">
        <v>30</v>
      </c>
      <c r="Y33" s="408">
        <v>47</v>
      </c>
      <c r="Z33" s="408">
        <v>26</v>
      </c>
      <c r="AA33" s="408">
        <v>6</v>
      </c>
      <c r="AB33" s="408">
        <v>18</v>
      </c>
      <c r="AC33" s="408">
        <v>33</v>
      </c>
      <c r="AD33" s="408">
        <v>71</v>
      </c>
    </row>
    <row r="34" spans="1:30">
      <c r="A34">
        <v>28</v>
      </c>
      <c r="B34" s="1" t="s">
        <v>753</v>
      </c>
      <c r="C34" s="1" t="s">
        <v>20</v>
      </c>
      <c r="D34" s="408">
        <v>21</v>
      </c>
      <c r="E34" s="5" t="s">
        <v>96</v>
      </c>
      <c r="F34" s="408">
        <v>1</v>
      </c>
      <c r="G34" s="408">
        <v>0</v>
      </c>
      <c r="H34" s="408">
        <v>3</v>
      </c>
      <c r="I34" s="408">
        <v>0</v>
      </c>
      <c r="J34" s="408">
        <v>0</v>
      </c>
      <c r="K34" s="408"/>
      <c r="L34" s="408">
        <v>0</v>
      </c>
      <c r="M34" s="408">
        <v>0</v>
      </c>
      <c r="N34" s="408"/>
      <c r="O34" s="408">
        <v>0</v>
      </c>
      <c r="P34" s="408">
        <v>0</v>
      </c>
      <c r="Q34" s="408"/>
      <c r="R34" s="408"/>
      <c r="S34" s="408">
        <v>1</v>
      </c>
      <c r="T34" s="408">
        <v>2</v>
      </c>
      <c r="U34" s="408">
        <v>0.5</v>
      </c>
      <c r="V34" s="408">
        <v>0</v>
      </c>
      <c r="W34" s="408">
        <v>1</v>
      </c>
      <c r="X34" s="408">
        <v>1</v>
      </c>
      <c r="Y34" s="408">
        <v>0</v>
      </c>
      <c r="Z34" s="408">
        <v>0</v>
      </c>
      <c r="AA34" s="408">
        <v>0</v>
      </c>
      <c r="AB34" s="408">
        <v>1</v>
      </c>
      <c r="AC34" s="408">
        <v>1</v>
      </c>
      <c r="AD34" s="408">
        <v>1</v>
      </c>
    </row>
    <row r="35" spans="1:30">
      <c r="A35">
        <v>29</v>
      </c>
      <c r="B35" s="1" t="s">
        <v>346</v>
      </c>
      <c r="C35" s="1" t="s">
        <v>20</v>
      </c>
      <c r="D35" s="408">
        <v>20</v>
      </c>
      <c r="E35" s="5" t="s">
        <v>78</v>
      </c>
      <c r="F35" s="408">
        <v>48</v>
      </c>
      <c r="G35" s="408">
        <v>46</v>
      </c>
      <c r="H35" s="408">
        <v>1627</v>
      </c>
      <c r="I35" s="408">
        <v>186</v>
      </c>
      <c r="J35" s="408">
        <v>521</v>
      </c>
      <c r="K35" s="408">
        <v>0.35699999999999998</v>
      </c>
      <c r="L35" s="408">
        <v>86</v>
      </c>
      <c r="M35" s="408">
        <v>273</v>
      </c>
      <c r="N35" s="408">
        <v>0.315</v>
      </c>
      <c r="O35" s="408">
        <v>100</v>
      </c>
      <c r="P35" s="408">
        <v>248</v>
      </c>
      <c r="Q35" s="408">
        <v>0.40300000000000002</v>
      </c>
      <c r="R35" s="408">
        <v>0.44</v>
      </c>
      <c r="S35" s="408">
        <v>29</v>
      </c>
      <c r="T35" s="408">
        <v>63</v>
      </c>
      <c r="U35" s="408">
        <v>0.46</v>
      </c>
      <c r="V35" s="408">
        <v>61</v>
      </c>
      <c r="W35" s="408">
        <v>267</v>
      </c>
      <c r="X35" s="408">
        <v>328</v>
      </c>
      <c r="Y35" s="408">
        <v>341</v>
      </c>
      <c r="Z35" s="408">
        <v>84</v>
      </c>
      <c r="AA35" s="408">
        <v>41</v>
      </c>
      <c r="AB35" s="408">
        <v>128</v>
      </c>
      <c r="AC35" s="408">
        <v>105</v>
      </c>
      <c r="AD35" s="408">
        <v>487</v>
      </c>
    </row>
    <row r="36" spans="1:30">
      <c r="A36">
        <v>30</v>
      </c>
      <c r="B36" s="1" t="s">
        <v>368</v>
      </c>
      <c r="C36" s="1" t="s">
        <v>20</v>
      </c>
      <c r="D36" s="408">
        <v>33</v>
      </c>
      <c r="E36" s="5" t="s">
        <v>33</v>
      </c>
      <c r="F36" s="408">
        <v>64</v>
      </c>
      <c r="G36" s="408">
        <v>6</v>
      </c>
      <c r="H36" s="408">
        <v>1492</v>
      </c>
      <c r="I36" s="408">
        <v>277</v>
      </c>
      <c r="J36" s="408">
        <v>640</v>
      </c>
      <c r="K36" s="408">
        <v>0.433</v>
      </c>
      <c r="L36" s="408">
        <v>106</v>
      </c>
      <c r="M36" s="408">
        <v>293</v>
      </c>
      <c r="N36" s="408">
        <v>0.36199999999999999</v>
      </c>
      <c r="O36" s="408">
        <v>171</v>
      </c>
      <c r="P36" s="408">
        <v>347</v>
      </c>
      <c r="Q36" s="408">
        <v>0.49299999999999999</v>
      </c>
      <c r="R36" s="408">
        <v>0.51600000000000001</v>
      </c>
      <c r="S36" s="408">
        <v>79</v>
      </c>
      <c r="T36" s="408">
        <v>100</v>
      </c>
      <c r="U36" s="408">
        <v>0.79</v>
      </c>
      <c r="V36" s="408">
        <v>13</v>
      </c>
      <c r="W36" s="408">
        <v>176</v>
      </c>
      <c r="X36" s="408">
        <v>189</v>
      </c>
      <c r="Y36" s="408">
        <v>404</v>
      </c>
      <c r="Z36" s="408">
        <v>33</v>
      </c>
      <c r="AA36" s="408">
        <v>3</v>
      </c>
      <c r="AB36" s="408">
        <v>134</v>
      </c>
      <c r="AC36" s="408">
        <v>81</v>
      </c>
      <c r="AD36" s="408">
        <v>739</v>
      </c>
    </row>
    <row r="37" spans="1:30">
      <c r="A37">
        <v>31</v>
      </c>
      <c r="B37" s="1" t="s">
        <v>390</v>
      </c>
      <c r="C37" s="1" t="s">
        <v>38</v>
      </c>
      <c r="D37" s="408">
        <v>25</v>
      </c>
      <c r="E37" s="5" t="s">
        <v>33</v>
      </c>
      <c r="F37" s="408">
        <v>67</v>
      </c>
      <c r="G37" s="408">
        <v>67</v>
      </c>
      <c r="H37" s="408">
        <v>2295</v>
      </c>
      <c r="I37" s="408">
        <v>464</v>
      </c>
      <c r="J37" s="408">
        <v>1034</v>
      </c>
      <c r="K37" s="408">
        <v>0.44900000000000001</v>
      </c>
      <c r="L37" s="408">
        <v>92</v>
      </c>
      <c r="M37" s="408">
        <v>266</v>
      </c>
      <c r="N37" s="408">
        <v>0.34599999999999997</v>
      </c>
      <c r="O37" s="408">
        <v>372</v>
      </c>
      <c r="P37" s="408">
        <v>768</v>
      </c>
      <c r="Q37" s="408">
        <v>0.48399999999999999</v>
      </c>
      <c r="R37" s="408">
        <v>0.49299999999999999</v>
      </c>
      <c r="S37" s="408">
        <v>235</v>
      </c>
      <c r="T37" s="408">
        <v>284</v>
      </c>
      <c r="U37" s="408">
        <v>0.82699999999999996</v>
      </c>
      <c r="V37" s="408">
        <v>70</v>
      </c>
      <c r="W37" s="408">
        <v>357</v>
      </c>
      <c r="X37" s="408">
        <v>427</v>
      </c>
      <c r="Y37" s="408">
        <v>131</v>
      </c>
      <c r="Z37" s="408">
        <v>45</v>
      </c>
      <c r="AA37" s="408">
        <v>13</v>
      </c>
      <c r="AB37" s="408">
        <v>102</v>
      </c>
      <c r="AC37" s="408">
        <v>85</v>
      </c>
      <c r="AD37" s="408">
        <v>1255</v>
      </c>
    </row>
    <row r="38" spans="1:30">
      <c r="A38">
        <v>32</v>
      </c>
      <c r="B38" s="1" t="s">
        <v>230</v>
      </c>
      <c r="C38" s="1" t="s">
        <v>26</v>
      </c>
      <c r="D38" s="408">
        <v>27</v>
      </c>
      <c r="E38" s="5" t="s">
        <v>61</v>
      </c>
      <c r="F38" s="408">
        <v>70</v>
      </c>
      <c r="G38" s="408">
        <v>29</v>
      </c>
      <c r="H38" s="408">
        <v>2281</v>
      </c>
      <c r="I38" s="408">
        <v>388</v>
      </c>
      <c r="J38" s="408">
        <v>870</v>
      </c>
      <c r="K38" s="408">
        <v>0.44600000000000001</v>
      </c>
      <c r="L38" s="408">
        <v>127</v>
      </c>
      <c r="M38" s="408">
        <v>354</v>
      </c>
      <c r="N38" s="408">
        <v>0.35899999999999999</v>
      </c>
      <c r="O38" s="408">
        <v>261</v>
      </c>
      <c r="P38" s="408">
        <v>516</v>
      </c>
      <c r="Q38" s="408">
        <v>0.50600000000000001</v>
      </c>
      <c r="R38" s="408">
        <v>0.51900000000000002</v>
      </c>
      <c r="S38" s="408">
        <v>145</v>
      </c>
      <c r="T38" s="408">
        <v>183</v>
      </c>
      <c r="U38" s="408">
        <v>0.79200000000000004</v>
      </c>
      <c r="V38" s="408">
        <v>61</v>
      </c>
      <c r="W38" s="408">
        <v>286</v>
      </c>
      <c r="X38" s="408">
        <v>347</v>
      </c>
      <c r="Y38" s="408">
        <v>287</v>
      </c>
      <c r="Z38" s="408">
        <v>76</v>
      </c>
      <c r="AA38" s="408">
        <v>45</v>
      </c>
      <c r="AB38" s="408">
        <v>131</v>
      </c>
      <c r="AC38" s="408">
        <v>141</v>
      </c>
      <c r="AD38" s="408">
        <v>1048</v>
      </c>
    </row>
    <row r="39" spans="1:30">
      <c r="A39">
        <v>33</v>
      </c>
      <c r="B39" s="1" t="s">
        <v>395</v>
      </c>
      <c r="C39" s="1" t="s">
        <v>26</v>
      </c>
      <c r="D39" s="408">
        <v>29</v>
      </c>
      <c r="E39" s="5" t="s">
        <v>311</v>
      </c>
      <c r="F39" s="408">
        <v>56</v>
      </c>
      <c r="G39" s="408">
        <v>56</v>
      </c>
      <c r="H39" s="408">
        <v>1786</v>
      </c>
      <c r="I39" s="408">
        <v>246</v>
      </c>
      <c r="J39" s="408">
        <v>593</v>
      </c>
      <c r="K39" s="408">
        <v>0.41499999999999998</v>
      </c>
      <c r="L39" s="408">
        <v>85</v>
      </c>
      <c r="M39" s="408">
        <v>251</v>
      </c>
      <c r="N39" s="408">
        <v>0.33900000000000002</v>
      </c>
      <c r="O39" s="408">
        <v>161</v>
      </c>
      <c r="P39" s="408">
        <v>342</v>
      </c>
      <c r="Q39" s="408">
        <v>0.47099999999999997</v>
      </c>
      <c r="R39" s="408">
        <v>0.48699999999999999</v>
      </c>
      <c r="S39" s="408">
        <v>92</v>
      </c>
      <c r="T39" s="408">
        <v>112</v>
      </c>
      <c r="U39" s="408">
        <v>0.82099999999999995</v>
      </c>
      <c r="V39" s="408">
        <v>50</v>
      </c>
      <c r="W39" s="408">
        <v>225</v>
      </c>
      <c r="X39" s="408">
        <v>275</v>
      </c>
      <c r="Y39" s="408">
        <v>310</v>
      </c>
      <c r="Z39" s="408">
        <v>63</v>
      </c>
      <c r="AA39" s="408">
        <v>20</v>
      </c>
      <c r="AB39" s="408">
        <v>113</v>
      </c>
      <c r="AC39" s="408">
        <v>67</v>
      </c>
      <c r="AD39" s="408">
        <v>669</v>
      </c>
    </row>
    <row r="40" spans="1:30">
      <c r="A40">
        <v>34</v>
      </c>
      <c r="B40" s="1" t="s">
        <v>383</v>
      </c>
      <c r="C40" s="1" t="s">
        <v>26</v>
      </c>
      <c r="D40" s="408">
        <v>29</v>
      </c>
      <c r="E40" s="5" t="s">
        <v>118</v>
      </c>
      <c r="F40" s="408">
        <v>39</v>
      </c>
      <c r="G40" s="408">
        <v>11</v>
      </c>
      <c r="H40" s="408">
        <v>925</v>
      </c>
      <c r="I40" s="408">
        <v>109</v>
      </c>
      <c r="J40" s="408">
        <v>262</v>
      </c>
      <c r="K40" s="408">
        <v>0.41599999999999998</v>
      </c>
      <c r="L40" s="408">
        <v>54</v>
      </c>
      <c r="M40" s="408">
        <v>146</v>
      </c>
      <c r="N40" s="408">
        <v>0.37</v>
      </c>
      <c r="O40" s="408">
        <v>55</v>
      </c>
      <c r="P40" s="408">
        <v>116</v>
      </c>
      <c r="Q40" s="408">
        <v>0.47399999999999998</v>
      </c>
      <c r="R40" s="408">
        <v>0.51900000000000002</v>
      </c>
      <c r="S40" s="408">
        <v>35</v>
      </c>
      <c r="T40" s="408">
        <v>44</v>
      </c>
      <c r="U40" s="408">
        <v>0.79500000000000004</v>
      </c>
      <c r="V40" s="408">
        <v>15</v>
      </c>
      <c r="W40" s="408">
        <v>65</v>
      </c>
      <c r="X40" s="408">
        <v>80</v>
      </c>
      <c r="Y40" s="408">
        <v>54</v>
      </c>
      <c r="Z40" s="408">
        <v>23</v>
      </c>
      <c r="AA40" s="408">
        <v>6</v>
      </c>
      <c r="AB40" s="408">
        <v>46</v>
      </c>
      <c r="AC40" s="408">
        <v>91</v>
      </c>
      <c r="AD40" s="408">
        <v>307</v>
      </c>
    </row>
    <row r="41" spans="1:30">
      <c r="A41">
        <v>35</v>
      </c>
      <c r="B41" s="1" t="s">
        <v>145</v>
      </c>
      <c r="C41" s="1" t="s">
        <v>83</v>
      </c>
      <c r="D41" s="408">
        <v>31</v>
      </c>
      <c r="E41" s="5" t="s">
        <v>87</v>
      </c>
      <c r="F41" s="408">
        <v>69</v>
      </c>
      <c r="G41" s="408">
        <v>55</v>
      </c>
      <c r="H41" s="408">
        <v>1238</v>
      </c>
      <c r="I41" s="408">
        <v>166</v>
      </c>
      <c r="J41" s="408">
        <v>358</v>
      </c>
      <c r="K41" s="408">
        <v>0.46400000000000002</v>
      </c>
      <c r="L41" s="408">
        <v>0</v>
      </c>
      <c r="M41" s="408">
        <v>11</v>
      </c>
      <c r="N41" s="408">
        <v>0</v>
      </c>
      <c r="O41" s="408">
        <v>166</v>
      </c>
      <c r="P41" s="408">
        <v>347</v>
      </c>
      <c r="Q41" s="408">
        <v>0.47799999999999998</v>
      </c>
      <c r="R41" s="408">
        <v>0.46400000000000002</v>
      </c>
      <c r="S41" s="408">
        <v>55</v>
      </c>
      <c r="T41" s="408">
        <v>74</v>
      </c>
      <c r="U41" s="408">
        <v>0.74299999999999999</v>
      </c>
      <c r="V41" s="408">
        <v>103</v>
      </c>
      <c r="W41" s="408">
        <v>257</v>
      </c>
      <c r="X41" s="408">
        <v>360</v>
      </c>
      <c r="Y41" s="408">
        <v>72</v>
      </c>
      <c r="Z41" s="408">
        <v>18</v>
      </c>
      <c r="AA41" s="408">
        <v>46</v>
      </c>
      <c r="AB41" s="408">
        <v>68</v>
      </c>
      <c r="AC41" s="408">
        <v>168</v>
      </c>
      <c r="AD41" s="408">
        <v>387</v>
      </c>
    </row>
    <row r="42" spans="1:30">
      <c r="A42">
        <v>36</v>
      </c>
      <c r="B42" s="1" t="s">
        <v>382</v>
      </c>
      <c r="C42" s="1" t="s">
        <v>26</v>
      </c>
      <c r="D42" s="408">
        <v>28</v>
      </c>
      <c r="E42" s="5" t="s">
        <v>149</v>
      </c>
      <c r="F42" s="408">
        <v>65</v>
      </c>
      <c r="G42" s="408">
        <v>65</v>
      </c>
      <c r="H42" s="408">
        <v>1789</v>
      </c>
      <c r="I42" s="408">
        <v>284</v>
      </c>
      <c r="J42" s="408">
        <v>676</v>
      </c>
      <c r="K42" s="408">
        <v>0.42</v>
      </c>
      <c r="L42" s="408">
        <v>108</v>
      </c>
      <c r="M42" s="408">
        <v>274</v>
      </c>
      <c r="N42" s="408">
        <v>0.39400000000000002</v>
      </c>
      <c r="O42" s="408">
        <v>176</v>
      </c>
      <c r="P42" s="408">
        <v>402</v>
      </c>
      <c r="Q42" s="408">
        <v>0.438</v>
      </c>
      <c r="R42" s="408">
        <v>0.5</v>
      </c>
      <c r="S42" s="408">
        <v>160</v>
      </c>
      <c r="T42" s="408">
        <v>201</v>
      </c>
      <c r="U42" s="408">
        <v>0.79600000000000004</v>
      </c>
      <c r="V42" s="408">
        <v>25</v>
      </c>
      <c r="W42" s="408">
        <v>223</v>
      </c>
      <c r="X42" s="408">
        <v>248</v>
      </c>
      <c r="Y42" s="408">
        <v>228</v>
      </c>
      <c r="Z42" s="408">
        <v>100</v>
      </c>
      <c r="AA42" s="408">
        <v>45</v>
      </c>
      <c r="AB42" s="408">
        <v>157</v>
      </c>
      <c r="AC42" s="408">
        <v>147</v>
      </c>
      <c r="AD42" s="408">
        <v>836</v>
      </c>
    </row>
    <row r="43" spans="1:30">
      <c r="A43">
        <v>37</v>
      </c>
      <c r="B43" s="1" t="s">
        <v>318</v>
      </c>
      <c r="C43" s="1" t="s">
        <v>26</v>
      </c>
      <c r="D43" s="408">
        <v>24</v>
      </c>
      <c r="E43" s="5" t="s">
        <v>27</v>
      </c>
      <c r="F43" s="408">
        <v>70</v>
      </c>
      <c r="G43" s="408">
        <v>70</v>
      </c>
      <c r="H43" s="408">
        <v>2552</v>
      </c>
      <c r="I43" s="408">
        <v>599</v>
      </c>
      <c r="J43" s="408">
        <v>1295</v>
      </c>
      <c r="K43" s="408">
        <v>0.46300000000000002</v>
      </c>
      <c r="L43" s="408">
        <v>170</v>
      </c>
      <c r="M43" s="408">
        <v>454</v>
      </c>
      <c r="N43" s="408">
        <v>0.374</v>
      </c>
      <c r="O43" s="408">
        <v>429</v>
      </c>
      <c r="P43" s="408">
        <v>841</v>
      </c>
      <c r="Q43" s="408">
        <v>0.51</v>
      </c>
      <c r="R43" s="408">
        <v>0.52800000000000002</v>
      </c>
      <c r="S43" s="408">
        <v>261</v>
      </c>
      <c r="T43" s="408">
        <v>330</v>
      </c>
      <c r="U43" s="408">
        <v>0.79100000000000004</v>
      </c>
      <c r="V43" s="408">
        <v>55</v>
      </c>
      <c r="W43" s="408">
        <v>260</v>
      </c>
      <c r="X43" s="408">
        <v>315</v>
      </c>
      <c r="Y43" s="408">
        <v>328</v>
      </c>
      <c r="Z43" s="408">
        <v>84</v>
      </c>
      <c r="AA43" s="408">
        <v>33</v>
      </c>
      <c r="AB43" s="408">
        <v>184</v>
      </c>
      <c r="AC43" s="408">
        <v>134</v>
      </c>
      <c r="AD43" s="408">
        <v>1629</v>
      </c>
    </row>
    <row r="44" spans="1:30">
      <c r="A44">
        <v>38</v>
      </c>
      <c r="B44" s="1" t="s">
        <v>520</v>
      </c>
      <c r="C44" s="1" t="s">
        <v>26</v>
      </c>
      <c r="D44" s="408">
        <v>21</v>
      </c>
      <c r="E44" s="5" t="s">
        <v>61</v>
      </c>
      <c r="F44" s="408">
        <v>58</v>
      </c>
      <c r="G44" s="408">
        <v>0</v>
      </c>
      <c r="H44" s="408">
        <v>562</v>
      </c>
      <c r="I44" s="408">
        <v>70</v>
      </c>
      <c r="J44" s="408">
        <v>173</v>
      </c>
      <c r="K44" s="408">
        <v>0.40500000000000003</v>
      </c>
      <c r="L44" s="408">
        <v>25</v>
      </c>
      <c r="M44" s="408">
        <v>78</v>
      </c>
      <c r="N44" s="408">
        <v>0.32100000000000001</v>
      </c>
      <c r="O44" s="408">
        <v>45</v>
      </c>
      <c r="P44" s="408">
        <v>95</v>
      </c>
      <c r="Q44" s="408">
        <v>0.47399999999999998</v>
      </c>
      <c r="R44" s="408">
        <v>0.47699999999999998</v>
      </c>
      <c r="S44" s="408">
        <v>20</v>
      </c>
      <c r="T44" s="408">
        <v>29</v>
      </c>
      <c r="U44" s="408">
        <v>0.69</v>
      </c>
      <c r="V44" s="408">
        <v>14</v>
      </c>
      <c r="W44" s="408">
        <v>57</v>
      </c>
      <c r="X44" s="408">
        <v>71</v>
      </c>
      <c r="Y44" s="408">
        <v>30</v>
      </c>
      <c r="Z44" s="408">
        <v>15</v>
      </c>
      <c r="AA44" s="408">
        <v>6</v>
      </c>
      <c r="AB44" s="408">
        <v>23</v>
      </c>
      <c r="AC44" s="408">
        <v>36</v>
      </c>
      <c r="AD44" s="408">
        <v>185</v>
      </c>
    </row>
    <row r="45" spans="1:30">
      <c r="A45">
        <v>39</v>
      </c>
      <c r="B45" s="1" t="s">
        <v>211</v>
      </c>
      <c r="C45" s="1" t="s">
        <v>38</v>
      </c>
      <c r="D45" s="408">
        <v>29</v>
      </c>
      <c r="E45" s="5" t="s">
        <v>21</v>
      </c>
      <c r="F45" s="408">
        <v>64</v>
      </c>
      <c r="G45" s="408">
        <v>20</v>
      </c>
      <c r="H45" s="408">
        <v>1391</v>
      </c>
      <c r="I45" s="408">
        <v>336</v>
      </c>
      <c r="J45" s="408">
        <v>667</v>
      </c>
      <c r="K45" s="408">
        <v>0.504</v>
      </c>
      <c r="L45" s="408">
        <v>25</v>
      </c>
      <c r="M45" s="408">
        <v>63</v>
      </c>
      <c r="N45" s="408">
        <v>0.39700000000000002</v>
      </c>
      <c r="O45" s="408">
        <v>311</v>
      </c>
      <c r="P45" s="408">
        <v>604</v>
      </c>
      <c r="Q45" s="408">
        <v>0.51500000000000001</v>
      </c>
      <c r="R45" s="408">
        <v>0.52200000000000002</v>
      </c>
      <c r="S45" s="408">
        <v>111</v>
      </c>
      <c r="T45" s="408">
        <v>142</v>
      </c>
      <c r="U45" s="408">
        <v>0.78200000000000003</v>
      </c>
      <c r="V45" s="408">
        <v>86</v>
      </c>
      <c r="W45" s="408">
        <v>267</v>
      </c>
      <c r="X45" s="408">
        <v>353</v>
      </c>
      <c r="Y45" s="408">
        <v>101</v>
      </c>
      <c r="Z45" s="408">
        <v>29</v>
      </c>
      <c r="AA45" s="408">
        <v>36</v>
      </c>
      <c r="AB45" s="408">
        <v>122</v>
      </c>
      <c r="AC45" s="408">
        <v>125</v>
      </c>
      <c r="AD45" s="408">
        <v>808</v>
      </c>
    </row>
    <row r="46" spans="1:30">
      <c r="A46">
        <v>40</v>
      </c>
      <c r="B46" s="1" t="s">
        <v>14</v>
      </c>
      <c r="C46" s="1" t="s">
        <v>26</v>
      </c>
      <c r="D46" s="408">
        <v>31</v>
      </c>
      <c r="E46" s="5" t="s">
        <v>357</v>
      </c>
      <c r="F46" s="408">
        <v>67</v>
      </c>
      <c r="G46" s="408">
        <v>1</v>
      </c>
      <c r="H46" s="408">
        <v>1596</v>
      </c>
      <c r="I46" s="408">
        <v>261</v>
      </c>
      <c r="J46" s="408">
        <v>619</v>
      </c>
      <c r="K46" s="408">
        <v>0.42199999999999999</v>
      </c>
      <c r="L46" s="408">
        <v>116</v>
      </c>
      <c r="M46" s="408">
        <v>315</v>
      </c>
      <c r="N46" s="408">
        <v>0.36799999999999999</v>
      </c>
      <c r="O46" s="408">
        <v>145</v>
      </c>
      <c r="P46" s="408">
        <v>304</v>
      </c>
      <c r="Q46" s="408">
        <v>0.47699999999999998</v>
      </c>
      <c r="R46" s="408">
        <v>0.51500000000000001</v>
      </c>
      <c r="S46" s="408">
        <v>121</v>
      </c>
      <c r="T46" s="408">
        <v>131</v>
      </c>
      <c r="U46" s="408">
        <v>0.92400000000000004</v>
      </c>
      <c r="V46" s="408">
        <v>17</v>
      </c>
      <c r="W46" s="408">
        <v>104</v>
      </c>
      <c r="X46" s="408">
        <v>121</v>
      </c>
      <c r="Y46" s="408">
        <v>118</v>
      </c>
      <c r="Z46" s="408">
        <v>53</v>
      </c>
      <c r="AA46" s="408">
        <v>6</v>
      </c>
      <c r="AB46" s="408">
        <v>71</v>
      </c>
      <c r="AC46" s="408">
        <v>61</v>
      </c>
      <c r="AD46" s="408">
        <v>759</v>
      </c>
    </row>
    <row r="47" spans="1:30">
      <c r="A47">
        <v>40</v>
      </c>
      <c r="B47" s="1" t="s">
        <v>14</v>
      </c>
      <c r="C47" s="1" t="s">
        <v>26</v>
      </c>
      <c r="D47" s="408">
        <v>31</v>
      </c>
      <c r="E47" s="5" t="s">
        <v>149</v>
      </c>
      <c r="F47" s="408">
        <v>52</v>
      </c>
      <c r="G47" s="408">
        <v>1</v>
      </c>
      <c r="H47" s="408">
        <v>1210</v>
      </c>
      <c r="I47" s="408">
        <v>199</v>
      </c>
      <c r="J47" s="408">
        <v>484</v>
      </c>
      <c r="K47" s="408">
        <v>0.41099999999999998</v>
      </c>
      <c r="L47" s="408">
        <v>92</v>
      </c>
      <c r="M47" s="408">
        <v>247</v>
      </c>
      <c r="N47" s="408">
        <v>0.372</v>
      </c>
      <c r="O47" s="408">
        <v>107</v>
      </c>
      <c r="P47" s="408">
        <v>237</v>
      </c>
      <c r="Q47" s="408">
        <v>0.45100000000000001</v>
      </c>
      <c r="R47" s="408">
        <v>0.50600000000000001</v>
      </c>
      <c r="S47" s="408">
        <v>101</v>
      </c>
      <c r="T47" s="408">
        <v>109</v>
      </c>
      <c r="U47" s="408">
        <v>0.92700000000000005</v>
      </c>
      <c r="V47" s="408">
        <v>13</v>
      </c>
      <c r="W47" s="408">
        <v>86</v>
      </c>
      <c r="X47" s="408">
        <v>99</v>
      </c>
      <c r="Y47" s="408">
        <v>103</v>
      </c>
      <c r="Z47" s="408">
        <v>46</v>
      </c>
      <c r="AA47" s="408">
        <v>3</v>
      </c>
      <c r="AB47" s="408">
        <v>54</v>
      </c>
      <c r="AC47" s="408">
        <v>41</v>
      </c>
      <c r="AD47" s="408">
        <v>591</v>
      </c>
    </row>
    <row r="48" spans="1:30">
      <c r="A48">
        <v>40</v>
      </c>
      <c r="B48" s="1" t="s">
        <v>14</v>
      </c>
      <c r="C48" s="1" t="s">
        <v>26</v>
      </c>
      <c r="D48" s="408">
        <v>31</v>
      </c>
      <c r="E48" s="5" t="s">
        <v>118</v>
      </c>
      <c r="F48" s="408">
        <v>15</v>
      </c>
      <c r="G48" s="408">
        <v>0</v>
      </c>
      <c r="H48" s="408">
        <v>386</v>
      </c>
      <c r="I48" s="408">
        <v>62</v>
      </c>
      <c r="J48" s="408">
        <v>135</v>
      </c>
      <c r="K48" s="408">
        <v>0.45900000000000002</v>
      </c>
      <c r="L48" s="408">
        <v>24</v>
      </c>
      <c r="M48" s="408">
        <v>68</v>
      </c>
      <c r="N48" s="408">
        <v>0.35299999999999998</v>
      </c>
      <c r="O48" s="408">
        <v>38</v>
      </c>
      <c r="P48" s="408">
        <v>67</v>
      </c>
      <c r="Q48" s="408">
        <v>0.56699999999999995</v>
      </c>
      <c r="R48" s="408">
        <v>0.54800000000000004</v>
      </c>
      <c r="S48" s="408">
        <v>20</v>
      </c>
      <c r="T48" s="408">
        <v>22</v>
      </c>
      <c r="U48" s="408">
        <v>0.90900000000000003</v>
      </c>
      <c r="V48" s="408">
        <v>4</v>
      </c>
      <c r="W48" s="408">
        <v>18</v>
      </c>
      <c r="X48" s="408">
        <v>22</v>
      </c>
      <c r="Y48" s="408">
        <v>15</v>
      </c>
      <c r="Z48" s="408">
        <v>7</v>
      </c>
      <c r="AA48" s="408">
        <v>3</v>
      </c>
      <c r="AB48" s="408">
        <v>17</v>
      </c>
      <c r="AC48" s="408">
        <v>20</v>
      </c>
      <c r="AD48" s="408">
        <v>168</v>
      </c>
    </row>
    <row r="49" spans="1:30">
      <c r="A49">
        <v>41</v>
      </c>
      <c r="B49" s="1" t="s">
        <v>577</v>
      </c>
      <c r="C49" s="1" t="s">
        <v>83</v>
      </c>
      <c r="D49" s="408">
        <v>23</v>
      </c>
      <c r="E49" s="5" t="s">
        <v>73</v>
      </c>
      <c r="F49" s="408">
        <v>46</v>
      </c>
      <c r="G49" s="408">
        <v>11</v>
      </c>
      <c r="H49" s="408">
        <v>655</v>
      </c>
      <c r="I49" s="408">
        <v>94</v>
      </c>
      <c r="J49" s="408">
        <v>146</v>
      </c>
      <c r="K49" s="408">
        <v>0.64400000000000002</v>
      </c>
      <c r="L49" s="408">
        <v>0</v>
      </c>
      <c r="M49" s="408">
        <v>3</v>
      </c>
      <c r="N49" s="408">
        <v>0</v>
      </c>
      <c r="O49" s="408">
        <v>94</v>
      </c>
      <c r="P49" s="408">
        <v>143</v>
      </c>
      <c r="Q49" s="408">
        <v>0.65700000000000003</v>
      </c>
      <c r="R49" s="408">
        <v>0.64400000000000002</v>
      </c>
      <c r="S49" s="408">
        <v>27</v>
      </c>
      <c r="T49" s="408">
        <v>39</v>
      </c>
      <c r="U49" s="408">
        <v>0.69199999999999995</v>
      </c>
      <c r="V49" s="408">
        <v>49</v>
      </c>
      <c r="W49" s="408">
        <v>118</v>
      </c>
      <c r="X49" s="408">
        <v>167</v>
      </c>
      <c r="Y49" s="408">
        <v>82</v>
      </c>
      <c r="Z49" s="408">
        <v>30</v>
      </c>
      <c r="AA49" s="408">
        <v>48</v>
      </c>
      <c r="AB49" s="408">
        <v>43</v>
      </c>
      <c r="AC49" s="408">
        <v>85</v>
      </c>
      <c r="AD49" s="408">
        <v>215</v>
      </c>
    </row>
    <row r="50" spans="1:30">
      <c r="A50">
        <v>42</v>
      </c>
      <c r="B50" s="1" t="s">
        <v>528</v>
      </c>
      <c r="C50" s="1" t="s">
        <v>46</v>
      </c>
      <c r="D50" s="408">
        <v>23</v>
      </c>
      <c r="E50" s="5" t="s">
        <v>149</v>
      </c>
      <c r="F50" s="408">
        <v>21</v>
      </c>
      <c r="G50" s="408">
        <v>0</v>
      </c>
      <c r="H50" s="408">
        <v>364</v>
      </c>
      <c r="I50" s="408">
        <v>40</v>
      </c>
      <c r="J50" s="408">
        <v>101</v>
      </c>
      <c r="K50" s="408">
        <v>0.39600000000000002</v>
      </c>
      <c r="L50" s="408">
        <v>8</v>
      </c>
      <c r="M50" s="408">
        <v>24</v>
      </c>
      <c r="N50" s="408">
        <v>0.33300000000000002</v>
      </c>
      <c r="O50" s="408">
        <v>32</v>
      </c>
      <c r="P50" s="408">
        <v>77</v>
      </c>
      <c r="Q50" s="408">
        <v>0.41599999999999998</v>
      </c>
      <c r="R50" s="408">
        <v>0.436</v>
      </c>
      <c r="S50" s="408">
        <v>15</v>
      </c>
      <c r="T50" s="408">
        <v>25</v>
      </c>
      <c r="U50" s="408">
        <v>0.6</v>
      </c>
      <c r="V50" s="408">
        <v>8</v>
      </c>
      <c r="W50" s="408">
        <v>48</v>
      </c>
      <c r="X50" s="408">
        <v>56</v>
      </c>
      <c r="Y50" s="408">
        <v>31</v>
      </c>
      <c r="Z50" s="408">
        <v>13</v>
      </c>
      <c r="AA50" s="408">
        <v>10</v>
      </c>
      <c r="AB50" s="408">
        <v>38</v>
      </c>
      <c r="AC50" s="408">
        <v>32</v>
      </c>
      <c r="AD50" s="408">
        <v>103</v>
      </c>
    </row>
    <row r="51" spans="1:30">
      <c r="A51">
        <v>43</v>
      </c>
      <c r="B51" s="1" t="s">
        <v>402</v>
      </c>
      <c r="C51" s="1" t="s">
        <v>38</v>
      </c>
      <c r="D51" s="408">
        <v>20</v>
      </c>
      <c r="E51" s="5" t="s">
        <v>313</v>
      </c>
      <c r="F51" s="408">
        <v>71</v>
      </c>
      <c r="G51" s="408">
        <v>26</v>
      </c>
      <c r="H51" s="408">
        <v>1741</v>
      </c>
      <c r="I51" s="408">
        <v>153</v>
      </c>
      <c r="J51" s="408">
        <v>400</v>
      </c>
      <c r="K51" s="408">
        <v>0.38300000000000001</v>
      </c>
      <c r="L51" s="408">
        <v>100</v>
      </c>
      <c r="M51" s="408">
        <v>265</v>
      </c>
      <c r="N51" s="408">
        <v>0.377</v>
      </c>
      <c r="O51" s="408">
        <v>53</v>
      </c>
      <c r="P51" s="408">
        <v>135</v>
      </c>
      <c r="Q51" s="408">
        <v>0.39300000000000002</v>
      </c>
      <c r="R51" s="408">
        <v>0.50800000000000001</v>
      </c>
      <c r="S51" s="408">
        <v>34</v>
      </c>
      <c r="T51" s="408">
        <v>44</v>
      </c>
      <c r="U51" s="408">
        <v>0.77300000000000002</v>
      </c>
      <c r="V51" s="408">
        <v>30</v>
      </c>
      <c r="W51" s="408">
        <v>250</v>
      </c>
      <c r="X51" s="408">
        <v>280</v>
      </c>
      <c r="Y51" s="408">
        <v>114</v>
      </c>
      <c r="Z51" s="408">
        <v>19</v>
      </c>
      <c r="AA51" s="408">
        <v>43</v>
      </c>
      <c r="AB51" s="408">
        <v>91</v>
      </c>
      <c r="AC51" s="408">
        <v>145</v>
      </c>
      <c r="AD51" s="408">
        <v>440</v>
      </c>
    </row>
    <row r="52" spans="1:30">
      <c r="A52">
        <v>44</v>
      </c>
      <c r="B52" s="1" t="s">
        <v>141</v>
      </c>
      <c r="C52" s="1" t="s">
        <v>38</v>
      </c>
      <c r="D52" s="408">
        <v>25</v>
      </c>
      <c r="E52" s="5" t="s">
        <v>140</v>
      </c>
      <c r="F52" s="408">
        <v>67</v>
      </c>
      <c r="G52" s="408">
        <v>10</v>
      </c>
      <c r="H52" s="408">
        <v>1017</v>
      </c>
      <c r="I52" s="408">
        <v>150</v>
      </c>
      <c r="J52" s="408">
        <v>340</v>
      </c>
      <c r="K52" s="408">
        <v>0.441</v>
      </c>
      <c r="L52" s="408">
        <v>87</v>
      </c>
      <c r="M52" s="408">
        <v>234</v>
      </c>
      <c r="N52" s="408">
        <v>0.372</v>
      </c>
      <c r="O52" s="408">
        <v>63</v>
      </c>
      <c r="P52" s="408">
        <v>106</v>
      </c>
      <c r="Q52" s="408">
        <v>0.59399999999999997</v>
      </c>
      <c r="R52" s="408">
        <v>0.56899999999999995</v>
      </c>
      <c r="S52" s="408">
        <v>40</v>
      </c>
      <c r="T52" s="408">
        <v>49</v>
      </c>
      <c r="U52" s="408">
        <v>0.81599999999999995</v>
      </c>
      <c r="V52" s="408">
        <v>17</v>
      </c>
      <c r="W52" s="408">
        <v>128</v>
      </c>
      <c r="X52" s="408">
        <v>145</v>
      </c>
      <c r="Y52" s="408">
        <v>69</v>
      </c>
      <c r="Z52" s="408">
        <v>24</v>
      </c>
      <c r="AA52" s="408">
        <v>26</v>
      </c>
      <c r="AB52" s="408">
        <v>32</v>
      </c>
      <c r="AC52" s="408">
        <v>87</v>
      </c>
      <c r="AD52" s="408">
        <v>427</v>
      </c>
    </row>
    <row r="53" spans="1:30">
      <c r="A53">
        <v>45</v>
      </c>
      <c r="B53" s="1" t="s">
        <v>341</v>
      </c>
      <c r="C53" s="1" t="s">
        <v>26</v>
      </c>
      <c r="D53" s="408">
        <v>29</v>
      </c>
      <c r="E53" s="5" t="s">
        <v>64</v>
      </c>
      <c r="F53" s="408">
        <v>11</v>
      </c>
      <c r="G53" s="408">
        <v>11</v>
      </c>
      <c r="H53" s="408">
        <v>334</v>
      </c>
      <c r="I53" s="408">
        <v>48</v>
      </c>
      <c r="J53" s="408">
        <v>119</v>
      </c>
      <c r="K53" s="408">
        <v>0.40300000000000002</v>
      </c>
      <c r="L53" s="408">
        <v>24</v>
      </c>
      <c r="M53" s="408">
        <v>60</v>
      </c>
      <c r="N53" s="408">
        <v>0.4</v>
      </c>
      <c r="O53" s="408">
        <v>24</v>
      </c>
      <c r="P53" s="408">
        <v>59</v>
      </c>
      <c r="Q53" s="408">
        <v>0.40699999999999997</v>
      </c>
      <c r="R53" s="408">
        <v>0.504</v>
      </c>
      <c r="S53" s="408">
        <v>14</v>
      </c>
      <c r="T53" s="408">
        <v>17</v>
      </c>
      <c r="U53" s="408">
        <v>0.82399999999999995</v>
      </c>
      <c r="V53" s="408">
        <v>16</v>
      </c>
      <c r="W53" s="408">
        <v>29</v>
      </c>
      <c r="X53" s="408">
        <v>45</v>
      </c>
      <c r="Y53" s="408">
        <v>32</v>
      </c>
      <c r="Z53" s="408">
        <v>18</v>
      </c>
      <c r="AA53" s="408">
        <v>5</v>
      </c>
      <c r="AB53" s="408">
        <v>25</v>
      </c>
      <c r="AC53" s="408">
        <v>34</v>
      </c>
      <c r="AD53" s="408">
        <v>134</v>
      </c>
    </row>
    <row r="54" spans="1:30">
      <c r="A54">
        <v>46</v>
      </c>
      <c r="B54" s="1" t="s">
        <v>639</v>
      </c>
      <c r="C54" s="1" t="s">
        <v>83</v>
      </c>
      <c r="D54" s="408">
        <v>25</v>
      </c>
      <c r="E54" s="5" t="s">
        <v>75</v>
      </c>
      <c r="F54" s="408">
        <v>30</v>
      </c>
      <c r="G54" s="408">
        <v>0</v>
      </c>
      <c r="H54" s="408">
        <v>373</v>
      </c>
      <c r="I54" s="408">
        <v>38</v>
      </c>
      <c r="J54" s="408">
        <v>75</v>
      </c>
      <c r="K54" s="408">
        <v>0.50700000000000001</v>
      </c>
      <c r="L54" s="408">
        <v>0</v>
      </c>
      <c r="M54" s="408">
        <v>0</v>
      </c>
      <c r="N54" s="408"/>
      <c r="O54" s="408">
        <v>38</v>
      </c>
      <c r="P54" s="408">
        <v>75</v>
      </c>
      <c r="Q54" s="408">
        <v>0.50700000000000001</v>
      </c>
      <c r="R54" s="408">
        <v>0.50700000000000001</v>
      </c>
      <c r="S54" s="408">
        <v>19</v>
      </c>
      <c r="T54" s="408">
        <v>30</v>
      </c>
      <c r="U54" s="408">
        <v>0.63300000000000001</v>
      </c>
      <c r="V54" s="408">
        <v>43</v>
      </c>
      <c r="W54" s="408">
        <v>64</v>
      </c>
      <c r="X54" s="408">
        <v>107</v>
      </c>
      <c r="Y54" s="408">
        <v>20</v>
      </c>
      <c r="Z54" s="408">
        <v>11</v>
      </c>
      <c r="AA54" s="408">
        <v>12</v>
      </c>
      <c r="AB54" s="408">
        <v>16</v>
      </c>
      <c r="AC54" s="408">
        <v>38</v>
      </c>
      <c r="AD54" s="408">
        <v>95</v>
      </c>
    </row>
    <row r="55" spans="1:30">
      <c r="A55">
        <v>47</v>
      </c>
      <c r="B55" s="1" t="s">
        <v>573</v>
      </c>
      <c r="C55" s="1" t="s">
        <v>26</v>
      </c>
      <c r="D55" s="408">
        <v>23</v>
      </c>
      <c r="E55" s="5" t="s">
        <v>87</v>
      </c>
      <c r="F55" s="408">
        <v>5</v>
      </c>
      <c r="G55" s="408">
        <v>0</v>
      </c>
      <c r="H55" s="408">
        <v>26</v>
      </c>
      <c r="I55" s="408">
        <v>1</v>
      </c>
      <c r="J55" s="408">
        <v>4</v>
      </c>
      <c r="K55" s="408">
        <v>0.25</v>
      </c>
      <c r="L55" s="408">
        <v>0</v>
      </c>
      <c r="M55" s="408">
        <v>2</v>
      </c>
      <c r="N55" s="408">
        <v>0</v>
      </c>
      <c r="O55" s="408">
        <v>1</v>
      </c>
      <c r="P55" s="408">
        <v>2</v>
      </c>
      <c r="Q55" s="408">
        <v>0.5</v>
      </c>
      <c r="R55" s="408">
        <v>0.25</v>
      </c>
      <c r="S55" s="408">
        <v>3</v>
      </c>
      <c r="T55" s="408">
        <v>5</v>
      </c>
      <c r="U55" s="408">
        <v>0.6</v>
      </c>
      <c r="V55" s="408">
        <v>1</v>
      </c>
      <c r="W55" s="408">
        <v>2</v>
      </c>
      <c r="X55" s="408">
        <v>3</v>
      </c>
      <c r="Y55" s="408">
        <v>1</v>
      </c>
      <c r="Z55" s="408">
        <v>1</v>
      </c>
      <c r="AA55" s="408">
        <v>0</v>
      </c>
      <c r="AB55" s="408">
        <v>1</v>
      </c>
      <c r="AC55" s="408">
        <v>2</v>
      </c>
      <c r="AD55" s="408">
        <v>5</v>
      </c>
    </row>
    <row r="56" spans="1:30">
      <c r="A56">
        <v>48</v>
      </c>
      <c r="B56" s="1" t="s">
        <v>591</v>
      </c>
      <c r="C56" s="1" t="s">
        <v>83</v>
      </c>
      <c r="D56" s="408">
        <v>25</v>
      </c>
      <c r="E56" s="5" t="s">
        <v>75</v>
      </c>
      <c r="F56" s="408">
        <v>70</v>
      </c>
      <c r="G56" s="408">
        <v>23</v>
      </c>
      <c r="H56" s="408">
        <v>1307</v>
      </c>
      <c r="I56" s="408">
        <v>150</v>
      </c>
      <c r="J56" s="408">
        <v>289</v>
      </c>
      <c r="K56" s="408">
        <v>0.51900000000000002</v>
      </c>
      <c r="L56" s="408">
        <v>0</v>
      </c>
      <c r="M56" s="408">
        <v>1</v>
      </c>
      <c r="N56" s="408">
        <v>0</v>
      </c>
      <c r="O56" s="408">
        <v>150</v>
      </c>
      <c r="P56" s="408">
        <v>288</v>
      </c>
      <c r="Q56" s="408">
        <v>0.52100000000000002</v>
      </c>
      <c r="R56" s="408">
        <v>0.51900000000000002</v>
      </c>
      <c r="S56" s="408">
        <v>86</v>
      </c>
      <c r="T56" s="408">
        <v>131</v>
      </c>
      <c r="U56" s="408">
        <v>0.65600000000000003</v>
      </c>
      <c r="V56" s="408">
        <v>122</v>
      </c>
      <c r="W56" s="408">
        <v>279</v>
      </c>
      <c r="X56" s="408">
        <v>401</v>
      </c>
      <c r="Y56" s="408">
        <v>56</v>
      </c>
      <c r="Z56" s="408">
        <v>18</v>
      </c>
      <c r="AA56" s="408">
        <v>82</v>
      </c>
      <c r="AB56" s="408">
        <v>74</v>
      </c>
      <c r="AC56" s="408">
        <v>137</v>
      </c>
      <c r="AD56" s="408">
        <v>386</v>
      </c>
    </row>
    <row r="57" spans="1:30">
      <c r="A57">
        <v>49</v>
      </c>
      <c r="B57" s="1" t="s">
        <v>5</v>
      </c>
      <c r="C57" s="1" t="s">
        <v>38</v>
      </c>
      <c r="D57" s="408">
        <v>29</v>
      </c>
      <c r="E57" s="5" t="s">
        <v>56</v>
      </c>
      <c r="F57" s="408">
        <v>56</v>
      </c>
      <c r="G57" s="408">
        <v>13</v>
      </c>
      <c r="H57" s="408">
        <v>1078</v>
      </c>
      <c r="I57" s="408">
        <v>146</v>
      </c>
      <c r="J57" s="408">
        <v>298</v>
      </c>
      <c r="K57" s="408">
        <v>0.49</v>
      </c>
      <c r="L57" s="408">
        <v>64</v>
      </c>
      <c r="M57" s="408">
        <v>145</v>
      </c>
      <c r="N57" s="408">
        <v>0.441</v>
      </c>
      <c r="O57" s="408">
        <v>82</v>
      </c>
      <c r="P57" s="408">
        <v>153</v>
      </c>
      <c r="Q57" s="408">
        <v>0.53600000000000003</v>
      </c>
      <c r="R57" s="408">
        <v>0.59699999999999998</v>
      </c>
      <c r="S57" s="408">
        <v>32</v>
      </c>
      <c r="T57" s="408">
        <v>39</v>
      </c>
      <c r="U57" s="408">
        <v>0.82099999999999995</v>
      </c>
      <c r="V57" s="408">
        <v>41</v>
      </c>
      <c r="W57" s="408">
        <v>180</v>
      </c>
      <c r="X57" s="408">
        <v>221</v>
      </c>
      <c r="Y57" s="408">
        <v>70</v>
      </c>
      <c r="Z57" s="408">
        <v>37</v>
      </c>
      <c r="AA57" s="408">
        <v>11</v>
      </c>
      <c r="AB57" s="408">
        <v>43</v>
      </c>
      <c r="AC57" s="408">
        <v>114</v>
      </c>
      <c r="AD57" s="408">
        <v>388</v>
      </c>
    </row>
    <row r="58" spans="1:30">
      <c r="A58">
        <v>50</v>
      </c>
      <c r="B58" s="1" t="s">
        <v>93</v>
      </c>
      <c r="C58" s="1" t="s">
        <v>83</v>
      </c>
      <c r="D58" s="408">
        <v>26</v>
      </c>
      <c r="E58" s="5" t="s">
        <v>92</v>
      </c>
      <c r="F58" s="408">
        <v>42</v>
      </c>
      <c r="G58" s="408">
        <v>1</v>
      </c>
      <c r="H58" s="408">
        <v>431</v>
      </c>
      <c r="I58" s="408">
        <v>64</v>
      </c>
      <c r="J58" s="408">
        <v>109</v>
      </c>
      <c r="K58" s="408">
        <v>0.58699999999999997</v>
      </c>
      <c r="L58" s="408">
        <v>0</v>
      </c>
      <c r="M58" s="408">
        <v>8</v>
      </c>
      <c r="N58" s="408">
        <v>0</v>
      </c>
      <c r="O58" s="408">
        <v>64</v>
      </c>
      <c r="P58" s="408">
        <v>101</v>
      </c>
      <c r="Q58" s="408">
        <v>0.63400000000000001</v>
      </c>
      <c r="R58" s="408">
        <v>0.58699999999999997</v>
      </c>
      <c r="S58" s="408">
        <v>23</v>
      </c>
      <c r="T58" s="408">
        <v>50</v>
      </c>
      <c r="U58" s="408">
        <v>0.46</v>
      </c>
      <c r="V58" s="408">
        <v>56</v>
      </c>
      <c r="W58" s="408">
        <v>72</v>
      </c>
      <c r="X58" s="408">
        <v>128</v>
      </c>
      <c r="Y58" s="408">
        <v>9</v>
      </c>
      <c r="Z58" s="408">
        <v>18</v>
      </c>
      <c r="AA58" s="408">
        <v>24</v>
      </c>
      <c r="AB58" s="408">
        <v>30</v>
      </c>
      <c r="AC58" s="408">
        <v>92</v>
      </c>
      <c r="AD58" s="408">
        <v>151</v>
      </c>
    </row>
    <row r="59" spans="1:30">
      <c r="A59">
        <v>51</v>
      </c>
      <c r="B59" s="1" t="s">
        <v>449</v>
      </c>
      <c r="C59" s="1" t="s">
        <v>26</v>
      </c>
      <c r="D59" s="408">
        <v>21</v>
      </c>
      <c r="E59" s="5" t="s">
        <v>43</v>
      </c>
      <c r="F59" s="408">
        <v>18</v>
      </c>
      <c r="G59" s="408">
        <v>0</v>
      </c>
      <c r="H59" s="408">
        <v>290</v>
      </c>
      <c r="I59" s="408">
        <v>50</v>
      </c>
      <c r="J59" s="408">
        <v>134</v>
      </c>
      <c r="K59" s="408">
        <v>0.373</v>
      </c>
      <c r="L59" s="408">
        <v>15</v>
      </c>
      <c r="M59" s="408">
        <v>51</v>
      </c>
      <c r="N59" s="408">
        <v>0.29399999999999998</v>
      </c>
      <c r="O59" s="408">
        <v>35</v>
      </c>
      <c r="P59" s="408">
        <v>83</v>
      </c>
      <c r="Q59" s="408">
        <v>0.42199999999999999</v>
      </c>
      <c r="R59" s="408">
        <v>0.42899999999999999</v>
      </c>
      <c r="S59" s="408">
        <v>30</v>
      </c>
      <c r="T59" s="408">
        <v>39</v>
      </c>
      <c r="U59" s="408">
        <v>0.76900000000000002</v>
      </c>
      <c r="V59" s="408">
        <v>3</v>
      </c>
      <c r="W59" s="408">
        <v>27</v>
      </c>
      <c r="X59" s="408">
        <v>30</v>
      </c>
      <c r="Y59" s="408">
        <v>17</v>
      </c>
      <c r="Z59" s="408">
        <v>7</v>
      </c>
      <c r="AA59" s="408">
        <v>1</v>
      </c>
      <c r="AB59" s="408">
        <v>10</v>
      </c>
      <c r="AC59" s="408">
        <v>17</v>
      </c>
      <c r="AD59" s="408">
        <v>145</v>
      </c>
    </row>
    <row r="60" spans="1:30">
      <c r="A60">
        <v>52</v>
      </c>
      <c r="B60" s="1" t="s">
        <v>356</v>
      </c>
      <c r="C60" s="1" t="s">
        <v>20</v>
      </c>
      <c r="D60" s="408">
        <v>28</v>
      </c>
      <c r="E60" s="5" t="s">
        <v>357</v>
      </c>
      <c r="F60" s="408">
        <v>62</v>
      </c>
      <c r="G60" s="408">
        <v>62</v>
      </c>
      <c r="H60" s="408">
        <v>1943</v>
      </c>
      <c r="I60" s="408">
        <v>377</v>
      </c>
      <c r="J60" s="408">
        <v>834</v>
      </c>
      <c r="K60" s="408">
        <v>0.45200000000000001</v>
      </c>
      <c r="L60" s="408">
        <v>103</v>
      </c>
      <c r="M60" s="408">
        <v>309</v>
      </c>
      <c r="N60" s="408">
        <v>0.33300000000000002</v>
      </c>
      <c r="O60" s="408">
        <v>274</v>
      </c>
      <c r="P60" s="408">
        <v>525</v>
      </c>
      <c r="Q60" s="408">
        <v>0.52200000000000002</v>
      </c>
      <c r="R60" s="408">
        <v>0.51400000000000001</v>
      </c>
      <c r="S60" s="408">
        <v>213</v>
      </c>
      <c r="T60" s="408">
        <v>271</v>
      </c>
      <c r="U60" s="408">
        <v>0.78600000000000003</v>
      </c>
      <c r="V60" s="408">
        <v>45</v>
      </c>
      <c r="W60" s="408">
        <v>189</v>
      </c>
      <c r="X60" s="408">
        <v>234</v>
      </c>
      <c r="Y60" s="408">
        <v>295</v>
      </c>
      <c r="Z60" s="408">
        <v>128</v>
      </c>
      <c r="AA60" s="408">
        <v>36</v>
      </c>
      <c r="AB60" s="408">
        <v>189</v>
      </c>
      <c r="AC60" s="408">
        <v>155</v>
      </c>
      <c r="AD60" s="408">
        <v>1070</v>
      </c>
    </row>
    <row r="61" spans="1:30">
      <c r="A61">
        <v>52</v>
      </c>
      <c r="B61" s="1" t="s">
        <v>356</v>
      </c>
      <c r="C61" s="1" t="s">
        <v>20</v>
      </c>
      <c r="D61" s="408">
        <v>28</v>
      </c>
      <c r="E61" s="5" t="s">
        <v>313</v>
      </c>
      <c r="F61" s="408">
        <v>3</v>
      </c>
      <c r="G61" s="408">
        <v>3</v>
      </c>
      <c r="H61" s="408">
        <v>83</v>
      </c>
      <c r="I61" s="408">
        <v>16</v>
      </c>
      <c r="J61" s="408">
        <v>40</v>
      </c>
      <c r="K61" s="408">
        <v>0.4</v>
      </c>
      <c r="L61" s="408">
        <v>4</v>
      </c>
      <c r="M61" s="408">
        <v>13</v>
      </c>
      <c r="N61" s="408">
        <v>0.308</v>
      </c>
      <c r="O61" s="408">
        <v>12</v>
      </c>
      <c r="P61" s="408">
        <v>27</v>
      </c>
      <c r="Q61" s="408">
        <v>0.44400000000000001</v>
      </c>
      <c r="R61" s="408">
        <v>0.45</v>
      </c>
      <c r="S61" s="408">
        <v>11</v>
      </c>
      <c r="T61" s="408">
        <v>14</v>
      </c>
      <c r="U61" s="408">
        <v>0.78600000000000003</v>
      </c>
      <c r="V61" s="408">
        <v>3</v>
      </c>
      <c r="W61" s="408">
        <v>4</v>
      </c>
      <c r="X61" s="408">
        <v>7</v>
      </c>
      <c r="Y61" s="408">
        <v>9</v>
      </c>
      <c r="Z61" s="408">
        <v>4</v>
      </c>
      <c r="AA61" s="408">
        <v>2</v>
      </c>
      <c r="AB61" s="408">
        <v>10</v>
      </c>
      <c r="AC61" s="408">
        <v>6</v>
      </c>
      <c r="AD61" s="408">
        <v>47</v>
      </c>
    </row>
    <row r="62" spans="1:30">
      <c r="A62">
        <v>52</v>
      </c>
      <c r="B62" s="1" t="s">
        <v>356</v>
      </c>
      <c r="C62" s="1" t="s">
        <v>20</v>
      </c>
      <c r="D62" s="408">
        <v>28</v>
      </c>
      <c r="E62" s="5" t="s">
        <v>41</v>
      </c>
      <c r="F62" s="408">
        <v>59</v>
      </c>
      <c r="G62" s="408">
        <v>59</v>
      </c>
      <c r="H62" s="408">
        <v>1860</v>
      </c>
      <c r="I62" s="408">
        <v>361</v>
      </c>
      <c r="J62" s="408">
        <v>794</v>
      </c>
      <c r="K62" s="408">
        <v>0.45500000000000002</v>
      </c>
      <c r="L62" s="408">
        <v>99</v>
      </c>
      <c r="M62" s="408">
        <v>296</v>
      </c>
      <c r="N62" s="408">
        <v>0.33400000000000002</v>
      </c>
      <c r="O62" s="408">
        <v>262</v>
      </c>
      <c r="P62" s="408">
        <v>498</v>
      </c>
      <c r="Q62" s="408">
        <v>0.52600000000000002</v>
      </c>
      <c r="R62" s="408">
        <v>0.51700000000000002</v>
      </c>
      <c r="S62" s="408">
        <v>202</v>
      </c>
      <c r="T62" s="408">
        <v>257</v>
      </c>
      <c r="U62" s="408">
        <v>0.78600000000000003</v>
      </c>
      <c r="V62" s="408">
        <v>42</v>
      </c>
      <c r="W62" s="408">
        <v>185</v>
      </c>
      <c r="X62" s="408">
        <v>227</v>
      </c>
      <c r="Y62" s="408">
        <v>286</v>
      </c>
      <c r="Z62" s="408">
        <v>124</v>
      </c>
      <c r="AA62" s="408">
        <v>34</v>
      </c>
      <c r="AB62" s="408">
        <v>179</v>
      </c>
      <c r="AC62" s="408">
        <v>149</v>
      </c>
      <c r="AD62" s="408">
        <v>1023</v>
      </c>
    </row>
    <row r="63" spans="1:30">
      <c r="A63">
        <v>53</v>
      </c>
      <c r="B63" s="1" t="s">
        <v>590</v>
      </c>
      <c r="C63" s="1" t="s">
        <v>26</v>
      </c>
      <c r="D63" s="408">
        <v>25</v>
      </c>
      <c r="E63" s="5" t="s">
        <v>78</v>
      </c>
      <c r="F63" s="408">
        <v>5</v>
      </c>
      <c r="G63" s="408">
        <v>0</v>
      </c>
      <c r="H63" s="408">
        <v>45</v>
      </c>
      <c r="I63" s="408">
        <v>1</v>
      </c>
      <c r="J63" s="408">
        <v>5</v>
      </c>
      <c r="K63" s="408">
        <v>0.2</v>
      </c>
      <c r="L63" s="408">
        <v>0</v>
      </c>
      <c r="M63" s="408">
        <v>2</v>
      </c>
      <c r="N63" s="408">
        <v>0</v>
      </c>
      <c r="O63" s="408">
        <v>1</v>
      </c>
      <c r="P63" s="408">
        <v>3</v>
      </c>
      <c r="Q63" s="408">
        <v>0.33300000000000002</v>
      </c>
      <c r="R63" s="408">
        <v>0.2</v>
      </c>
      <c r="S63" s="408">
        <v>1</v>
      </c>
      <c r="T63" s="408">
        <v>2</v>
      </c>
      <c r="U63" s="408">
        <v>0.5</v>
      </c>
      <c r="V63" s="408">
        <v>0</v>
      </c>
      <c r="W63" s="408">
        <v>1</v>
      </c>
      <c r="X63" s="408">
        <v>1</v>
      </c>
      <c r="Y63" s="408">
        <v>3</v>
      </c>
      <c r="Z63" s="408">
        <v>1</v>
      </c>
      <c r="AA63" s="408">
        <v>0</v>
      </c>
      <c r="AB63" s="408">
        <v>3</v>
      </c>
      <c r="AC63" s="408">
        <v>2</v>
      </c>
      <c r="AD63" s="408">
        <v>3</v>
      </c>
    </row>
    <row r="64" spans="1:30">
      <c r="A64">
        <v>54</v>
      </c>
      <c r="B64" s="1" t="s">
        <v>406</v>
      </c>
      <c r="C64" s="1" t="s">
        <v>26</v>
      </c>
      <c r="D64" s="408">
        <v>25</v>
      </c>
      <c r="E64" s="5" t="s">
        <v>100</v>
      </c>
      <c r="F64" s="408">
        <v>68</v>
      </c>
      <c r="G64" s="408">
        <v>43</v>
      </c>
      <c r="H64" s="408">
        <v>1877</v>
      </c>
      <c r="I64" s="408">
        <v>297</v>
      </c>
      <c r="J64" s="408">
        <v>667</v>
      </c>
      <c r="K64" s="408">
        <v>0.44500000000000001</v>
      </c>
      <c r="L64" s="408">
        <v>114</v>
      </c>
      <c r="M64" s="408">
        <v>286</v>
      </c>
      <c r="N64" s="408">
        <v>0.39900000000000002</v>
      </c>
      <c r="O64" s="408">
        <v>183</v>
      </c>
      <c r="P64" s="408">
        <v>381</v>
      </c>
      <c r="Q64" s="408">
        <v>0.48</v>
      </c>
      <c r="R64" s="408">
        <v>0.53100000000000003</v>
      </c>
      <c r="S64" s="408">
        <v>92</v>
      </c>
      <c r="T64" s="408">
        <v>108</v>
      </c>
      <c r="U64" s="408">
        <v>0.85199999999999998</v>
      </c>
      <c r="V64" s="408">
        <v>26</v>
      </c>
      <c r="W64" s="408">
        <v>169</v>
      </c>
      <c r="X64" s="408">
        <v>195</v>
      </c>
      <c r="Y64" s="408">
        <v>226</v>
      </c>
      <c r="Z64" s="408">
        <v>63</v>
      </c>
      <c r="AA64" s="408">
        <v>16</v>
      </c>
      <c r="AB64" s="408">
        <v>108</v>
      </c>
      <c r="AC64" s="408">
        <v>146</v>
      </c>
      <c r="AD64" s="408">
        <v>800</v>
      </c>
    </row>
    <row r="65" spans="1:30">
      <c r="A65">
        <v>55</v>
      </c>
      <c r="B65" s="1" t="s">
        <v>353</v>
      </c>
      <c r="C65" s="1" t="s">
        <v>46</v>
      </c>
      <c r="D65" s="408">
        <v>28</v>
      </c>
      <c r="E65" s="5" t="s">
        <v>30</v>
      </c>
      <c r="F65" s="408">
        <v>70</v>
      </c>
      <c r="G65" s="408">
        <v>70</v>
      </c>
      <c r="H65" s="408">
        <v>2149</v>
      </c>
      <c r="I65" s="408">
        <v>341</v>
      </c>
      <c r="J65" s="408">
        <v>731</v>
      </c>
      <c r="K65" s="408">
        <v>0.46600000000000003</v>
      </c>
      <c r="L65" s="408">
        <v>132</v>
      </c>
      <c r="M65" s="408">
        <v>335</v>
      </c>
      <c r="N65" s="408">
        <v>0.39400000000000002</v>
      </c>
      <c r="O65" s="408">
        <v>209</v>
      </c>
      <c r="P65" s="408">
        <v>396</v>
      </c>
      <c r="Q65" s="408">
        <v>0.52800000000000002</v>
      </c>
      <c r="R65" s="408">
        <v>0.55700000000000005</v>
      </c>
      <c r="S65" s="408">
        <v>158</v>
      </c>
      <c r="T65" s="408">
        <v>184</v>
      </c>
      <c r="U65" s="408">
        <v>0.85899999999999999</v>
      </c>
      <c r="V65" s="408">
        <v>24</v>
      </c>
      <c r="W65" s="408">
        <v>210</v>
      </c>
      <c r="X65" s="408">
        <v>234</v>
      </c>
      <c r="Y65" s="408">
        <v>108</v>
      </c>
      <c r="Z65" s="408">
        <v>52</v>
      </c>
      <c r="AA65" s="408">
        <v>6</v>
      </c>
      <c r="AB65" s="408">
        <v>92</v>
      </c>
      <c r="AC65" s="408">
        <v>112</v>
      </c>
      <c r="AD65" s="408">
        <v>972</v>
      </c>
    </row>
    <row r="66" spans="1:30">
      <c r="A66">
        <v>56</v>
      </c>
      <c r="B66" s="1" t="s">
        <v>287</v>
      </c>
      <c r="C66" s="1" t="s">
        <v>83</v>
      </c>
      <c r="D66" s="408">
        <v>33</v>
      </c>
      <c r="E66" s="5" t="s">
        <v>78</v>
      </c>
      <c r="F66" s="408">
        <v>23</v>
      </c>
      <c r="G66" s="408">
        <v>5</v>
      </c>
      <c r="H66" s="408">
        <v>216</v>
      </c>
      <c r="I66" s="408">
        <v>17</v>
      </c>
      <c r="J66" s="408">
        <v>25</v>
      </c>
      <c r="K66" s="408">
        <v>0.68</v>
      </c>
      <c r="L66" s="408">
        <v>0</v>
      </c>
      <c r="M66" s="408">
        <v>0</v>
      </c>
      <c r="N66" s="408"/>
      <c r="O66" s="408">
        <v>17</v>
      </c>
      <c r="P66" s="408">
        <v>25</v>
      </c>
      <c r="Q66" s="408">
        <v>0.68</v>
      </c>
      <c r="R66" s="408">
        <v>0.68</v>
      </c>
      <c r="S66" s="408">
        <v>2</v>
      </c>
      <c r="T66" s="408">
        <v>2</v>
      </c>
      <c r="U66" s="408">
        <v>1</v>
      </c>
      <c r="V66" s="408">
        <v>26</v>
      </c>
      <c r="W66" s="408">
        <v>52</v>
      </c>
      <c r="X66" s="408">
        <v>78</v>
      </c>
      <c r="Y66" s="408">
        <v>15</v>
      </c>
      <c r="Z66" s="408">
        <v>4</v>
      </c>
      <c r="AA66" s="408">
        <v>13</v>
      </c>
      <c r="AB66" s="408">
        <v>19</v>
      </c>
      <c r="AC66" s="408">
        <v>40</v>
      </c>
      <c r="AD66" s="408">
        <v>36</v>
      </c>
    </row>
    <row r="67" spans="1:30">
      <c r="A67">
        <v>57</v>
      </c>
      <c r="B67" s="1" t="s">
        <v>595</v>
      </c>
      <c r="C67" s="1" t="s">
        <v>38</v>
      </c>
      <c r="D67" s="408">
        <v>24</v>
      </c>
      <c r="E67" s="5" t="s">
        <v>41</v>
      </c>
      <c r="F67" s="408">
        <v>6</v>
      </c>
      <c r="G67" s="408">
        <v>0</v>
      </c>
      <c r="H67" s="408">
        <v>38</v>
      </c>
      <c r="I67" s="408">
        <v>3</v>
      </c>
      <c r="J67" s="408">
        <v>6</v>
      </c>
      <c r="K67" s="408">
        <v>0.5</v>
      </c>
      <c r="L67" s="408">
        <v>0</v>
      </c>
      <c r="M67" s="408">
        <v>1</v>
      </c>
      <c r="N67" s="408">
        <v>0</v>
      </c>
      <c r="O67" s="408">
        <v>3</v>
      </c>
      <c r="P67" s="408">
        <v>5</v>
      </c>
      <c r="Q67" s="408">
        <v>0.6</v>
      </c>
      <c r="R67" s="408">
        <v>0.5</v>
      </c>
      <c r="S67" s="408">
        <v>3</v>
      </c>
      <c r="T67" s="408">
        <v>6</v>
      </c>
      <c r="U67" s="408">
        <v>0.5</v>
      </c>
      <c r="V67" s="408">
        <v>6</v>
      </c>
      <c r="W67" s="408">
        <v>4</v>
      </c>
      <c r="X67" s="408">
        <v>10</v>
      </c>
      <c r="Y67" s="408">
        <v>0</v>
      </c>
      <c r="Z67" s="408">
        <v>2</v>
      </c>
      <c r="AA67" s="408">
        <v>0</v>
      </c>
      <c r="AB67" s="408">
        <v>2</v>
      </c>
      <c r="AC67" s="408">
        <v>3</v>
      </c>
      <c r="AD67" s="408">
        <v>9</v>
      </c>
    </row>
    <row r="68" spans="1:30">
      <c r="A68">
        <v>58</v>
      </c>
      <c r="B68" s="1" t="s">
        <v>312</v>
      </c>
      <c r="C68" s="1" t="s">
        <v>26</v>
      </c>
      <c r="D68" s="408">
        <v>21</v>
      </c>
      <c r="E68" s="5" t="s">
        <v>313</v>
      </c>
      <c r="F68" s="408">
        <v>54</v>
      </c>
      <c r="G68" s="408">
        <v>54</v>
      </c>
      <c r="H68" s="408">
        <v>1865</v>
      </c>
      <c r="I68" s="408">
        <v>455</v>
      </c>
      <c r="J68" s="408">
        <v>1054</v>
      </c>
      <c r="K68" s="408">
        <v>0.432</v>
      </c>
      <c r="L68" s="408">
        <v>147</v>
      </c>
      <c r="M68" s="408">
        <v>384</v>
      </c>
      <c r="N68" s="408">
        <v>0.38300000000000001</v>
      </c>
      <c r="O68" s="408">
        <v>308</v>
      </c>
      <c r="P68" s="408">
        <v>670</v>
      </c>
      <c r="Q68" s="408">
        <v>0.46</v>
      </c>
      <c r="R68" s="408">
        <v>0.501</v>
      </c>
      <c r="S68" s="408">
        <v>289</v>
      </c>
      <c r="T68" s="408">
        <v>329</v>
      </c>
      <c r="U68" s="408">
        <v>0.878</v>
      </c>
      <c r="V68" s="408">
        <v>26</v>
      </c>
      <c r="W68" s="408">
        <v>218</v>
      </c>
      <c r="X68" s="408">
        <v>244</v>
      </c>
      <c r="Y68" s="408">
        <v>253</v>
      </c>
      <c r="Z68" s="408">
        <v>47</v>
      </c>
      <c r="AA68" s="408">
        <v>14</v>
      </c>
      <c r="AB68" s="408">
        <v>194</v>
      </c>
      <c r="AC68" s="408">
        <v>168</v>
      </c>
      <c r="AD68" s="408">
        <v>1346</v>
      </c>
    </row>
    <row r="69" spans="1:30">
      <c r="A69">
        <v>59</v>
      </c>
      <c r="B69" s="1" t="s">
        <v>178</v>
      </c>
      <c r="C69" s="1" t="s">
        <v>38</v>
      </c>
      <c r="D69" s="408">
        <v>30</v>
      </c>
      <c r="E69" s="5" t="s">
        <v>357</v>
      </c>
      <c r="F69" s="408">
        <v>58</v>
      </c>
      <c r="G69" s="408">
        <v>5</v>
      </c>
      <c r="H69" s="408">
        <v>1011</v>
      </c>
      <c r="I69" s="408">
        <v>150</v>
      </c>
      <c r="J69" s="408">
        <v>294</v>
      </c>
      <c r="K69" s="408">
        <v>0.51</v>
      </c>
      <c r="L69" s="408">
        <v>8</v>
      </c>
      <c r="M69" s="408">
        <v>28</v>
      </c>
      <c r="N69" s="408">
        <v>0.28599999999999998</v>
      </c>
      <c r="O69" s="408">
        <v>142</v>
      </c>
      <c r="P69" s="408">
        <v>266</v>
      </c>
      <c r="Q69" s="408">
        <v>0.53400000000000003</v>
      </c>
      <c r="R69" s="408">
        <v>0.52400000000000002</v>
      </c>
      <c r="S69" s="408">
        <v>58</v>
      </c>
      <c r="T69" s="408">
        <v>84</v>
      </c>
      <c r="U69" s="408">
        <v>0.69</v>
      </c>
      <c r="V69" s="408">
        <v>97</v>
      </c>
      <c r="W69" s="408">
        <v>179</v>
      </c>
      <c r="X69" s="408">
        <v>276</v>
      </c>
      <c r="Y69" s="408">
        <v>73</v>
      </c>
      <c r="Z69" s="408">
        <v>24</v>
      </c>
      <c r="AA69" s="408">
        <v>19</v>
      </c>
      <c r="AB69" s="408">
        <v>56</v>
      </c>
      <c r="AC69" s="408">
        <v>104</v>
      </c>
      <c r="AD69" s="408">
        <v>366</v>
      </c>
    </row>
    <row r="70" spans="1:30">
      <c r="A70">
        <v>59</v>
      </c>
      <c r="B70" s="1" t="s">
        <v>178</v>
      </c>
      <c r="C70" s="1" t="s">
        <v>38</v>
      </c>
      <c r="D70" s="408">
        <v>30</v>
      </c>
      <c r="E70" s="5" t="s">
        <v>315</v>
      </c>
      <c r="F70" s="408">
        <v>18</v>
      </c>
      <c r="G70" s="408">
        <v>5</v>
      </c>
      <c r="H70" s="408">
        <v>395</v>
      </c>
      <c r="I70" s="408">
        <v>77</v>
      </c>
      <c r="J70" s="408">
        <v>150</v>
      </c>
      <c r="K70" s="408">
        <v>0.51300000000000001</v>
      </c>
      <c r="L70" s="408">
        <v>3</v>
      </c>
      <c r="M70" s="408">
        <v>12</v>
      </c>
      <c r="N70" s="408">
        <v>0.25</v>
      </c>
      <c r="O70" s="408">
        <v>74</v>
      </c>
      <c r="P70" s="408">
        <v>138</v>
      </c>
      <c r="Q70" s="408">
        <v>0.53600000000000003</v>
      </c>
      <c r="R70" s="408">
        <v>0.52300000000000002</v>
      </c>
      <c r="S70" s="408">
        <v>24</v>
      </c>
      <c r="T70" s="408">
        <v>43</v>
      </c>
      <c r="U70" s="408">
        <v>0.55800000000000005</v>
      </c>
      <c r="V70" s="408">
        <v>38</v>
      </c>
      <c r="W70" s="408">
        <v>81</v>
      </c>
      <c r="X70" s="408">
        <v>119</v>
      </c>
      <c r="Y70" s="408">
        <v>38</v>
      </c>
      <c r="Z70" s="408">
        <v>8</v>
      </c>
      <c r="AA70" s="408">
        <v>5</v>
      </c>
      <c r="AB70" s="408">
        <v>30</v>
      </c>
      <c r="AC70" s="408">
        <v>43</v>
      </c>
      <c r="AD70" s="408">
        <v>181</v>
      </c>
    </row>
    <row r="71" spans="1:30">
      <c r="A71">
        <v>59</v>
      </c>
      <c r="B71" s="1" t="s">
        <v>178</v>
      </c>
      <c r="C71" s="1" t="s">
        <v>38</v>
      </c>
      <c r="D71" s="408">
        <v>30</v>
      </c>
      <c r="E71" s="5" t="s">
        <v>118</v>
      </c>
      <c r="F71" s="408">
        <v>33</v>
      </c>
      <c r="G71" s="408">
        <v>0</v>
      </c>
      <c r="H71" s="408">
        <v>494</v>
      </c>
      <c r="I71" s="408">
        <v>61</v>
      </c>
      <c r="J71" s="408">
        <v>109</v>
      </c>
      <c r="K71" s="408">
        <v>0.56000000000000005</v>
      </c>
      <c r="L71" s="408">
        <v>2</v>
      </c>
      <c r="M71" s="408">
        <v>7</v>
      </c>
      <c r="N71" s="408">
        <v>0.28599999999999998</v>
      </c>
      <c r="O71" s="408">
        <v>59</v>
      </c>
      <c r="P71" s="408">
        <v>102</v>
      </c>
      <c r="Q71" s="408">
        <v>0.57799999999999996</v>
      </c>
      <c r="R71" s="408">
        <v>0.56899999999999995</v>
      </c>
      <c r="S71" s="408">
        <v>32</v>
      </c>
      <c r="T71" s="408">
        <v>39</v>
      </c>
      <c r="U71" s="408">
        <v>0.82099999999999995</v>
      </c>
      <c r="V71" s="408">
        <v>47</v>
      </c>
      <c r="W71" s="408">
        <v>75</v>
      </c>
      <c r="X71" s="408">
        <v>122</v>
      </c>
      <c r="Y71" s="408">
        <v>27</v>
      </c>
      <c r="Z71" s="408">
        <v>16</v>
      </c>
      <c r="AA71" s="408">
        <v>11</v>
      </c>
      <c r="AB71" s="408">
        <v>20</v>
      </c>
      <c r="AC71" s="408">
        <v>51</v>
      </c>
      <c r="AD71" s="408">
        <v>156</v>
      </c>
    </row>
    <row r="72" spans="1:30">
      <c r="A72">
        <v>59</v>
      </c>
      <c r="B72" s="1" t="s">
        <v>178</v>
      </c>
      <c r="C72" s="1" t="s">
        <v>38</v>
      </c>
      <c r="D72" s="408">
        <v>30</v>
      </c>
      <c r="E72" s="5" t="s">
        <v>30</v>
      </c>
      <c r="F72" s="408">
        <v>7</v>
      </c>
      <c r="G72" s="408">
        <v>0</v>
      </c>
      <c r="H72" s="408">
        <v>122</v>
      </c>
      <c r="I72" s="408">
        <v>12</v>
      </c>
      <c r="J72" s="408">
        <v>35</v>
      </c>
      <c r="K72" s="408">
        <v>0.34300000000000003</v>
      </c>
      <c r="L72" s="408">
        <v>3</v>
      </c>
      <c r="M72" s="408">
        <v>9</v>
      </c>
      <c r="N72" s="408">
        <v>0.33300000000000002</v>
      </c>
      <c r="O72" s="408">
        <v>9</v>
      </c>
      <c r="P72" s="408">
        <v>26</v>
      </c>
      <c r="Q72" s="408">
        <v>0.34599999999999997</v>
      </c>
      <c r="R72" s="408">
        <v>0.38600000000000001</v>
      </c>
      <c r="S72" s="408">
        <v>2</v>
      </c>
      <c r="T72" s="408">
        <v>2</v>
      </c>
      <c r="U72" s="408">
        <v>1</v>
      </c>
      <c r="V72" s="408">
        <v>12</v>
      </c>
      <c r="W72" s="408">
        <v>23</v>
      </c>
      <c r="X72" s="408">
        <v>35</v>
      </c>
      <c r="Y72" s="408">
        <v>8</v>
      </c>
      <c r="Z72" s="408">
        <v>0</v>
      </c>
      <c r="AA72" s="408">
        <v>3</v>
      </c>
      <c r="AB72" s="408">
        <v>6</v>
      </c>
      <c r="AC72" s="408">
        <v>10</v>
      </c>
      <c r="AD72" s="408">
        <v>29</v>
      </c>
    </row>
    <row r="73" spans="1:30">
      <c r="A73">
        <v>60</v>
      </c>
      <c r="B73" s="1" t="s">
        <v>1267</v>
      </c>
      <c r="C73" s="1" t="s">
        <v>38</v>
      </c>
      <c r="D73" s="408">
        <v>25</v>
      </c>
      <c r="E73" s="5" t="s">
        <v>73</v>
      </c>
      <c r="F73" s="408">
        <v>1</v>
      </c>
      <c r="G73" s="408">
        <v>0</v>
      </c>
      <c r="H73" s="408">
        <v>1</v>
      </c>
      <c r="I73" s="408">
        <v>0</v>
      </c>
      <c r="J73" s="408">
        <v>1</v>
      </c>
      <c r="K73" s="408">
        <v>0</v>
      </c>
      <c r="L73" s="408">
        <v>0</v>
      </c>
      <c r="M73" s="408">
        <v>1</v>
      </c>
      <c r="N73" s="408">
        <v>0</v>
      </c>
      <c r="O73" s="408">
        <v>0</v>
      </c>
      <c r="P73" s="408">
        <v>0</v>
      </c>
      <c r="Q73" s="408"/>
      <c r="R73" s="408">
        <v>0</v>
      </c>
      <c r="S73" s="408">
        <v>0</v>
      </c>
      <c r="T73" s="408">
        <v>0</v>
      </c>
      <c r="U73" s="408"/>
      <c r="V73" s="408">
        <v>0</v>
      </c>
      <c r="W73" s="408">
        <v>1</v>
      </c>
      <c r="X73" s="408">
        <v>1</v>
      </c>
      <c r="Y73" s="408">
        <v>0</v>
      </c>
      <c r="Z73" s="408">
        <v>0</v>
      </c>
      <c r="AA73" s="408">
        <v>0</v>
      </c>
      <c r="AB73" s="408">
        <v>0</v>
      </c>
      <c r="AC73" s="408">
        <v>0</v>
      </c>
      <c r="AD73" s="408">
        <v>0</v>
      </c>
    </row>
    <row r="74" spans="1:30">
      <c r="A74">
        <v>61</v>
      </c>
      <c r="B74" s="1" t="s">
        <v>232</v>
      </c>
      <c r="C74" s="1" t="s">
        <v>26</v>
      </c>
      <c r="D74" s="408">
        <v>27</v>
      </c>
      <c r="E74" s="5" t="s">
        <v>357</v>
      </c>
      <c r="F74" s="408">
        <v>46</v>
      </c>
      <c r="G74" s="408">
        <v>46</v>
      </c>
      <c r="H74" s="408">
        <v>1433</v>
      </c>
      <c r="I74" s="408">
        <v>259</v>
      </c>
      <c r="J74" s="408">
        <v>625</v>
      </c>
      <c r="K74" s="408">
        <v>0.41399999999999998</v>
      </c>
      <c r="L74" s="408">
        <v>75</v>
      </c>
      <c r="M74" s="408">
        <v>203</v>
      </c>
      <c r="N74" s="408">
        <v>0.36899999999999999</v>
      </c>
      <c r="O74" s="408">
        <v>184</v>
      </c>
      <c r="P74" s="408">
        <v>422</v>
      </c>
      <c r="Q74" s="408">
        <v>0.436</v>
      </c>
      <c r="R74" s="408">
        <v>0.47399999999999998</v>
      </c>
      <c r="S74" s="408">
        <v>63</v>
      </c>
      <c r="T74" s="408">
        <v>82</v>
      </c>
      <c r="U74" s="408">
        <v>0.76800000000000002</v>
      </c>
      <c r="V74" s="408">
        <v>22</v>
      </c>
      <c r="W74" s="408">
        <v>94</v>
      </c>
      <c r="X74" s="408">
        <v>116</v>
      </c>
      <c r="Y74" s="408">
        <v>94</v>
      </c>
      <c r="Z74" s="408">
        <v>51</v>
      </c>
      <c r="AA74" s="408">
        <v>8</v>
      </c>
      <c r="AB74" s="408">
        <v>101</v>
      </c>
      <c r="AC74" s="408">
        <v>92</v>
      </c>
      <c r="AD74" s="408">
        <v>656</v>
      </c>
    </row>
    <row r="75" spans="1:30">
      <c r="A75">
        <v>61</v>
      </c>
      <c r="B75" s="1" t="s">
        <v>232</v>
      </c>
      <c r="C75" s="1" t="s">
        <v>26</v>
      </c>
      <c r="D75" s="408">
        <v>27</v>
      </c>
      <c r="E75" s="5" t="s">
        <v>157</v>
      </c>
      <c r="F75" s="408">
        <v>40</v>
      </c>
      <c r="G75" s="408">
        <v>40</v>
      </c>
      <c r="H75" s="408">
        <v>1268</v>
      </c>
      <c r="I75" s="408">
        <v>233</v>
      </c>
      <c r="J75" s="408">
        <v>570</v>
      </c>
      <c r="K75" s="408">
        <v>0.40899999999999997</v>
      </c>
      <c r="L75" s="408">
        <v>74</v>
      </c>
      <c r="M75" s="408">
        <v>194</v>
      </c>
      <c r="N75" s="408">
        <v>0.38100000000000001</v>
      </c>
      <c r="O75" s="408">
        <v>159</v>
      </c>
      <c r="P75" s="408">
        <v>376</v>
      </c>
      <c r="Q75" s="408">
        <v>0.42299999999999999</v>
      </c>
      <c r="R75" s="408">
        <v>0.47399999999999998</v>
      </c>
      <c r="S75" s="408">
        <v>61</v>
      </c>
      <c r="T75" s="408">
        <v>80</v>
      </c>
      <c r="U75" s="408">
        <v>0.76300000000000001</v>
      </c>
      <c r="V75" s="408">
        <v>19</v>
      </c>
      <c r="W75" s="408">
        <v>75</v>
      </c>
      <c r="X75" s="408">
        <v>94</v>
      </c>
      <c r="Y75" s="408">
        <v>83</v>
      </c>
      <c r="Z75" s="408">
        <v>46</v>
      </c>
      <c r="AA75" s="408">
        <v>7</v>
      </c>
      <c r="AB75" s="408">
        <v>93</v>
      </c>
      <c r="AC75" s="408">
        <v>80</v>
      </c>
      <c r="AD75" s="408">
        <v>601</v>
      </c>
    </row>
    <row r="76" spans="1:30">
      <c r="A76">
        <v>61</v>
      </c>
      <c r="B76" s="1" t="s">
        <v>232</v>
      </c>
      <c r="C76" s="1" t="s">
        <v>26</v>
      </c>
      <c r="D76" s="408">
        <v>27</v>
      </c>
      <c r="E76" s="5" t="s">
        <v>64</v>
      </c>
      <c r="F76" s="408">
        <v>6</v>
      </c>
      <c r="G76" s="408">
        <v>6</v>
      </c>
      <c r="H76" s="408">
        <v>165</v>
      </c>
      <c r="I76" s="408">
        <v>26</v>
      </c>
      <c r="J76" s="408">
        <v>55</v>
      </c>
      <c r="K76" s="408">
        <v>0.47299999999999998</v>
      </c>
      <c r="L76" s="408">
        <v>1</v>
      </c>
      <c r="M76" s="408">
        <v>9</v>
      </c>
      <c r="N76" s="408">
        <v>0.111</v>
      </c>
      <c r="O76" s="408">
        <v>25</v>
      </c>
      <c r="P76" s="408">
        <v>46</v>
      </c>
      <c r="Q76" s="408">
        <v>0.54300000000000004</v>
      </c>
      <c r="R76" s="408">
        <v>0.48199999999999998</v>
      </c>
      <c r="S76" s="408">
        <v>2</v>
      </c>
      <c r="T76" s="408">
        <v>2</v>
      </c>
      <c r="U76" s="408">
        <v>1</v>
      </c>
      <c r="V76" s="408">
        <v>3</v>
      </c>
      <c r="W76" s="408">
        <v>19</v>
      </c>
      <c r="X76" s="408">
        <v>22</v>
      </c>
      <c r="Y76" s="408">
        <v>11</v>
      </c>
      <c r="Z76" s="408">
        <v>5</v>
      </c>
      <c r="AA76" s="408">
        <v>1</v>
      </c>
      <c r="AB76" s="408">
        <v>8</v>
      </c>
      <c r="AC76" s="408">
        <v>12</v>
      </c>
      <c r="AD76" s="408">
        <v>55</v>
      </c>
    </row>
    <row r="77" spans="1:30">
      <c r="A77">
        <v>62</v>
      </c>
      <c r="B77" s="1" t="s">
        <v>304</v>
      </c>
      <c r="C77" s="1" t="s">
        <v>83</v>
      </c>
      <c r="D77" s="408">
        <v>20</v>
      </c>
      <c r="E77" s="5" t="s">
        <v>305</v>
      </c>
      <c r="F77" s="408">
        <v>9</v>
      </c>
      <c r="G77" s="408">
        <v>0</v>
      </c>
      <c r="H77" s="408">
        <v>29</v>
      </c>
      <c r="I77" s="408">
        <v>3</v>
      </c>
      <c r="J77" s="408">
        <v>11</v>
      </c>
      <c r="K77" s="408">
        <v>0.27300000000000002</v>
      </c>
      <c r="L77" s="408">
        <v>0</v>
      </c>
      <c r="M77" s="408">
        <v>1</v>
      </c>
      <c r="N77" s="408">
        <v>0</v>
      </c>
      <c r="O77" s="408">
        <v>3</v>
      </c>
      <c r="P77" s="408">
        <v>10</v>
      </c>
      <c r="Q77" s="408">
        <v>0.3</v>
      </c>
      <c r="R77" s="408">
        <v>0.27300000000000002</v>
      </c>
      <c r="S77" s="408">
        <v>2</v>
      </c>
      <c r="T77" s="408">
        <v>2</v>
      </c>
      <c r="U77" s="408">
        <v>1</v>
      </c>
      <c r="V77" s="408">
        <v>4</v>
      </c>
      <c r="W77" s="408">
        <v>7</v>
      </c>
      <c r="X77" s="408">
        <v>11</v>
      </c>
      <c r="Y77" s="408">
        <v>1</v>
      </c>
      <c r="Z77" s="408">
        <v>0</v>
      </c>
      <c r="AA77" s="408">
        <v>0</v>
      </c>
      <c r="AB77" s="408">
        <v>0</v>
      </c>
      <c r="AC77" s="408">
        <v>1</v>
      </c>
      <c r="AD77" s="408">
        <v>8</v>
      </c>
    </row>
    <row r="78" spans="1:30">
      <c r="A78">
        <v>63</v>
      </c>
      <c r="B78" s="1" t="s">
        <v>79</v>
      </c>
      <c r="C78" s="1" t="s">
        <v>46</v>
      </c>
      <c r="D78" s="408">
        <v>31</v>
      </c>
      <c r="E78" s="5" t="s">
        <v>357</v>
      </c>
      <c r="F78" s="408">
        <v>62</v>
      </c>
      <c r="G78" s="408">
        <v>8</v>
      </c>
      <c r="H78" s="408">
        <v>913</v>
      </c>
      <c r="I78" s="408">
        <v>109</v>
      </c>
      <c r="J78" s="408">
        <v>236</v>
      </c>
      <c r="K78" s="408">
        <v>0.46200000000000002</v>
      </c>
      <c r="L78" s="408">
        <v>20</v>
      </c>
      <c r="M78" s="408">
        <v>71</v>
      </c>
      <c r="N78" s="408">
        <v>0.28199999999999997</v>
      </c>
      <c r="O78" s="408">
        <v>89</v>
      </c>
      <c r="P78" s="408">
        <v>165</v>
      </c>
      <c r="Q78" s="408">
        <v>0.53900000000000003</v>
      </c>
      <c r="R78" s="408">
        <v>0.504</v>
      </c>
      <c r="S78" s="408">
        <v>54</v>
      </c>
      <c r="T78" s="408">
        <v>72</v>
      </c>
      <c r="U78" s="408">
        <v>0.75</v>
      </c>
      <c r="V78" s="408">
        <v>27</v>
      </c>
      <c r="W78" s="408">
        <v>86</v>
      </c>
      <c r="X78" s="408">
        <v>113</v>
      </c>
      <c r="Y78" s="408">
        <v>51</v>
      </c>
      <c r="Z78" s="408">
        <v>59</v>
      </c>
      <c r="AA78" s="408">
        <v>13</v>
      </c>
      <c r="AB78" s="408">
        <v>44</v>
      </c>
      <c r="AC78" s="408">
        <v>108</v>
      </c>
      <c r="AD78" s="408">
        <v>292</v>
      </c>
    </row>
    <row r="79" spans="1:30">
      <c r="A79">
        <v>63</v>
      </c>
      <c r="B79" s="1" t="s">
        <v>79</v>
      </c>
      <c r="C79" s="1" t="s">
        <v>46</v>
      </c>
      <c r="D79" s="408">
        <v>31</v>
      </c>
      <c r="E79" s="5" t="s">
        <v>78</v>
      </c>
      <c r="F79" s="408">
        <v>54</v>
      </c>
      <c r="G79" s="408">
        <v>2</v>
      </c>
      <c r="H79" s="408">
        <v>694</v>
      </c>
      <c r="I79" s="408">
        <v>78</v>
      </c>
      <c r="J79" s="408">
        <v>172</v>
      </c>
      <c r="K79" s="408">
        <v>0.45300000000000001</v>
      </c>
      <c r="L79" s="408">
        <v>8</v>
      </c>
      <c r="M79" s="408">
        <v>43</v>
      </c>
      <c r="N79" s="408">
        <v>0.186</v>
      </c>
      <c r="O79" s="408">
        <v>70</v>
      </c>
      <c r="P79" s="408">
        <v>129</v>
      </c>
      <c r="Q79" s="408">
        <v>0.54300000000000004</v>
      </c>
      <c r="R79" s="408">
        <v>0.47699999999999998</v>
      </c>
      <c r="S79" s="408">
        <v>34</v>
      </c>
      <c r="T79" s="408">
        <v>51</v>
      </c>
      <c r="U79" s="408">
        <v>0.66700000000000004</v>
      </c>
      <c r="V79" s="408">
        <v>23</v>
      </c>
      <c r="W79" s="408">
        <v>70</v>
      </c>
      <c r="X79" s="408">
        <v>93</v>
      </c>
      <c r="Y79" s="408">
        <v>41</v>
      </c>
      <c r="Z79" s="408">
        <v>41</v>
      </c>
      <c r="AA79" s="408">
        <v>8</v>
      </c>
      <c r="AB79" s="408">
        <v>38</v>
      </c>
      <c r="AC79" s="408">
        <v>83</v>
      </c>
      <c r="AD79" s="408">
        <v>198</v>
      </c>
    </row>
    <row r="80" spans="1:30">
      <c r="A80">
        <v>63</v>
      </c>
      <c r="B80" s="1" t="s">
        <v>79</v>
      </c>
      <c r="C80" s="1" t="s">
        <v>46</v>
      </c>
      <c r="D80" s="408">
        <v>31</v>
      </c>
      <c r="E80" s="5" t="s">
        <v>58</v>
      </c>
      <c r="F80" s="408">
        <v>8</v>
      </c>
      <c r="G80" s="408">
        <v>6</v>
      </c>
      <c r="H80" s="408">
        <v>219</v>
      </c>
      <c r="I80" s="408">
        <v>31</v>
      </c>
      <c r="J80" s="408">
        <v>64</v>
      </c>
      <c r="K80" s="408">
        <v>0.48399999999999999</v>
      </c>
      <c r="L80" s="408">
        <v>12</v>
      </c>
      <c r="M80" s="408">
        <v>28</v>
      </c>
      <c r="N80" s="408">
        <v>0.42899999999999999</v>
      </c>
      <c r="O80" s="408">
        <v>19</v>
      </c>
      <c r="P80" s="408">
        <v>36</v>
      </c>
      <c r="Q80" s="408">
        <v>0.52800000000000002</v>
      </c>
      <c r="R80" s="408">
        <v>0.57799999999999996</v>
      </c>
      <c r="S80" s="408">
        <v>20</v>
      </c>
      <c r="T80" s="408">
        <v>21</v>
      </c>
      <c r="U80" s="408">
        <v>0.95199999999999996</v>
      </c>
      <c r="V80" s="408">
        <v>4</v>
      </c>
      <c r="W80" s="408">
        <v>16</v>
      </c>
      <c r="X80" s="408">
        <v>20</v>
      </c>
      <c r="Y80" s="408">
        <v>10</v>
      </c>
      <c r="Z80" s="408">
        <v>18</v>
      </c>
      <c r="AA80" s="408">
        <v>5</v>
      </c>
      <c r="AB80" s="408">
        <v>6</v>
      </c>
      <c r="AC80" s="408">
        <v>25</v>
      </c>
      <c r="AD80" s="408">
        <v>94</v>
      </c>
    </row>
    <row r="81" spans="1:30">
      <c r="A81">
        <v>64</v>
      </c>
      <c r="B81" s="1" t="s">
        <v>410</v>
      </c>
      <c r="C81" s="1" t="s">
        <v>20</v>
      </c>
      <c r="D81" s="408">
        <v>25</v>
      </c>
      <c r="E81" s="5" t="s">
        <v>41</v>
      </c>
      <c r="F81" s="408">
        <v>46</v>
      </c>
      <c r="G81" s="408">
        <v>20</v>
      </c>
      <c r="H81" s="408">
        <v>1404</v>
      </c>
      <c r="I81" s="408">
        <v>238</v>
      </c>
      <c r="J81" s="408">
        <v>489</v>
      </c>
      <c r="K81" s="408">
        <v>0.48699999999999999</v>
      </c>
      <c r="L81" s="408">
        <v>59</v>
      </c>
      <c r="M81" s="408">
        <v>156</v>
      </c>
      <c r="N81" s="408">
        <v>0.378</v>
      </c>
      <c r="O81" s="408">
        <v>179</v>
      </c>
      <c r="P81" s="408">
        <v>333</v>
      </c>
      <c r="Q81" s="408">
        <v>0.53800000000000003</v>
      </c>
      <c r="R81" s="408">
        <v>0.54700000000000004</v>
      </c>
      <c r="S81" s="408">
        <v>75</v>
      </c>
      <c r="T81" s="408">
        <v>85</v>
      </c>
      <c r="U81" s="408">
        <v>0.88200000000000001</v>
      </c>
      <c r="V81" s="408">
        <v>23</v>
      </c>
      <c r="W81" s="408">
        <v>129</v>
      </c>
      <c r="X81" s="408">
        <v>152</v>
      </c>
      <c r="Y81" s="408">
        <v>149</v>
      </c>
      <c r="Z81" s="408">
        <v>41</v>
      </c>
      <c r="AA81" s="408">
        <v>13</v>
      </c>
      <c r="AB81" s="408">
        <v>65</v>
      </c>
      <c r="AC81" s="408">
        <v>128</v>
      </c>
      <c r="AD81" s="408">
        <v>610</v>
      </c>
    </row>
    <row r="82" spans="1:30">
      <c r="A82">
        <v>65</v>
      </c>
      <c r="B82" s="1" t="s">
        <v>3</v>
      </c>
      <c r="C82" s="1" t="s">
        <v>20</v>
      </c>
      <c r="D82" s="408">
        <v>33</v>
      </c>
      <c r="E82" s="5" t="s">
        <v>56</v>
      </c>
      <c r="F82" s="408">
        <v>29</v>
      </c>
      <c r="G82" s="408">
        <v>1</v>
      </c>
      <c r="H82" s="408">
        <v>160</v>
      </c>
      <c r="I82" s="408">
        <v>22</v>
      </c>
      <c r="J82" s="408">
        <v>51</v>
      </c>
      <c r="K82" s="408">
        <v>0.43099999999999999</v>
      </c>
      <c r="L82" s="408">
        <v>7</v>
      </c>
      <c r="M82" s="408">
        <v>21</v>
      </c>
      <c r="N82" s="408">
        <v>0.33300000000000002</v>
      </c>
      <c r="O82" s="408">
        <v>15</v>
      </c>
      <c r="P82" s="408">
        <v>30</v>
      </c>
      <c r="Q82" s="408">
        <v>0.5</v>
      </c>
      <c r="R82" s="408">
        <v>0.5</v>
      </c>
      <c r="S82" s="408">
        <v>4</v>
      </c>
      <c r="T82" s="408">
        <v>6</v>
      </c>
      <c r="U82" s="408">
        <v>0.66700000000000004</v>
      </c>
      <c r="V82" s="408">
        <v>5</v>
      </c>
      <c r="W82" s="408">
        <v>8</v>
      </c>
      <c r="X82" s="408">
        <v>13</v>
      </c>
      <c r="Y82" s="408">
        <v>18</v>
      </c>
      <c r="Z82" s="408">
        <v>6</v>
      </c>
      <c r="AA82" s="408">
        <v>0</v>
      </c>
      <c r="AB82" s="408">
        <v>9</v>
      </c>
      <c r="AC82" s="408">
        <v>19</v>
      </c>
      <c r="AD82" s="408">
        <v>55</v>
      </c>
    </row>
    <row r="83" spans="1:30">
      <c r="A83">
        <v>66</v>
      </c>
      <c r="B83" s="1" t="s">
        <v>457</v>
      </c>
      <c r="C83" s="1" t="s">
        <v>46</v>
      </c>
      <c r="D83" s="408">
        <v>22</v>
      </c>
      <c r="E83" s="5" t="s">
        <v>128</v>
      </c>
      <c r="F83" s="408">
        <v>70</v>
      </c>
      <c r="G83" s="408">
        <v>62</v>
      </c>
      <c r="H83" s="408">
        <v>2019</v>
      </c>
      <c r="I83" s="408">
        <v>273</v>
      </c>
      <c r="J83" s="408">
        <v>621</v>
      </c>
      <c r="K83" s="408">
        <v>0.44</v>
      </c>
      <c r="L83" s="408">
        <v>79</v>
      </c>
      <c r="M83" s="408">
        <v>212</v>
      </c>
      <c r="N83" s="408">
        <v>0.373</v>
      </c>
      <c r="O83" s="408">
        <v>194</v>
      </c>
      <c r="P83" s="408">
        <v>409</v>
      </c>
      <c r="Q83" s="408">
        <v>0.47399999999999998</v>
      </c>
      <c r="R83" s="408">
        <v>0.503</v>
      </c>
      <c r="S83" s="408">
        <v>89</v>
      </c>
      <c r="T83" s="408">
        <v>116</v>
      </c>
      <c r="U83" s="408">
        <v>0.76700000000000002</v>
      </c>
      <c r="V83" s="408">
        <v>39</v>
      </c>
      <c r="W83" s="408">
        <v>175</v>
      </c>
      <c r="X83" s="408">
        <v>214</v>
      </c>
      <c r="Y83" s="408">
        <v>102</v>
      </c>
      <c r="Z83" s="408">
        <v>58</v>
      </c>
      <c r="AA83" s="408">
        <v>15</v>
      </c>
      <c r="AB83" s="408">
        <v>97</v>
      </c>
      <c r="AC83" s="408">
        <v>214</v>
      </c>
      <c r="AD83" s="408">
        <v>714</v>
      </c>
    </row>
    <row r="84" spans="1:30">
      <c r="A84">
        <v>67</v>
      </c>
      <c r="B84" s="1" t="s">
        <v>594</v>
      </c>
      <c r="C84" s="1" t="s">
        <v>20</v>
      </c>
      <c r="D84" s="408">
        <v>33</v>
      </c>
      <c r="E84" s="5" t="s">
        <v>92</v>
      </c>
      <c r="F84" s="408">
        <v>20</v>
      </c>
      <c r="G84" s="408">
        <v>0</v>
      </c>
      <c r="H84" s="408">
        <v>115</v>
      </c>
      <c r="I84" s="408">
        <v>19</v>
      </c>
      <c r="J84" s="408">
        <v>58</v>
      </c>
      <c r="K84" s="408">
        <v>0.32800000000000001</v>
      </c>
      <c r="L84" s="408">
        <v>11</v>
      </c>
      <c r="M84" s="408">
        <v>40</v>
      </c>
      <c r="N84" s="408">
        <v>0.27500000000000002</v>
      </c>
      <c r="O84" s="408">
        <v>8</v>
      </c>
      <c r="P84" s="408">
        <v>18</v>
      </c>
      <c r="Q84" s="408">
        <v>0.44400000000000001</v>
      </c>
      <c r="R84" s="408">
        <v>0.42199999999999999</v>
      </c>
      <c r="S84" s="408">
        <v>1</v>
      </c>
      <c r="T84" s="408">
        <v>2</v>
      </c>
      <c r="U84" s="408">
        <v>0.5</v>
      </c>
      <c r="V84" s="408">
        <v>0</v>
      </c>
      <c r="W84" s="408">
        <v>7</v>
      </c>
      <c r="X84" s="408">
        <v>7</v>
      </c>
      <c r="Y84" s="408">
        <v>11</v>
      </c>
      <c r="Z84" s="408">
        <v>4</v>
      </c>
      <c r="AA84" s="408">
        <v>0</v>
      </c>
      <c r="AB84" s="408">
        <v>9</v>
      </c>
      <c r="AC84" s="408">
        <v>6</v>
      </c>
      <c r="AD84" s="408">
        <v>50</v>
      </c>
    </row>
    <row r="85" spans="1:30">
      <c r="A85">
        <v>68</v>
      </c>
      <c r="B85" s="1" t="s">
        <v>369</v>
      </c>
      <c r="C85" s="1" t="s">
        <v>46</v>
      </c>
      <c r="D85" s="408">
        <v>21</v>
      </c>
      <c r="E85" s="5" t="s">
        <v>87</v>
      </c>
      <c r="F85" s="408">
        <v>61</v>
      </c>
      <c r="G85" s="408">
        <v>61</v>
      </c>
      <c r="H85" s="408">
        <v>1887</v>
      </c>
      <c r="I85" s="408">
        <v>319</v>
      </c>
      <c r="J85" s="408">
        <v>693</v>
      </c>
      <c r="K85" s="408">
        <v>0.46</v>
      </c>
      <c r="L85" s="408">
        <v>101</v>
      </c>
      <c r="M85" s="408">
        <v>271</v>
      </c>
      <c r="N85" s="408">
        <v>0.373</v>
      </c>
      <c r="O85" s="408">
        <v>218</v>
      </c>
      <c r="P85" s="408">
        <v>422</v>
      </c>
      <c r="Q85" s="408">
        <v>0.51700000000000002</v>
      </c>
      <c r="R85" s="408">
        <v>0.53300000000000003</v>
      </c>
      <c r="S85" s="408">
        <v>123</v>
      </c>
      <c r="T85" s="408">
        <v>195</v>
      </c>
      <c r="U85" s="408">
        <v>0.63100000000000001</v>
      </c>
      <c r="V85" s="408">
        <v>61</v>
      </c>
      <c r="W85" s="408">
        <v>257</v>
      </c>
      <c r="X85" s="408">
        <v>318</v>
      </c>
      <c r="Y85" s="408">
        <v>99</v>
      </c>
      <c r="Z85" s="408">
        <v>57</v>
      </c>
      <c r="AA85" s="408">
        <v>22</v>
      </c>
      <c r="AB85" s="408">
        <v>99</v>
      </c>
      <c r="AC85" s="408">
        <v>163</v>
      </c>
      <c r="AD85" s="408">
        <v>862</v>
      </c>
    </row>
    <row r="86" spans="1:30">
      <c r="A86">
        <v>69</v>
      </c>
      <c r="B86" s="1" t="s">
        <v>643</v>
      </c>
      <c r="C86" s="1" t="s">
        <v>20</v>
      </c>
      <c r="D86" s="408">
        <v>27</v>
      </c>
      <c r="E86" s="5" t="s">
        <v>47</v>
      </c>
      <c r="F86" s="408">
        <v>12</v>
      </c>
      <c r="G86" s="408">
        <v>0</v>
      </c>
      <c r="H86" s="408">
        <v>95</v>
      </c>
      <c r="I86" s="408">
        <v>7</v>
      </c>
      <c r="J86" s="408">
        <v>21</v>
      </c>
      <c r="K86" s="408">
        <v>0.33300000000000002</v>
      </c>
      <c r="L86" s="408">
        <v>0</v>
      </c>
      <c r="M86" s="408">
        <v>7</v>
      </c>
      <c r="N86" s="408">
        <v>0</v>
      </c>
      <c r="O86" s="408">
        <v>7</v>
      </c>
      <c r="P86" s="408">
        <v>14</v>
      </c>
      <c r="Q86" s="408">
        <v>0.5</v>
      </c>
      <c r="R86" s="408">
        <v>0.33300000000000002</v>
      </c>
      <c r="S86" s="408">
        <v>0</v>
      </c>
      <c r="T86" s="408">
        <v>0</v>
      </c>
      <c r="U86" s="408"/>
      <c r="V86" s="408">
        <v>0</v>
      </c>
      <c r="W86" s="408">
        <v>10</v>
      </c>
      <c r="X86" s="408">
        <v>10</v>
      </c>
      <c r="Y86" s="408">
        <v>12</v>
      </c>
      <c r="Z86" s="408">
        <v>3</v>
      </c>
      <c r="AA86" s="408">
        <v>0</v>
      </c>
      <c r="AB86" s="408">
        <v>1</v>
      </c>
      <c r="AC86" s="408">
        <v>5</v>
      </c>
      <c r="AD86" s="408">
        <v>14</v>
      </c>
    </row>
    <row r="87" spans="1:30">
      <c r="A87">
        <v>70</v>
      </c>
      <c r="B87" s="1" t="s">
        <v>836</v>
      </c>
      <c r="C87" s="1" t="s">
        <v>26</v>
      </c>
      <c r="D87" s="408">
        <v>26</v>
      </c>
      <c r="E87" s="5" t="s">
        <v>92</v>
      </c>
      <c r="F87" s="408">
        <v>4</v>
      </c>
      <c r="G87" s="408">
        <v>0</v>
      </c>
      <c r="H87" s="408">
        <v>31</v>
      </c>
      <c r="I87" s="408">
        <v>2</v>
      </c>
      <c r="J87" s="408">
        <v>7</v>
      </c>
      <c r="K87" s="408">
        <v>0.28599999999999998</v>
      </c>
      <c r="L87" s="408">
        <v>1</v>
      </c>
      <c r="M87" s="408">
        <v>5</v>
      </c>
      <c r="N87" s="408">
        <v>0.2</v>
      </c>
      <c r="O87" s="408">
        <v>1</v>
      </c>
      <c r="P87" s="408">
        <v>2</v>
      </c>
      <c r="Q87" s="408">
        <v>0.5</v>
      </c>
      <c r="R87" s="408">
        <v>0.35699999999999998</v>
      </c>
      <c r="S87" s="408">
        <v>0</v>
      </c>
      <c r="T87" s="408">
        <v>0</v>
      </c>
      <c r="U87" s="408"/>
      <c r="V87" s="408">
        <v>1</v>
      </c>
      <c r="W87" s="408">
        <v>4</v>
      </c>
      <c r="X87" s="408">
        <v>5</v>
      </c>
      <c r="Y87" s="408">
        <v>2</v>
      </c>
      <c r="Z87" s="408">
        <v>0</v>
      </c>
      <c r="AA87" s="408">
        <v>0</v>
      </c>
      <c r="AB87" s="408">
        <v>2</v>
      </c>
      <c r="AC87" s="408">
        <v>6</v>
      </c>
      <c r="AD87" s="408">
        <v>5</v>
      </c>
    </row>
    <row r="88" spans="1:30">
      <c r="A88">
        <v>71</v>
      </c>
      <c r="B88" s="1" t="s">
        <v>476</v>
      </c>
      <c r="C88" s="1" t="s">
        <v>26</v>
      </c>
      <c r="D88" s="408">
        <v>22</v>
      </c>
      <c r="E88" s="5" t="s">
        <v>41</v>
      </c>
      <c r="F88" s="408">
        <v>45</v>
      </c>
      <c r="G88" s="408">
        <v>3</v>
      </c>
      <c r="H88" s="408">
        <v>672</v>
      </c>
      <c r="I88" s="408">
        <v>74</v>
      </c>
      <c r="J88" s="408">
        <v>177</v>
      </c>
      <c r="K88" s="408">
        <v>0.41799999999999998</v>
      </c>
      <c r="L88" s="408">
        <v>29</v>
      </c>
      <c r="M88" s="408">
        <v>77</v>
      </c>
      <c r="N88" s="408">
        <v>0.377</v>
      </c>
      <c r="O88" s="408">
        <v>45</v>
      </c>
      <c r="P88" s="408">
        <v>100</v>
      </c>
      <c r="Q88" s="408">
        <v>0.45</v>
      </c>
      <c r="R88" s="408">
        <v>0.5</v>
      </c>
      <c r="S88" s="408">
        <v>19</v>
      </c>
      <c r="T88" s="408">
        <v>22</v>
      </c>
      <c r="U88" s="408">
        <v>0.86399999999999999</v>
      </c>
      <c r="V88" s="408">
        <v>23</v>
      </c>
      <c r="W88" s="408">
        <v>105</v>
      </c>
      <c r="X88" s="408">
        <v>128</v>
      </c>
      <c r="Y88" s="408">
        <v>20</v>
      </c>
      <c r="Z88" s="408">
        <v>31</v>
      </c>
      <c r="AA88" s="408">
        <v>11</v>
      </c>
      <c r="AB88" s="408">
        <v>22</v>
      </c>
      <c r="AC88" s="408">
        <v>64</v>
      </c>
      <c r="AD88" s="408">
        <v>196</v>
      </c>
    </row>
    <row r="89" spans="1:30">
      <c r="A89">
        <v>72</v>
      </c>
      <c r="B89" s="1" t="s">
        <v>647</v>
      </c>
      <c r="C89" s="1" t="s">
        <v>46</v>
      </c>
      <c r="D89" s="408">
        <v>24</v>
      </c>
      <c r="E89" s="5" t="s">
        <v>149</v>
      </c>
      <c r="F89" s="408">
        <v>4</v>
      </c>
      <c r="G89" s="408">
        <v>0</v>
      </c>
      <c r="H89" s="408">
        <v>10</v>
      </c>
      <c r="I89" s="408">
        <v>0</v>
      </c>
      <c r="J89" s="408">
        <v>2</v>
      </c>
      <c r="K89" s="408">
        <v>0</v>
      </c>
      <c r="L89" s="408">
        <v>0</v>
      </c>
      <c r="M89" s="408">
        <v>2</v>
      </c>
      <c r="N89" s="408">
        <v>0</v>
      </c>
      <c r="O89" s="408">
        <v>0</v>
      </c>
      <c r="P89" s="408">
        <v>0</v>
      </c>
      <c r="Q89" s="408"/>
      <c r="R89" s="408">
        <v>0</v>
      </c>
      <c r="S89" s="408">
        <v>0</v>
      </c>
      <c r="T89" s="408">
        <v>0</v>
      </c>
      <c r="U89" s="408"/>
      <c r="V89" s="408">
        <v>0</v>
      </c>
      <c r="W89" s="408">
        <v>3</v>
      </c>
      <c r="X89" s="408">
        <v>3</v>
      </c>
      <c r="Y89" s="408">
        <v>0</v>
      </c>
      <c r="Z89" s="408">
        <v>0</v>
      </c>
      <c r="AA89" s="408">
        <v>0</v>
      </c>
      <c r="AB89" s="408">
        <v>0</v>
      </c>
      <c r="AC89" s="408">
        <v>0</v>
      </c>
      <c r="AD89" s="408">
        <v>0</v>
      </c>
    </row>
    <row r="90" spans="1:30">
      <c r="A90">
        <v>73</v>
      </c>
      <c r="B90" s="1" t="s">
        <v>603</v>
      </c>
      <c r="C90" s="1" t="s">
        <v>83</v>
      </c>
      <c r="D90" s="408">
        <v>20</v>
      </c>
      <c r="E90" s="5" t="s">
        <v>78</v>
      </c>
      <c r="F90" s="408">
        <v>10</v>
      </c>
      <c r="G90" s="408">
        <v>0</v>
      </c>
      <c r="H90" s="408">
        <v>33</v>
      </c>
      <c r="I90" s="408">
        <v>3</v>
      </c>
      <c r="J90" s="408">
        <v>9</v>
      </c>
      <c r="K90" s="408">
        <v>0.33300000000000002</v>
      </c>
      <c r="L90" s="408">
        <v>1</v>
      </c>
      <c r="M90" s="408">
        <v>5</v>
      </c>
      <c r="N90" s="408">
        <v>0.2</v>
      </c>
      <c r="O90" s="408">
        <v>2</v>
      </c>
      <c r="P90" s="408">
        <v>4</v>
      </c>
      <c r="Q90" s="408">
        <v>0.5</v>
      </c>
      <c r="R90" s="408">
        <v>0.38900000000000001</v>
      </c>
      <c r="S90" s="408">
        <v>4</v>
      </c>
      <c r="T90" s="408">
        <v>6</v>
      </c>
      <c r="U90" s="408">
        <v>0.66700000000000004</v>
      </c>
      <c r="V90" s="408">
        <v>1</v>
      </c>
      <c r="W90" s="408">
        <v>5</v>
      </c>
      <c r="X90" s="408">
        <v>6</v>
      </c>
      <c r="Y90" s="408">
        <v>2</v>
      </c>
      <c r="Z90" s="408">
        <v>0</v>
      </c>
      <c r="AA90" s="408">
        <v>0</v>
      </c>
      <c r="AB90" s="408">
        <v>1</v>
      </c>
      <c r="AC90" s="408">
        <v>2</v>
      </c>
      <c r="AD90" s="408">
        <v>11</v>
      </c>
    </row>
    <row r="91" spans="1:30">
      <c r="A91">
        <v>74</v>
      </c>
      <c r="B91" s="1" t="s">
        <v>428</v>
      </c>
      <c r="C91" s="1" t="s">
        <v>46</v>
      </c>
      <c r="D91" s="408">
        <v>26</v>
      </c>
      <c r="E91" s="5" t="s">
        <v>157</v>
      </c>
      <c r="F91" s="408">
        <v>54</v>
      </c>
      <c r="G91" s="408">
        <v>44</v>
      </c>
      <c r="H91" s="408">
        <v>1484</v>
      </c>
      <c r="I91" s="408">
        <v>227</v>
      </c>
      <c r="J91" s="408">
        <v>461</v>
      </c>
      <c r="K91" s="408">
        <v>0.49199999999999999</v>
      </c>
      <c r="L91" s="408">
        <v>106</v>
      </c>
      <c r="M91" s="408">
        <v>241</v>
      </c>
      <c r="N91" s="408">
        <v>0.44</v>
      </c>
      <c r="O91" s="408">
        <v>121</v>
      </c>
      <c r="P91" s="408">
        <v>220</v>
      </c>
      <c r="Q91" s="408">
        <v>0.55000000000000004</v>
      </c>
      <c r="R91" s="408">
        <v>0.60699999999999998</v>
      </c>
      <c r="S91" s="408">
        <v>34</v>
      </c>
      <c r="T91" s="408">
        <v>44</v>
      </c>
      <c r="U91" s="408">
        <v>0.77300000000000002</v>
      </c>
      <c r="V91" s="408">
        <v>22</v>
      </c>
      <c r="W91" s="408">
        <v>105</v>
      </c>
      <c r="X91" s="408">
        <v>127</v>
      </c>
      <c r="Y91" s="408">
        <v>80</v>
      </c>
      <c r="Z91" s="408">
        <v>40</v>
      </c>
      <c r="AA91" s="408">
        <v>11</v>
      </c>
      <c r="AB91" s="408">
        <v>38</v>
      </c>
      <c r="AC91" s="408">
        <v>61</v>
      </c>
      <c r="AD91" s="408">
        <v>594</v>
      </c>
    </row>
    <row r="92" spans="1:30">
      <c r="A92">
        <v>75</v>
      </c>
      <c r="B92" s="1" t="s">
        <v>22</v>
      </c>
      <c r="C92" s="1" t="s">
        <v>20</v>
      </c>
      <c r="D92" s="408">
        <v>25</v>
      </c>
      <c r="E92" s="5" t="s">
        <v>21</v>
      </c>
      <c r="F92" s="408">
        <v>25</v>
      </c>
      <c r="G92" s="408">
        <v>0</v>
      </c>
      <c r="H92" s="408">
        <v>425</v>
      </c>
      <c r="I92" s="408">
        <v>112</v>
      </c>
      <c r="J92" s="408">
        <v>219</v>
      </c>
      <c r="K92" s="408">
        <v>0.51100000000000001</v>
      </c>
      <c r="L92" s="408">
        <v>20</v>
      </c>
      <c r="M92" s="408">
        <v>53</v>
      </c>
      <c r="N92" s="408">
        <v>0.377</v>
      </c>
      <c r="O92" s="408">
        <v>92</v>
      </c>
      <c r="P92" s="408">
        <v>166</v>
      </c>
      <c r="Q92" s="408">
        <v>0.55400000000000005</v>
      </c>
      <c r="R92" s="408">
        <v>0.55700000000000005</v>
      </c>
      <c r="S92" s="408">
        <v>18</v>
      </c>
      <c r="T92" s="408">
        <v>31</v>
      </c>
      <c r="U92" s="408">
        <v>0.58099999999999996</v>
      </c>
      <c r="V92" s="408">
        <v>7</v>
      </c>
      <c r="W92" s="408">
        <v>32</v>
      </c>
      <c r="X92" s="408">
        <v>39</v>
      </c>
      <c r="Y92" s="408">
        <v>90</v>
      </c>
      <c r="Z92" s="408">
        <v>11</v>
      </c>
      <c r="AA92" s="408">
        <v>4</v>
      </c>
      <c r="AB92" s="408">
        <v>20</v>
      </c>
      <c r="AC92" s="408">
        <v>22</v>
      </c>
      <c r="AD92" s="408">
        <v>262</v>
      </c>
    </row>
    <row r="93" spans="1:30">
      <c r="A93">
        <v>76</v>
      </c>
      <c r="B93" s="1" t="s">
        <v>445</v>
      </c>
      <c r="C93" s="1" t="s">
        <v>26</v>
      </c>
      <c r="D93" s="408">
        <v>26</v>
      </c>
      <c r="E93" s="5" t="s">
        <v>305</v>
      </c>
      <c r="F93" s="408">
        <v>59</v>
      </c>
      <c r="G93" s="408">
        <v>1</v>
      </c>
      <c r="H93" s="408">
        <v>1008</v>
      </c>
      <c r="I93" s="408">
        <v>163</v>
      </c>
      <c r="J93" s="408">
        <v>397</v>
      </c>
      <c r="K93" s="408">
        <v>0.41099999999999998</v>
      </c>
      <c r="L93" s="408">
        <v>43</v>
      </c>
      <c r="M93" s="408">
        <v>133</v>
      </c>
      <c r="N93" s="408">
        <v>0.32300000000000001</v>
      </c>
      <c r="O93" s="408">
        <v>120</v>
      </c>
      <c r="P93" s="408">
        <v>264</v>
      </c>
      <c r="Q93" s="408">
        <v>0.45500000000000002</v>
      </c>
      <c r="R93" s="408">
        <v>0.46500000000000002</v>
      </c>
      <c r="S93" s="408">
        <v>105</v>
      </c>
      <c r="T93" s="408">
        <v>122</v>
      </c>
      <c r="U93" s="408">
        <v>0.86099999999999999</v>
      </c>
      <c r="V93" s="408">
        <v>18</v>
      </c>
      <c r="W93" s="408">
        <v>164</v>
      </c>
      <c r="X93" s="408">
        <v>182</v>
      </c>
      <c r="Y93" s="408">
        <v>63</v>
      </c>
      <c r="Z93" s="408">
        <v>37</v>
      </c>
      <c r="AA93" s="408">
        <v>8</v>
      </c>
      <c r="AB93" s="408">
        <v>56</v>
      </c>
      <c r="AC93" s="408">
        <v>71</v>
      </c>
      <c r="AD93" s="408">
        <v>474</v>
      </c>
    </row>
    <row r="94" spans="1:30">
      <c r="A94">
        <v>77</v>
      </c>
      <c r="B94" s="1" t="s">
        <v>13</v>
      </c>
      <c r="C94" s="1" t="s">
        <v>26</v>
      </c>
      <c r="D94" s="408">
        <v>28</v>
      </c>
      <c r="E94" s="5" t="s">
        <v>56</v>
      </c>
      <c r="F94" s="408">
        <v>56</v>
      </c>
      <c r="G94" s="408">
        <v>56</v>
      </c>
      <c r="H94" s="408">
        <v>2077</v>
      </c>
      <c r="I94" s="408">
        <v>417</v>
      </c>
      <c r="J94" s="408">
        <v>882</v>
      </c>
      <c r="K94" s="408">
        <v>0.47299999999999998</v>
      </c>
      <c r="L94" s="408">
        <v>69</v>
      </c>
      <c r="M94" s="408">
        <v>194</v>
      </c>
      <c r="N94" s="408">
        <v>0.35599999999999998</v>
      </c>
      <c r="O94" s="408">
        <v>348</v>
      </c>
      <c r="P94" s="408">
        <v>688</v>
      </c>
      <c r="Q94" s="408">
        <v>0.50600000000000001</v>
      </c>
      <c r="R94" s="408">
        <v>0.51200000000000001</v>
      </c>
      <c r="S94" s="408">
        <v>340</v>
      </c>
      <c r="T94" s="408">
        <v>393</v>
      </c>
      <c r="U94" s="408">
        <v>0.86499999999999999</v>
      </c>
      <c r="V94" s="408">
        <v>75</v>
      </c>
      <c r="W94" s="408">
        <v>230</v>
      </c>
      <c r="X94" s="408">
        <v>305</v>
      </c>
      <c r="Y94" s="408">
        <v>279</v>
      </c>
      <c r="Z94" s="408">
        <v>108</v>
      </c>
      <c r="AA94" s="408">
        <v>23</v>
      </c>
      <c r="AB94" s="408">
        <v>103</v>
      </c>
      <c r="AC94" s="408">
        <v>74</v>
      </c>
      <c r="AD94" s="408">
        <v>1243</v>
      </c>
    </row>
    <row r="95" spans="1:30">
      <c r="A95">
        <v>78</v>
      </c>
      <c r="B95" s="1" t="s">
        <v>193</v>
      </c>
      <c r="C95" s="1" t="s">
        <v>20</v>
      </c>
      <c r="D95" s="408">
        <v>28</v>
      </c>
      <c r="E95" s="5" t="s">
        <v>157</v>
      </c>
      <c r="F95" s="408">
        <v>27</v>
      </c>
      <c r="G95" s="408">
        <v>0</v>
      </c>
      <c r="H95" s="408">
        <v>422</v>
      </c>
      <c r="I95" s="408">
        <v>82</v>
      </c>
      <c r="J95" s="408">
        <v>196</v>
      </c>
      <c r="K95" s="408">
        <v>0.41799999999999998</v>
      </c>
      <c r="L95" s="408">
        <v>15</v>
      </c>
      <c r="M95" s="408">
        <v>45</v>
      </c>
      <c r="N95" s="408">
        <v>0.33300000000000002</v>
      </c>
      <c r="O95" s="408">
        <v>67</v>
      </c>
      <c r="P95" s="408">
        <v>151</v>
      </c>
      <c r="Q95" s="408">
        <v>0.44400000000000001</v>
      </c>
      <c r="R95" s="408">
        <v>0.45700000000000002</v>
      </c>
      <c r="S95" s="408">
        <v>36</v>
      </c>
      <c r="T95" s="408">
        <v>41</v>
      </c>
      <c r="U95" s="408">
        <v>0.878</v>
      </c>
      <c r="V95" s="408">
        <v>12</v>
      </c>
      <c r="W95" s="408">
        <v>29</v>
      </c>
      <c r="X95" s="408">
        <v>41</v>
      </c>
      <c r="Y95" s="408">
        <v>59</v>
      </c>
      <c r="Z95" s="408">
        <v>19</v>
      </c>
      <c r="AA95" s="408">
        <v>2</v>
      </c>
      <c r="AB95" s="408">
        <v>39</v>
      </c>
      <c r="AC95" s="408">
        <v>39</v>
      </c>
      <c r="AD95" s="408">
        <v>215</v>
      </c>
    </row>
    <row r="96" spans="1:30">
      <c r="A96">
        <v>79</v>
      </c>
      <c r="B96" s="1" t="s">
        <v>48</v>
      </c>
      <c r="C96" s="1" t="s">
        <v>46</v>
      </c>
      <c r="D96" s="408">
        <v>22</v>
      </c>
      <c r="E96" s="5" t="s">
        <v>357</v>
      </c>
      <c r="F96" s="408">
        <v>7</v>
      </c>
      <c r="G96" s="408">
        <v>0</v>
      </c>
      <c r="H96" s="408">
        <v>54</v>
      </c>
      <c r="I96" s="408">
        <v>4</v>
      </c>
      <c r="J96" s="408">
        <v>17</v>
      </c>
      <c r="K96" s="408">
        <v>0.23499999999999999</v>
      </c>
      <c r="L96" s="408">
        <v>0</v>
      </c>
      <c r="M96" s="408">
        <v>9</v>
      </c>
      <c r="N96" s="408">
        <v>0</v>
      </c>
      <c r="O96" s="408">
        <v>4</v>
      </c>
      <c r="P96" s="408">
        <v>8</v>
      </c>
      <c r="Q96" s="408">
        <v>0.5</v>
      </c>
      <c r="R96" s="408">
        <v>0.23499999999999999</v>
      </c>
      <c r="S96" s="408">
        <v>3</v>
      </c>
      <c r="T96" s="408">
        <v>4</v>
      </c>
      <c r="U96" s="408">
        <v>0.75</v>
      </c>
      <c r="V96" s="408">
        <v>5</v>
      </c>
      <c r="W96" s="408">
        <v>6</v>
      </c>
      <c r="X96" s="408">
        <v>11</v>
      </c>
      <c r="Y96" s="408">
        <v>4</v>
      </c>
      <c r="Z96" s="408">
        <v>3</v>
      </c>
      <c r="AA96" s="408">
        <v>1</v>
      </c>
      <c r="AB96" s="408">
        <v>1</v>
      </c>
      <c r="AC96" s="408">
        <v>7</v>
      </c>
      <c r="AD96" s="408">
        <v>11</v>
      </c>
    </row>
    <row r="97" spans="1:30">
      <c r="A97">
        <v>79</v>
      </c>
      <c r="B97" s="1" t="s">
        <v>48</v>
      </c>
      <c r="C97" s="1" t="s">
        <v>46</v>
      </c>
      <c r="D97" s="408">
        <v>22</v>
      </c>
      <c r="E97" s="5" t="s">
        <v>47</v>
      </c>
      <c r="F97" s="408">
        <v>2</v>
      </c>
      <c r="G97" s="408">
        <v>0</v>
      </c>
      <c r="H97" s="408">
        <v>7</v>
      </c>
      <c r="I97" s="408">
        <v>0</v>
      </c>
      <c r="J97" s="408">
        <v>2</v>
      </c>
      <c r="K97" s="408">
        <v>0</v>
      </c>
      <c r="L97" s="408">
        <v>0</v>
      </c>
      <c r="M97" s="408">
        <v>2</v>
      </c>
      <c r="N97" s="408">
        <v>0</v>
      </c>
      <c r="O97" s="408">
        <v>0</v>
      </c>
      <c r="P97" s="408">
        <v>0</v>
      </c>
      <c r="Q97" s="408"/>
      <c r="R97" s="408">
        <v>0</v>
      </c>
      <c r="S97" s="408">
        <v>0</v>
      </c>
      <c r="T97" s="408">
        <v>0</v>
      </c>
      <c r="U97" s="408"/>
      <c r="V97" s="408">
        <v>0</v>
      </c>
      <c r="W97" s="408">
        <v>1</v>
      </c>
      <c r="X97" s="408">
        <v>1</v>
      </c>
      <c r="Y97" s="408">
        <v>1</v>
      </c>
      <c r="Z97" s="408">
        <v>1</v>
      </c>
      <c r="AA97" s="408">
        <v>0</v>
      </c>
      <c r="AB97" s="408">
        <v>0</v>
      </c>
      <c r="AC97" s="408">
        <v>1</v>
      </c>
      <c r="AD97" s="408">
        <v>0</v>
      </c>
    </row>
    <row r="98" spans="1:30">
      <c r="A98">
        <v>79</v>
      </c>
      <c r="B98" s="1" t="s">
        <v>48</v>
      </c>
      <c r="C98" s="1" t="s">
        <v>46</v>
      </c>
      <c r="D98" s="408">
        <v>22</v>
      </c>
      <c r="E98" s="5" t="s">
        <v>100</v>
      </c>
      <c r="F98" s="408">
        <v>5</v>
      </c>
      <c r="G98" s="408">
        <v>0</v>
      </c>
      <c r="H98" s="408">
        <v>47</v>
      </c>
      <c r="I98" s="408">
        <v>4</v>
      </c>
      <c r="J98" s="408">
        <v>15</v>
      </c>
      <c r="K98" s="408">
        <v>0.26700000000000002</v>
      </c>
      <c r="L98" s="408">
        <v>0</v>
      </c>
      <c r="M98" s="408">
        <v>7</v>
      </c>
      <c r="N98" s="408">
        <v>0</v>
      </c>
      <c r="O98" s="408">
        <v>4</v>
      </c>
      <c r="P98" s="408">
        <v>8</v>
      </c>
      <c r="Q98" s="408">
        <v>0.5</v>
      </c>
      <c r="R98" s="408">
        <v>0.26700000000000002</v>
      </c>
      <c r="S98" s="408">
        <v>3</v>
      </c>
      <c r="T98" s="408">
        <v>4</v>
      </c>
      <c r="U98" s="408">
        <v>0.75</v>
      </c>
      <c r="V98" s="408">
        <v>5</v>
      </c>
      <c r="W98" s="408">
        <v>5</v>
      </c>
      <c r="X98" s="408">
        <v>10</v>
      </c>
      <c r="Y98" s="408">
        <v>3</v>
      </c>
      <c r="Z98" s="408">
        <v>2</v>
      </c>
      <c r="AA98" s="408">
        <v>1</v>
      </c>
      <c r="AB98" s="408">
        <v>1</v>
      </c>
      <c r="AC98" s="408">
        <v>6</v>
      </c>
      <c r="AD98" s="408">
        <v>11</v>
      </c>
    </row>
    <row r="99" spans="1:30">
      <c r="A99">
        <v>80</v>
      </c>
      <c r="B99" s="1" t="s">
        <v>108</v>
      </c>
      <c r="C99" s="1" t="s">
        <v>20</v>
      </c>
      <c r="D99" s="408">
        <v>36</v>
      </c>
      <c r="E99" s="5" t="s">
        <v>102</v>
      </c>
      <c r="F99" s="408">
        <v>47</v>
      </c>
      <c r="G99" s="408">
        <v>26</v>
      </c>
      <c r="H99" s="408">
        <v>724</v>
      </c>
      <c r="I99" s="408">
        <v>66</v>
      </c>
      <c r="J99" s="408">
        <v>134</v>
      </c>
      <c r="K99" s="408">
        <v>0.49299999999999999</v>
      </c>
      <c r="L99" s="408">
        <v>32</v>
      </c>
      <c r="M99" s="408">
        <v>72</v>
      </c>
      <c r="N99" s="408">
        <v>0.44400000000000001</v>
      </c>
      <c r="O99" s="408">
        <v>34</v>
      </c>
      <c r="P99" s="408">
        <v>62</v>
      </c>
      <c r="Q99" s="408">
        <v>0.54800000000000004</v>
      </c>
      <c r="R99" s="408">
        <v>0.61199999999999999</v>
      </c>
      <c r="S99" s="408">
        <v>20</v>
      </c>
      <c r="T99" s="408">
        <v>26</v>
      </c>
      <c r="U99" s="408">
        <v>0.76900000000000002</v>
      </c>
      <c r="V99" s="408">
        <v>10</v>
      </c>
      <c r="W99" s="408">
        <v>59</v>
      </c>
      <c r="X99" s="408">
        <v>69</v>
      </c>
      <c r="Y99" s="408">
        <v>95</v>
      </c>
      <c r="Z99" s="408">
        <v>23</v>
      </c>
      <c r="AA99" s="408">
        <v>1</v>
      </c>
      <c r="AB99" s="408">
        <v>30</v>
      </c>
      <c r="AC99" s="408">
        <v>67</v>
      </c>
      <c r="AD99" s="408">
        <v>184</v>
      </c>
    </row>
    <row r="100" spans="1:30">
      <c r="A100">
        <v>81</v>
      </c>
      <c r="B100" s="1" t="s">
        <v>223</v>
      </c>
      <c r="C100" s="1" t="s">
        <v>26</v>
      </c>
      <c r="D100" s="408">
        <v>24</v>
      </c>
      <c r="E100" s="5" t="s">
        <v>78</v>
      </c>
      <c r="F100" s="408">
        <v>62</v>
      </c>
      <c r="G100" s="408">
        <v>62</v>
      </c>
      <c r="H100" s="408">
        <v>2084</v>
      </c>
      <c r="I100" s="408">
        <v>288</v>
      </c>
      <c r="J100" s="408">
        <v>673</v>
      </c>
      <c r="K100" s="408">
        <v>0.42799999999999999</v>
      </c>
      <c r="L100" s="408">
        <v>134</v>
      </c>
      <c r="M100" s="408">
        <v>348</v>
      </c>
      <c r="N100" s="408">
        <v>0.38500000000000001</v>
      </c>
      <c r="O100" s="408">
        <v>154</v>
      </c>
      <c r="P100" s="408">
        <v>325</v>
      </c>
      <c r="Q100" s="408">
        <v>0.47399999999999998</v>
      </c>
      <c r="R100" s="408">
        <v>0.52700000000000002</v>
      </c>
      <c r="S100" s="408">
        <v>126</v>
      </c>
      <c r="T100" s="408">
        <v>165</v>
      </c>
      <c r="U100" s="408">
        <v>0.76400000000000001</v>
      </c>
      <c r="V100" s="408">
        <v>53</v>
      </c>
      <c r="W100" s="408">
        <v>287</v>
      </c>
      <c r="X100" s="408">
        <v>340</v>
      </c>
      <c r="Y100" s="408">
        <v>136</v>
      </c>
      <c r="Z100" s="408">
        <v>98</v>
      </c>
      <c r="AA100" s="408">
        <v>12</v>
      </c>
      <c r="AB100" s="408">
        <v>81</v>
      </c>
      <c r="AC100" s="408">
        <v>122</v>
      </c>
      <c r="AD100" s="408">
        <v>836</v>
      </c>
    </row>
    <row r="101" spans="1:30">
      <c r="A101">
        <v>82</v>
      </c>
      <c r="B101" s="1" t="s">
        <v>194</v>
      </c>
      <c r="C101" s="1" t="s">
        <v>429</v>
      </c>
      <c r="D101" s="408">
        <v>26</v>
      </c>
      <c r="E101" s="5" t="s">
        <v>357</v>
      </c>
      <c r="F101" s="408">
        <v>20</v>
      </c>
      <c r="G101" s="408">
        <v>1</v>
      </c>
      <c r="H101" s="408">
        <v>422</v>
      </c>
      <c r="I101" s="408">
        <v>52</v>
      </c>
      <c r="J101" s="408">
        <v>137</v>
      </c>
      <c r="K101" s="408">
        <v>0.38</v>
      </c>
      <c r="L101" s="408">
        <v>22</v>
      </c>
      <c r="M101" s="408">
        <v>66</v>
      </c>
      <c r="N101" s="408">
        <v>0.33300000000000002</v>
      </c>
      <c r="O101" s="408">
        <v>30</v>
      </c>
      <c r="P101" s="408">
        <v>71</v>
      </c>
      <c r="Q101" s="408">
        <v>0.42299999999999999</v>
      </c>
      <c r="R101" s="408">
        <v>0.46</v>
      </c>
      <c r="S101" s="408">
        <v>46</v>
      </c>
      <c r="T101" s="408">
        <v>51</v>
      </c>
      <c r="U101" s="408">
        <v>0.90200000000000002</v>
      </c>
      <c r="V101" s="408">
        <v>6</v>
      </c>
      <c r="W101" s="408">
        <v>39</v>
      </c>
      <c r="X101" s="408">
        <v>45</v>
      </c>
      <c r="Y101" s="408">
        <v>76</v>
      </c>
      <c r="Z101" s="408">
        <v>16</v>
      </c>
      <c r="AA101" s="408">
        <v>1</v>
      </c>
      <c r="AB101" s="408">
        <v>29</v>
      </c>
      <c r="AC101" s="408">
        <v>36</v>
      </c>
      <c r="AD101" s="408">
        <v>172</v>
      </c>
    </row>
    <row r="102" spans="1:30">
      <c r="A102">
        <v>82</v>
      </c>
      <c r="B102" s="1" t="s">
        <v>194</v>
      </c>
      <c r="C102" s="1" t="s">
        <v>26</v>
      </c>
      <c r="D102" s="408">
        <v>26</v>
      </c>
      <c r="E102" s="5" t="s">
        <v>92</v>
      </c>
      <c r="F102" s="408">
        <v>1</v>
      </c>
      <c r="G102" s="408">
        <v>0</v>
      </c>
      <c r="H102" s="408">
        <v>4</v>
      </c>
      <c r="I102" s="408">
        <v>0</v>
      </c>
      <c r="J102" s="408">
        <v>1</v>
      </c>
      <c r="K102" s="408">
        <v>0</v>
      </c>
      <c r="L102" s="408">
        <v>0</v>
      </c>
      <c r="M102" s="408">
        <v>0</v>
      </c>
      <c r="N102" s="408"/>
      <c r="O102" s="408">
        <v>0</v>
      </c>
      <c r="P102" s="408">
        <v>1</v>
      </c>
      <c r="Q102" s="408">
        <v>0</v>
      </c>
      <c r="R102" s="408">
        <v>0</v>
      </c>
      <c r="S102" s="408">
        <v>0</v>
      </c>
      <c r="T102" s="408">
        <v>0</v>
      </c>
      <c r="U102" s="408"/>
      <c r="V102" s="408">
        <v>0</v>
      </c>
      <c r="W102" s="408">
        <v>1</v>
      </c>
      <c r="X102" s="408">
        <v>1</v>
      </c>
      <c r="Y102" s="408">
        <v>0</v>
      </c>
      <c r="Z102" s="408">
        <v>0</v>
      </c>
      <c r="AA102" s="408">
        <v>0</v>
      </c>
      <c r="AB102" s="408">
        <v>0</v>
      </c>
      <c r="AC102" s="408">
        <v>0</v>
      </c>
      <c r="AD102" s="408">
        <v>0</v>
      </c>
    </row>
    <row r="103" spans="1:30">
      <c r="A103">
        <v>82</v>
      </c>
      <c r="B103" s="1" t="s">
        <v>194</v>
      </c>
      <c r="C103" s="1" t="s">
        <v>20</v>
      </c>
      <c r="D103" s="408">
        <v>26</v>
      </c>
      <c r="E103" s="5" t="s">
        <v>313</v>
      </c>
      <c r="F103" s="408">
        <v>19</v>
      </c>
      <c r="G103" s="408">
        <v>1</v>
      </c>
      <c r="H103" s="408">
        <v>418</v>
      </c>
      <c r="I103" s="408">
        <v>52</v>
      </c>
      <c r="J103" s="408">
        <v>136</v>
      </c>
      <c r="K103" s="408">
        <v>0.38200000000000001</v>
      </c>
      <c r="L103" s="408">
        <v>22</v>
      </c>
      <c r="M103" s="408">
        <v>66</v>
      </c>
      <c r="N103" s="408">
        <v>0.33300000000000002</v>
      </c>
      <c r="O103" s="408">
        <v>30</v>
      </c>
      <c r="P103" s="408">
        <v>70</v>
      </c>
      <c r="Q103" s="408">
        <v>0.42899999999999999</v>
      </c>
      <c r="R103" s="408">
        <v>0.46300000000000002</v>
      </c>
      <c r="S103" s="408">
        <v>46</v>
      </c>
      <c r="T103" s="408">
        <v>51</v>
      </c>
      <c r="U103" s="408">
        <v>0.90200000000000002</v>
      </c>
      <c r="V103" s="408">
        <v>6</v>
      </c>
      <c r="W103" s="408">
        <v>38</v>
      </c>
      <c r="X103" s="408">
        <v>44</v>
      </c>
      <c r="Y103" s="408">
        <v>76</v>
      </c>
      <c r="Z103" s="408">
        <v>16</v>
      </c>
      <c r="AA103" s="408">
        <v>1</v>
      </c>
      <c r="AB103" s="408">
        <v>29</v>
      </c>
      <c r="AC103" s="408">
        <v>36</v>
      </c>
      <c r="AD103" s="408">
        <v>172</v>
      </c>
    </row>
    <row r="104" spans="1:30">
      <c r="A104">
        <v>83</v>
      </c>
      <c r="B104" s="1" t="s">
        <v>228</v>
      </c>
      <c r="C104" s="1" t="s">
        <v>83</v>
      </c>
      <c r="D104" s="408">
        <v>23</v>
      </c>
      <c r="E104" s="5" t="s">
        <v>92</v>
      </c>
      <c r="F104" s="408">
        <v>64</v>
      </c>
      <c r="G104" s="408">
        <v>64</v>
      </c>
      <c r="H104" s="408">
        <v>1757</v>
      </c>
      <c r="I104" s="408">
        <v>389</v>
      </c>
      <c r="J104" s="408">
        <v>597</v>
      </c>
      <c r="K104" s="408">
        <v>0.65200000000000002</v>
      </c>
      <c r="L104" s="408">
        <v>0</v>
      </c>
      <c r="M104" s="408">
        <v>1</v>
      </c>
      <c r="N104" s="408">
        <v>0</v>
      </c>
      <c r="O104" s="408">
        <v>389</v>
      </c>
      <c r="P104" s="408">
        <v>596</v>
      </c>
      <c r="Q104" s="408">
        <v>0.65300000000000002</v>
      </c>
      <c r="R104" s="408">
        <v>0.65200000000000002</v>
      </c>
      <c r="S104" s="408">
        <v>132</v>
      </c>
      <c r="T104" s="408">
        <v>232</v>
      </c>
      <c r="U104" s="408">
        <v>0.56899999999999995</v>
      </c>
      <c r="V104" s="408">
        <v>212</v>
      </c>
      <c r="W104" s="408">
        <v>489</v>
      </c>
      <c r="X104" s="408">
        <v>701</v>
      </c>
      <c r="Y104" s="408">
        <v>58</v>
      </c>
      <c r="Z104" s="408">
        <v>47</v>
      </c>
      <c r="AA104" s="408">
        <v>118</v>
      </c>
      <c r="AB104" s="408">
        <v>92</v>
      </c>
      <c r="AC104" s="408">
        <v>167</v>
      </c>
      <c r="AD104" s="408">
        <v>910</v>
      </c>
    </row>
    <row r="105" spans="1:30">
      <c r="A105">
        <v>84</v>
      </c>
      <c r="B105" s="1" t="s">
        <v>355</v>
      </c>
      <c r="C105" s="1" t="s">
        <v>46</v>
      </c>
      <c r="D105" s="408">
        <v>31</v>
      </c>
      <c r="E105" s="5" t="s">
        <v>315</v>
      </c>
      <c r="F105" s="408">
        <v>66</v>
      </c>
      <c r="G105" s="408">
        <v>66</v>
      </c>
      <c r="H105" s="408">
        <v>1976</v>
      </c>
      <c r="I105" s="408">
        <v>299</v>
      </c>
      <c r="J105" s="408">
        <v>717</v>
      </c>
      <c r="K105" s="408">
        <v>0.41699999999999998</v>
      </c>
      <c r="L105" s="408">
        <v>133</v>
      </c>
      <c r="M105" s="408">
        <v>354</v>
      </c>
      <c r="N105" s="408">
        <v>0.376</v>
      </c>
      <c r="O105" s="408">
        <v>166</v>
      </c>
      <c r="P105" s="408">
        <v>363</v>
      </c>
      <c r="Q105" s="408">
        <v>0.45700000000000002</v>
      </c>
      <c r="R105" s="408">
        <v>0.51</v>
      </c>
      <c r="S105" s="408">
        <v>172</v>
      </c>
      <c r="T105" s="408">
        <v>220</v>
      </c>
      <c r="U105" s="408">
        <v>0.78200000000000003</v>
      </c>
      <c r="V105" s="408">
        <v>102</v>
      </c>
      <c r="W105" s="408">
        <v>342</v>
      </c>
      <c r="X105" s="408">
        <v>444</v>
      </c>
      <c r="Y105" s="408">
        <v>134</v>
      </c>
      <c r="Z105" s="408">
        <v>55</v>
      </c>
      <c r="AA105" s="408">
        <v>27</v>
      </c>
      <c r="AB105" s="408">
        <v>95</v>
      </c>
      <c r="AC105" s="408">
        <v>144</v>
      </c>
      <c r="AD105" s="408">
        <v>903</v>
      </c>
    </row>
    <row r="106" spans="1:30">
      <c r="A106">
        <v>85</v>
      </c>
      <c r="B106" s="1" t="s">
        <v>101</v>
      </c>
      <c r="C106" s="1" t="s">
        <v>46</v>
      </c>
      <c r="D106" s="408">
        <v>41</v>
      </c>
      <c r="E106" s="5" t="s">
        <v>100</v>
      </c>
      <c r="F106" s="408">
        <v>48</v>
      </c>
      <c r="G106" s="408">
        <v>4</v>
      </c>
      <c r="H106" s="408">
        <v>850</v>
      </c>
      <c r="I106" s="408">
        <v>96</v>
      </c>
      <c r="J106" s="408">
        <v>238</v>
      </c>
      <c r="K106" s="408">
        <v>0.40300000000000002</v>
      </c>
      <c r="L106" s="408">
        <v>48</v>
      </c>
      <c r="M106" s="408">
        <v>138</v>
      </c>
      <c r="N106" s="408">
        <v>0.34799999999999998</v>
      </c>
      <c r="O106" s="408">
        <v>48</v>
      </c>
      <c r="P106" s="408">
        <v>100</v>
      </c>
      <c r="Q106" s="408">
        <v>0.48</v>
      </c>
      <c r="R106" s="408">
        <v>0.504</v>
      </c>
      <c r="S106" s="408">
        <v>22</v>
      </c>
      <c r="T106" s="408">
        <v>31</v>
      </c>
      <c r="U106" s="408">
        <v>0.71</v>
      </c>
      <c r="V106" s="408">
        <v>14</v>
      </c>
      <c r="W106" s="408">
        <v>103</v>
      </c>
      <c r="X106" s="408">
        <v>117</v>
      </c>
      <c r="Y106" s="408">
        <v>57</v>
      </c>
      <c r="Z106" s="408">
        <v>41</v>
      </c>
      <c r="AA106" s="408">
        <v>24</v>
      </c>
      <c r="AB106" s="408">
        <v>28</v>
      </c>
      <c r="AC106" s="408">
        <v>81</v>
      </c>
      <c r="AD106" s="408">
        <v>262</v>
      </c>
    </row>
    <row r="107" spans="1:30">
      <c r="A107">
        <v>86</v>
      </c>
      <c r="B107" s="1" t="s">
        <v>105</v>
      </c>
      <c r="C107" s="1" t="s">
        <v>20</v>
      </c>
      <c r="D107" s="408">
        <v>26</v>
      </c>
      <c r="E107" s="5" t="s">
        <v>311</v>
      </c>
      <c r="F107" s="408">
        <v>52</v>
      </c>
      <c r="G107" s="408">
        <v>2</v>
      </c>
      <c r="H107" s="408">
        <v>835</v>
      </c>
      <c r="I107" s="408">
        <v>76</v>
      </c>
      <c r="J107" s="408">
        <v>229</v>
      </c>
      <c r="K107" s="408">
        <v>0.33200000000000002</v>
      </c>
      <c r="L107" s="408">
        <v>14</v>
      </c>
      <c r="M107" s="408">
        <v>59</v>
      </c>
      <c r="N107" s="408">
        <v>0.23699999999999999</v>
      </c>
      <c r="O107" s="408">
        <v>62</v>
      </c>
      <c r="P107" s="408">
        <v>170</v>
      </c>
      <c r="Q107" s="408">
        <v>0.36499999999999999</v>
      </c>
      <c r="R107" s="408">
        <v>0.36199999999999999</v>
      </c>
      <c r="S107" s="408">
        <v>73</v>
      </c>
      <c r="T107" s="408">
        <v>89</v>
      </c>
      <c r="U107" s="408">
        <v>0.82</v>
      </c>
      <c r="V107" s="408">
        <v>37</v>
      </c>
      <c r="W107" s="408">
        <v>101</v>
      </c>
      <c r="X107" s="408">
        <v>138</v>
      </c>
      <c r="Y107" s="408">
        <v>116</v>
      </c>
      <c r="Z107" s="408">
        <v>44</v>
      </c>
      <c r="AA107" s="408">
        <v>23</v>
      </c>
      <c r="AB107" s="408">
        <v>52</v>
      </c>
      <c r="AC107" s="408">
        <v>99</v>
      </c>
      <c r="AD107" s="408">
        <v>239</v>
      </c>
    </row>
    <row r="108" spans="1:30">
      <c r="A108">
        <v>87</v>
      </c>
      <c r="B108" s="1" t="s">
        <v>613</v>
      </c>
      <c r="C108" s="1" t="s">
        <v>20</v>
      </c>
      <c r="D108" s="408">
        <v>23</v>
      </c>
      <c r="E108" s="5" t="s">
        <v>78</v>
      </c>
      <c r="F108" s="408">
        <v>28</v>
      </c>
      <c r="G108" s="408">
        <v>0</v>
      </c>
      <c r="H108" s="408">
        <v>366</v>
      </c>
      <c r="I108" s="408">
        <v>30</v>
      </c>
      <c r="J108" s="408">
        <v>67</v>
      </c>
      <c r="K108" s="408">
        <v>0.44800000000000001</v>
      </c>
      <c r="L108" s="408">
        <v>5</v>
      </c>
      <c r="M108" s="408">
        <v>22</v>
      </c>
      <c r="N108" s="408">
        <v>0.22700000000000001</v>
      </c>
      <c r="O108" s="408">
        <v>25</v>
      </c>
      <c r="P108" s="408">
        <v>45</v>
      </c>
      <c r="Q108" s="408">
        <v>0.55600000000000005</v>
      </c>
      <c r="R108" s="408">
        <v>0.48499999999999999</v>
      </c>
      <c r="S108" s="408">
        <v>11</v>
      </c>
      <c r="T108" s="408">
        <v>16</v>
      </c>
      <c r="U108" s="408">
        <v>0.68799999999999994</v>
      </c>
      <c r="V108" s="408">
        <v>8</v>
      </c>
      <c r="W108" s="408">
        <v>29</v>
      </c>
      <c r="X108" s="408">
        <v>37</v>
      </c>
      <c r="Y108" s="408">
        <v>48</v>
      </c>
      <c r="Z108" s="408">
        <v>16</v>
      </c>
      <c r="AA108" s="408">
        <v>8</v>
      </c>
      <c r="AB108" s="408">
        <v>25</v>
      </c>
      <c r="AC108" s="408">
        <v>33</v>
      </c>
      <c r="AD108" s="408">
        <v>76</v>
      </c>
    </row>
    <row r="109" spans="1:30">
      <c r="A109">
        <v>88</v>
      </c>
      <c r="B109" s="1" t="s">
        <v>165</v>
      </c>
      <c r="C109" s="1" t="s">
        <v>46</v>
      </c>
      <c r="D109" s="408">
        <v>29</v>
      </c>
      <c r="E109" s="5" t="s">
        <v>73</v>
      </c>
      <c r="F109" s="408">
        <v>53</v>
      </c>
      <c r="G109" s="408">
        <v>7</v>
      </c>
      <c r="H109" s="408">
        <v>740</v>
      </c>
      <c r="I109" s="408">
        <v>120</v>
      </c>
      <c r="J109" s="408">
        <v>207</v>
      </c>
      <c r="K109" s="408">
        <v>0.57999999999999996</v>
      </c>
      <c r="L109" s="408">
        <v>10</v>
      </c>
      <c r="M109" s="408">
        <v>22</v>
      </c>
      <c r="N109" s="408">
        <v>0.45500000000000002</v>
      </c>
      <c r="O109" s="408">
        <v>110</v>
      </c>
      <c r="P109" s="408">
        <v>185</v>
      </c>
      <c r="Q109" s="408">
        <v>0.59499999999999997</v>
      </c>
      <c r="R109" s="408">
        <v>0.60399999999999998</v>
      </c>
      <c r="S109" s="408">
        <v>50</v>
      </c>
      <c r="T109" s="408">
        <v>69</v>
      </c>
      <c r="U109" s="408">
        <v>0.72499999999999998</v>
      </c>
      <c r="V109" s="408">
        <v>30</v>
      </c>
      <c r="W109" s="408">
        <v>170</v>
      </c>
      <c r="X109" s="408">
        <v>200</v>
      </c>
      <c r="Y109" s="408">
        <v>51</v>
      </c>
      <c r="Z109" s="408">
        <v>18</v>
      </c>
      <c r="AA109" s="408">
        <v>19</v>
      </c>
      <c r="AB109" s="408">
        <v>37</v>
      </c>
      <c r="AC109" s="408">
        <v>70</v>
      </c>
      <c r="AD109" s="408">
        <v>300</v>
      </c>
    </row>
    <row r="110" spans="1:30">
      <c r="A110">
        <v>89</v>
      </c>
      <c r="B110" s="1" t="s">
        <v>563</v>
      </c>
      <c r="C110" s="1" t="s">
        <v>83</v>
      </c>
      <c r="D110" s="408">
        <v>24</v>
      </c>
      <c r="E110" s="5" t="s">
        <v>100</v>
      </c>
      <c r="F110" s="408">
        <v>63</v>
      </c>
      <c r="G110" s="408">
        <v>48</v>
      </c>
      <c r="H110" s="408">
        <v>1758</v>
      </c>
      <c r="I110" s="408">
        <v>322</v>
      </c>
      <c r="J110" s="408">
        <v>656</v>
      </c>
      <c r="K110" s="408">
        <v>0.49099999999999999</v>
      </c>
      <c r="L110" s="408">
        <v>3</v>
      </c>
      <c r="M110" s="408">
        <v>12</v>
      </c>
      <c r="N110" s="408">
        <v>0.25</v>
      </c>
      <c r="O110" s="408">
        <v>319</v>
      </c>
      <c r="P110" s="408">
        <v>644</v>
      </c>
      <c r="Q110" s="408">
        <v>0.495</v>
      </c>
      <c r="R110" s="408">
        <v>0.49299999999999999</v>
      </c>
      <c r="S110" s="408">
        <v>131</v>
      </c>
      <c r="T110" s="408">
        <v>211</v>
      </c>
      <c r="U110" s="408">
        <v>0.621</v>
      </c>
      <c r="V110" s="408">
        <v>116</v>
      </c>
      <c r="W110" s="408">
        <v>317</v>
      </c>
      <c r="X110" s="408">
        <v>433</v>
      </c>
      <c r="Y110" s="408">
        <v>142</v>
      </c>
      <c r="Z110" s="408">
        <v>69</v>
      </c>
      <c r="AA110" s="408">
        <v>60</v>
      </c>
      <c r="AB110" s="408">
        <v>92</v>
      </c>
      <c r="AC110" s="408">
        <v>156</v>
      </c>
      <c r="AD110" s="408">
        <v>778</v>
      </c>
    </row>
    <row r="111" spans="1:30">
      <c r="A111">
        <v>90</v>
      </c>
      <c r="B111" s="1" t="s">
        <v>456</v>
      </c>
      <c r="C111" s="1" t="s">
        <v>38</v>
      </c>
      <c r="D111" s="408">
        <v>23</v>
      </c>
      <c r="E111" s="5" t="s">
        <v>149</v>
      </c>
      <c r="F111" s="408">
        <v>33</v>
      </c>
      <c r="G111" s="408">
        <v>1</v>
      </c>
      <c r="H111" s="408">
        <v>448</v>
      </c>
      <c r="I111" s="408">
        <v>59</v>
      </c>
      <c r="J111" s="408">
        <v>125</v>
      </c>
      <c r="K111" s="408">
        <v>0.47199999999999998</v>
      </c>
      <c r="L111" s="408">
        <v>28</v>
      </c>
      <c r="M111" s="408">
        <v>75</v>
      </c>
      <c r="N111" s="408">
        <v>0.373</v>
      </c>
      <c r="O111" s="408">
        <v>31</v>
      </c>
      <c r="P111" s="408">
        <v>50</v>
      </c>
      <c r="Q111" s="408">
        <v>0.62</v>
      </c>
      <c r="R111" s="408">
        <v>0.58399999999999996</v>
      </c>
      <c r="S111" s="408">
        <v>17</v>
      </c>
      <c r="T111" s="408">
        <v>21</v>
      </c>
      <c r="U111" s="408">
        <v>0.81</v>
      </c>
      <c r="V111" s="408">
        <v>38</v>
      </c>
      <c r="W111" s="408">
        <v>72</v>
      </c>
      <c r="X111" s="408">
        <v>110</v>
      </c>
      <c r="Y111" s="408">
        <v>26</v>
      </c>
      <c r="Z111" s="408">
        <v>9</v>
      </c>
      <c r="AA111" s="408">
        <v>4</v>
      </c>
      <c r="AB111" s="408">
        <v>11</v>
      </c>
      <c r="AC111" s="408">
        <v>56</v>
      </c>
      <c r="AD111" s="408">
        <v>163</v>
      </c>
    </row>
    <row r="112" spans="1:30">
      <c r="A112">
        <v>91</v>
      </c>
      <c r="B112" s="1" t="s">
        <v>175</v>
      </c>
      <c r="C112" s="1" t="s">
        <v>20</v>
      </c>
      <c r="D112" s="408">
        <v>31</v>
      </c>
      <c r="E112" s="5" t="s">
        <v>128</v>
      </c>
      <c r="F112" s="408">
        <v>57</v>
      </c>
      <c r="G112" s="408">
        <v>9</v>
      </c>
      <c r="H112" s="408">
        <v>1269</v>
      </c>
      <c r="I112" s="408">
        <v>146</v>
      </c>
      <c r="J112" s="408">
        <v>394</v>
      </c>
      <c r="K112" s="408">
        <v>0.371</v>
      </c>
      <c r="L112" s="408">
        <v>46</v>
      </c>
      <c r="M112" s="408">
        <v>166</v>
      </c>
      <c r="N112" s="408">
        <v>0.27700000000000002</v>
      </c>
      <c r="O112" s="408">
        <v>100</v>
      </c>
      <c r="P112" s="408">
        <v>228</v>
      </c>
      <c r="Q112" s="408">
        <v>0.439</v>
      </c>
      <c r="R112" s="408">
        <v>0.42899999999999999</v>
      </c>
      <c r="S112" s="408">
        <v>103</v>
      </c>
      <c r="T112" s="408">
        <v>121</v>
      </c>
      <c r="U112" s="408">
        <v>0.85099999999999998</v>
      </c>
      <c r="V112" s="408">
        <v>11</v>
      </c>
      <c r="W112" s="408">
        <v>125</v>
      </c>
      <c r="X112" s="408">
        <v>136</v>
      </c>
      <c r="Y112" s="408">
        <v>176</v>
      </c>
      <c r="Z112" s="408">
        <v>70</v>
      </c>
      <c r="AA112" s="408">
        <v>11</v>
      </c>
      <c r="AB112" s="408">
        <v>99</v>
      </c>
      <c r="AC112" s="408">
        <v>160</v>
      </c>
      <c r="AD112" s="408">
        <v>441</v>
      </c>
    </row>
    <row r="113" spans="1:30">
      <c r="A113">
        <v>92</v>
      </c>
      <c r="B113" s="1" t="s">
        <v>597</v>
      </c>
      <c r="C113" s="1" t="s">
        <v>83</v>
      </c>
      <c r="D113" s="408">
        <v>35</v>
      </c>
      <c r="E113" s="5" t="s">
        <v>313</v>
      </c>
      <c r="F113" s="408">
        <v>46</v>
      </c>
      <c r="G113" s="408">
        <v>46</v>
      </c>
      <c r="H113" s="408">
        <v>1151</v>
      </c>
      <c r="I113" s="408">
        <v>121</v>
      </c>
      <c r="J113" s="408">
        <v>187</v>
      </c>
      <c r="K113" s="408">
        <v>0.64700000000000002</v>
      </c>
      <c r="L113" s="408">
        <v>0</v>
      </c>
      <c r="M113" s="408">
        <v>0</v>
      </c>
      <c r="N113" s="408"/>
      <c r="O113" s="408">
        <v>121</v>
      </c>
      <c r="P113" s="408">
        <v>187</v>
      </c>
      <c r="Q113" s="408">
        <v>0.64700000000000002</v>
      </c>
      <c r="R113" s="408">
        <v>0.64700000000000002</v>
      </c>
      <c r="S113" s="408">
        <v>58</v>
      </c>
      <c r="T113" s="408">
        <v>94</v>
      </c>
      <c r="U113" s="408">
        <v>0.61699999999999999</v>
      </c>
      <c r="V113" s="408">
        <v>134</v>
      </c>
      <c r="W113" s="408">
        <v>284</v>
      </c>
      <c r="X113" s="408">
        <v>418</v>
      </c>
      <c r="Y113" s="408">
        <v>53</v>
      </c>
      <c r="Z113" s="408">
        <v>16</v>
      </c>
      <c r="AA113" s="408">
        <v>27</v>
      </c>
      <c r="AB113" s="408">
        <v>59</v>
      </c>
      <c r="AC113" s="408">
        <v>106</v>
      </c>
      <c r="AD113" s="408">
        <v>300</v>
      </c>
    </row>
    <row r="114" spans="1:30">
      <c r="A114">
        <v>93</v>
      </c>
      <c r="B114" s="1" t="s">
        <v>412</v>
      </c>
      <c r="C114" s="1" t="s">
        <v>46</v>
      </c>
      <c r="D114" s="408">
        <v>30</v>
      </c>
      <c r="E114" s="5" t="s">
        <v>61</v>
      </c>
      <c r="F114" s="408">
        <v>64</v>
      </c>
      <c r="G114" s="408">
        <v>61</v>
      </c>
      <c r="H114" s="408">
        <v>2009</v>
      </c>
      <c r="I114" s="408">
        <v>249</v>
      </c>
      <c r="J114" s="408">
        <v>553</v>
      </c>
      <c r="K114" s="408">
        <v>0.45</v>
      </c>
      <c r="L114" s="408">
        <v>74</v>
      </c>
      <c r="M114" s="408">
        <v>212</v>
      </c>
      <c r="N114" s="408">
        <v>0.34899999999999998</v>
      </c>
      <c r="O114" s="408">
        <v>175</v>
      </c>
      <c r="P114" s="408">
        <v>341</v>
      </c>
      <c r="Q114" s="408">
        <v>0.51300000000000001</v>
      </c>
      <c r="R114" s="408">
        <v>0.51700000000000002</v>
      </c>
      <c r="S114" s="408">
        <v>81</v>
      </c>
      <c r="T114" s="408">
        <v>104</v>
      </c>
      <c r="U114" s="408">
        <v>0.77900000000000003</v>
      </c>
      <c r="V114" s="408">
        <v>90</v>
      </c>
      <c r="W114" s="408">
        <v>245</v>
      </c>
      <c r="X114" s="408">
        <v>335</v>
      </c>
      <c r="Y114" s="408">
        <v>137</v>
      </c>
      <c r="Z114" s="408">
        <v>37</v>
      </c>
      <c r="AA114" s="408">
        <v>34</v>
      </c>
      <c r="AB114" s="408">
        <v>82</v>
      </c>
      <c r="AC114" s="408">
        <v>136</v>
      </c>
      <c r="AD114" s="408">
        <v>653</v>
      </c>
    </row>
    <row r="115" spans="1:30">
      <c r="A115">
        <v>94</v>
      </c>
      <c r="B115" s="1" t="s">
        <v>441</v>
      </c>
      <c r="C115" s="1" t="s">
        <v>38</v>
      </c>
      <c r="D115" s="408">
        <v>20</v>
      </c>
      <c r="E115" s="5" t="s">
        <v>313</v>
      </c>
      <c r="F115" s="408">
        <v>63</v>
      </c>
      <c r="G115" s="408">
        <v>41</v>
      </c>
      <c r="H115" s="408">
        <v>1277</v>
      </c>
      <c r="I115" s="408">
        <v>155</v>
      </c>
      <c r="J115" s="408">
        <v>383</v>
      </c>
      <c r="K115" s="408">
        <v>0.40500000000000003</v>
      </c>
      <c r="L115" s="408">
        <v>50</v>
      </c>
      <c r="M115" s="408">
        <v>163</v>
      </c>
      <c r="N115" s="408">
        <v>0.307</v>
      </c>
      <c r="O115" s="408">
        <v>105</v>
      </c>
      <c r="P115" s="408">
        <v>220</v>
      </c>
      <c r="Q115" s="408">
        <v>0.47699999999999998</v>
      </c>
      <c r="R115" s="408">
        <v>0.47</v>
      </c>
      <c r="S115" s="408">
        <v>69</v>
      </c>
      <c r="T115" s="408">
        <v>121</v>
      </c>
      <c r="U115" s="408">
        <v>0.56999999999999995</v>
      </c>
      <c r="V115" s="408">
        <v>60</v>
      </c>
      <c r="W115" s="408">
        <v>258</v>
      </c>
      <c r="X115" s="408">
        <v>318</v>
      </c>
      <c r="Y115" s="408">
        <v>70</v>
      </c>
      <c r="Z115" s="408">
        <v>42</v>
      </c>
      <c r="AA115" s="408">
        <v>59</v>
      </c>
      <c r="AB115" s="408">
        <v>86</v>
      </c>
      <c r="AC115" s="408">
        <v>180</v>
      </c>
      <c r="AD115" s="408">
        <v>429</v>
      </c>
    </row>
    <row r="116" spans="1:30">
      <c r="A116">
        <v>95</v>
      </c>
      <c r="B116" s="1" t="s">
        <v>125</v>
      </c>
      <c r="C116" s="1" t="s">
        <v>26</v>
      </c>
      <c r="D116" s="408">
        <v>26</v>
      </c>
      <c r="E116" s="5" t="s">
        <v>112</v>
      </c>
      <c r="F116" s="408">
        <v>64</v>
      </c>
      <c r="G116" s="408">
        <v>1</v>
      </c>
      <c r="H116" s="408">
        <v>1214</v>
      </c>
      <c r="I116" s="408">
        <v>178</v>
      </c>
      <c r="J116" s="408">
        <v>399</v>
      </c>
      <c r="K116" s="408">
        <v>0.44600000000000001</v>
      </c>
      <c r="L116" s="408">
        <v>50</v>
      </c>
      <c r="M116" s="408">
        <v>165</v>
      </c>
      <c r="N116" s="408">
        <v>0.30299999999999999</v>
      </c>
      <c r="O116" s="408">
        <v>128</v>
      </c>
      <c r="P116" s="408">
        <v>234</v>
      </c>
      <c r="Q116" s="408">
        <v>0.54700000000000004</v>
      </c>
      <c r="R116" s="408">
        <v>0.50900000000000001</v>
      </c>
      <c r="S116" s="408">
        <v>38</v>
      </c>
      <c r="T116" s="408">
        <v>52</v>
      </c>
      <c r="U116" s="408">
        <v>0.73099999999999998</v>
      </c>
      <c r="V116" s="408">
        <v>10</v>
      </c>
      <c r="W116" s="408">
        <v>97</v>
      </c>
      <c r="X116" s="408">
        <v>107</v>
      </c>
      <c r="Y116" s="408">
        <v>90</v>
      </c>
      <c r="Z116" s="408">
        <v>25</v>
      </c>
      <c r="AA116" s="408">
        <v>10</v>
      </c>
      <c r="AB116" s="408">
        <v>47</v>
      </c>
      <c r="AC116" s="408">
        <v>105</v>
      </c>
      <c r="AD116" s="408">
        <v>444</v>
      </c>
    </row>
    <row r="117" spans="1:30">
      <c r="A117">
        <v>96</v>
      </c>
      <c r="B117" s="1" t="s">
        <v>397</v>
      </c>
      <c r="C117" s="1" t="s">
        <v>26</v>
      </c>
      <c r="D117" s="408">
        <v>25</v>
      </c>
      <c r="E117" s="5" t="s">
        <v>357</v>
      </c>
      <c r="F117" s="408">
        <v>69</v>
      </c>
      <c r="G117" s="408">
        <v>2</v>
      </c>
      <c r="H117" s="408">
        <v>1625</v>
      </c>
      <c r="I117" s="408">
        <v>380</v>
      </c>
      <c r="J117" s="408">
        <v>836</v>
      </c>
      <c r="K117" s="408">
        <v>0.45500000000000002</v>
      </c>
      <c r="L117" s="408">
        <v>101</v>
      </c>
      <c r="M117" s="408">
        <v>289</v>
      </c>
      <c r="N117" s="408">
        <v>0.34899999999999998</v>
      </c>
      <c r="O117" s="408">
        <v>279</v>
      </c>
      <c r="P117" s="408">
        <v>547</v>
      </c>
      <c r="Q117" s="408">
        <v>0.51</v>
      </c>
      <c r="R117" s="408">
        <v>0.51500000000000001</v>
      </c>
      <c r="S117" s="408">
        <v>133</v>
      </c>
      <c r="T117" s="408">
        <v>168</v>
      </c>
      <c r="U117" s="408">
        <v>0.79200000000000004</v>
      </c>
      <c r="V117" s="408">
        <v>51</v>
      </c>
      <c r="W117" s="408">
        <v>149</v>
      </c>
      <c r="X117" s="408">
        <v>200</v>
      </c>
      <c r="Y117" s="408">
        <v>205</v>
      </c>
      <c r="Z117" s="408">
        <v>49</v>
      </c>
      <c r="AA117" s="408">
        <v>4</v>
      </c>
      <c r="AB117" s="408">
        <v>115</v>
      </c>
      <c r="AC117" s="408">
        <v>88</v>
      </c>
      <c r="AD117" s="408">
        <v>994</v>
      </c>
    </row>
    <row r="118" spans="1:30">
      <c r="A118">
        <v>96</v>
      </c>
      <c r="B118" s="1" t="s">
        <v>397</v>
      </c>
      <c r="C118" s="1" t="s">
        <v>26</v>
      </c>
      <c r="D118" s="408">
        <v>25</v>
      </c>
      <c r="E118" s="5" t="s">
        <v>78</v>
      </c>
      <c r="F118" s="408">
        <v>53</v>
      </c>
      <c r="G118" s="408">
        <v>2</v>
      </c>
      <c r="H118" s="408">
        <v>1256</v>
      </c>
      <c r="I118" s="408">
        <v>299</v>
      </c>
      <c r="J118" s="408">
        <v>667</v>
      </c>
      <c r="K118" s="408">
        <v>0.44800000000000001</v>
      </c>
      <c r="L118" s="408">
        <v>68</v>
      </c>
      <c r="M118" s="408">
        <v>210</v>
      </c>
      <c r="N118" s="408">
        <v>0.32400000000000001</v>
      </c>
      <c r="O118" s="408">
        <v>231</v>
      </c>
      <c r="P118" s="408">
        <v>457</v>
      </c>
      <c r="Q118" s="408">
        <v>0.505</v>
      </c>
      <c r="R118" s="408">
        <v>0.499</v>
      </c>
      <c r="S118" s="408">
        <v>105</v>
      </c>
      <c r="T118" s="408">
        <v>132</v>
      </c>
      <c r="U118" s="408">
        <v>0.79500000000000004</v>
      </c>
      <c r="V118" s="408">
        <v>44</v>
      </c>
      <c r="W118" s="408">
        <v>115</v>
      </c>
      <c r="X118" s="408">
        <v>159</v>
      </c>
      <c r="Y118" s="408">
        <v>173</v>
      </c>
      <c r="Z118" s="408">
        <v>39</v>
      </c>
      <c r="AA118" s="408">
        <v>3</v>
      </c>
      <c r="AB118" s="408">
        <v>95</v>
      </c>
      <c r="AC118" s="408">
        <v>63</v>
      </c>
      <c r="AD118" s="408">
        <v>771</v>
      </c>
    </row>
    <row r="119" spans="1:30">
      <c r="A119">
        <v>96</v>
      </c>
      <c r="B119" s="1" t="s">
        <v>397</v>
      </c>
      <c r="C119" s="1" t="s">
        <v>26</v>
      </c>
      <c r="D119" s="408">
        <v>25</v>
      </c>
      <c r="E119" s="5" t="s">
        <v>102</v>
      </c>
      <c r="F119" s="408">
        <v>16</v>
      </c>
      <c r="G119" s="408">
        <v>0</v>
      </c>
      <c r="H119" s="408">
        <v>369</v>
      </c>
      <c r="I119" s="408">
        <v>81</v>
      </c>
      <c r="J119" s="408">
        <v>169</v>
      </c>
      <c r="K119" s="408">
        <v>0.47899999999999998</v>
      </c>
      <c r="L119" s="408">
        <v>33</v>
      </c>
      <c r="M119" s="408">
        <v>79</v>
      </c>
      <c r="N119" s="408">
        <v>0.41799999999999998</v>
      </c>
      <c r="O119" s="408">
        <v>48</v>
      </c>
      <c r="P119" s="408">
        <v>90</v>
      </c>
      <c r="Q119" s="408">
        <v>0.53300000000000003</v>
      </c>
      <c r="R119" s="408">
        <v>0.57699999999999996</v>
      </c>
      <c r="S119" s="408">
        <v>28</v>
      </c>
      <c r="T119" s="408">
        <v>36</v>
      </c>
      <c r="U119" s="408">
        <v>0.77800000000000002</v>
      </c>
      <c r="V119" s="408">
        <v>7</v>
      </c>
      <c r="W119" s="408">
        <v>34</v>
      </c>
      <c r="X119" s="408">
        <v>41</v>
      </c>
      <c r="Y119" s="408">
        <v>32</v>
      </c>
      <c r="Z119" s="408">
        <v>10</v>
      </c>
      <c r="AA119" s="408">
        <v>1</v>
      </c>
      <c r="AB119" s="408">
        <v>20</v>
      </c>
      <c r="AC119" s="408">
        <v>25</v>
      </c>
      <c r="AD119" s="408">
        <v>223</v>
      </c>
    </row>
    <row r="120" spans="1:30">
      <c r="A120">
        <v>97</v>
      </c>
      <c r="B120" s="1" t="s">
        <v>295</v>
      </c>
      <c r="C120" s="1" t="s">
        <v>26</v>
      </c>
      <c r="D120" s="408">
        <v>24</v>
      </c>
      <c r="E120" s="5" t="s">
        <v>33</v>
      </c>
      <c r="F120" s="408">
        <v>7</v>
      </c>
      <c r="G120" s="408">
        <v>0</v>
      </c>
      <c r="H120" s="408">
        <v>64</v>
      </c>
      <c r="I120" s="408">
        <v>6</v>
      </c>
      <c r="J120" s="408">
        <v>18</v>
      </c>
      <c r="K120" s="408">
        <v>0.33300000000000002</v>
      </c>
      <c r="L120" s="408">
        <v>6</v>
      </c>
      <c r="M120" s="408">
        <v>15</v>
      </c>
      <c r="N120" s="408">
        <v>0.4</v>
      </c>
      <c r="O120" s="408">
        <v>0</v>
      </c>
      <c r="P120" s="408">
        <v>3</v>
      </c>
      <c r="Q120" s="408">
        <v>0</v>
      </c>
      <c r="R120" s="408">
        <v>0.5</v>
      </c>
      <c r="S120" s="408">
        <v>2</v>
      </c>
      <c r="T120" s="408">
        <v>2</v>
      </c>
      <c r="U120" s="408">
        <v>1</v>
      </c>
      <c r="V120" s="408">
        <v>1</v>
      </c>
      <c r="W120" s="408">
        <v>6</v>
      </c>
      <c r="X120" s="408">
        <v>7</v>
      </c>
      <c r="Y120" s="408">
        <v>3</v>
      </c>
      <c r="Z120" s="408">
        <v>2</v>
      </c>
      <c r="AA120" s="408">
        <v>0</v>
      </c>
      <c r="AB120" s="408">
        <v>2</v>
      </c>
      <c r="AC120" s="408">
        <v>8</v>
      </c>
      <c r="AD120" s="408">
        <v>20</v>
      </c>
    </row>
    <row r="121" spans="1:30">
      <c r="A121">
        <v>98</v>
      </c>
      <c r="B121" s="1" t="s">
        <v>598</v>
      </c>
      <c r="C121" s="1" t="s">
        <v>26</v>
      </c>
      <c r="D121" s="408">
        <v>23</v>
      </c>
      <c r="E121" s="5" t="s">
        <v>33</v>
      </c>
      <c r="F121" s="408">
        <v>13</v>
      </c>
      <c r="G121" s="408">
        <v>0</v>
      </c>
      <c r="H121" s="408">
        <v>81</v>
      </c>
      <c r="I121" s="408">
        <v>4</v>
      </c>
      <c r="J121" s="408">
        <v>14</v>
      </c>
      <c r="K121" s="408">
        <v>0.28599999999999998</v>
      </c>
      <c r="L121" s="408">
        <v>0</v>
      </c>
      <c r="M121" s="408">
        <v>1</v>
      </c>
      <c r="N121" s="408">
        <v>0</v>
      </c>
      <c r="O121" s="408">
        <v>4</v>
      </c>
      <c r="P121" s="408">
        <v>13</v>
      </c>
      <c r="Q121" s="408">
        <v>0.308</v>
      </c>
      <c r="R121" s="408">
        <v>0.28599999999999998</v>
      </c>
      <c r="S121" s="408">
        <v>2</v>
      </c>
      <c r="T121" s="408">
        <v>4</v>
      </c>
      <c r="U121" s="408">
        <v>0.5</v>
      </c>
      <c r="V121" s="408">
        <v>2</v>
      </c>
      <c r="W121" s="408">
        <v>8</v>
      </c>
      <c r="X121" s="408">
        <v>10</v>
      </c>
      <c r="Y121" s="408">
        <v>2</v>
      </c>
      <c r="Z121" s="408">
        <v>6</v>
      </c>
      <c r="AA121" s="408">
        <v>4</v>
      </c>
      <c r="AB121" s="408">
        <v>2</v>
      </c>
      <c r="AC121" s="408">
        <v>11</v>
      </c>
      <c r="AD121" s="408">
        <v>10</v>
      </c>
    </row>
    <row r="122" spans="1:30">
      <c r="A122">
        <v>99</v>
      </c>
      <c r="B122" s="1" t="s">
        <v>571</v>
      </c>
      <c r="C122" s="1" t="s">
        <v>38</v>
      </c>
      <c r="D122" s="408">
        <v>20</v>
      </c>
      <c r="E122" s="5" t="s">
        <v>149</v>
      </c>
      <c r="F122" s="408">
        <v>64</v>
      </c>
      <c r="G122" s="408">
        <v>16</v>
      </c>
      <c r="H122" s="408">
        <v>1487</v>
      </c>
      <c r="I122" s="408">
        <v>272</v>
      </c>
      <c r="J122" s="408">
        <v>466</v>
      </c>
      <c r="K122" s="408">
        <v>0.58399999999999996</v>
      </c>
      <c r="L122" s="408">
        <v>9</v>
      </c>
      <c r="M122" s="408">
        <v>27</v>
      </c>
      <c r="N122" s="408">
        <v>0.33300000000000002</v>
      </c>
      <c r="O122" s="408">
        <v>263</v>
      </c>
      <c r="P122" s="408">
        <v>439</v>
      </c>
      <c r="Q122" s="408">
        <v>0.59899999999999998</v>
      </c>
      <c r="R122" s="408">
        <v>0.59299999999999997</v>
      </c>
      <c r="S122" s="408">
        <v>121</v>
      </c>
      <c r="T122" s="408">
        <v>161</v>
      </c>
      <c r="U122" s="408">
        <v>0.752</v>
      </c>
      <c r="V122" s="408">
        <v>162</v>
      </c>
      <c r="W122" s="408">
        <v>294</v>
      </c>
      <c r="X122" s="408">
        <v>456</v>
      </c>
      <c r="Y122" s="408">
        <v>70</v>
      </c>
      <c r="Z122" s="408">
        <v>40</v>
      </c>
      <c r="AA122" s="408">
        <v>69</v>
      </c>
      <c r="AB122" s="408">
        <v>88</v>
      </c>
      <c r="AC122" s="408">
        <v>195</v>
      </c>
      <c r="AD122" s="408">
        <v>674</v>
      </c>
    </row>
    <row r="123" spans="1:30">
      <c r="A123">
        <v>100</v>
      </c>
      <c r="B123" s="1" t="s">
        <v>517</v>
      </c>
      <c r="C123" s="1" t="s">
        <v>83</v>
      </c>
      <c r="D123" s="408">
        <v>20</v>
      </c>
      <c r="E123" s="5" t="s">
        <v>96</v>
      </c>
      <c r="F123" s="408">
        <v>54</v>
      </c>
      <c r="G123" s="408">
        <v>1</v>
      </c>
      <c r="H123" s="408">
        <v>842</v>
      </c>
      <c r="I123" s="408">
        <v>92</v>
      </c>
      <c r="J123" s="408">
        <v>229</v>
      </c>
      <c r="K123" s="408">
        <v>0.40200000000000002</v>
      </c>
      <c r="L123" s="408">
        <v>30</v>
      </c>
      <c r="M123" s="408">
        <v>87</v>
      </c>
      <c r="N123" s="408">
        <v>0.34499999999999997</v>
      </c>
      <c r="O123" s="408">
        <v>62</v>
      </c>
      <c r="P123" s="408">
        <v>142</v>
      </c>
      <c r="Q123" s="408">
        <v>0.437</v>
      </c>
      <c r="R123" s="408">
        <v>0.46700000000000003</v>
      </c>
      <c r="S123" s="408">
        <v>22</v>
      </c>
      <c r="T123" s="408">
        <v>35</v>
      </c>
      <c r="U123" s="408">
        <v>0.629</v>
      </c>
      <c r="V123" s="408">
        <v>38</v>
      </c>
      <c r="W123" s="408">
        <v>148</v>
      </c>
      <c r="X123" s="408">
        <v>186</v>
      </c>
      <c r="Y123" s="408">
        <v>41</v>
      </c>
      <c r="Z123" s="408">
        <v>16</v>
      </c>
      <c r="AA123" s="408">
        <v>25</v>
      </c>
      <c r="AB123" s="408">
        <v>46</v>
      </c>
      <c r="AC123" s="408">
        <v>114</v>
      </c>
      <c r="AD123" s="408">
        <v>236</v>
      </c>
    </row>
    <row r="124" spans="1:30">
      <c r="A124">
        <v>101</v>
      </c>
      <c r="B124" s="1" t="s">
        <v>596</v>
      </c>
      <c r="C124" s="1" t="s">
        <v>46</v>
      </c>
      <c r="D124" s="408">
        <v>26</v>
      </c>
      <c r="E124" s="5" t="s">
        <v>33</v>
      </c>
      <c r="F124" s="408">
        <v>23</v>
      </c>
      <c r="G124" s="408">
        <v>1</v>
      </c>
      <c r="H124" s="408">
        <v>310</v>
      </c>
      <c r="I124" s="408">
        <v>23</v>
      </c>
      <c r="J124" s="408">
        <v>57</v>
      </c>
      <c r="K124" s="408">
        <v>0.40400000000000003</v>
      </c>
      <c r="L124" s="408">
        <v>3</v>
      </c>
      <c r="M124" s="408">
        <v>7</v>
      </c>
      <c r="N124" s="408">
        <v>0.42899999999999999</v>
      </c>
      <c r="O124" s="408">
        <v>20</v>
      </c>
      <c r="P124" s="408">
        <v>50</v>
      </c>
      <c r="Q124" s="408">
        <v>0.4</v>
      </c>
      <c r="R124" s="408">
        <v>0.43</v>
      </c>
      <c r="S124" s="408">
        <v>9</v>
      </c>
      <c r="T124" s="408">
        <v>21</v>
      </c>
      <c r="U124" s="408">
        <v>0.42899999999999999</v>
      </c>
      <c r="V124" s="408">
        <v>24</v>
      </c>
      <c r="W124" s="408">
        <v>47</v>
      </c>
      <c r="X124" s="408">
        <v>71</v>
      </c>
      <c r="Y124" s="408">
        <v>28</v>
      </c>
      <c r="Z124" s="408">
        <v>15</v>
      </c>
      <c r="AA124" s="408">
        <v>3</v>
      </c>
      <c r="AB124" s="408">
        <v>16</v>
      </c>
      <c r="AC124" s="408">
        <v>34</v>
      </c>
      <c r="AD124" s="408">
        <v>58</v>
      </c>
    </row>
    <row r="125" spans="1:30">
      <c r="A125">
        <v>102</v>
      </c>
      <c r="B125" s="1" t="s">
        <v>430</v>
      </c>
      <c r="C125" s="1" t="s">
        <v>20</v>
      </c>
      <c r="D125" s="408">
        <v>30</v>
      </c>
      <c r="E125" s="5" t="s">
        <v>30</v>
      </c>
      <c r="F125" s="408">
        <v>58</v>
      </c>
      <c r="G125" s="408">
        <v>53</v>
      </c>
      <c r="H125" s="408">
        <v>1727</v>
      </c>
      <c r="I125" s="408">
        <v>271</v>
      </c>
      <c r="J125" s="408">
        <v>543</v>
      </c>
      <c r="K125" s="408">
        <v>0.499</v>
      </c>
      <c r="L125" s="408">
        <v>80</v>
      </c>
      <c r="M125" s="408">
        <v>179</v>
      </c>
      <c r="N125" s="408">
        <v>0.44700000000000001</v>
      </c>
      <c r="O125" s="408">
        <v>191</v>
      </c>
      <c r="P125" s="408">
        <v>364</v>
      </c>
      <c r="Q125" s="408">
        <v>0.52500000000000002</v>
      </c>
      <c r="R125" s="408">
        <v>0.57299999999999995</v>
      </c>
      <c r="S125" s="408">
        <v>117</v>
      </c>
      <c r="T125" s="408">
        <v>134</v>
      </c>
      <c r="U125" s="408">
        <v>0.873</v>
      </c>
      <c r="V125" s="408">
        <v>32</v>
      </c>
      <c r="W125" s="408">
        <v>121</v>
      </c>
      <c r="X125" s="408">
        <v>153</v>
      </c>
      <c r="Y125" s="408">
        <v>308</v>
      </c>
      <c r="Z125" s="408">
        <v>80</v>
      </c>
      <c r="AA125" s="408">
        <v>14</v>
      </c>
      <c r="AB125" s="408">
        <v>70</v>
      </c>
      <c r="AC125" s="408">
        <v>105</v>
      </c>
      <c r="AD125" s="408">
        <v>739</v>
      </c>
    </row>
    <row r="126" spans="1:30">
      <c r="A126">
        <v>103</v>
      </c>
      <c r="B126" s="1" t="s">
        <v>59</v>
      </c>
      <c r="C126" s="1" t="s">
        <v>38</v>
      </c>
      <c r="D126" s="408">
        <v>37</v>
      </c>
      <c r="E126" s="5" t="s">
        <v>58</v>
      </c>
      <c r="F126" s="408">
        <v>13</v>
      </c>
      <c r="G126" s="408">
        <v>0</v>
      </c>
      <c r="H126" s="408">
        <v>72</v>
      </c>
      <c r="I126" s="408">
        <v>13</v>
      </c>
      <c r="J126" s="408">
        <v>19</v>
      </c>
      <c r="K126" s="408">
        <v>0.68400000000000005</v>
      </c>
      <c r="L126" s="408">
        <v>0</v>
      </c>
      <c r="M126" s="408">
        <v>0</v>
      </c>
      <c r="N126" s="408"/>
      <c r="O126" s="408">
        <v>13</v>
      </c>
      <c r="P126" s="408">
        <v>19</v>
      </c>
      <c r="Q126" s="408">
        <v>0.68400000000000005</v>
      </c>
      <c r="R126" s="408">
        <v>0.68400000000000005</v>
      </c>
      <c r="S126" s="408">
        <v>4</v>
      </c>
      <c r="T126" s="408">
        <v>8</v>
      </c>
      <c r="U126" s="408">
        <v>0.5</v>
      </c>
      <c r="V126" s="408">
        <v>6</v>
      </c>
      <c r="W126" s="408">
        <v>13</v>
      </c>
      <c r="X126" s="408">
        <v>19</v>
      </c>
      <c r="Y126" s="408">
        <v>4</v>
      </c>
      <c r="Z126" s="408">
        <v>0</v>
      </c>
      <c r="AA126" s="408">
        <v>0</v>
      </c>
      <c r="AB126" s="408">
        <v>7</v>
      </c>
      <c r="AC126" s="408">
        <v>7</v>
      </c>
      <c r="AD126" s="408">
        <v>30</v>
      </c>
    </row>
    <row r="127" spans="1:30">
      <c r="A127">
        <v>104</v>
      </c>
      <c r="B127" s="1" t="s">
        <v>322</v>
      </c>
      <c r="C127" s="1" t="s">
        <v>20</v>
      </c>
      <c r="D127" s="408">
        <v>30</v>
      </c>
      <c r="E127" s="5" t="s">
        <v>128</v>
      </c>
      <c r="F127" s="408">
        <v>12</v>
      </c>
      <c r="G127" s="408">
        <v>12</v>
      </c>
      <c r="H127" s="408">
        <v>373</v>
      </c>
      <c r="I127" s="408">
        <v>64</v>
      </c>
      <c r="J127" s="408">
        <v>168</v>
      </c>
      <c r="K127" s="408">
        <v>0.38100000000000001</v>
      </c>
      <c r="L127" s="408">
        <v>24</v>
      </c>
      <c r="M127" s="408">
        <v>77</v>
      </c>
      <c r="N127" s="408">
        <v>0.312</v>
      </c>
      <c r="O127" s="408">
        <v>40</v>
      </c>
      <c r="P127" s="408">
        <v>91</v>
      </c>
      <c r="Q127" s="408">
        <v>0.44</v>
      </c>
      <c r="R127" s="408">
        <v>0.45200000000000001</v>
      </c>
      <c r="S127" s="408">
        <v>53</v>
      </c>
      <c r="T127" s="408">
        <v>66</v>
      </c>
      <c r="U127" s="408">
        <v>0.80300000000000005</v>
      </c>
      <c r="V127" s="408">
        <v>0</v>
      </c>
      <c r="W127" s="408">
        <v>27</v>
      </c>
      <c r="X127" s="408">
        <v>27</v>
      </c>
      <c r="Y127" s="408">
        <v>49</v>
      </c>
      <c r="Z127" s="408">
        <v>12</v>
      </c>
      <c r="AA127" s="408">
        <v>3</v>
      </c>
      <c r="AB127" s="408">
        <v>18</v>
      </c>
      <c r="AC127" s="408">
        <v>24</v>
      </c>
      <c r="AD127" s="408">
        <v>205</v>
      </c>
    </row>
    <row r="128" spans="1:30">
      <c r="A128">
        <v>105</v>
      </c>
      <c r="B128" s="1" t="s">
        <v>154</v>
      </c>
      <c r="C128" s="1" t="s">
        <v>26</v>
      </c>
      <c r="D128" s="408">
        <v>25</v>
      </c>
      <c r="E128" s="5" t="s">
        <v>96</v>
      </c>
      <c r="F128" s="408">
        <v>70</v>
      </c>
      <c r="G128" s="408">
        <v>5</v>
      </c>
      <c r="H128" s="408">
        <v>1285</v>
      </c>
      <c r="I128" s="408">
        <v>150</v>
      </c>
      <c r="J128" s="408">
        <v>346</v>
      </c>
      <c r="K128" s="408">
        <v>0.434</v>
      </c>
      <c r="L128" s="408">
        <v>66</v>
      </c>
      <c r="M128" s="408">
        <v>183</v>
      </c>
      <c r="N128" s="408">
        <v>0.36099999999999999</v>
      </c>
      <c r="O128" s="408">
        <v>84</v>
      </c>
      <c r="P128" s="408">
        <v>163</v>
      </c>
      <c r="Q128" s="408">
        <v>0.51500000000000001</v>
      </c>
      <c r="R128" s="408">
        <v>0.52900000000000003</v>
      </c>
      <c r="S128" s="408">
        <v>35</v>
      </c>
      <c r="T128" s="408">
        <v>41</v>
      </c>
      <c r="U128" s="408">
        <v>0.85399999999999998</v>
      </c>
      <c r="V128" s="408">
        <v>26</v>
      </c>
      <c r="W128" s="408">
        <v>105</v>
      </c>
      <c r="X128" s="408">
        <v>131</v>
      </c>
      <c r="Y128" s="408">
        <v>82</v>
      </c>
      <c r="Z128" s="408">
        <v>18</v>
      </c>
      <c r="AA128" s="408">
        <v>19</v>
      </c>
      <c r="AB128" s="408">
        <v>35</v>
      </c>
      <c r="AC128" s="408">
        <v>100</v>
      </c>
      <c r="AD128" s="408">
        <v>401</v>
      </c>
    </row>
    <row r="129" spans="1:30">
      <c r="A129">
        <v>106</v>
      </c>
      <c r="B129" s="1" t="s">
        <v>515</v>
      </c>
      <c r="C129" s="1" t="s">
        <v>20</v>
      </c>
      <c r="D129" s="408">
        <v>24</v>
      </c>
      <c r="E129" s="5" t="s">
        <v>73</v>
      </c>
      <c r="F129" s="408">
        <v>22</v>
      </c>
      <c r="G129" s="408">
        <v>8</v>
      </c>
      <c r="H129" s="408">
        <v>363</v>
      </c>
      <c r="I129" s="408">
        <v>57</v>
      </c>
      <c r="J129" s="408">
        <v>120</v>
      </c>
      <c r="K129" s="408">
        <v>0.47499999999999998</v>
      </c>
      <c r="L129" s="408">
        <v>21</v>
      </c>
      <c r="M129" s="408">
        <v>53</v>
      </c>
      <c r="N129" s="408">
        <v>0.39600000000000002</v>
      </c>
      <c r="O129" s="408">
        <v>36</v>
      </c>
      <c r="P129" s="408">
        <v>67</v>
      </c>
      <c r="Q129" s="408">
        <v>0.53700000000000003</v>
      </c>
      <c r="R129" s="408">
        <v>0.56299999999999994</v>
      </c>
      <c r="S129" s="408">
        <v>10</v>
      </c>
      <c r="T129" s="408">
        <v>12</v>
      </c>
      <c r="U129" s="408">
        <v>0.83299999999999996</v>
      </c>
      <c r="V129" s="408">
        <v>4</v>
      </c>
      <c r="W129" s="408">
        <v>32</v>
      </c>
      <c r="X129" s="408">
        <v>36</v>
      </c>
      <c r="Y129" s="408">
        <v>33</v>
      </c>
      <c r="Z129" s="408">
        <v>5</v>
      </c>
      <c r="AA129" s="408">
        <v>0</v>
      </c>
      <c r="AB129" s="408">
        <v>17</v>
      </c>
      <c r="AC129" s="408">
        <v>30</v>
      </c>
      <c r="AD129" s="408">
        <v>145</v>
      </c>
    </row>
    <row r="130" spans="1:30">
      <c r="A130">
        <v>107</v>
      </c>
      <c r="B130" s="1" t="s">
        <v>600</v>
      </c>
      <c r="C130" s="1" t="s">
        <v>26</v>
      </c>
      <c r="D130" s="408">
        <v>23</v>
      </c>
      <c r="E130" s="5" t="s">
        <v>112</v>
      </c>
      <c r="F130" s="408">
        <v>10</v>
      </c>
      <c r="G130" s="408">
        <v>0</v>
      </c>
      <c r="H130" s="408">
        <v>27</v>
      </c>
      <c r="I130" s="408">
        <v>2</v>
      </c>
      <c r="J130" s="408">
        <v>10</v>
      </c>
      <c r="K130" s="408">
        <v>0.2</v>
      </c>
      <c r="L130" s="408">
        <v>1</v>
      </c>
      <c r="M130" s="408">
        <v>6</v>
      </c>
      <c r="N130" s="408">
        <v>0.16700000000000001</v>
      </c>
      <c r="O130" s="408">
        <v>1</v>
      </c>
      <c r="P130" s="408">
        <v>4</v>
      </c>
      <c r="Q130" s="408">
        <v>0.25</v>
      </c>
      <c r="R130" s="408">
        <v>0.25</v>
      </c>
      <c r="S130" s="408">
        <v>1</v>
      </c>
      <c r="T130" s="408">
        <v>2</v>
      </c>
      <c r="U130" s="408">
        <v>0.5</v>
      </c>
      <c r="V130" s="408">
        <v>0</v>
      </c>
      <c r="W130" s="408">
        <v>1</v>
      </c>
      <c r="X130" s="408">
        <v>1</v>
      </c>
      <c r="Y130" s="408">
        <v>1</v>
      </c>
      <c r="Z130" s="408">
        <v>1</v>
      </c>
      <c r="AA130" s="408">
        <v>0</v>
      </c>
      <c r="AB130" s="408">
        <v>1</v>
      </c>
      <c r="AC130" s="408">
        <v>0</v>
      </c>
      <c r="AD130" s="408">
        <v>6</v>
      </c>
    </row>
    <row r="131" spans="1:30">
      <c r="A131">
        <v>108</v>
      </c>
      <c r="B131" s="1" t="s">
        <v>306</v>
      </c>
      <c r="C131" s="1" t="s">
        <v>38</v>
      </c>
      <c r="D131" s="408">
        <v>26</v>
      </c>
      <c r="E131" s="5" t="s">
        <v>100</v>
      </c>
      <c r="F131" s="408">
        <v>2</v>
      </c>
      <c r="G131" s="408">
        <v>0</v>
      </c>
      <c r="H131" s="408">
        <v>10</v>
      </c>
      <c r="I131" s="408">
        <v>4</v>
      </c>
      <c r="J131" s="408">
        <v>7</v>
      </c>
      <c r="K131" s="408">
        <v>0.57099999999999995</v>
      </c>
      <c r="L131" s="408">
        <v>0</v>
      </c>
      <c r="M131" s="408">
        <v>0</v>
      </c>
      <c r="N131" s="408"/>
      <c r="O131" s="408">
        <v>4</v>
      </c>
      <c r="P131" s="408">
        <v>7</v>
      </c>
      <c r="Q131" s="408">
        <v>0.57099999999999995</v>
      </c>
      <c r="R131" s="408">
        <v>0.57099999999999995</v>
      </c>
      <c r="S131" s="408">
        <v>2</v>
      </c>
      <c r="T131" s="408">
        <v>2</v>
      </c>
      <c r="U131" s="408">
        <v>1</v>
      </c>
      <c r="V131" s="408">
        <v>3</v>
      </c>
      <c r="W131" s="408">
        <v>1</v>
      </c>
      <c r="X131" s="408">
        <v>4</v>
      </c>
      <c r="Y131" s="408">
        <v>2</v>
      </c>
      <c r="Z131" s="408">
        <v>0</v>
      </c>
      <c r="AA131" s="408">
        <v>0</v>
      </c>
      <c r="AB131" s="408">
        <v>0</v>
      </c>
      <c r="AC131" s="408">
        <v>2</v>
      </c>
      <c r="AD131" s="408">
        <v>10</v>
      </c>
    </row>
    <row r="132" spans="1:30">
      <c r="A132">
        <v>109</v>
      </c>
      <c r="B132" s="1" t="s">
        <v>626</v>
      </c>
      <c r="C132" s="1" t="s">
        <v>83</v>
      </c>
      <c r="D132" s="408">
        <v>24</v>
      </c>
      <c r="E132" s="5" t="s">
        <v>140</v>
      </c>
      <c r="F132" s="408">
        <v>4</v>
      </c>
      <c r="G132" s="408">
        <v>0</v>
      </c>
      <c r="H132" s="408">
        <v>32</v>
      </c>
      <c r="I132" s="408">
        <v>2</v>
      </c>
      <c r="J132" s="408">
        <v>4</v>
      </c>
      <c r="K132" s="408">
        <v>0.5</v>
      </c>
      <c r="L132" s="408">
        <v>0</v>
      </c>
      <c r="M132" s="408">
        <v>0</v>
      </c>
      <c r="N132" s="408"/>
      <c r="O132" s="408">
        <v>2</v>
      </c>
      <c r="P132" s="408">
        <v>4</v>
      </c>
      <c r="Q132" s="408">
        <v>0.5</v>
      </c>
      <c r="R132" s="408">
        <v>0.5</v>
      </c>
      <c r="S132" s="408">
        <v>0</v>
      </c>
      <c r="T132" s="408">
        <v>0</v>
      </c>
      <c r="U132" s="408"/>
      <c r="V132" s="408">
        <v>1</v>
      </c>
      <c r="W132" s="408">
        <v>8</v>
      </c>
      <c r="X132" s="408">
        <v>9</v>
      </c>
      <c r="Y132" s="408">
        <v>2</v>
      </c>
      <c r="Z132" s="408">
        <v>2</v>
      </c>
      <c r="AA132" s="408">
        <v>2</v>
      </c>
      <c r="AB132" s="408">
        <v>1</v>
      </c>
      <c r="AC132" s="408">
        <v>7</v>
      </c>
      <c r="AD132" s="408">
        <v>4</v>
      </c>
    </row>
    <row r="133" spans="1:30">
      <c r="A133">
        <v>110</v>
      </c>
      <c r="B133" s="1" t="s">
        <v>245</v>
      </c>
      <c r="C133" s="1" t="s">
        <v>83</v>
      </c>
      <c r="D133" s="408">
        <v>27</v>
      </c>
      <c r="E133" s="5" t="s">
        <v>112</v>
      </c>
      <c r="F133" s="408">
        <v>48</v>
      </c>
      <c r="G133" s="408">
        <v>48</v>
      </c>
      <c r="H133" s="408">
        <v>1737</v>
      </c>
      <c r="I133" s="408">
        <v>406</v>
      </c>
      <c r="J133" s="408">
        <v>864</v>
      </c>
      <c r="K133" s="408">
        <v>0.47</v>
      </c>
      <c r="L133" s="408">
        <v>104</v>
      </c>
      <c r="M133" s="408">
        <v>294</v>
      </c>
      <c r="N133" s="408">
        <v>0.35399999999999998</v>
      </c>
      <c r="O133" s="408">
        <v>302</v>
      </c>
      <c r="P133" s="408">
        <v>570</v>
      </c>
      <c r="Q133" s="408">
        <v>0.53</v>
      </c>
      <c r="R133" s="408">
        <v>0.53</v>
      </c>
      <c r="S133" s="408">
        <v>294</v>
      </c>
      <c r="T133" s="408">
        <v>394</v>
      </c>
      <c r="U133" s="408">
        <v>0.746</v>
      </c>
      <c r="V133" s="408">
        <v>105</v>
      </c>
      <c r="W133" s="408">
        <v>512</v>
      </c>
      <c r="X133" s="408">
        <v>617</v>
      </c>
      <c r="Y133" s="408">
        <v>257</v>
      </c>
      <c r="Z133" s="408">
        <v>79</v>
      </c>
      <c r="AA133" s="408">
        <v>76</v>
      </c>
      <c r="AB133" s="408">
        <v>242</v>
      </c>
      <c r="AC133" s="408">
        <v>183</v>
      </c>
      <c r="AD133" s="408">
        <v>1210</v>
      </c>
    </row>
    <row r="134" spans="1:30">
      <c r="A134">
        <v>111</v>
      </c>
      <c r="B134" s="1" t="s">
        <v>296</v>
      </c>
      <c r="C134" s="1" t="s">
        <v>38</v>
      </c>
      <c r="D134" s="408">
        <v>27</v>
      </c>
      <c r="E134" s="5" t="s">
        <v>118</v>
      </c>
      <c r="F134" s="408">
        <v>67</v>
      </c>
      <c r="G134" s="408">
        <v>67</v>
      </c>
      <c r="H134" s="408">
        <v>2148</v>
      </c>
      <c r="I134" s="408">
        <v>285</v>
      </c>
      <c r="J134" s="408">
        <v>695</v>
      </c>
      <c r="K134" s="408">
        <v>0.41</v>
      </c>
      <c r="L134" s="408">
        <v>172</v>
      </c>
      <c r="M134" s="408">
        <v>460</v>
      </c>
      <c r="N134" s="408">
        <v>0.374</v>
      </c>
      <c r="O134" s="408">
        <v>113</v>
      </c>
      <c r="P134" s="408">
        <v>235</v>
      </c>
      <c r="Q134" s="408">
        <v>0.48099999999999998</v>
      </c>
      <c r="R134" s="408">
        <v>0.53400000000000003</v>
      </c>
      <c r="S134" s="408">
        <v>103</v>
      </c>
      <c r="T134" s="408">
        <v>122</v>
      </c>
      <c r="U134" s="408">
        <v>0.84399999999999997</v>
      </c>
      <c r="V134" s="408">
        <v>50</v>
      </c>
      <c r="W134" s="408">
        <v>316</v>
      </c>
      <c r="X134" s="408">
        <v>366</v>
      </c>
      <c r="Y134" s="408">
        <v>129</v>
      </c>
      <c r="Z134" s="408">
        <v>103</v>
      </c>
      <c r="AA134" s="408">
        <v>52</v>
      </c>
      <c r="AB134" s="408">
        <v>110</v>
      </c>
      <c r="AC134" s="408">
        <v>202</v>
      </c>
      <c r="AD134" s="408">
        <v>845</v>
      </c>
    </row>
    <row r="135" spans="1:30">
      <c r="A135">
        <v>112</v>
      </c>
      <c r="B135" s="1" t="s">
        <v>314</v>
      </c>
      <c r="C135" s="1" t="s">
        <v>26</v>
      </c>
      <c r="D135" s="408">
        <v>25</v>
      </c>
      <c r="E135" s="5" t="s">
        <v>315</v>
      </c>
      <c r="F135" s="408">
        <v>65</v>
      </c>
      <c r="G135" s="408">
        <v>58</v>
      </c>
      <c r="H135" s="408">
        <v>1916</v>
      </c>
      <c r="I135" s="408">
        <v>285</v>
      </c>
      <c r="J135" s="408">
        <v>717</v>
      </c>
      <c r="K135" s="408">
        <v>0.39700000000000002</v>
      </c>
      <c r="L135" s="408">
        <v>166</v>
      </c>
      <c r="M135" s="408">
        <v>455</v>
      </c>
      <c r="N135" s="408">
        <v>0.36499999999999999</v>
      </c>
      <c r="O135" s="408">
        <v>119</v>
      </c>
      <c r="P135" s="408">
        <v>262</v>
      </c>
      <c r="Q135" s="408">
        <v>0.45400000000000001</v>
      </c>
      <c r="R135" s="408">
        <v>0.51300000000000001</v>
      </c>
      <c r="S135" s="408">
        <v>93</v>
      </c>
      <c r="T135" s="408">
        <v>109</v>
      </c>
      <c r="U135" s="408">
        <v>0.85299999999999998</v>
      </c>
      <c r="V135" s="408">
        <v>26</v>
      </c>
      <c r="W135" s="408">
        <v>257</v>
      </c>
      <c r="X135" s="408">
        <v>283</v>
      </c>
      <c r="Y135" s="408">
        <v>100</v>
      </c>
      <c r="Z135" s="408">
        <v>41</v>
      </c>
      <c r="AA135" s="408">
        <v>25</v>
      </c>
      <c r="AB135" s="408">
        <v>72</v>
      </c>
      <c r="AC135" s="408">
        <v>145</v>
      </c>
      <c r="AD135" s="408">
        <v>829</v>
      </c>
    </row>
    <row r="136" spans="1:30">
      <c r="A136">
        <v>113</v>
      </c>
      <c r="B136" s="1" t="s">
        <v>502</v>
      </c>
      <c r="C136" s="1" t="s">
        <v>46</v>
      </c>
      <c r="D136" s="408">
        <v>27</v>
      </c>
      <c r="E136" s="5" t="s">
        <v>61</v>
      </c>
      <c r="F136" s="408">
        <v>28</v>
      </c>
      <c r="G136" s="408">
        <v>4</v>
      </c>
      <c r="H136" s="408">
        <v>466</v>
      </c>
      <c r="I136" s="408">
        <v>47</v>
      </c>
      <c r="J136" s="408">
        <v>102</v>
      </c>
      <c r="K136" s="408">
        <v>0.46100000000000002</v>
      </c>
      <c r="L136" s="408">
        <v>13</v>
      </c>
      <c r="M136" s="408">
        <v>42</v>
      </c>
      <c r="N136" s="408">
        <v>0.31</v>
      </c>
      <c r="O136" s="408">
        <v>34</v>
      </c>
      <c r="P136" s="408">
        <v>60</v>
      </c>
      <c r="Q136" s="408">
        <v>0.56699999999999995</v>
      </c>
      <c r="R136" s="408">
        <v>0.52500000000000002</v>
      </c>
      <c r="S136" s="408">
        <v>19</v>
      </c>
      <c r="T136" s="408">
        <v>29</v>
      </c>
      <c r="U136" s="408">
        <v>0.65500000000000003</v>
      </c>
      <c r="V136" s="408">
        <v>28</v>
      </c>
      <c r="W136" s="408">
        <v>59</v>
      </c>
      <c r="X136" s="408">
        <v>87</v>
      </c>
      <c r="Y136" s="408">
        <v>17</v>
      </c>
      <c r="Z136" s="408">
        <v>8</v>
      </c>
      <c r="AA136" s="408">
        <v>7</v>
      </c>
      <c r="AB136" s="408">
        <v>12</v>
      </c>
      <c r="AC136" s="408">
        <v>43</v>
      </c>
      <c r="AD136" s="408">
        <v>126</v>
      </c>
    </row>
    <row r="137" spans="1:30">
      <c r="A137">
        <v>114</v>
      </c>
      <c r="B137" s="1" t="s">
        <v>7</v>
      </c>
      <c r="C137" s="1" t="s">
        <v>26</v>
      </c>
      <c r="D137" s="408">
        <v>37</v>
      </c>
      <c r="E137" s="5" t="s">
        <v>56</v>
      </c>
      <c r="F137" s="408">
        <v>69</v>
      </c>
      <c r="G137" s="408">
        <v>0</v>
      </c>
      <c r="H137" s="408">
        <v>1373</v>
      </c>
      <c r="I137" s="408">
        <v>264</v>
      </c>
      <c r="J137" s="408">
        <v>629</v>
      </c>
      <c r="K137" s="408">
        <v>0.42</v>
      </c>
      <c r="L137" s="408">
        <v>91</v>
      </c>
      <c r="M137" s="408">
        <v>268</v>
      </c>
      <c r="N137" s="408">
        <v>0.34</v>
      </c>
      <c r="O137" s="408">
        <v>173</v>
      </c>
      <c r="P137" s="408">
        <v>361</v>
      </c>
      <c r="Q137" s="408">
        <v>0.47899999999999998</v>
      </c>
      <c r="R137" s="408">
        <v>0.49199999999999999</v>
      </c>
      <c r="S137" s="408">
        <v>88</v>
      </c>
      <c r="T137" s="408">
        <v>98</v>
      </c>
      <c r="U137" s="408">
        <v>0.89800000000000002</v>
      </c>
      <c r="V137" s="408">
        <v>15</v>
      </c>
      <c r="W137" s="408">
        <v>64</v>
      </c>
      <c r="X137" s="408">
        <v>79</v>
      </c>
      <c r="Y137" s="408">
        <v>160</v>
      </c>
      <c r="Z137" s="408">
        <v>36</v>
      </c>
      <c r="AA137" s="408">
        <v>8</v>
      </c>
      <c r="AB137" s="408">
        <v>74</v>
      </c>
      <c r="AC137" s="408">
        <v>76</v>
      </c>
      <c r="AD137" s="408">
        <v>707</v>
      </c>
    </row>
    <row r="138" spans="1:30">
      <c r="A138">
        <v>115</v>
      </c>
      <c r="B138" s="1" t="s">
        <v>454</v>
      </c>
      <c r="C138" s="1" t="s">
        <v>26</v>
      </c>
      <c r="D138" s="408">
        <v>29</v>
      </c>
      <c r="E138" s="5" t="s">
        <v>112</v>
      </c>
      <c r="F138" s="408">
        <v>2</v>
      </c>
      <c r="G138" s="408">
        <v>0</v>
      </c>
      <c r="H138" s="408">
        <v>37</v>
      </c>
      <c r="I138" s="408">
        <v>7</v>
      </c>
      <c r="J138" s="408">
        <v>14</v>
      </c>
      <c r="K138" s="408">
        <v>0.5</v>
      </c>
      <c r="L138" s="408">
        <v>4</v>
      </c>
      <c r="M138" s="408">
        <v>5</v>
      </c>
      <c r="N138" s="408">
        <v>0.8</v>
      </c>
      <c r="O138" s="408">
        <v>3</v>
      </c>
      <c r="P138" s="408">
        <v>9</v>
      </c>
      <c r="Q138" s="408">
        <v>0.33300000000000002</v>
      </c>
      <c r="R138" s="408">
        <v>0.64300000000000002</v>
      </c>
      <c r="S138" s="408">
        <v>0</v>
      </c>
      <c r="T138" s="408">
        <v>0</v>
      </c>
      <c r="U138" s="408"/>
      <c r="V138" s="408">
        <v>2</v>
      </c>
      <c r="W138" s="408">
        <v>1</v>
      </c>
      <c r="X138" s="408">
        <v>3</v>
      </c>
      <c r="Y138" s="408">
        <v>9</v>
      </c>
      <c r="Z138" s="408">
        <v>0</v>
      </c>
      <c r="AA138" s="408">
        <v>1</v>
      </c>
      <c r="AB138" s="408">
        <v>4</v>
      </c>
      <c r="AC138" s="408">
        <v>6</v>
      </c>
      <c r="AD138" s="408">
        <v>18</v>
      </c>
    </row>
    <row r="139" spans="1:30">
      <c r="A139">
        <v>116</v>
      </c>
      <c r="B139" s="1" t="s">
        <v>398</v>
      </c>
      <c r="C139" s="1" t="s">
        <v>46</v>
      </c>
      <c r="D139" s="408">
        <v>27</v>
      </c>
      <c r="E139" s="5" t="s">
        <v>357</v>
      </c>
      <c r="F139" s="408">
        <v>68</v>
      </c>
      <c r="G139" s="408">
        <v>47</v>
      </c>
      <c r="H139" s="408">
        <v>1778</v>
      </c>
      <c r="I139" s="408">
        <v>223</v>
      </c>
      <c r="J139" s="408">
        <v>545</v>
      </c>
      <c r="K139" s="408">
        <v>0.40899999999999997</v>
      </c>
      <c r="L139" s="408">
        <v>92</v>
      </c>
      <c r="M139" s="408">
        <v>278</v>
      </c>
      <c r="N139" s="408">
        <v>0.33100000000000002</v>
      </c>
      <c r="O139" s="408">
        <v>131</v>
      </c>
      <c r="P139" s="408">
        <v>267</v>
      </c>
      <c r="Q139" s="408">
        <v>0.49099999999999999</v>
      </c>
      <c r="R139" s="408">
        <v>0.49399999999999999</v>
      </c>
      <c r="S139" s="408">
        <v>110</v>
      </c>
      <c r="T139" s="408">
        <v>134</v>
      </c>
      <c r="U139" s="408">
        <v>0.82099999999999995</v>
      </c>
      <c r="V139" s="408">
        <v>47</v>
      </c>
      <c r="W139" s="408">
        <v>184</v>
      </c>
      <c r="X139" s="408">
        <v>231</v>
      </c>
      <c r="Y139" s="408">
        <v>84</v>
      </c>
      <c r="Z139" s="408">
        <v>52</v>
      </c>
      <c r="AA139" s="408">
        <v>17</v>
      </c>
      <c r="AB139" s="408">
        <v>62</v>
      </c>
      <c r="AC139" s="408">
        <v>156</v>
      </c>
      <c r="AD139" s="408">
        <v>648</v>
      </c>
    </row>
    <row r="140" spans="1:30">
      <c r="A140">
        <v>116</v>
      </c>
      <c r="B140" s="1" t="s">
        <v>398</v>
      </c>
      <c r="C140" s="1" t="s">
        <v>46</v>
      </c>
      <c r="D140" s="408">
        <v>27</v>
      </c>
      <c r="E140" s="5" t="s">
        <v>102</v>
      </c>
      <c r="F140" s="408">
        <v>53</v>
      </c>
      <c r="G140" s="408">
        <v>47</v>
      </c>
      <c r="H140" s="408">
        <v>1346</v>
      </c>
      <c r="I140" s="408">
        <v>157</v>
      </c>
      <c r="J140" s="408">
        <v>376</v>
      </c>
      <c r="K140" s="408">
        <v>0.41799999999999998</v>
      </c>
      <c r="L140" s="408">
        <v>62</v>
      </c>
      <c r="M140" s="408">
        <v>189</v>
      </c>
      <c r="N140" s="408">
        <v>0.32800000000000001</v>
      </c>
      <c r="O140" s="408">
        <v>95</v>
      </c>
      <c r="P140" s="408">
        <v>187</v>
      </c>
      <c r="Q140" s="408">
        <v>0.50800000000000001</v>
      </c>
      <c r="R140" s="408">
        <v>0.5</v>
      </c>
      <c r="S140" s="408">
        <v>78</v>
      </c>
      <c r="T140" s="408">
        <v>92</v>
      </c>
      <c r="U140" s="408">
        <v>0.84799999999999998</v>
      </c>
      <c r="V140" s="408">
        <v>41</v>
      </c>
      <c r="W140" s="408">
        <v>132</v>
      </c>
      <c r="X140" s="408">
        <v>173</v>
      </c>
      <c r="Y140" s="408">
        <v>58</v>
      </c>
      <c r="Z140" s="408">
        <v>41</v>
      </c>
      <c r="AA140" s="408">
        <v>12</v>
      </c>
      <c r="AB140" s="408">
        <v>42</v>
      </c>
      <c r="AC140" s="408">
        <v>124</v>
      </c>
      <c r="AD140" s="408">
        <v>454</v>
      </c>
    </row>
    <row r="141" spans="1:30">
      <c r="A141">
        <v>116</v>
      </c>
      <c r="B141" s="1" t="s">
        <v>398</v>
      </c>
      <c r="C141" s="1" t="s">
        <v>46</v>
      </c>
      <c r="D141" s="408">
        <v>27</v>
      </c>
      <c r="E141" s="5" t="s">
        <v>305</v>
      </c>
      <c r="F141" s="408">
        <v>15</v>
      </c>
      <c r="G141" s="408">
        <v>0</v>
      </c>
      <c r="H141" s="408">
        <v>432</v>
      </c>
      <c r="I141" s="408">
        <v>66</v>
      </c>
      <c r="J141" s="408">
        <v>169</v>
      </c>
      <c r="K141" s="408">
        <v>0.39100000000000001</v>
      </c>
      <c r="L141" s="408">
        <v>30</v>
      </c>
      <c r="M141" s="408">
        <v>89</v>
      </c>
      <c r="N141" s="408">
        <v>0.33700000000000002</v>
      </c>
      <c r="O141" s="408">
        <v>36</v>
      </c>
      <c r="P141" s="408">
        <v>80</v>
      </c>
      <c r="Q141" s="408">
        <v>0.45</v>
      </c>
      <c r="R141" s="408">
        <v>0.47899999999999998</v>
      </c>
      <c r="S141" s="408">
        <v>32</v>
      </c>
      <c r="T141" s="408">
        <v>42</v>
      </c>
      <c r="U141" s="408">
        <v>0.76200000000000001</v>
      </c>
      <c r="V141" s="408">
        <v>6</v>
      </c>
      <c r="W141" s="408">
        <v>52</v>
      </c>
      <c r="X141" s="408">
        <v>58</v>
      </c>
      <c r="Y141" s="408">
        <v>26</v>
      </c>
      <c r="Z141" s="408">
        <v>11</v>
      </c>
      <c r="AA141" s="408">
        <v>5</v>
      </c>
      <c r="AB141" s="408">
        <v>20</v>
      </c>
      <c r="AC141" s="408">
        <v>32</v>
      </c>
      <c r="AD141" s="408">
        <v>194</v>
      </c>
    </row>
    <row r="142" spans="1:30">
      <c r="A142">
        <v>117</v>
      </c>
      <c r="B142" s="1" t="s">
        <v>131</v>
      </c>
      <c r="C142" s="1" t="s">
        <v>46</v>
      </c>
      <c r="D142" s="408">
        <v>30</v>
      </c>
      <c r="E142" s="5" t="s">
        <v>357</v>
      </c>
      <c r="F142" s="408">
        <v>64</v>
      </c>
      <c r="G142" s="408">
        <v>25</v>
      </c>
      <c r="H142" s="408">
        <v>1384</v>
      </c>
      <c r="I142" s="408">
        <v>137</v>
      </c>
      <c r="J142" s="408">
        <v>302</v>
      </c>
      <c r="K142" s="408">
        <v>0.45400000000000001</v>
      </c>
      <c r="L142" s="408">
        <v>50</v>
      </c>
      <c r="M142" s="408">
        <v>139</v>
      </c>
      <c r="N142" s="408">
        <v>0.36</v>
      </c>
      <c r="O142" s="408">
        <v>87</v>
      </c>
      <c r="P142" s="408">
        <v>163</v>
      </c>
      <c r="Q142" s="408">
        <v>0.53400000000000003</v>
      </c>
      <c r="R142" s="408">
        <v>0.53600000000000003</v>
      </c>
      <c r="S142" s="408">
        <v>28</v>
      </c>
      <c r="T142" s="408">
        <v>47</v>
      </c>
      <c r="U142" s="408">
        <v>0.59599999999999997</v>
      </c>
      <c r="V142" s="408">
        <v>67</v>
      </c>
      <c r="W142" s="408">
        <v>190</v>
      </c>
      <c r="X142" s="408">
        <v>257</v>
      </c>
      <c r="Y142" s="408">
        <v>40</v>
      </c>
      <c r="Z142" s="408">
        <v>37</v>
      </c>
      <c r="AA142" s="408">
        <v>22</v>
      </c>
      <c r="AB142" s="408">
        <v>28</v>
      </c>
      <c r="AC142" s="408">
        <v>96</v>
      </c>
      <c r="AD142" s="408">
        <v>352</v>
      </c>
    </row>
    <row r="143" spans="1:30">
      <c r="A143">
        <v>117</v>
      </c>
      <c r="B143" s="1" t="s">
        <v>131</v>
      </c>
      <c r="C143" s="1" t="s">
        <v>46</v>
      </c>
      <c r="D143" s="408">
        <v>30</v>
      </c>
      <c r="E143" s="5" t="s">
        <v>112</v>
      </c>
      <c r="F143" s="408">
        <v>51</v>
      </c>
      <c r="G143" s="408">
        <v>24</v>
      </c>
      <c r="H143" s="408">
        <v>1115</v>
      </c>
      <c r="I143" s="408">
        <v>99</v>
      </c>
      <c r="J143" s="408">
        <v>225</v>
      </c>
      <c r="K143" s="408">
        <v>0.44</v>
      </c>
      <c r="L143" s="408">
        <v>35</v>
      </c>
      <c r="M143" s="408">
        <v>108</v>
      </c>
      <c r="N143" s="408">
        <v>0.32400000000000001</v>
      </c>
      <c r="O143" s="408">
        <v>64</v>
      </c>
      <c r="P143" s="408">
        <v>117</v>
      </c>
      <c r="Q143" s="408">
        <v>0.54700000000000004</v>
      </c>
      <c r="R143" s="408">
        <v>0.51800000000000002</v>
      </c>
      <c r="S143" s="408">
        <v>20</v>
      </c>
      <c r="T143" s="408">
        <v>36</v>
      </c>
      <c r="U143" s="408">
        <v>0.55600000000000005</v>
      </c>
      <c r="V143" s="408">
        <v>50</v>
      </c>
      <c r="W143" s="408">
        <v>143</v>
      </c>
      <c r="X143" s="408">
        <v>193</v>
      </c>
      <c r="Y143" s="408">
        <v>26</v>
      </c>
      <c r="Z143" s="408">
        <v>27</v>
      </c>
      <c r="AA143" s="408">
        <v>16</v>
      </c>
      <c r="AB143" s="408">
        <v>16</v>
      </c>
      <c r="AC143" s="408">
        <v>75</v>
      </c>
      <c r="AD143" s="408">
        <v>253</v>
      </c>
    </row>
    <row r="144" spans="1:30">
      <c r="A144">
        <v>117</v>
      </c>
      <c r="B144" s="1" t="s">
        <v>131</v>
      </c>
      <c r="C144" s="1" t="s">
        <v>46</v>
      </c>
      <c r="D144" s="408">
        <v>30</v>
      </c>
      <c r="E144" s="5" t="s">
        <v>315</v>
      </c>
      <c r="F144" s="408">
        <v>13</v>
      </c>
      <c r="G144" s="408">
        <v>1</v>
      </c>
      <c r="H144" s="408">
        <v>269</v>
      </c>
      <c r="I144" s="408">
        <v>38</v>
      </c>
      <c r="J144" s="408">
        <v>77</v>
      </c>
      <c r="K144" s="408">
        <v>0.49399999999999999</v>
      </c>
      <c r="L144" s="408">
        <v>15</v>
      </c>
      <c r="M144" s="408">
        <v>31</v>
      </c>
      <c r="N144" s="408">
        <v>0.48399999999999999</v>
      </c>
      <c r="O144" s="408">
        <v>23</v>
      </c>
      <c r="P144" s="408">
        <v>46</v>
      </c>
      <c r="Q144" s="408">
        <v>0.5</v>
      </c>
      <c r="R144" s="408">
        <v>0.59099999999999997</v>
      </c>
      <c r="S144" s="408">
        <v>8</v>
      </c>
      <c r="T144" s="408">
        <v>11</v>
      </c>
      <c r="U144" s="408">
        <v>0.72699999999999998</v>
      </c>
      <c r="V144" s="408">
        <v>17</v>
      </c>
      <c r="W144" s="408">
        <v>47</v>
      </c>
      <c r="X144" s="408">
        <v>64</v>
      </c>
      <c r="Y144" s="408">
        <v>14</v>
      </c>
      <c r="Z144" s="408">
        <v>10</v>
      </c>
      <c r="AA144" s="408">
        <v>6</v>
      </c>
      <c r="AB144" s="408">
        <v>12</v>
      </c>
      <c r="AC144" s="408">
        <v>21</v>
      </c>
      <c r="AD144" s="408">
        <v>99</v>
      </c>
    </row>
    <row r="145" spans="1:30">
      <c r="A145">
        <v>118</v>
      </c>
      <c r="B145" s="1" t="s">
        <v>288</v>
      </c>
      <c r="C145" s="1" t="s">
        <v>20</v>
      </c>
      <c r="D145" s="408">
        <v>29</v>
      </c>
      <c r="E145" s="5" t="s">
        <v>73</v>
      </c>
      <c r="F145" s="408">
        <v>50</v>
      </c>
      <c r="G145" s="408">
        <v>50</v>
      </c>
      <c r="H145" s="408">
        <v>1605</v>
      </c>
      <c r="I145" s="408">
        <v>418</v>
      </c>
      <c r="J145" s="408">
        <v>846</v>
      </c>
      <c r="K145" s="408">
        <v>0.49399999999999999</v>
      </c>
      <c r="L145" s="408">
        <v>209</v>
      </c>
      <c r="M145" s="408">
        <v>493</v>
      </c>
      <c r="N145" s="408">
        <v>0.42399999999999999</v>
      </c>
      <c r="O145" s="408">
        <v>209</v>
      </c>
      <c r="P145" s="408">
        <v>353</v>
      </c>
      <c r="Q145" s="408">
        <v>0.59199999999999997</v>
      </c>
      <c r="R145" s="408">
        <v>0.61799999999999999</v>
      </c>
      <c r="S145" s="408">
        <v>272</v>
      </c>
      <c r="T145" s="408">
        <v>296</v>
      </c>
      <c r="U145" s="408">
        <v>0.91900000000000004</v>
      </c>
      <c r="V145" s="408">
        <v>35</v>
      </c>
      <c r="W145" s="408">
        <v>219</v>
      </c>
      <c r="X145" s="408">
        <v>254</v>
      </c>
      <c r="Y145" s="408">
        <v>309</v>
      </c>
      <c r="Z145" s="408">
        <v>80</v>
      </c>
      <c r="AA145" s="408">
        <v>7</v>
      </c>
      <c r="AB145" s="408">
        <v>152</v>
      </c>
      <c r="AC145" s="408">
        <v>113</v>
      </c>
      <c r="AD145" s="408">
        <v>1317</v>
      </c>
    </row>
    <row r="146" spans="1:30">
      <c r="A146">
        <v>119</v>
      </c>
      <c r="B146" s="1" t="s">
        <v>348</v>
      </c>
      <c r="C146" s="1" t="s">
        <v>26</v>
      </c>
      <c r="D146" s="408">
        <v>26</v>
      </c>
      <c r="E146" s="5" t="s">
        <v>313</v>
      </c>
      <c r="F146" s="408">
        <v>70</v>
      </c>
      <c r="G146" s="408">
        <v>6</v>
      </c>
      <c r="H146" s="408">
        <v>1386</v>
      </c>
      <c r="I146" s="408">
        <v>194</v>
      </c>
      <c r="J146" s="408">
        <v>485</v>
      </c>
      <c r="K146" s="408">
        <v>0.4</v>
      </c>
      <c r="L146" s="408">
        <v>153</v>
      </c>
      <c r="M146" s="408">
        <v>390</v>
      </c>
      <c r="N146" s="408">
        <v>0.39200000000000002</v>
      </c>
      <c r="O146" s="408">
        <v>41</v>
      </c>
      <c r="P146" s="408">
        <v>95</v>
      </c>
      <c r="Q146" s="408">
        <v>0.432</v>
      </c>
      <c r="R146" s="408">
        <v>0.55800000000000005</v>
      </c>
      <c r="S146" s="408">
        <v>51</v>
      </c>
      <c r="T146" s="408">
        <v>57</v>
      </c>
      <c r="U146" s="408">
        <v>0.89500000000000002</v>
      </c>
      <c r="V146" s="408">
        <v>10</v>
      </c>
      <c r="W146" s="408">
        <v>88</v>
      </c>
      <c r="X146" s="408">
        <v>98</v>
      </c>
      <c r="Y146" s="408">
        <v>46</v>
      </c>
      <c r="Z146" s="408">
        <v>23</v>
      </c>
      <c r="AA146" s="408">
        <v>5</v>
      </c>
      <c r="AB146" s="408">
        <v>47</v>
      </c>
      <c r="AC146" s="408">
        <v>127</v>
      </c>
      <c r="AD146" s="408">
        <v>592</v>
      </c>
    </row>
    <row r="147" spans="1:30">
      <c r="A147">
        <v>120</v>
      </c>
      <c r="B147" s="1" t="s">
        <v>485</v>
      </c>
      <c r="C147" s="1" t="s">
        <v>38</v>
      </c>
      <c r="D147" s="408">
        <v>24</v>
      </c>
      <c r="E147" s="5" t="s">
        <v>112</v>
      </c>
      <c r="F147" s="408">
        <v>63</v>
      </c>
      <c r="G147" s="408">
        <v>63</v>
      </c>
      <c r="H147" s="408">
        <v>2299</v>
      </c>
      <c r="I147" s="408">
        <v>654</v>
      </c>
      <c r="J147" s="408">
        <v>1225</v>
      </c>
      <c r="K147" s="408">
        <v>0.53400000000000003</v>
      </c>
      <c r="L147" s="408">
        <v>48</v>
      </c>
      <c r="M147" s="408">
        <v>144</v>
      </c>
      <c r="N147" s="408">
        <v>0.33300000000000002</v>
      </c>
      <c r="O147" s="408">
        <v>606</v>
      </c>
      <c r="P147" s="408">
        <v>1081</v>
      </c>
      <c r="Q147" s="408">
        <v>0.56100000000000005</v>
      </c>
      <c r="R147" s="408">
        <v>0.55300000000000005</v>
      </c>
      <c r="S147" s="408">
        <v>409</v>
      </c>
      <c r="T147" s="408">
        <v>492</v>
      </c>
      <c r="U147" s="408">
        <v>0.83099999999999996</v>
      </c>
      <c r="V147" s="408">
        <v>163</v>
      </c>
      <c r="W147" s="408">
        <v>542</v>
      </c>
      <c r="X147" s="408">
        <v>705</v>
      </c>
      <c r="Y147" s="408">
        <v>147</v>
      </c>
      <c r="Z147" s="408">
        <v>92</v>
      </c>
      <c r="AA147" s="408">
        <v>151</v>
      </c>
      <c r="AB147" s="408">
        <v>138</v>
      </c>
      <c r="AC147" s="408">
        <v>133</v>
      </c>
      <c r="AD147" s="408">
        <v>1765</v>
      </c>
    </row>
    <row r="148" spans="1:30">
      <c r="A148">
        <v>121</v>
      </c>
      <c r="B148" s="1" t="s">
        <v>586</v>
      </c>
      <c r="C148" s="1" t="s">
        <v>83</v>
      </c>
      <c r="D148" s="408">
        <v>21</v>
      </c>
      <c r="E148" s="5" t="s">
        <v>128</v>
      </c>
      <c r="F148" s="408">
        <v>50</v>
      </c>
      <c r="G148" s="408">
        <v>3</v>
      </c>
      <c r="H148" s="408">
        <v>694</v>
      </c>
      <c r="I148" s="408">
        <v>120</v>
      </c>
      <c r="J148" s="408">
        <v>191</v>
      </c>
      <c r="K148" s="408">
        <v>0.628</v>
      </c>
      <c r="L148" s="408">
        <v>0</v>
      </c>
      <c r="M148" s="408">
        <v>0</v>
      </c>
      <c r="N148" s="408"/>
      <c r="O148" s="408">
        <v>120</v>
      </c>
      <c r="P148" s="408">
        <v>191</v>
      </c>
      <c r="Q148" s="408">
        <v>0.628</v>
      </c>
      <c r="R148" s="408">
        <v>0.628</v>
      </c>
      <c r="S148" s="408">
        <v>32</v>
      </c>
      <c r="T148" s="408">
        <v>45</v>
      </c>
      <c r="U148" s="408">
        <v>0.71099999999999997</v>
      </c>
      <c r="V148" s="408">
        <v>57</v>
      </c>
      <c r="W148" s="408">
        <v>129</v>
      </c>
      <c r="X148" s="408">
        <v>186</v>
      </c>
      <c r="Y148" s="408">
        <v>31</v>
      </c>
      <c r="Z148" s="408">
        <v>12</v>
      </c>
      <c r="AA148" s="408">
        <v>31</v>
      </c>
      <c r="AB148" s="408">
        <v>25</v>
      </c>
      <c r="AC148" s="408">
        <v>97</v>
      </c>
      <c r="AD148" s="408">
        <v>272</v>
      </c>
    </row>
    <row r="149" spans="1:30">
      <c r="A149">
        <v>122</v>
      </c>
      <c r="B149" s="1" t="s">
        <v>136</v>
      </c>
      <c r="C149" s="1" t="s">
        <v>83</v>
      </c>
      <c r="D149" s="408">
        <v>28</v>
      </c>
      <c r="E149" s="5" t="s">
        <v>96</v>
      </c>
      <c r="F149" s="408">
        <v>70</v>
      </c>
      <c r="G149" s="408">
        <v>0</v>
      </c>
      <c r="H149" s="408">
        <v>1334</v>
      </c>
      <c r="I149" s="408">
        <v>160</v>
      </c>
      <c r="J149" s="408">
        <v>271</v>
      </c>
      <c r="K149" s="408">
        <v>0.59</v>
      </c>
      <c r="L149" s="408">
        <v>0</v>
      </c>
      <c r="M149" s="408">
        <v>0</v>
      </c>
      <c r="N149" s="408"/>
      <c r="O149" s="408">
        <v>160</v>
      </c>
      <c r="P149" s="408">
        <v>271</v>
      </c>
      <c r="Q149" s="408">
        <v>0.59</v>
      </c>
      <c r="R149" s="408">
        <v>0.59</v>
      </c>
      <c r="S149" s="408">
        <v>70</v>
      </c>
      <c r="T149" s="408">
        <v>105</v>
      </c>
      <c r="U149" s="408">
        <v>0.66700000000000004</v>
      </c>
      <c r="V149" s="408">
        <v>173</v>
      </c>
      <c r="W149" s="408">
        <v>355</v>
      </c>
      <c r="X149" s="408">
        <v>528</v>
      </c>
      <c r="Y149" s="408">
        <v>36</v>
      </c>
      <c r="Z149" s="408">
        <v>32</v>
      </c>
      <c r="AA149" s="408">
        <v>47</v>
      </c>
      <c r="AB149" s="408">
        <v>58</v>
      </c>
      <c r="AC149" s="408">
        <v>173</v>
      </c>
      <c r="AD149" s="408">
        <v>390</v>
      </c>
    </row>
    <row r="150" spans="1:30">
      <c r="A150">
        <v>123</v>
      </c>
      <c r="B150" s="1" t="s">
        <v>511</v>
      </c>
      <c r="C150" s="1" t="s">
        <v>83</v>
      </c>
      <c r="D150" s="408">
        <v>28</v>
      </c>
      <c r="E150" s="5" t="s">
        <v>149</v>
      </c>
      <c r="F150" s="408">
        <v>51</v>
      </c>
      <c r="G150" s="408">
        <v>35</v>
      </c>
      <c r="H150" s="408">
        <v>1227</v>
      </c>
      <c r="I150" s="408">
        <v>199</v>
      </c>
      <c r="J150" s="408">
        <v>367</v>
      </c>
      <c r="K150" s="408">
        <v>0.54200000000000004</v>
      </c>
      <c r="L150" s="408">
        <v>40</v>
      </c>
      <c r="M150" s="408">
        <v>107</v>
      </c>
      <c r="N150" s="408">
        <v>0.374</v>
      </c>
      <c r="O150" s="408">
        <v>159</v>
      </c>
      <c r="P150" s="408">
        <v>260</v>
      </c>
      <c r="Q150" s="408">
        <v>0.61199999999999999</v>
      </c>
      <c r="R150" s="408">
        <v>0.59699999999999998</v>
      </c>
      <c r="S150" s="408">
        <v>53</v>
      </c>
      <c r="T150" s="408">
        <v>67</v>
      </c>
      <c r="U150" s="408">
        <v>0.79100000000000004</v>
      </c>
      <c r="V150" s="408">
        <v>83</v>
      </c>
      <c r="W150" s="408">
        <v>293</v>
      </c>
      <c r="X150" s="408">
        <v>376</v>
      </c>
      <c r="Y150" s="408">
        <v>71</v>
      </c>
      <c r="Z150" s="408">
        <v>34</v>
      </c>
      <c r="AA150" s="408">
        <v>40</v>
      </c>
      <c r="AB150" s="408">
        <v>76</v>
      </c>
      <c r="AC150" s="408">
        <v>135</v>
      </c>
      <c r="AD150" s="408">
        <v>491</v>
      </c>
    </row>
    <row r="151" spans="1:30">
      <c r="A151">
        <v>124</v>
      </c>
      <c r="B151" s="1" t="s">
        <v>516</v>
      </c>
      <c r="C151" s="1" t="s">
        <v>38</v>
      </c>
      <c r="D151" s="408">
        <v>23</v>
      </c>
      <c r="E151" s="5" t="s">
        <v>64</v>
      </c>
      <c r="F151" s="408">
        <v>62</v>
      </c>
      <c r="G151" s="408">
        <v>1</v>
      </c>
      <c r="H151" s="408">
        <v>767</v>
      </c>
      <c r="I151" s="408">
        <v>106</v>
      </c>
      <c r="J151" s="408">
        <v>225</v>
      </c>
      <c r="K151" s="408">
        <v>0.47099999999999997</v>
      </c>
      <c r="L151" s="408">
        <v>9</v>
      </c>
      <c r="M151" s="408">
        <v>58</v>
      </c>
      <c r="N151" s="408">
        <v>0.155</v>
      </c>
      <c r="O151" s="408">
        <v>97</v>
      </c>
      <c r="P151" s="408">
        <v>167</v>
      </c>
      <c r="Q151" s="408">
        <v>0.58099999999999996</v>
      </c>
      <c r="R151" s="408">
        <v>0.49099999999999999</v>
      </c>
      <c r="S151" s="408">
        <v>32</v>
      </c>
      <c r="T151" s="408">
        <v>46</v>
      </c>
      <c r="U151" s="408">
        <v>0.69599999999999995</v>
      </c>
      <c r="V151" s="408">
        <v>36</v>
      </c>
      <c r="W151" s="408">
        <v>110</v>
      </c>
      <c r="X151" s="408">
        <v>146</v>
      </c>
      <c r="Y151" s="408">
        <v>33</v>
      </c>
      <c r="Z151" s="408">
        <v>22</v>
      </c>
      <c r="AA151" s="408">
        <v>8</v>
      </c>
      <c r="AB151" s="408">
        <v>28</v>
      </c>
      <c r="AC151" s="408">
        <v>60</v>
      </c>
      <c r="AD151" s="408">
        <v>253</v>
      </c>
    </row>
    <row r="152" spans="1:30">
      <c r="A152">
        <v>125</v>
      </c>
      <c r="B152" s="1" t="s">
        <v>462</v>
      </c>
      <c r="C152" s="1" t="s">
        <v>20</v>
      </c>
      <c r="D152" s="408">
        <v>28</v>
      </c>
      <c r="E152" s="5" t="s">
        <v>149</v>
      </c>
      <c r="F152" s="408">
        <v>54</v>
      </c>
      <c r="G152" s="408">
        <v>3</v>
      </c>
      <c r="H152" s="408">
        <v>1014</v>
      </c>
      <c r="I152" s="408">
        <v>109</v>
      </c>
      <c r="J152" s="408">
        <v>285</v>
      </c>
      <c r="K152" s="408">
        <v>0.38200000000000001</v>
      </c>
      <c r="L152" s="408">
        <v>46</v>
      </c>
      <c r="M152" s="408">
        <v>124</v>
      </c>
      <c r="N152" s="408">
        <v>0.371</v>
      </c>
      <c r="O152" s="408">
        <v>63</v>
      </c>
      <c r="P152" s="408">
        <v>161</v>
      </c>
      <c r="Q152" s="408">
        <v>0.39100000000000001</v>
      </c>
      <c r="R152" s="408">
        <v>0.46300000000000002</v>
      </c>
      <c r="S152" s="408">
        <v>74</v>
      </c>
      <c r="T152" s="408">
        <v>92</v>
      </c>
      <c r="U152" s="408">
        <v>0.80400000000000005</v>
      </c>
      <c r="V152" s="408">
        <v>9</v>
      </c>
      <c r="W152" s="408">
        <v>91</v>
      </c>
      <c r="X152" s="408">
        <v>100</v>
      </c>
      <c r="Y152" s="408">
        <v>163</v>
      </c>
      <c r="Z152" s="408">
        <v>35</v>
      </c>
      <c r="AA152" s="408">
        <v>6</v>
      </c>
      <c r="AB152" s="408">
        <v>66</v>
      </c>
      <c r="AC152" s="408">
        <v>82</v>
      </c>
      <c r="AD152" s="408">
        <v>338</v>
      </c>
    </row>
    <row r="153" spans="1:30">
      <c r="A153">
        <v>126</v>
      </c>
      <c r="B153" s="1" t="s">
        <v>467</v>
      </c>
      <c r="C153" s="1" t="s">
        <v>20</v>
      </c>
      <c r="D153" s="408">
        <v>27</v>
      </c>
      <c r="E153" s="5" t="s">
        <v>41</v>
      </c>
      <c r="F153" s="408">
        <v>37</v>
      </c>
      <c r="G153" s="408">
        <v>3</v>
      </c>
      <c r="H153" s="408">
        <v>702</v>
      </c>
      <c r="I153" s="408">
        <v>55</v>
      </c>
      <c r="J153" s="408">
        <v>149</v>
      </c>
      <c r="K153" s="408">
        <v>0.36899999999999999</v>
      </c>
      <c r="L153" s="408">
        <v>29</v>
      </c>
      <c r="M153" s="408">
        <v>77</v>
      </c>
      <c r="N153" s="408">
        <v>0.377</v>
      </c>
      <c r="O153" s="408">
        <v>26</v>
      </c>
      <c r="P153" s="408">
        <v>72</v>
      </c>
      <c r="Q153" s="408">
        <v>0.36099999999999999</v>
      </c>
      <c r="R153" s="408">
        <v>0.46600000000000003</v>
      </c>
      <c r="S153" s="408">
        <v>23</v>
      </c>
      <c r="T153" s="408">
        <v>25</v>
      </c>
      <c r="U153" s="408">
        <v>0.92</v>
      </c>
      <c r="V153" s="408">
        <v>13</v>
      </c>
      <c r="W153" s="408">
        <v>50</v>
      </c>
      <c r="X153" s="408">
        <v>63</v>
      </c>
      <c r="Y153" s="408">
        <v>142</v>
      </c>
      <c r="Z153" s="408">
        <v>14</v>
      </c>
      <c r="AA153" s="408">
        <v>0</v>
      </c>
      <c r="AB153" s="408">
        <v>48</v>
      </c>
      <c r="AC153" s="408">
        <v>67</v>
      </c>
      <c r="AD153" s="408">
        <v>162</v>
      </c>
    </row>
    <row r="154" spans="1:30">
      <c r="A154">
        <v>127</v>
      </c>
      <c r="B154" s="1" t="s">
        <v>624</v>
      </c>
      <c r="C154" s="1" t="s">
        <v>46</v>
      </c>
      <c r="D154" s="408">
        <v>32</v>
      </c>
      <c r="E154" s="5" t="s">
        <v>78</v>
      </c>
      <c r="F154" s="408">
        <v>1</v>
      </c>
      <c r="G154" s="408">
        <v>1</v>
      </c>
      <c r="H154" s="408">
        <v>13</v>
      </c>
      <c r="I154" s="408">
        <v>1</v>
      </c>
      <c r="J154" s="408">
        <v>2</v>
      </c>
      <c r="K154" s="408">
        <v>0.5</v>
      </c>
      <c r="L154" s="408">
        <v>0</v>
      </c>
      <c r="M154" s="408">
        <v>0</v>
      </c>
      <c r="N154" s="408"/>
      <c r="O154" s="408">
        <v>1</v>
      </c>
      <c r="P154" s="408">
        <v>2</v>
      </c>
      <c r="Q154" s="408">
        <v>0.5</v>
      </c>
      <c r="R154" s="408">
        <v>0.5</v>
      </c>
      <c r="S154" s="408">
        <v>0</v>
      </c>
      <c r="T154" s="408">
        <v>0</v>
      </c>
      <c r="U154" s="408"/>
      <c r="V154" s="408">
        <v>0</v>
      </c>
      <c r="W154" s="408">
        <v>0</v>
      </c>
      <c r="X154" s="408">
        <v>0</v>
      </c>
      <c r="Y154" s="408">
        <v>1</v>
      </c>
      <c r="Z154" s="408">
        <v>1</v>
      </c>
      <c r="AA154" s="408">
        <v>0</v>
      </c>
      <c r="AB154" s="408">
        <v>1</v>
      </c>
      <c r="AC154" s="408">
        <v>0</v>
      </c>
      <c r="AD154" s="408">
        <v>2</v>
      </c>
    </row>
    <row r="155" spans="1:30">
      <c r="A155">
        <v>128</v>
      </c>
      <c r="B155" s="1" t="s">
        <v>419</v>
      </c>
      <c r="C155" s="1" t="s">
        <v>26</v>
      </c>
      <c r="D155" s="408">
        <v>28</v>
      </c>
      <c r="E155" s="5" t="s">
        <v>47</v>
      </c>
      <c r="F155" s="408">
        <v>70</v>
      </c>
      <c r="G155" s="408">
        <v>70</v>
      </c>
      <c r="H155" s="408">
        <v>2387</v>
      </c>
      <c r="I155" s="408">
        <v>579</v>
      </c>
      <c r="J155" s="408">
        <v>1257</v>
      </c>
      <c r="K155" s="408">
        <v>0.46100000000000002</v>
      </c>
      <c r="L155" s="408">
        <v>83</v>
      </c>
      <c r="M155" s="408">
        <v>254</v>
      </c>
      <c r="N155" s="408">
        <v>0.32700000000000001</v>
      </c>
      <c r="O155" s="408">
        <v>496</v>
      </c>
      <c r="P155" s="408">
        <v>1003</v>
      </c>
      <c r="Q155" s="408">
        <v>0.495</v>
      </c>
      <c r="R155" s="408">
        <v>0.49399999999999999</v>
      </c>
      <c r="S155" s="408">
        <v>417</v>
      </c>
      <c r="T155" s="408">
        <v>505</v>
      </c>
      <c r="U155" s="408">
        <v>0.82599999999999996</v>
      </c>
      <c r="V155" s="408">
        <v>54</v>
      </c>
      <c r="W155" s="408">
        <v>226</v>
      </c>
      <c r="X155" s="408">
        <v>280</v>
      </c>
      <c r="Y155" s="408">
        <v>360</v>
      </c>
      <c r="Z155" s="408">
        <v>79</v>
      </c>
      <c r="AA155" s="408">
        <v>18</v>
      </c>
      <c r="AB155" s="408">
        <v>157</v>
      </c>
      <c r="AC155" s="408">
        <v>126</v>
      </c>
      <c r="AD155" s="408">
        <v>1658</v>
      </c>
    </row>
    <row r="156" spans="1:30">
      <c r="A156">
        <v>129</v>
      </c>
      <c r="B156" s="1" t="s">
        <v>534</v>
      </c>
      <c r="C156" s="1" t="s">
        <v>38</v>
      </c>
      <c r="D156" s="408">
        <v>21</v>
      </c>
      <c r="E156" s="5" t="s">
        <v>112</v>
      </c>
      <c r="F156" s="408">
        <v>40</v>
      </c>
      <c r="G156" s="408">
        <v>0</v>
      </c>
      <c r="H156" s="408">
        <v>394</v>
      </c>
      <c r="I156" s="408">
        <v>76</v>
      </c>
      <c r="J156" s="408">
        <v>133</v>
      </c>
      <c r="K156" s="408">
        <v>0.57099999999999995</v>
      </c>
      <c r="L156" s="408">
        <v>0</v>
      </c>
      <c r="M156" s="408">
        <v>0</v>
      </c>
      <c r="N156" s="408"/>
      <c r="O156" s="408">
        <v>76</v>
      </c>
      <c r="P156" s="408">
        <v>133</v>
      </c>
      <c r="Q156" s="408">
        <v>0.57099999999999995</v>
      </c>
      <c r="R156" s="408">
        <v>0.57099999999999995</v>
      </c>
      <c r="S156" s="408">
        <v>31</v>
      </c>
      <c r="T156" s="408">
        <v>42</v>
      </c>
      <c r="U156" s="408">
        <v>0.73799999999999999</v>
      </c>
      <c r="V156" s="408">
        <v>24</v>
      </c>
      <c r="W156" s="408">
        <v>110</v>
      </c>
      <c r="X156" s="408">
        <v>134</v>
      </c>
      <c r="Y156" s="408">
        <v>13</v>
      </c>
      <c r="Z156" s="408">
        <v>9</v>
      </c>
      <c r="AA156" s="408">
        <v>16</v>
      </c>
      <c r="AB156" s="408">
        <v>18</v>
      </c>
      <c r="AC156" s="408">
        <v>53</v>
      </c>
      <c r="AD156" s="408">
        <v>183</v>
      </c>
    </row>
    <row r="157" spans="1:30">
      <c r="A157">
        <v>130</v>
      </c>
      <c r="B157" s="1" t="s">
        <v>11</v>
      </c>
      <c r="C157" s="1" t="s">
        <v>83</v>
      </c>
      <c r="D157" s="408">
        <v>28</v>
      </c>
      <c r="E157" s="5" t="s">
        <v>56</v>
      </c>
      <c r="F157" s="408">
        <v>68</v>
      </c>
      <c r="G157" s="408">
        <v>0</v>
      </c>
      <c r="H157" s="408">
        <v>1171</v>
      </c>
      <c r="I157" s="408">
        <v>159</v>
      </c>
      <c r="J157" s="408">
        <v>334</v>
      </c>
      <c r="K157" s="408">
        <v>0.47599999999999998</v>
      </c>
      <c r="L157" s="408">
        <v>13</v>
      </c>
      <c r="M157" s="408">
        <v>48</v>
      </c>
      <c r="N157" s="408">
        <v>0.27100000000000002</v>
      </c>
      <c r="O157" s="408">
        <v>146</v>
      </c>
      <c r="P157" s="408">
        <v>286</v>
      </c>
      <c r="Q157" s="408">
        <v>0.51</v>
      </c>
      <c r="R157" s="408">
        <v>0.496</v>
      </c>
      <c r="S157" s="408">
        <v>73</v>
      </c>
      <c r="T157" s="408">
        <v>95</v>
      </c>
      <c r="U157" s="408">
        <v>0.76800000000000002</v>
      </c>
      <c r="V157" s="408">
        <v>90</v>
      </c>
      <c r="W157" s="408">
        <v>217</v>
      </c>
      <c r="X157" s="408">
        <v>307</v>
      </c>
      <c r="Y157" s="408">
        <v>64</v>
      </c>
      <c r="Z157" s="408">
        <v>40</v>
      </c>
      <c r="AA157" s="408">
        <v>31</v>
      </c>
      <c r="AB157" s="408">
        <v>52</v>
      </c>
      <c r="AC157" s="408">
        <v>128</v>
      </c>
      <c r="AD157" s="408">
        <v>404</v>
      </c>
    </row>
    <row r="158" spans="1:30">
      <c r="A158">
        <v>131</v>
      </c>
      <c r="B158" s="1" t="s">
        <v>339</v>
      </c>
      <c r="C158" s="1" t="s">
        <v>20</v>
      </c>
      <c r="D158" s="408">
        <v>24</v>
      </c>
      <c r="E158" s="5" t="s">
        <v>315</v>
      </c>
      <c r="F158" s="408">
        <v>70</v>
      </c>
      <c r="G158" s="408">
        <v>57</v>
      </c>
      <c r="H158" s="408">
        <v>2045</v>
      </c>
      <c r="I158" s="408">
        <v>292</v>
      </c>
      <c r="J158" s="408">
        <v>757</v>
      </c>
      <c r="K158" s="408">
        <v>0.38600000000000001</v>
      </c>
      <c r="L158" s="408">
        <v>122</v>
      </c>
      <c r="M158" s="408">
        <v>380</v>
      </c>
      <c r="N158" s="408">
        <v>0.32100000000000001</v>
      </c>
      <c r="O158" s="408">
        <v>170</v>
      </c>
      <c r="P158" s="408">
        <v>377</v>
      </c>
      <c r="Q158" s="408">
        <v>0.45100000000000001</v>
      </c>
      <c r="R158" s="408">
        <v>0.46600000000000003</v>
      </c>
      <c r="S158" s="408">
        <v>197</v>
      </c>
      <c r="T158" s="408">
        <v>237</v>
      </c>
      <c r="U158" s="408">
        <v>0.83099999999999996</v>
      </c>
      <c r="V158" s="408">
        <v>36</v>
      </c>
      <c r="W158" s="408">
        <v>196</v>
      </c>
      <c r="X158" s="408">
        <v>232</v>
      </c>
      <c r="Y158" s="408">
        <v>475</v>
      </c>
      <c r="Z158" s="408">
        <v>61</v>
      </c>
      <c r="AA158" s="408">
        <v>23</v>
      </c>
      <c r="AB158" s="408">
        <v>111</v>
      </c>
      <c r="AC158" s="408">
        <v>168</v>
      </c>
      <c r="AD158" s="408">
        <v>903</v>
      </c>
    </row>
    <row r="159" spans="1:30">
      <c r="A159">
        <v>132</v>
      </c>
      <c r="B159" s="1" t="s">
        <v>480</v>
      </c>
      <c r="C159" s="1" t="s">
        <v>26</v>
      </c>
      <c r="D159" s="408">
        <v>21</v>
      </c>
      <c r="E159" s="5" t="s">
        <v>149</v>
      </c>
      <c r="F159" s="408">
        <v>44</v>
      </c>
      <c r="G159" s="408">
        <v>5</v>
      </c>
      <c r="H159" s="408">
        <v>665</v>
      </c>
      <c r="I159" s="408">
        <v>85</v>
      </c>
      <c r="J159" s="408">
        <v>244</v>
      </c>
      <c r="K159" s="408">
        <v>0.34799999999999998</v>
      </c>
      <c r="L159" s="408">
        <v>44</v>
      </c>
      <c r="M159" s="408">
        <v>135</v>
      </c>
      <c r="N159" s="408">
        <v>0.32600000000000001</v>
      </c>
      <c r="O159" s="408">
        <v>41</v>
      </c>
      <c r="P159" s="408">
        <v>109</v>
      </c>
      <c r="Q159" s="408">
        <v>0.376</v>
      </c>
      <c r="R159" s="408">
        <v>0.439</v>
      </c>
      <c r="S159" s="408">
        <v>30</v>
      </c>
      <c r="T159" s="408">
        <v>42</v>
      </c>
      <c r="U159" s="408">
        <v>0.71399999999999997</v>
      </c>
      <c r="V159" s="408">
        <v>11</v>
      </c>
      <c r="W159" s="408">
        <v>82</v>
      </c>
      <c r="X159" s="408">
        <v>93</v>
      </c>
      <c r="Y159" s="408">
        <v>58</v>
      </c>
      <c r="Z159" s="408">
        <v>12</v>
      </c>
      <c r="AA159" s="408">
        <v>4</v>
      </c>
      <c r="AB159" s="408">
        <v>23</v>
      </c>
      <c r="AC159" s="408">
        <v>39</v>
      </c>
      <c r="AD159" s="408">
        <v>244</v>
      </c>
    </row>
    <row r="160" spans="1:30">
      <c r="A160">
        <v>133</v>
      </c>
      <c r="B160" s="1" t="s">
        <v>548</v>
      </c>
      <c r="C160" s="1" t="s">
        <v>26</v>
      </c>
      <c r="D160" s="408">
        <v>23</v>
      </c>
      <c r="E160" s="5" t="s">
        <v>21</v>
      </c>
      <c r="F160" s="408">
        <v>37</v>
      </c>
      <c r="G160" s="408">
        <v>2</v>
      </c>
      <c r="H160" s="408">
        <v>315</v>
      </c>
      <c r="I160" s="408">
        <v>43</v>
      </c>
      <c r="J160" s="408">
        <v>101</v>
      </c>
      <c r="K160" s="408">
        <v>0.42599999999999999</v>
      </c>
      <c r="L160" s="408">
        <v>13</v>
      </c>
      <c r="M160" s="408">
        <v>41</v>
      </c>
      <c r="N160" s="408">
        <v>0.317</v>
      </c>
      <c r="O160" s="408">
        <v>30</v>
      </c>
      <c r="P160" s="408">
        <v>60</v>
      </c>
      <c r="Q160" s="408">
        <v>0.5</v>
      </c>
      <c r="R160" s="408">
        <v>0.49</v>
      </c>
      <c r="S160" s="408">
        <v>10</v>
      </c>
      <c r="T160" s="408">
        <v>14</v>
      </c>
      <c r="U160" s="408">
        <v>0.71399999999999997</v>
      </c>
      <c r="V160" s="408">
        <v>7</v>
      </c>
      <c r="W160" s="408">
        <v>45</v>
      </c>
      <c r="X160" s="408">
        <v>52</v>
      </c>
      <c r="Y160" s="408">
        <v>21</v>
      </c>
      <c r="Z160" s="408">
        <v>7</v>
      </c>
      <c r="AA160" s="408">
        <v>1</v>
      </c>
      <c r="AB160" s="408">
        <v>11</v>
      </c>
      <c r="AC160" s="408">
        <v>22</v>
      </c>
      <c r="AD160" s="408">
        <v>109</v>
      </c>
    </row>
    <row r="161" spans="1:30">
      <c r="A161">
        <v>134</v>
      </c>
      <c r="B161" s="1" t="s">
        <v>455</v>
      </c>
      <c r="C161" s="1" t="s">
        <v>26</v>
      </c>
      <c r="D161" s="408">
        <v>24</v>
      </c>
      <c r="E161" s="5" t="s">
        <v>315</v>
      </c>
      <c r="F161" s="408">
        <v>6</v>
      </c>
      <c r="G161" s="408">
        <v>0</v>
      </c>
      <c r="H161" s="408">
        <v>63</v>
      </c>
      <c r="I161" s="408">
        <v>7</v>
      </c>
      <c r="J161" s="408">
        <v>25</v>
      </c>
      <c r="K161" s="408">
        <v>0.28000000000000003</v>
      </c>
      <c r="L161" s="408">
        <v>2</v>
      </c>
      <c r="M161" s="408">
        <v>13</v>
      </c>
      <c r="N161" s="408">
        <v>0.154</v>
      </c>
      <c r="O161" s="408">
        <v>5</v>
      </c>
      <c r="P161" s="408">
        <v>12</v>
      </c>
      <c r="Q161" s="408">
        <v>0.41699999999999998</v>
      </c>
      <c r="R161" s="408">
        <v>0.32</v>
      </c>
      <c r="S161" s="408">
        <v>2</v>
      </c>
      <c r="T161" s="408">
        <v>3</v>
      </c>
      <c r="U161" s="408">
        <v>0.66700000000000004</v>
      </c>
      <c r="V161" s="408">
        <v>2</v>
      </c>
      <c r="W161" s="408">
        <v>7</v>
      </c>
      <c r="X161" s="408">
        <v>9</v>
      </c>
      <c r="Y161" s="408">
        <v>4</v>
      </c>
      <c r="Z161" s="408">
        <v>2</v>
      </c>
      <c r="AA161" s="408">
        <v>1</v>
      </c>
      <c r="AB161" s="408">
        <v>2</v>
      </c>
      <c r="AC161" s="408">
        <v>3</v>
      </c>
      <c r="AD161" s="408">
        <v>18</v>
      </c>
    </row>
    <row r="162" spans="1:30">
      <c r="A162">
        <v>135</v>
      </c>
      <c r="B162" s="1" t="s">
        <v>886</v>
      </c>
      <c r="C162" s="1" t="s">
        <v>20</v>
      </c>
      <c r="D162" s="408">
        <v>21</v>
      </c>
      <c r="E162" s="5" t="s">
        <v>58</v>
      </c>
      <c r="F162" s="408">
        <v>2</v>
      </c>
      <c r="G162" s="408">
        <v>0</v>
      </c>
      <c r="H162" s="408">
        <v>3</v>
      </c>
      <c r="I162" s="408">
        <v>1</v>
      </c>
      <c r="J162" s="408">
        <v>2</v>
      </c>
      <c r="K162" s="408">
        <v>0.5</v>
      </c>
      <c r="L162" s="408">
        <v>0</v>
      </c>
      <c r="M162" s="408">
        <v>0</v>
      </c>
      <c r="N162" s="408"/>
      <c r="O162" s="408">
        <v>1</v>
      </c>
      <c r="P162" s="408">
        <v>2</v>
      </c>
      <c r="Q162" s="408">
        <v>0.5</v>
      </c>
      <c r="R162" s="408">
        <v>0.5</v>
      </c>
      <c r="S162" s="408">
        <v>0</v>
      </c>
      <c r="T162" s="408">
        <v>0</v>
      </c>
      <c r="U162" s="408"/>
      <c r="V162" s="408">
        <v>0</v>
      </c>
      <c r="W162" s="408">
        <v>1</v>
      </c>
      <c r="X162" s="408">
        <v>1</v>
      </c>
      <c r="Y162" s="408">
        <v>0</v>
      </c>
      <c r="Z162" s="408">
        <v>0</v>
      </c>
      <c r="AA162" s="408">
        <v>0</v>
      </c>
      <c r="AB162" s="408">
        <v>1</v>
      </c>
      <c r="AC162" s="408">
        <v>1</v>
      </c>
      <c r="AD162" s="408">
        <v>2</v>
      </c>
    </row>
    <row r="163" spans="1:30">
      <c r="A163">
        <v>136</v>
      </c>
      <c r="B163" s="1" t="s">
        <v>376</v>
      </c>
      <c r="C163" s="1" t="s">
        <v>20</v>
      </c>
      <c r="D163" s="408">
        <v>31</v>
      </c>
      <c r="E163" s="5" t="s">
        <v>50</v>
      </c>
      <c r="F163" s="408">
        <v>66</v>
      </c>
      <c r="G163" s="408">
        <v>66</v>
      </c>
      <c r="H163" s="408">
        <v>2103</v>
      </c>
      <c r="I163" s="408">
        <v>434</v>
      </c>
      <c r="J163" s="408">
        <v>969</v>
      </c>
      <c r="K163" s="408">
        <v>0.44800000000000001</v>
      </c>
      <c r="L163" s="408">
        <v>99</v>
      </c>
      <c r="M163" s="408">
        <v>271</v>
      </c>
      <c r="N163" s="408">
        <v>0.36499999999999999</v>
      </c>
      <c r="O163" s="408">
        <v>335</v>
      </c>
      <c r="P163" s="408">
        <v>698</v>
      </c>
      <c r="Q163" s="408">
        <v>0.48</v>
      </c>
      <c r="R163" s="408">
        <v>0.499</v>
      </c>
      <c r="S163" s="408">
        <v>200</v>
      </c>
      <c r="T163" s="408">
        <v>252</v>
      </c>
      <c r="U163" s="408">
        <v>0.79400000000000004</v>
      </c>
      <c r="V163" s="408">
        <v>48</v>
      </c>
      <c r="W163" s="408">
        <v>217</v>
      </c>
      <c r="X163" s="408">
        <v>265</v>
      </c>
      <c r="Y163" s="408">
        <v>319</v>
      </c>
      <c r="Z163" s="408">
        <v>55</v>
      </c>
      <c r="AA163" s="408">
        <v>12</v>
      </c>
      <c r="AB163" s="408">
        <v>144</v>
      </c>
      <c r="AC163" s="408">
        <v>158</v>
      </c>
      <c r="AD163" s="408">
        <v>1167</v>
      </c>
    </row>
    <row r="164" spans="1:30">
      <c r="A164">
        <v>137</v>
      </c>
      <c r="B164" s="1" t="s">
        <v>806</v>
      </c>
      <c r="C164" s="1" t="s">
        <v>20</v>
      </c>
      <c r="D164" s="408">
        <v>27</v>
      </c>
      <c r="E164" s="5" t="s">
        <v>357</v>
      </c>
      <c r="F164" s="408">
        <v>5</v>
      </c>
      <c r="G164" s="408">
        <v>0</v>
      </c>
      <c r="H164" s="408">
        <v>25</v>
      </c>
      <c r="I164" s="408">
        <v>1</v>
      </c>
      <c r="J164" s="408">
        <v>11</v>
      </c>
      <c r="K164" s="408">
        <v>9.0999999999999998E-2</v>
      </c>
      <c r="L164" s="408">
        <v>0</v>
      </c>
      <c r="M164" s="408">
        <v>4</v>
      </c>
      <c r="N164" s="408">
        <v>0</v>
      </c>
      <c r="O164" s="408">
        <v>1</v>
      </c>
      <c r="P164" s="408">
        <v>7</v>
      </c>
      <c r="Q164" s="408">
        <v>0.14299999999999999</v>
      </c>
      <c r="R164" s="408">
        <v>9.0999999999999998E-2</v>
      </c>
      <c r="S164" s="408">
        <v>0</v>
      </c>
      <c r="T164" s="408">
        <v>0</v>
      </c>
      <c r="U164" s="408"/>
      <c r="V164" s="408">
        <v>1</v>
      </c>
      <c r="W164" s="408">
        <v>0</v>
      </c>
      <c r="X164" s="408">
        <v>1</v>
      </c>
      <c r="Y164" s="408">
        <v>3</v>
      </c>
      <c r="Z164" s="408">
        <v>0</v>
      </c>
      <c r="AA164" s="408">
        <v>0</v>
      </c>
      <c r="AB164" s="408">
        <v>1</v>
      </c>
      <c r="AC164" s="408">
        <v>3</v>
      </c>
      <c r="AD164" s="408">
        <v>2</v>
      </c>
    </row>
    <row r="165" spans="1:30">
      <c r="A165">
        <v>137</v>
      </c>
      <c r="B165" s="1" t="s">
        <v>806</v>
      </c>
      <c r="C165" s="1" t="s">
        <v>20</v>
      </c>
      <c r="D165" s="408">
        <v>27</v>
      </c>
      <c r="E165" s="5" t="s">
        <v>118</v>
      </c>
      <c r="F165" s="408">
        <v>3</v>
      </c>
      <c r="G165" s="408">
        <v>0</v>
      </c>
      <c r="H165" s="408">
        <v>15</v>
      </c>
      <c r="I165" s="408">
        <v>1</v>
      </c>
      <c r="J165" s="408">
        <v>7</v>
      </c>
      <c r="K165" s="408">
        <v>0.14299999999999999</v>
      </c>
      <c r="L165" s="408">
        <v>0</v>
      </c>
      <c r="M165" s="408">
        <v>3</v>
      </c>
      <c r="N165" s="408">
        <v>0</v>
      </c>
      <c r="O165" s="408">
        <v>1</v>
      </c>
      <c r="P165" s="408">
        <v>4</v>
      </c>
      <c r="Q165" s="408">
        <v>0.25</v>
      </c>
      <c r="R165" s="408">
        <v>0.14299999999999999</v>
      </c>
      <c r="S165" s="408">
        <v>0</v>
      </c>
      <c r="T165" s="408">
        <v>0</v>
      </c>
      <c r="U165" s="408"/>
      <c r="V165" s="408">
        <v>1</v>
      </c>
      <c r="W165" s="408">
        <v>0</v>
      </c>
      <c r="X165" s="408">
        <v>1</v>
      </c>
      <c r="Y165" s="408">
        <v>2</v>
      </c>
      <c r="Z165" s="408">
        <v>0</v>
      </c>
      <c r="AA165" s="408">
        <v>0</v>
      </c>
      <c r="AB165" s="408">
        <v>1</v>
      </c>
      <c r="AC165" s="408">
        <v>2</v>
      </c>
      <c r="AD165" s="408">
        <v>2</v>
      </c>
    </row>
    <row r="166" spans="1:30">
      <c r="A166">
        <v>137</v>
      </c>
      <c r="B166" s="1" t="s">
        <v>806</v>
      </c>
      <c r="C166" s="1" t="s">
        <v>20</v>
      </c>
      <c r="D166" s="408">
        <v>27</v>
      </c>
      <c r="E166" s="5" t="s">
        <v>112</v>
      </c>
      <c r="F166" s="408">
        <v>2</v>
      </c>
      <c r="G166" s="408">
        <v>0</v>
      </c>
      <c r="H166" s="408">
        <v>10</v>
      </c>
      <c r="I166" s="408">
        <v>0</v>
      </c>
      <c r="J166" s="408">
        <v>4</v>
      </c>
      <c r="K166" s="408">
        <v>0</v>
      </c>
      <c r="L166" s="408">
        <v>0</v>
      </c>
      <c r="M166" s="408">
        <v>1</v>
      </c>
      <c r="N166" s="408">
        <v>0</v>
      </c>
      <c r="O166" s="408">
        <v>0</v>
      </c>
      <c r="P166" s="408">
        <v>3</v>
      </c>
      <c r="Q166" s="408">
        <v>0</v>
      </c>
      <c r="R166" s="408">
        <v>0</v>
      </c>
      <c r="S166" s="408">
        <v>0</v>
      </c>
      <c r="T166" s="408">
        <v>0</v>
      </c>
      <c r="U166" s="408"/>
      <c r="V166" s="408">
        <v>0</v>
      </c>
      <c r="W166" s="408">
        <v>0</v>
      </c>
      <c r="X166" s="408">
        <v>0</v>
      </c>
      <c r="Y166" s="408">
        <v>1</v>
      </c>
      <c r="Z166" s="408">
        <v>0</v>
      </c>
      <c r="AA166" s="408">
        <v>0</v>
      </c>
      <c r="AB166" s="408">
        <v>0</v>
      </c>
      <c r="AC166" s="408">
        <v>1</v>
      </c>
      <c r="AD166" s="408">
        <v>0</v>
      </c>
    </row>
    <row r="167" spans="1:30">
      <c r="A167">
        <v>138</v>
      </c>
      <c r="B167" s="1" t="s">
        <v>578</v>
      </c>
      <c r="C167" s="1" t="s">
        <v>83</v>
      </c>
      <c r="D167" s="408">
        <v>24</v>
      </c>
      <c r="E167" s="5" t="s">
        <v>157</v>
      </c>
      <c r="F167" s="408">
        <v>68</v>
      </c>
      <c r="G167" s="408">
        <v>68</v>
      </c>
      <c r="H167" s="408">
        <v>2260</v>
      </c>
      <c r="I167" s="408">
        <v>403</v>
      </c>
      <c r="J167" s="408">
        <v>762</v>
      </c>
      <c r="K167" s="408">
        <v>0.52900000000000003</v>
      </c>
      <c r="L167" s="408">
        <v>0</v>
      </c>
      <c r="M167" s="408">
        <v>7</v>
      </c>
      <c r="N167" s="408">
        <v>0</v>
      </c>
      <c r="O167" s="408">
        <v>403</v>
      </c>
      <c r="P167" s="408">
        <v>755</v>
      </c>
      <c r="Q167" s="408">
        <v>0.53400000000000003</v>
      </c>
      <c r="R167" s="408">
        <v>0.52900000000000003</v>
      </c>
      <c r="S167" s="408">
        <v>205</v>
      </c>
      <c r="T167" s="408">
        <v>336</v>
      </c>
      <c r="U167" s="408">
        <v>0.61</v>
      </c>
      <c r="V167" s="408">
        <v>349</v>
      </c>
      <c r="W167" s="408">
        <v>727</v>
      </c>
      <c r="X167" s="408">
        <v>1076</v>
      </c>
      <c r="Y167" s="408">
        <v>214</v>
      </c>
      <c r="Z167" s="408">
        <v>105</v>
      </c>
      <c r="AA167" s="408">
        <v>109</v>
      </c>
      <c r="AB167" s="408">
        <v>177</v>
      </c>
      <c r="AC167" s="408">
        <v>220</v>
      </c>
      <c r="AD167" s="408">
        <v>1011</v>
      </c>
    </row>
    <row r="168" spans="1:30">
      <c r="A168">
        <v>139</v>
      </c>
      <c r="B168" s="1" t="s">
        <v>506</v>
      </c>
      <c r="C168" s="1" t="s">
        <v>38</v>
      </c>
      <c r="D168" s="408">
        <v>32</v>
      </c>
      <c r="E168" s="5" t="s">
        <v>313</v>
      </c>
      <c r="F168" s="408">
        <v>40</v>
      </c>
      <c r="G168" s="408">
        <v>0</v>
      </c>
      <c r="H168" s="408">
        <v>563</v>
      </c>
      <c r="I168" s="408">
        <v>38</v>
      </c>
      <c r="J168" s="408">
        <v>96</v>
      </c>
      <c r="K168" s="408">
        <v>0.39600000000000002</v>
      </c>
      <c r="L168" s="408">
        <v>27</v>
      </c>
      <c r="M168" s="408">
        <v>67</v>
      </c>
      <c r="N168" s="408">
        <v>0.40300000000000002</v>
      </c>
      <c r="O168" s="408">
        <v>11</v>
      </c>
      <c r="P168" s="408">
        <v>29</v>
      </c>
      <c r="Q168" s="408">
        <v>0.379</v>
      </c>
      <c r="R168" s="408">
        <v>0.53600000000000003</v>
      </c>
      <c r="S168" s="408">
        <v>24</v>
      </c>
      <c r="T168" s="408">
        <v>29</v>
      </c>
      <c r="U168" s="408">
        <v>0.82799999999999996</v>
      </c>
      <c r="V168" s="408">
        <v>7</v>
      </c>
      <c r="W168" s="408">
        <v>69</v>
      </c>
      <c r="X168" s="408">
        <v>76</v>
      </c>
      <c r="Y168" s="408">
        <v>66</v>
      </c>
      <c r="Z168" s="408">
        <v>20</v>
      </c>
      <c r="AA168" s="408">
        <v>8</v>
      </c>
      <c r="AB168" s="408">
        <v>23</v>
      </c>
      <c r="AC168" s="408">
        <v>71</v>
      </c>
      <c r="AD168" s="408">
        <v>127</v>
      </c>
    </row>
    <row r="169" spans="1:30">
      <c r="A169">
        <v>140</v>
      </c>
      <c r="B169" s="1" t="s">
        <v>451</v>
      </c>
      <c r="C169" s="1" t="s">
        <v>20</v>
      </c>
      <c r="D169" s="408">
        <v>23</v>
      </c>
      <c r="E169" s="5" t="s">
        <v>43</v>
      </c>
      <c r="F169" s="408">
        <v>52</v>
      </c>
      <c r="G169" s="408">
        <v>43</v>
      </c>
      <c r="H169" s="408">
        <v>1525</v>
      </c>
      <c r="I169" s="408">
        <v>286</v>
      </c>
      <c r="J169" s="408">
        <v>666</v>
      </c>
      <c r="K169" s="408">
        <v>0.42899999999999999</v>
      </c>
      <c r="L169" s="408">
        <v>43</v>
      </c>
      <c r="M169" s="408">
        <v>134</v>
      </c>
      <c r="N169" s="408">
        <v>0.32100000000000001</v>
      </c>
      <c r="O169" s="408">
        <v>243</v>
      </c>
      <c r="P169" s="408">
        <v>532</v>
      </c>
      <c r="Q169" s="408">
        <v>0.45700000000000002</v>
      </c>
      <c r="R169" s="408">
        <v>0.46200000000000002</v>
      </c>
      <c r="S169" s="408">
        <v>84</v>
      </c>
      <c r="T169" s="408">
        <v>115</v>
      </c>
      <c r="U169" s="408">
        <v>0.73</v>
      </c>
      <c r="V169" s="408">
        <v>24</v>
      </c>
      <c r="W169" s="408">
        <v>197</v>
      </c>
      <c r="X169" s="408">
        <v>221</v>
      </c>
      <c r="Y169" s="408">
        <v>310</v>
      </c>
      <c r="Z169" s="408">
        <v>104</v>
      </c>
      <c r="AA169" s="408">
        <v>27</v>
      </c>
      <c r="AB169" s="408">
        <v>150</v>
      </c>
      <c r="AC169" s="408">
        <v>175</v>
      </c>
      <c r="AD169" s="408">
        <v>699</v>
      </c>
    </row>
    <row r="170" spans="1:30">
      <c r="A170">
        <v>141</v>
      </c>
      <c r="B170" s="1" t="s">
        <v>326</v>
      </c>
      <c r="C170" s="1" t="s">
        <v>38</v>
      </c>
      <c r="D170" s="408">
        <v>29</v>
      </c>
      <c r="E170" s="5" t="s">
        <v>73</v>
      </c>
      <c r="F170" s="408">
        <v>60</v>
      </c>
      <c r="G170" s="408">
        <v>60</v>
      </c>
      <c r="H170" s="408">
        <v>2079</v>
      </c>
      <c r="I170" s="408">
        <v>562</v>
      </c>
      <c r="J170" s="408">
        <v>1080</v>
      </c>
      <c r="K170" s="408">
        <v>0.52</v>
      </c>
      <c r="L170" s="408">
        <v>157</v>
      </c>
      <c r="M170" s="408">
        <v>365</v>
      </c>
      <c r="N170" s="408">
        <v>0.43</v>
      </c>
      <c r="O170" s="408">
        <v>405</v>
      </c>
      <c r="P170" s="408">
        <v>715</v>
      </c>
      <c r="Q170" s="408">
        <v>0.56599999999999995</v>
      </c>
      <c r="R170" s="408">
        <v>0.59299999999999997</v>
      </c>
      <c r="S170" s="408">
        <v>313</v>
      </c>
      <c r="T170" s="408">
        <v>353</v>
      </c>
      <c r="U170" s="408">
        <v>0.88700000000000001</v>
      </c>
      <c r="V170" s="408">
        <v>30</v>
      </c>
      <c r="W170" s="408">
        <v>377</v>
      </c>
      <c r="X170" s="408">
        <v>407</v>
      </c>
      <c r="Y170" s="408">
        <v>321</v>
      </c>
      <c r="Z170" s="408">
        <v>45</v>
      </c>
      <c r="AA170" s="408">
        <v>114</v>
      </c>
      <c r="AB170" s="408">
        <v>186</v>
      </c>
      <c r="AC170" s="408">
        <v>121</v>
      </c>
      <c r="AD170" s="408">
        <v>1594</v>
      </c>
    </row>
    <row r="171" spans="1:30">
      <c r="A171">
        <v>142</v>
      </c>
      <c r="B171" s="1" t="s">
        <v>713</v>
      </c>
      <c r="C171" s="1" t="s">
        <v>46</v>
      </c>
      <c r="D171" s="408">
        <v>26</v>
      </c>
      <c r="E171" s="5" t="s">
        <v>357</v>
      </c>
      <c r="F171" s="408">
        <v>3</v>
      </c>
      <c r="G171" s="408">
        <v>0</v>
      </c>
      <c r="H171" s="408">
        <v>9</v>
      </c>
      <c r="I171" s="408">
        <v>0</v>
      </c>
      <c r="J171" s="408">
        <v>2</v>
      </c>
      <c r="K171" s="408">
        <v>0</v>
      </c>
      <c r="L171" s="408">
        <v>0</v>
      </c>
      <c r="M171" s="408">
        <v>2</v>
      </c>
      <c r="N171" s="408">
        <v>0</v>
      </c>
      <c r="O171" s="408">
        <v>0</v>
      </c>
      <c r="P171" s="408">
        <v>0</v>
      </c>
      <c r="Q171" s="408"/>
      <c r="R171" s="408">
        <v>0</v>
      </c>
      <c r="S171" s="408">
        <v>0</v>
      </c>
      <c r="T171" s="408">
        <v>0</v>
      </c>
      <c r="U171" s="408"/>
      <c r="V171" s="408">
        <v>0</v>
      </c>
      <c r="W171" s="408">
        <v>1</v>
      </c>
      <c r="X171" s="408">
        <v>1</v>
      </c>
      <c r="Y171" s="408">
        <v>0</v>
      </c>
      <c r="Z171" s="408">
        <v>1</v>
      </c>
      <c r="AA171" s="408">
        <v>0</v>
      </c>
      <c r="AB171" s="408">
        <v>0</v>
      </c>
      <c r="AC171" s="408">
        <v>0</v>
      </c>
      <c r="AD171" s="408">
        <v>0</v>
      </c>
    </row>
    <row r="172" spans="1:30">
      <c r="A172">
        <v>142</v>
      </c>
      <c r="B172" s="1" t="s">
        <v>713</v>
      </c>
      <c r="C172" s="1" t="s">
        <v>46</v>
      </c>
      <c r="D172" s="408">
        <v>26</v>
      </c>
      <c r="E172" s="5" t="s">
        <v>87</v>
      </c>
      <c r="F172" s="408">
        <v>2</v>
      </c>
      <c r="G172" s="408">
        <v>0</v>
      </c>
      <c r="H172" s="408">
        <v>6</v>
      </c>
      <c r="I172" s="408">
        <v>0</v>
      </c>
      <c r="J172" s="408">
        <v>1</v>
      </c>
      <c r="K172" s="408">
        <v>0</v>
      </c>
      <c r="L172" s="408">
        <v>0</v>
      </c>
      <c r="M172" s="408">
        <v>1</v>
      </c>
      <c r="N172" s="408">
        <v>0</v>
      </c>
      <c r="O172" s="408">
        <v>0</v>
      </c>
      <c r="P172" s="408">
        <v>0</v>
      </c>
      <c r="Q172" s="408"/>
      <c r="R172" s="408">
        <v>0</v>
      </c>
      <c r="S172" s="408">
        <v>0</v>
      </c>
      <c r="T172" s="408">
        <v>0</v>
      </c>
      <c r="U172" s="408"/>
      <c r="V172" s="408">
        <v>0</v>
      </c>
      <c r="W172" s="408">
        <v>1</v>
      </c>
      <c r="X172" s="408">
        <v>1</v>
      </c>
      <c r="Y172" s="408">
        <v>0</v>
      </c>
      <c r="Z172" s="408">
        <v>1</v>
      </c>
      <c r="AA172" s="408">
        <v>0</v>
      </c>
      <c r="AB172" s="408">
        <v>0</v>
      </c>
      <c r="AC172" s="408">
        <v>0</v>
      </c>
      <c r="AD172" s="408">
        <v>0</v>
      </c>
    </row>
    <row r="173" spans="1:30">
      <c r="A173">
        <v>142</v>
      </c>
      <c r="B173" s="1" t="s">
        <v>713</v>
      </c>
      <c r="C173" s="1" t="s">
        <v>46</v>
      </c>
      <c r="D173" s="408">
        <v>26</v>
      </c>
      <c r="E173" s="5" t="s">
        <v>43</v>
      </c>
      <c r="F173" s="408">
        <v>1</v>
      </c>
      <c r="G173" s="408">
        <v>0</v>
      </c>
      <c r="H173" s="408">
        <v>3</v>
      </c>
      <c r="I173" s="408">
        <v>0</v>
      </c>
      <c r="J173" s="408">
        <v>1</v>
      </c>
      <c r="K173" s="408">
        <v>0</v>
      </c>
      <c r="L173" s="408">
        <v>0</v>
      </c>
      <c r="M173" s="408">
        <v>1</v>
      </c>
      <c r="N173" s="408">
        <v>0</v>
      </c>
      <c r="O173" s="408">
        <v>0</v>
      </c>
      <c r="P173" s="408">
        <v>0</v>
      </c>
      <c r="Q173" s="408"/>
      <c r="R173" s="408">
        <v>0</v>
      </c>
      <c r="S173" s="408">
        <v>0</v>
      </c>
      <c r="T173" s="408">
        <v>0</v>
      </c>
      <c r="U173" s="408"/>
      <c r="V173" s="408">
        <v>0</v>
      </c>
      <c r="W173" s="408">
        <v>0</v>
      </c>
      <c r="X173" s="408">
        <v>0</v>
      </c>
      <c r="Y173" s="408">
        <v>0</v>
      </c>
      <c r="Z173" s="408">
        <v>0</v>
      </c>
      <c r="AA173" s="408">
        <v>0</v>
      </c>
      <c r="AB173" s="408">
        <v>0</v>
      </c>
      <c r="AC173" s="408">
        <v>0</v>
      </c>
      <c r="AD173" s="408">
        <v>0</v>
      </c>
    </row>
    <row r="174" spans="1:30">
      <c r="A174">
        <v>143</v>
      </c>
      <c r="B174" s="1" t="s">
        <v>614</v>
      </c>
      <c r="C174" s="1" t="s">
        <v>38</v>
      </c>
      <c r="D174" s="408">
        <v>21</v>
      </c>
      <c r="E174" s="5" t="s">
        <v>157</v>
      </c>
      <c r="F174" s="408">
        <v>28</v>
      </c>
      <c r="G174" s="408">
        <v>0</v>
      </c>
      <c r="H174" s="408">
        <v>174</v>
      </c>
      <c r="I174" s="408">
        <v>26</v>
      </c>
      <c r="J174" s="408">
        <v>83</v>
      </c>
      <c r="K174" s="408">
        <v>0.313</v>
      </c>
      <c r="L174" s="408">
        <v>9</v>
      </c>
      <c r="M174" s="408">
        <v>33</v>
      </c>
      <c r="N174" s="408">
        <v>0.27300000000000002</v>
      </c>
      <c r="O174" s="408">
        <v>17</v>
      </c>
      <c r="P174" s="408">
        <v>50</v>
      </c>
      <c r="Q174" s="408">
        <v>0.34</v>
      </c>
      <c r="R174" s="408">
        <v>0.36699999999999999</v>
      </c>
      <c r="S174" s="408">
        <v>7</v>
      </c>
      <c r="T174" s="408">
        <v>10</v>
      </c>
      <c r="U174" s="408">
        <v>0.7</v>
      </c>
      <c r="V174" s="408">
        <v>7</v>
      </c>
      <c r="W174" s="408">
        <v>40</v>
      </c>
      <c r="X174" s="408">
        <v>47</v>
      </c>
      <c r="Y174" s="408">
        <v>11</v>
      </c>
      <c r="Z174" s="408">
        <v>3</v>
      </c>
      <c r="AA174" s="408">
        <v>0</v>
      </c>
      <c r="AB174" s="408">
        <v>12</v>
      </c>
      <c r="AC174" s="408">
        <v>12</v>
      </c>
      <c r="AD174" s="408">
        <v>68</v>
      </c>
    </row>
    <row r="175" spans="1:30">
      <c r="A175">
        <v>144</v>
      </c>
      <c r="B175" s="1" t="s">
        <v>207</v>
      </c>
      <c r="C175" s="1" t="s">
        <v>26</v>
      </c>
      <c r="D175" s="408">
        <v>30</v>
      </c>
      <c r="E175" s="5" t="s">
        <v>50</v>
      </c>
      <c r="F175" s="408">
        <v>66</v>
      </c>
      <c r="G175" s="408">
        <v>2</v>
      </c>
      <c r="H175" s="408">
        <v>1766</v>
      </c>
      <c r="I175" s="408">
        <v>245</v>
      </c>
      <c r="J175" s="408">
        <v>608</v>
      </c>
      <c r="K175" s="408">
        <v>0.40300000000000002</v>
      </c>
      <c r="L175" s="408">
        <v>197</v>
      </c>
      <c r="M175" s="408">
        <v>506</v>
      </c>
      <c r="N175" s="408">
        <v>0.38900000000000001</v>
      </c>
      <c r="O175" s="408">
        <v>48</v>
      </c>
      <c r="P175" s="408">
        <v>102</v>
      </c>
      <c r="Q175" s="408">
        <v>0.47099999999999997</v>
      </c>
      <c r="R175" s="408">
        <v>0.56499999999999995</v>
      </c>
      <c r="S175" s="408">
        <v>60</v>
      </c>
      <c r="T175" s="408">
        <v>71</v>
      </c>
      <c r="U175" s="408">
        <v>0.84499999999999997</v>
      </c>
      <c r="V175" s="408">
        <v>19</v>
      </c>
      <c r="W175" s="408">
        <v>176</v>
      </c>
      <c r="X175" s="408">
        <v>195</v>
      </c>
      <c r="Y175" s="408">
        <v>73</v>
      </c>
      <c r="Z175" s="408">
        <v>43</v>
      </c>
      <c r="AA175" s="408">
        <v>6</v>
      </c>
      <c r="AB175" s="408">
        <v>46</v>
      </c>
      <c r="AC175" s="408">
        <v>79</v>
      </c>
      <c r="AD175" s="408">
        <v>747</v>
      </c>
    </row>
    <row r="176" spans="1:30">
      <c r="A176">
        <v>145</v>
      </c>
      <c r="B176" s="1" t="s">
        <v>424</v>
      </c>
      <c r="C176" s="1" t="s">
        <v>83</v>
      </c>
      <c r="D176" s="408">
        <v>23</v>
      </c>
      <c r="E176" s="5" t="s">
        <v>118</v>
      </c>
      <c r="F176" s="408">
        <v>58</v>
      </c>
      <c r="G176" s="408">
        <v>58</v>
      </c>
      <c r="H176" s="408">
        <v>1813</v>
      </c>
      <c r="I176" s="408">
        <v>486</v>
      </c>
      <c r="J176" s="408">
        <v>1005</v>
      </c>
      <c r="K176" s="408">
        <v>0.48399999999999999</v>
      </c>
      <c r="L176" s="408">
        <v>64</v>
      </c>
      <c r="M176" s="408">
        <v>203</v>
      </c>
      <c r="N176" s="408">
        <v>0.315</v>
      </c>
      <c r="O176" s="408">
        <v>422</v>
      </c>
      <c r="P176" s="408">
        <v>802</v>
      </c>
      <c r="Q176" s="408">
        <v>0.52600000000000002</v>
      </c>
      <c r="R176" s="408">
        <v>0.51500000000000001</v>
      </c>
      <c r="S176" s="408">
        <v>334</v>
      </c>
      <c r="T176" s="408">
        <v>437</v>
      </c>
      <c r="U176" s="408">
        <v>0.76400000000000001</v>
      </c>
      <c r="V176" s="408">
        <v>137</v>
      </c>
      <c r="W176" s="408">
        <v>514</v>
      </c>
      <c r="X176" s="408">
        <v>651</v>
      </c>
      <c r="Y176" s="408">
        <v>188</v>
      </c>
      <c r="Z176" s="408">
        <v>37</v>
      </c>
      <c r="AA176" s="408">
        <v>105</v>
      </c>
      <c r="AB176" s="408">
        <v>226</v>
      </c>
      <c r="AC176" s="408">
        <v>197</v>
      </c>
      <c r="AD176" s="408">
        <v>1370</v>
      </c>
    </row>
    <row r="177" spans="1:30">
      <c r="A177">
        <v>146</v>
      </c>
      <c r="B177" s="1" t="s">
        <v>163</v>
      </c>
      <c r="C177" s="1" t="s">
        <v>46</v>
      </c>
      <c r="D177" s="408">
        <v>27</v>
      </c>
      <c r="E177" s="5" t="s">
        <v>357</v>
      </c>
      <c r="F177" s="408">
        <v>61</v>
      </c>
      <c r="G177" s="408">
        <v>22</v>
      </c>
      <c r="H177" s="408">
        <v>1414</v>
      </c>
      <c r="I177" s="408">
        <v>153</v>
      </c>
      <c r="J177" s="408">
        <v>321</v>
      </c>
      <c r="K177" s="408">
        <v>0.47699999999999998</v>
      </c>
      <c r="L177" s="408">
        <v>44</v>
      </c>
      <c r="M177" s="408">
        <v>125</v>
      </c>
      <c r="N177" s="408">
        <v>0.35199999999999998</v>
      </c>
      <c r="O177" s="408">
        <v>109</v>
      </c>
      <c r="P177" s="408">
        <v>196</v>
      </c>
      <c r="Q177" s="408">
        <v>0.55600000000000005</v>
      </c>
      <c r="R177" s="408">
        <v>0.54500000000000004</v>
      </c>
      <c r="S177" s="408">
        <v>91</v>
      </c>
      <c r="T177" s="408">
        <v>107</v>
      </c>
      <c r="U177" s="408">
        <v>0.85</v>
      </c>
      <c r="V177" s="408">
        <v>68</v>
      </c>
      <c r="W177" s="408">
        <v>136</v>
      </c>
      <c r="X177" s="408">
        <v>204</v>
      </c>
      <c r="Y177" s="408">
        <v>64</v>
      </c>
      <c r="Z177" s="408">
        <v>43</v>
      </c>
      <c r="AA177" s="408">
        <v>17</v>
      </c>
      <c r="AB177" s="408">
        <v>49</v>
      </c>
      <c r="AC177" s="408">
        <v>123</v>
      </c>
      <c r="AD177" s="408">
        <v>441</v>
      </c>
    </row>
    <row r="178" spans="1:30">
      <c r="A178">
        <v>146</v>
      </c>
      <c r="B178" s="1" t="s">
        <v>163</v>
      </c>
      <c r="C178" s="1" t="s">
        <v>46</v>
      </c>
      <c r="D178" s="408">
        <v>27</v>
      </c>
      <c r="E178" s="5" t="s">
        <v>128</v>
      </c>
      <c r="F178" s="408">
        <v>45</v>
      </c>
      <c r="G178" s="408">
        <v>14</v>
      </c>
      <c r="H178" s="408">
        <v>1053</v>
      </c>
      <c r="I178" s="408">
        <v>108</v>
      </c>
      <c r="J178" s="408">
        <v>222</v>
      </c>
      <c r="K178" s="408">
        <v>0.48599999999999999</v>
      </c>
      <c r="L178" s="408">
        <v>30</v>
      </c>
      <c r="M178" s="408">
        <v>84</v>
      </c>
      <c r="N178" s="408">
        <v>0.35699999999999998</v>
      </c>
      <c r="O178" s="408">
        <v>78</v>
      </c>
      <c r="P178" s="408">
        <v>138</v>
      </c>
      <c r="Q178" s="408">
        <v>0.56499999999999995</v>
      </c>
      <c r="R178" s="408">
        <v>0.55400000000000005</v>
      </c>
      <c r="S178" s="408">
        <v>64</v>
      </c>
      <c r="T178" s="408">
        <v>73</v>
      </c>
      <c r="U178" s="408">
        <v>0.877</v>
      </c>
      <c r="V178" s="408">
        <v>53</v>
      </c>
      <c r="W178" s="408">
        <v>104</v>
      </c>
      <c r="X178" s="408">
        <v>157</v>
      </c>
      <c r="Y178" s="408">
        <v>49</v>
      </c>
      <c r="Z178" s="408">
        <v>32</v>
      </c>
      <c r="AA178" s="408">
        <v>12</v>
      </c>
      <c r="AB178" s="408">
        <v>38</v>
      </c>
      <c r="AC178" s="408">
        <v>81</v>
      </c>
      <c r="AD178" s="408">
        <v>310</v>
      </c>
    </row>
    <row r="179" spans="1:30">
      <c r="A179">
        <v>146</v>
      </c>
      <c r="B179" s="1" t="s">
        <v>163</v>
      </c>
      <c r="C179" s="1" t="s">
        <v>46</v>
      </c>
      <c r="D179" s="408">
        <v>27</v>
      </c>
      <c r="E179" s="5" t="s">
        <v>157</v>
      </c>
      <c r="F179" s="408">
        <v>16</v>
      </c>
      <c r="G179" s="408">
        <v>8</v>
      </c>
      <c r="H179" s="408">
        <v>361</v>
      </c>
      <c r="I179" s="408">
        <v>45</v>
      </c>
      <c r="J179" s="408">
        <v>99</v>
      </c>
      <c r="K179" s="408">
        <v>0.45500000000000002</v>
      </c>
      <c r="L179" s="408">
        <v>14</v>
      </c>
      <c r="M179" s="408">
        <v>41</v>
      </c>
      <c r="N179" s="408">
        <v>0.34100000000000003</v>
      </c>
      <c r="O179" s="408">
        <v>31</v>
      </c>
      <c r="P179" s="408">
        <v>58</v>
      </c>
      <c r="Q179" s="408">
        <v>0.53400000000000003</v>
      </c>
      <c r="R179" s="408">
        <v>0.52500000000000002</v>
      </c>
      <c r="S179" s="408">
        <v>27</v>
      </c>
      <c r="T179" s="408">
        <v>34</v>
      </c>
      <c r="U179" s="408">
        <v>0.79400000000000004</v>
      </c>
      <c r="V179" s="408">
        <v>15</v>
      </c>
      <c r="W179" s="408">
        <v>32</v>
      </c>
      <c r="X179" s="408">
        <v>47</v>
      </c>
      <c r="Y179" s="408">
        <v>15</v>
      </c>
      <c r="Z179" s="408">
        <v>11</v>
      </c>
      <c r="AA179" s="408">
        <v>5</v>
      </c>
      <c r="AB179" s="408">
        <v>11</v>
      </c>
      <c r="AC179" s="408">
        <v>42</v>
      </c>
      <c r="AD179" s="408">
        <v>131</v>
      </c>
    </row>
    <row r="180" spans="1:30">
      <c r="A180">
        <v>147</v>
      </c>
      <c r="B180" s="1" t="s">
        <v>538</v>
      </c>
      <c r="C180" s="1" t="s">
        <v>20</v>
      </c>
      <c r="D180" s="408">
        <v>23</v>
      </c>
      <c r="E180" s="5" t="s">
        <v>78</v>
      </c>
      <c r="F180" s="408">
        <v>43</v>
      </c>
      <c r="G180" s="408">
        <v>11</v>
      </c>
      <c r="H180" s="408">
        <v>452</v>
      </c>
      <c r="I180" s="408">
        <v>55</v>
      </c>
      <c r="J180" s="408">
        <v>139</v>
      </c>
      <c r="K180" s="408">
        <v>0.39600000000000002</v>
      </c>
      <c r="L180" s="408">
        <v>9</v>
      </c>
      <c r="M180" s="408">
        <v>37</v>
      </c>
      <c r="N180" s="408">
        <v>0.24299999999999999</v>
      </c>
      <c r="O180" s="408">
        <v>46</v>
      </c>
      <c r="P180" s="408">
        <v>102</v>
      </c>
      <c r="Q180" s="408">
        <v>0.45100000000000001</v>
      </c>
      <c r="R180" s="408">
        <v>0.42799999999999999</v>
      </c>
      <c r="S180" s="408">
        <v>14</v>
      </c>
      <c r="T180" s="408">
        <v>20</v>
      </c>
      <c r="U180" s="408">
        <v>0.7</v>
      </c>
      <c r="V180" s="408">
        <v>11</v>
      </c>
      <c r="W180" s="408">
        <v>50</v>
      </c>
      <c r="X180" s="408">
        <v>61</v>
      </c>
      <c r="Y180" s="408">
        <v>65</v>
      </c>
      <c r="Z180" s="408">
        <v>17</v>
      </c>
      <c r="AA180" s="408">
        <v>6</v>
      </c>
      <c r="AB180" s="408">
        <v>21</v>
      </c>
      <c r="AC180" s="408">
        <v>57</v>
      </c>
      <c r="AD180" s="408">
        <v>133</v>
      </c>
    </row>
    <row r="181" spans="1:30">
      <c r="A181">
        <v>148</v>
      </c>
      <c r="B181" s="1" t="s">
        <v>518</v>
      </c>
      <c r="C181" s="1" t="s">
        <v>20</v>
      </c>
      <c r="D181" s="408">
        <v>21</v>
      </c>
      <c r="E181" s="5" t="s">
        <v>64</v>
      </c>
      <c r="F181" s="408">
        <v>44</v>
      </c>
      <c r="G181" s="408">
        <v>4</v>
      </c>
      <c r="H181" s="408">
        <v>764</v>
      </c>
      <c r="I181" s="408">
        <v>89</v>
      </c>
      <c r="J181" s="408">
        <v>252</v>
      </c>
      <c r="K181" s="408">
        <v>0.35299999999999998</v>
      </c>
      <c r="L181" s="408">
        <v>15</v>
      </c>
      <c r="M181" s="408">
        <v>54</v>
      </c>
      <c r="N181" s="408">
        <v>0.27800000000000002</v>
      </c>
      <c r="O181" s="408">
        <v>74</v>
      </c>
      <c r="P181" s="408">
        <v>198</v>
      </c>
      <c r="Q181" s="408">
        <v>0.374</v>
      </c>
      <c r="R181" s="408">
        <v>0.38300000000000001</v>
      </c>
      <c r="S181" s="408">
        <v>37</v>
      </c>
      <c r="T181" s="408">
        <v>47</v>
      </c>
      <c r="U181" s="408">
        <v>0.78700000000000003</v>
      </c>
      <c r="V181" s="408">
        <v>9</v>
      </c>
      <c r="W181" s="408">
        <v>75</v>
      </c>
      <c r="X181" s="408">
        <v>84</v>
      </c>
      <c r="Y181" s="408">
        <v>98</v>
      </c>
      <c r="Z181" s="408">
        <v>35</v>
      </c>
      <c r="AA181" s="408">
        <v>6</v>
      </c>
      <c r="AB181" s="408">
        <v>42</v>
      </c>
      <c r="AC181" s="408">
        <v>93</v>
      </c>
      <c r="AD181" s="408">
        <v>230</v>
      </c>
    </row>
    <row r="182" spans="1:30">
      <c r="A182">
        <v>149</v>
      </c>
      <c r="B182" s="1" t="s">
        <v>243</v>
      </c>
      <c r="C182" s="1" t="s">
        <v>20</v>
      </c>
      <c r="D182" s="408">
        <v>28</v>
      </c>
      <c r="E182" s="5" t="s">
        <v>128</v>
      </c>
      <c r="F182" s="408">
        <v>51</v>
      </c>
      <c r="G182" s="408">
        <v>31</v>
      </c>
      <c r="H182" s="408">
        <v>1588</v>
      </c>
      <c r="I182" s="408">
        <v>359</v>
      </c>
      <c r="J182" s="408">
        <v>798</v>
      </c>
      <c r="K182" s="408">
        <v>0.45</v>
      </c>
      <c r="L182" s="408">
        <v>113</v>
      </c>
      <c r="M182" s="408">
        <v>284</v>
      </c>
      <c r="N182" s="408">
        <v>0.39800000000000002</v>
      </c>
      <c r="O182" s="408">
        <v>246</v>
      </c>
      <c r="P182" s="408">
        <v>514</v>
      </c>
      <c r="Q182" s="408">
        <v>0.47899999999999998</v>
      </c>
      <c r="R182" s="408">
        <v>0.52100000000000002</v>
      </c>
      <c r="S182" s="408">
        <v>163</v>
      </c>
      <c r="T182" s="408">
        <v>205</v>
      </c>
      <c r="U182" s="408">
        <v>0.79500000000000004</v>
      </c>
      <c r="V182" s="408">
        <v>43</v>
      </c>
      <c r="W182" s="408">
        <v>215</v>
      </c>
      <c r="X182" s="408">
        <v>258</v>
      </c>
      <c r="Y182" s="408">
        <v>265</v>
      </c>
      <c r="Z182" s="408">
        <v>56</v>
      </c>
      <c r="AA182" s="408">
        <v>16</v>
      </c>
      <c r="AB182" s="408">
        <v>111</v>
      </c>
      <c r="AC182" s="408">
        <v>94</v>
      </c>
      <c r="AD182" s="408">
        <v>994</v>
      </c>
    </row>
    <row r="183" spans="1:30">
      <c r="A183">
        <v>150</v>
      </c>
      <c r="B183" s="1" t="s">
        <v>37</v>
      </c>
      <c r="C183" s="1" t="s">
        <v>20</v>
      </c>
      <c r="D183" s="408">
        <v>22</v>
      </c>
      <c r="E183" s="5" t="s">
        <v>305</v>
      </c>
      <c r="F183" s="408">
        <v>2</v>
      </c>
      <c r="G183" s="408">
        <v>0</v>
      </c>
      <c r="H183" s="408">
        <v>27</v>
      </c>
      <c r="I183" s="408">
        <v>4</v>
      </c>
      <c r="J183" s="408">
        <v>11</v>
      </c>
      <c r="K183" s="408">
        <v>0.36399999999999999</v>
      </c>
      <c r="L183" s="408">
        <v>0</v>
      </c>
      <c r="M183" s="408">
        <v>2</v>
      </c>
      <c r="N183" s="408">
        <v>0</v>
      </c>
      <c r="O183" s="408">
        <v>4</v>
      </c>
      <c r="P183" s="408">
        <v>9</v>
      </c>
      <c r="Q183" s="408">
        <v>0.44400000000000001</v>
      </c>
      <c r="R183" s="408">
        <v>0.36399999999999999</v>
      </c>
      <c r="S183" s="408">
        <v>4</v>
      </c>
      <c r="T183" s="408">
        <v>6</v>
      </c>
      <c r="U183" s="408">
        <v>0.66700000000000004</v>
      </c>
      <c r="V183" s="408">
        <v>1</v>
      </c>
      <c r="W183" s="408">
        <v>3</v>
      </c>
      <c r="X183" s="408">
        <v>4</v>
      </c>
      <c r="Y183" s="408">
        <v>4</v>
      </c>
      <c r="Z183" s="408">
        <v>1</v>
      </c>
      <c r="AA183" s="408">
        <v>0</v>
      </c>
      <c r="AB183" s="408">
        <v>3</v>
      </c>
      <c r="AC183" s="408">
        <v>1</v>
      </c>
      <c r="AD183" s="408">
        <v>12</v>
      </c>
    </row>
    <row r="184" spans="1:30">
      <c r="A184">
        <v>151</v>
      </c>
      <c r="B184" s="1" t="s">
        <v>585</v>
      </c>
      <c r="C184" s="1" t="s">
        <v>38</v>
      </c>
      <c r="D184" s="408">
        <v>28</v>
      </c>
      <c r="E184" s="5" t="s">
        <v>61</v>
      </c>
      <c r="F184" s="408">
        <v>32</v>
      </c>
      <c r="G184" s="408">
        <v>7</v>
      </c>
      <c r="H184" s="408">
        <v>461</v>
      </c>
      <c r="I184" s="408">
        <v>76</v>
      </c>
      <c r="J184" s="408">
        <v>148</v>
      </c>
      <c r="K184" s="408">
        <v>0.51400000000000001</v>
      </c>
      <c r="L184" s="408">
        <v>0</v>
      </c>
      <c r="M184" s="408">
        <v>1</v>
      </c>
      <c r="N184" s="408">
        <v>0</v>
      </c>
      <c r="O184" s="408">
        <v>76</v>
      </c>
      <c r="P184" s="408">
        <v>147</v>
      </c>
      <c r="Q184" s="408">
        <v>0.51700000000000002</v>
      </c>
      <c r="R184" s="408">
        <v>0.51400000000000001</v>
      </c>
      <c r="S184" s="408">
        <v>36</v>
      </c>
      <c r="T184" s="408">
        <v>51</v>
      </c>
      <c r="U184" s="408">
        <v>0.70599999999999996</v>
      </c>
      <c r="V184" s="408">
        <v>68</v>
      </c>
      <c r="W184" s="408">
        <v>85</v>
      </c>
      <c r="X184" s="408">
        <v>153</v>
      </c>
      <c r="Y184" s="408">
        <v>18</v>
      </c>
      <c r="Z184" s="408">
        <v>12</v>
      </c>
      <c r="AA184" s="408">
        <v>13</v>
      </c>
      <c r="AB184" s="408">
        <v>23</v>
      </c>
      <c r="AC184" s="408">
        <v>51</v>
      </c>
      <c r="AD184" s="408">
        <v>188</v>
      </c>
    </row>
    <row r="185" spans="1:30">
      <c r="A185">
        <v>152</v>
      </c>
      <c r="B185" s="1" t="s">
        <v>217</v>
      </c>
      <c r="C185" s="1" t="s">
        <v>83</v>
      </c>
      <c r="D185" s="408">
        <v>26</v>
      </c>
      <c r="E185" s="5" t="s">
        <v>305</v>
      </c>
      <c r="F185" s="408">
        <v>66</v>
      </c>
      <c r="G185" s="408">
        <v>66</v>
      </c>
      <c r="H185" s="408">
        <v>1838</v>
      </c>
      <c r="I185" s="408">
        <v>330</v>
      </c>
      <c r="J185" s="408">
        <v>593</v>
      </c>
      <c r="K185" s="408">
        <v>0.55600000000000005</v>
      </c>
      <c r="L185" s="408">
        <v>10</v>
      </c>
      <c r="M185" s="408">
        <v>44</v>
      </c>
      <c r="N185" s="408">
        <v>0.22700000000000001</v>
      </c>
      <c r="O185" s="408">
        <v>320</v>
      </c>
      <c r="P185" s="408">
        <v>549</v>
      </c>
      <c r="Q185" s="408">
        <v>0.58299999999999996</v>
      </c>
      <c r="R185" s="408">
        <v>0.56499999999999995</v>
      </c>
      <c r="S185" s="408">
        <v>122</v>
      </c>
      <c r="T185" s="408">
        <v>184</v>
      </c>
      <c r="U185" s="408">
        <v>0.66300000000000003</v>
      </c>
      <c r="V185" s="408">
        <v>169</v>
      </c>
      <c r="W185" s="408">
        <v>307</v>
      </c>
      <c r="X185" s="408">
        <v>476</v>
      </c>
      <c r="Y185" s="408">
        <v>88</v>
      </c>
      <c r="Z185" s="408">
        <v>51</v>
      </c>
      <c r="AA185" s="408">
        <v>66</v>
      </c>
      <c r="AB185" s="408">
        <v>81</v>
      </c>
      <c r="AC185" s="408">
        <v>141</v>
      </c>
      <c r="AD185" s="408">
        <v>792</v>
      </c>
    </row>
    <row r="186" spans="1:30">
      <c r="A186">
        <v>153</v>
      </c>
      <c r="B186" s="1" t="s">
        <v>320</v>
      </c>
      <c r="C186" s="1" t="s">
        <v>20</v>
      </c>
      <c r="D186" s="408">
        <v>22</v>
      </c>
      <c r="E186" s="5" t="s">
        <v>357</v>
      </c>
      <c r="F186" s="408">
        <v>15</v>
      </c>
      <c r="G186" s="408">
        <v>0</v>
      </c>
      <c r="H186" s="408">
        <v>137</v>
      </c>
      <c r="I186" s="408">
        <v>20</v>
      </c>
      <c r="J186" s="408">
        <v>68</v>
      </c>
      <c r="K186" s="408">
        <v>0.29399999999999998</v>
      </c>
      <c r="L186" s="408">
        <v>4</v>
      </c>
      <c r="M186" s="408">
        <v>19</v>
      </c>
      <c r="N186" s="408">
        <v>0.21099999999999999</v>
      </c>
      <c r="O186" s="408">
        <v>16</v>
      </c>
      <c r="P186" s="408">
        <v>49</v>
      </c>
      <c r="Q186" s="408">
        <v>0.32700000000000001</v>
      </c>
      <c r="R186" s="408">
        <v>0.32400000000000001</v>
      </c>
      <c r="S186" s="408">
        <v>11</v>
      </c>
      <c r="T186" s="408">
        <v>12</v>
      </c>
      <c r="U186" s="408">
        <v>0.91700000000000004</v>
      </c>
      <c r="V186" s="408">
        <v>2</v>
      </c>
      <c r="W186" s="408">
        <v>13</v>
      </c>
      <c r="X186" s="408">
        <v>15</v>
      </c>
      <c r="Y186" s="408">
        <v>20</v>
      </c>
      <c r="Z186" s="408">
        <v>3</v>
      </c>
      <c r="AA186" s="408">
        <v>1</v>
      </c>
      <c r="AB186" s="408">
        <v>16</v>
      </c>
      <c r="AC186" s="408">
        <v>11</v>
      </c>
      <c r="AD186" s="408">
        <v>55</v>
      </c>
    </row>
    <row r="187" spans="1:30">
      <c r="A187">
        <v>153</v>
      </c>
      <c r="B187" s="1" t="s">
        <v>320</v>
      </c>
      <c r="C187" s="1" t="s">
        <v>20</v>
      </c>
      <c r="D187" s="408">
        <v>22</v>
      </c>
      <c r="E187" s="5" t="s">
        <v>43</v>
      </c>
      <c r="F187" s="408">
        <v>14</v>
      </c>
      <c r="G187" s="408">
        <v>0</v>
      </c>
      <c r="H187" s="408">
        <v>134</v>
      </c>
      <c r="I187" s="408">
        <v>20</v>
      </c>
      <c r="J187" s="408">
        <v>66</v>
      </c>
      <c r="K187" s="408">
        <v>0.30299999999999999</v>
      </c>
      <c r="L187" s="408">
        <v>4</v>
      </c>
      <c r="M187" s="408">
        <v>18</v>
      </c>
      <c r="N187" s="408">
        <v>0.222</v>
      </c>
      <c r="O187" s="408">
        <v>16</v>
      </c>
      <c r="P187" s="408">
        <v>48</v>
      </c>
      <c r="Q187" s="408">
        <v>0.33300000000000002</v>
      </c>
      <c r="R187" s="408">
        <v>0.33300000000000002</v>
      </c>
      <c r="S187" s="408">
        <v>11</v>
      </c>
      <c r="T187" s="408">
        <v>12</v>
      </c>
      <c r="U187" s="408">
        <v>0.91700000000000004</v>
      </c>
      <c r="V187" s="408">
        <v>1</v>
      </c>
      <c r="W187" s="408">
        <v>13</v>
      </c>
      <c r="X187" s="408">
        <v>14</v>
      </c>
      <c r="Y187" s="408">
        <v>20</v>
      </c>
      <c r="Z187" s="408">
        <v>3</v>
      </c>
      <c r="AA187" s="408">
        <v>1</v>
      </c>
      <c r="AB187" s="408">
        <v>15</v>
      </c>
      <c r="AC187" s="408">
        <v>11</v>
      </c>
      <c r="AD187" s="408">
        <v>55</v>
      </c>
    </row>
    <row r="188" spans="1:30">
      <c r="A188">
        <v>153</v>
      </c>
      <c r="B188" s="1" t="s">
        <v>320</v>
      </c>
      <c r="C188" s="1" t="s">
        <v>20</v>
      </c>
      <c r="D188" s="408">
        <v>22</v>
      </c>
      <c r="E188" s="5" t="s">
        <v>157</v>
      </c>
      <c r="F188" s="408">
        <v>1</v>
      </c>
      <c r="G188" s="408">
        <v>0</v>
      </c>
      <c r="H188" s="408">
        <v>3</v>
      </c>
      <c r="I188" s="408">
        <v>0</v>
      </c>
      <c r="J188" s="408">
        <v>2</v>
      </c>
      <c r="K188" s="408">
        <v>0</v>
      </c>
      <c r="L188" s="408">
        <v>0</v>
      </c>
      <c r="M188" s="408">
        <v>1</v>
      </c>
      <c r="N188" s="408">
        <v>0</v>
      </c>
      <c r="O188" s="408">
        <v>0</v>
      </c>
      <c r="P188" s="408">
        <v>1</v>
      </c>
      <c r="Q188" s="408">
        <v>0</v>
      </c>
      <c r="R188" s="408">
        <v>0</v>
      </c>
      <c r="S188" s="408">
        <v>0</v>
      </c>
      <c r="T188" s="408">
        <v>0</v>
      </c>
      <c r="U188" s="408"/>
      <c r="V188" s="408">
        <v>1</v>
      </c>
      <c r="W188" s="408">
        <v>0</v>
      </c>
      <c r="X188" s="408">
        <v>1</v>
      </c>
      <c r="Y188" s="408">
        <v>0</v>
      </c>
      <c r="Z188" s="408">
        <v>0</v>
      </c>
      <c r="AA188" s="408">
        <v>0</v>
      </c>
      <c r="AB188" s="408">
        <v>1</v>
      </c>
      <c r="AC188" s="408">
        <v>0</v>
      </c>
      <c r="AD188" s="408">
        <v>0</v>
      </c>
    </row>
    <row r="189" spans="1:30">
      <c r="A189">
        <v>154</v>
      </c>
      <c r="B189" s="1" t="s">
        <v>605</v>
      </c>
      <c r="C189" s="1" t="s">
        <v>83</v>
      </c>
      <c r="D189" s="408">
        <v>25</v>
      </c>
      <c r="E189" s="5" t="s">
        <v>43</v>
      </c>
      <c r="F189" s="408">
        <v>44</v>
      </c>
      <c r="G189" s="408">
        <v>7</v>
      </c>
      <c r="H189" s="408">
        <v>691</v>
      </c>
      <c r="I189" s="408">
        <v>88</v>
      </c>
      <c r="J189" s="408">
        <v>144</v>
      </c>
      <c r="K189" s="408">
        <v>0.61099999999999999</v>
      </c>
      <c r="L189" s="408">
        <v>0</v>
      </c>
      <c r="M189" s="408">
        <v>1</v>
      </c>
      <c r="N189" s="408">
        <v>0</v>
      </c>
      <c r="O189" s="408">
        <v>88</v>
      </c>
      <c r="P189" s="408">
        <v>143</v>
      </c>
      <c r="Q189" s="408">
        <v>0.61499999999999999</v>
      </c>
      <c r="R189" s="408">
        <v>0.61099999999999999</v>
      </c>
      <c r="S189" s="408">
        <v>35</v>
      </c>
      <c r="T189" s="408">
        <v>56</v>
      </c>
      <c r="U189" s="408">
        <v>0.625</v>
      </c>
      <c r="V189" s="408">
        <v>48</v>
      </c>
      <c r="W189" s="408">
        <v>94</v>
      </c>
      <c r="X189" s="408">
        <v>142</v>
      </c>
      <c r="Y189" s="408">
        <v>40</v>
      </c>
      <c r="Z189" s="408">
        <v>8</v>
      </c>
      <c r="AA189" s="408">
        <v>11</v>
      </c>
      <c r="AB189" s="408">
        <v>36</v>
      </c>
      <c r="AC189" s="408">
        <v>86</v>
      </c>
      <c r="AD189" s="408">
        <v>211</v>
      </c>
    </row>
    <row r="190" spans="1:30">
      <c r="A190">
        <v>155</v>
      </c>
      <c r="B190" s="1" t="s">
        <v>166</v>
      </c>
      <c r="C190" s="1" t="s">
        <v>20</v>
      </c>
      <c r="D190" s="408">
        <v>33</v>
      </c>
      <c r="E190" s="5" t="s">
        <v>58</v>
      </c>
      <c r="F190" s="408">
        <v>72</v>
      </c>
      <c r="G190" s="408">
        <v>2</v>
      </c>
      <c r="H190" s="408">
        <v>1216</v>
      </c>
      <c r="I190" s="408">
        <v>200</v>
      </c>
      <c r="J190" s="408">
        <v>486</v>
      </c>
      <c r="K190" s="408">
        <v>0.41199999999999998</v>
      </c>
      <c r="L190" s="408">
        <v>71</v>
      </c>
      <c r="M190" s="408">
        <v>199</v>
      </c>
      <c r="N190" s="408">
        <v>0.35699999999999998</v>
      </c>
      <c r="O190" s="408">
        <v>129</v>
      </c>
      <c r="P190" s="408">
        <v>287</v>
      </c>
      <c r="Q190" s="408">
        <v>0.44900000000000001</v>
      </c>
      <c r="R190" s="408">
        <v>0.48499999999999999</v>
      </c>
      <c r="S190" s="408">
        <v>34</v>
      </c>
      <c r="T190" s="408">
        <v>42</v>
      </c>
      <c r="U190" s="408">
        <v>0.81</v>
      </c>
      <c r="V190" s="408">
        <v>25</v>
      </c>
      <c r="W190" s="408">
        <v>116</v>
      </c>
      <c r="X190" s="408">
        <v>141</v>
      </c>
      <c r="Y190" s="408">
        <v>191</v>
      </c>
      <c r="Z190" s="408">
        <v>43</v>
      </c>
      <c r="AA190" s="408">
        <v>13</v>
      </c>
      <c r="AB190" s="408">
        <v>68</v>
      </c>
      <c r="AC190" s="408">
        <v>79</v>
      </c>
      <c r="AD190" s="408">
        <v>505</v>
      </c>
    </row>
    <row r="191" spans="1:30">
      <c r="A191">
        <v>156</v>
      </c>
      <c r="B191" s="1" t="s">
        <v>499</v>
      </c>
      <c r="C191" s="1" t="s">
        <v>26</v>
      </c>
      <c r="D191" s="408">
        <v>19</v>
      </c>
      <c r="E191" s="5" t="s">
        <v>58</v>
      </c>
      <c r="F191" s="408">
        <v>54</v>
      </c>
      <c r="G191" s="408">
        <v>12</v>
      </c>
      <c r="H191" s="408">
        <v>663</v>
      </c>
      <c r="I191" s="408">
        <v>62</v>
      </c>
      <c r="J191" s="408">
        <v>147</v>
      </c>
      <c r="K191" s="408">
        <v>0.42199999999999999</v>
      </c>
      <c r="L191" s="408">
        <v>32</v>
      </c>
      <c r="M191" s="408">
        <v>99</v>
      </c>
      <c r="N191" s="408">
        <v>0.32300000000000001</v>
      </c>
      <c r="O191" s="408">
        <v>30</v>
      </c>
      <c r="P191" s="408">
        <v>48</v>
      </c>
      <c r="Q191" s="408">
        <v>0.625</v>
      </c>
      <c r="R191" s="408">
        <v>0.53100000000000003</v>
      </c>
      <c r="S191" s="408">
        <v>7</v>
      </c>
      <c r="T191" s="408">
        <v>8</v>
      </c>
      <c r="U191" s="408">
        <v>0.875</v>
      </c>
      <c r="V191" s="408">
        <v>18</v>
      </c>
      <c r="W191" s="408">
        <v>23</v>
      </c>
      <c r="X191" s="408">
        <v>41</v>
      </c>
      <c r="Y191" s="408">
        <v>15</v>
      </c>
      <c r="Z191" s="408">
        <v>22</v>
      </c>
      <c r="AA191" s="408">
        <v>10</v>
      </c>
      <c r="AB191" s="408">
        <v>10</v>
      </c>
      <c r="AC191" s="408">
        <v>76</v>
      </c>
      <c r="AD191" s="408">
        <v>163</v>
      </c>
    </row>
    <row r="192" spans="1:30">
      <c r="A192">
        <v>157</v>
      </c>
      <c r="B192" s="1" t="s">
        <v>205</v>
      </c>
      <c r="C192" s="1" t="s">
        <v>26</v>
      </c>
      <c r="D192" s="408">
        <v>24</v>
      </c>
      <c r="E192" s="5" t="s">
        <v>33</v>
      </c>
      <c r="F192" s="408">
        <v>70</v>
      </c>
      <c r="G192" s="408">
        <v>21</v>
      </c>
      <c r="H192" s="408">
        <v>2039</v>
      </c>
      <c r="I192" s="408">
        <v>261</v>
      </c>
      <c r="J192" s="408">
        <v>610</v>
      </c>
      <c r="K192" s="408">
        <v>0.42799999999999999</v>
      </c>
      <c r="L192" s="408">
        <v>115</v>
      </c>
      <c r="M192" s="408">
        <v>302</v>
      </c>
      <c r="N192" s="408">
        <v>0.38100000000000001</v>
      </c>
      <c r="O192" s="408">
        <v>146</v>
      </c>
      <c r="P192" s="408">
        <v>308</v>
      </c>
      <c r="Q192" s="408">
        <v>0.47399999999999998</v>
      </c>
      <c r="R192" s="408">
        <v>0.52200000000000002</v>
      </c>
      <c r="S192" s="408">
        <v>71</v>
      </c>
      <c r="T192" s="408">
        <v>87</v>
      </c>
      <c r="U192" s="408">
        <v>0.81599999999999995</v>
      </c>
      <c r="V192" s="408">
        <v>26</v>
      </c>
      <c r="W192" s="408">
        <v>201</v>
      </c>
      <c r="X192" s="408">
        <v>227</v>
      </c>
      <c r="Y192" s="408">
        <v>167</v>
      </c>
      <c r="Z192" s="408">
        <v>53</v>
      </c>
      <c r="AA192" s="408">
        <v>6</v>
      </c>
      <c r="AB192" s="408">
        <v>72</v>
      </c>
      <c r="AC192" s="408">
        <v>141</v>
      </c>
      <c r="AD192" s="408">
        <v>708</v>
      </c>
    </row>
    <row r="193" spans="1:30">
      <c r="A193">
        <v>158</v>
      </c>
      <c r="B193" s="1" t="s">
        <v>491</v>
      </c>
      <c r="C193" s="1" t="s">
        <v>38</v>
      </c>
      <c r="D193" s="408">
        <v>24</v>
      </c>
      <c r="E193" s="5" t="s">
        <v>33</v>
      </c>
      <c r="F193" s="408">
        <v>11</v>
      </c>
      <c r="G193" s="408">
        <v>3</v>
      </c>
      <c r="H193" s="408">
        <v>156</v>
      </c>
      <c r="I193" s="408">
        <v>15</v>
      </c>
      <c r="J193" s="408">
        <v>35</v>
      </c>
      <c r="K193" s="408">
        <v>0.42899999999999999</v>
      </c>
      <c r="L193" s="408">
        <v>6</v>
      </c>
      <c r="M193" s="408">
        <v>21</v>
      </c>
      <c r="N193" s="408">
        <v>0.28599999999999998</v>
      </c>
      <c r="O193" s="408">
        <v>9</v>
      </c>
      <c r="P193" s="408">
        <v>14</v>
      </c>
      <c r="Q193" s="408">
        <v>0.64300000000000002</v>
      </c>
      <c r="R193" s="408">
        <v>0.51400000000000001</v>
      </c>
      <c r="S193" s="408">
        <v>5</v>
      </c>
      <c r="T193" s="408">
        <v>7</v>
      </c>
      <c r="U193" s="408">
        <v>0.71399999999999997</v>
      </c>
      <c r="V193" s="408">
        <v>11</v>
      </c>
      <c r="W193" s="408">
        <v>14</v>
      </c>
      <c r="X193" s="408">
        <v>25</v>
      </c>
      <c r="Y193" s="408">
        <v>8</v>
      </c>
      <c r="Z193" s="408">
        <v>2</v>
      </c>
      <c r="AA193" s="408">
        <v>2</v>
      </c>
      <c r="AB193" s="408">
        <v>8</v>
      </c>
      <c r="AC193" s="408">
        <v>22</v>
      </c>
      <c r="AD193" s="408">
        <v>41</v>
      </c>
    </row>
    <row r="194" spans="1:30">
      <c r="A194">
        <v>159</v>
      </c>
      <c r="B194" s="1" t="s">
        <v>174</v>
      </c>
      <c r="C194" s="1" t="s">
        <v>26</v>
      </c>
      <c r="D194" s="408">
        <v>24</v>
      </c>
      <c r="E194" s="5" t="s">
        <v>140</v>
      </c>
      <c r="F194" s="408">
        <v>70</v>
      </c>
      <c r="G194" s="408">
        <v>12</v>
      </c>
      <c r="H194" s="408">
        <v>1358</v>
      </c>
      <c r="I194" s="408">
        <v>190</v>
      </c>
      <c r="J194" s="408">
        <v>451</v>
      </c>
      <c r="K194" s="408">
        <v>0.42099999999999999</v>
      </c>
      <c r="L194" s="408">
        <v>83</v>
      </c>
      <c r="M194" s="408">
        <v>214</v>
      </c>
      <c r="N194" s="408">
        <v>0.38800000000000001</v>
      </c>
      <c r="O194" s="408">
        <v>107</v>
      </c>
      <c r="P194" s="408">
        <v>237</v>
      </c>
      <c r="Q194" s="408">
        <v>0.45100000000000001</v>
      </c>
      <c r="R194" s="408">
        <v>0.51300000000000001</v>
      </c>
      <c r="S194" s="408">
        <v>39</v>
      </c>
      <c r="T194" s="408">
        <v>61</v>
      </c>
      <c r="U194" s="408">
        <v>0.63900000000000001</v>
      </c>
      <c r="V194" s="408">
        <v>11</v>
      </c>
      <c r="W194" s="408">
        <v>88</v>
      </c>
      <c r="X194" s="408">
        <v>99</v>
      </c>
      <c r="Y194" s="408">
        <v>66</v>
      </c>
      <c r="Z194" s="408">
        <v>26</v>
      </c>
      <c r="AA194" s="408">
        <v>2</v>
      </c>
      <c r="AB194" s="408">
        <v>36</v>
      </c>
      <c r="AC194" s="408">
        <v>99</v>
      </c>
      <c r="AD194" s="408">
        <v>502</v>
      </c>
    </row>
    <row r="195" spans="1:30">
      <c r="A195">
        <v>160</v>
      </c>
      <c r="B195" s="1" t="s">
        <v>343</v>
      </c>
      <c r="C195" s="1" t="s">
        <v>46</v>
      </c>
      <c r="D195" s="408">
        <v>25</v>
      </c>
      <c r="E195" s="5" t="s">
        <v>75</v>
      </c>
      <c r="F195" s="408">
        <v>57</v>
      </c>
      <c r="G195" s="408">
        <v>57</v>
      </c>
      <c r="H195" s="408">
        <v>1837</v>
      </c>
      <c r="I195" s="408">
        <v>368</v>
      </c>
      <c r="J195" s="408">
        <v>802</v>
      </c>
      <c r="K195" s="408">
        <v>0.45900000000000002</v>
      </c>
      <c r="L195" s="408">
        <v>127</v>
      </c>
      <c r="M195" s="408">
        <v>335</v>
      </c>
      <c r="N195" s="408">
        <v>0.379</v>
      </c>
      <c r="O195" s="408">
        <v>241</v>
      </c>
      <c r="P195" s="408">
        <v>467</v>
      </c>
      <c r="Q195" s="408">
        <v>0.51600000000000001</v>
      </c>
      <c r="R195" s="408">
        <v>0.53800000000000003</v>
      </c>
      <c r="S195" s="408">
        <v>150</v>
      </c>
      <c r="T195" s="408">
        <v>173</v>
      </c>
      <c r="U195" s="408">
        <v>0.86699999999999999</v>
      </c>
      <c r="V195" s="408">
        <v>23</v>
      </c>
      <c r="W195" s="408">
        <v>157</v>
      </c>
      <c r="X195" s="408">
        <v>180</v>
      </c>
      <c r="Y195" s="408">
        <v>165</v>
      </c>
      <c r="Z195" s="408">
        <v>47</v>
      </c>
      <c r="AA195" s="408">
        <v>16</v>
      </c>
      <c r="AB195" s="408">
        <v>95</v>
      </c>
      <c r="AC195" s="408">
        <v>138</v>
      </c>
      <c r="AD195" s="408">
        <v>1013</v>
      </c>
    </row>
    <row r="196" spans="1:30">
      <c r="A196">
        <v>161</v>
      </c>
      <c r="B196" s="1" t="s">
        <v>503</v>
      </c>
      <c r="C196" s="1" t="s">
        <v>20</v>
      </c>
      <c r="D196" s="408">
        <v>20</v>
      </c>
      <c r="E196" s="5" t="s">
        <v>100</v>
      </c>
      <c r="F196" s="408">
        <v>63</v>
      </c>
      <c r="G196" s="408">
        <v>50</v>
      </c>
      <c r="H196" s="408">
        <v>1731</v>
      </c>
      <c r="I196" s="408">
        <v>284</v>
      </c>
      <c r="J196" s="408">
        <v>675</v>
      </c>
      <c r="K196" s="408">
        <v>0.42099999999999999</v>
      </c>
      <c r="L196" s="408">
        <v>40</v>
      </c>
      <c r="M196" s="408">
        <v>122</v>
      </c>
      <c r="N196" s="408">
        <v>0.32800000000000001</v>
      </c>
      <c r="O196" s="408">
        <v>244</v>
      </c>
      <c r="P196" s="408">
        <v>553</v>
      </c>
      <c r="Q196" s="408">
        <v>0.441</v>
      </c>
      <c r="R196" s="408">
        <v>0.45</v>
      </c>
      <c r="S196" s="408">
        <v>120</v>
      </c>
      <c r="T196" s="408">
        <v>168</v>
      </c>
      <c r="U196" s="408">
        <v>0.71399999999999997</v>
      </c>
      <c r="V196" s="408">
        <v>27</v>
      </c>
      <c r="W196" s="408">
        <v>134</v>
      </c>
      <c r="X196" s="408">
        <v>161</v>
      </c>
      <c r="Y196" s="408">
        <v>270</v>
      </c>
      <c r="Z196" s="408">
        <v>63</v>
      </c>
      <c r="AA196" s="408">
        <v>16</v>
      </c>
      <c r="AB196" s="408">
        <v>150</v>
      </c>
      <c r="AC196" s="408">
        <v>140</v>
      </c>
      <c r="AD196" s="408">
        <v>728</v>
      </c>
    </row>
    <row r="197" spans="1:30">
      <c r="A197">
        <v>162</v>
      </c>
      <c r="B197" s="1" t="s">
        <v>81</v>
      </c>
      <c r="C197" s="1" t="s">
        <v>20</v>
      </c>
      <c r="D197" s="408">
        <v>27</v>
      </c>
      <c r="E197" s="5" t="s">
        <v>27</v>
      </c>
      <c r="F197" s="408">
        <v>52</v>
      </c>
      <c r="G197" s="408">
        <v>11</v>
      </c>
      <c r="H197" s="408">
        <v>772</v>
      </c>
      <c r="I197" s="408">
        <v>63</v>
      </c>
      <c r="J197" s="408">
        <v>156</v>
      </c>
      <c r="K197" s="408">
        <v>0.40400000000000003</v>
      </c>
      <c r="L197" s="408">
        <v>16</v>
      </c>
      <c r="M197" s="408">
        <v>52</v>
      </c>
      <c r="N197" s="408">
        <v>0.308</v>
      </c>
      <c r="O197" s="408">
        <v>47</v>
      </c>
      <c r="P197" s="408">
        <v>104</v>
      </c>
      <c r="Q197" s="408">
        <v>0.45200000000000001</v>
      </c>
      <c r="R197" s="408">
        <v>0.45500000000000002</v>
      </c>
      <c r="S197" s="408">
        <v>22</v>
      </c>
      <c r="T197" s="408">
        <v>28</v>
      </c>
      <c r="U197" s="408">
        <v>0.78600000000000003</v>
      </c>
      <c r="V197" s="408">
        <v>18</v>
      </c>
      <c r="W197" s="408">
        <v>87</v>
      </c>
      <c r="X197" s="408">
        <v>105</v>
      </c>
      <c r="Y197" s="408">
        <v>181</v>
      </c>
      <c r="Z197" s="408">
        <v>41</v>
      </c>
      <c r="AA197" s="408">
        <v>7</v>
      </c>
      <c r="AB197" s="408">
        <v>55</v>
      </c>
      <c r="AC197" s="408">
        <v>88</v>
      </c>
      <c r="AD197" s="408">
        <v>164</v>
      </c>
    </row>
    <row r="198" spans="1:30">
      <c r="A198">
        <v>163</v>
      </c>
      <c r="B198" s="1" t="s">
        <v>103</v>
      </c>
      <c r="C198" s="1" t="s">
        <v>83</v>
      </c>
      <c r="D198" s="408">
        <v>34</v>
      </c>
      <c r="E198" s="5" t="s">
        <v>357</v>
      </c>
      <c r="F198" s="408">
        <v>45</v>
      </c>
      <c r="G198" s="408">
        <v>1</v>
      </c>
      <c r="H198" s="408">
        <v>556</v>
      </c>
      <c r="I198" s="408">
        <v>85</v>
      </c>
      <c r="J198" s="408">
        <v>170</v>
      </c>
      <c r="K198" s="408">
        <v>0.5</v>
      </c>
      <c r="L198" s="408">
        <v>31</v>
      </c>
      <c r="M198" s="408">
        <v>91</v>
      </c>
      <c r="N198" s="408">
        <v>0.34100000000000003</v>
      </c>
      <c r="O198" s="408">
        <v>54</v>
      </c>
      <c r="P198" s="408">
        <v>79</v>
      </c>
      <c r="Q198" s="408">
        <v>0.68400000000000005</v>
      </c>
      <c r="R198" s="408">
        <v>0.59099999999999997</v>
      </c>
      <c r="S198" s="408">
        <v>14</v>
      </c>
      <c r="T198" s="408">
        <v>15</v>
      </c>
      <c r="U198" s="408">
        <v>0.93300000000000005</v>
      </c>
      <c r="V198" s="408">
        <v>10</v>
      </c>
      <c r="W198" s="408">
        <v>100</v>
      </c>
      <c r="X198" s="408">
        <v>110</v>
      </c>
      <c r="Y198" s="408">
        <v>28</v>
      </c>
      <c r="Z198" s="408">
        <v>17</v>
      </c>
      <c r="AA198" s="408">
        <v>12</v>
      </c>
      <c r="AB198" s="408">
        <v>17</v>
      </c>
      <c r="AC198" s="408">
        <v>56</v>
      </c>
      <c r="AD198" s="408">
        <v>215</v>
      </c>
    </row>
    <row r="199" spans="1:30">
      <c r="A199">
        <v>163</v>
      </c>
      <c r="B199" s="1" t="s">
        <v>103</v>
      </c>
      <c r="C199" s="1" t="s">
        <v>83</v>
      </c>
      <c r="D199" s="408">
        <v>34</v>
      </c>
      <c r="E199" s="5" t="s">
        <v>102</v>
      </c>
      <c r="F199" s="408">
        <v>44</v>
      </c>
      <c r="G199" s="408">
        <v>1</v>
      </c>
      <c r="H199" s="408">
        <v>545</v>
      </c>
      <c r="I199" s="408">
        <v>84</v>
      </c>
      <c r="J199" s="408">
        <v>169</v>
      </c>
      <c r="K199" s="408">
        <v>0.497</v>
      </c>
      <c r="L199" s="408">
        <v>30</v>
      </c>
      <c r="M199" s="408">
        <v>90</v>
      </c>
      <c r="N199" s="408">
        <v>0.33300000000000002</v>
      </c>
      <c r="O199" s="408">
        <v>54</v>
      </c>
      <c r="P199" s="408">
        <v>79</v>
      </c>
      <c r="Q199" s="408">
        <v>0.68400000000000005</v>
      </c>
      <c r="R199" s="408">
        <v>0.58599999999999997</v>
      </c>
      <c r="S199" s="408">
        <v>14</v>
      </c>
      <c r="T199" s="408">
        <v>15</v>
      </c>
      <c r="U199" s="408">
        <v>0.93300000000000005</v>
      </c>
      <c r="V199" s="408">
        <v>10</v>
      </c>
      <c r="W199" s="408">
        <v>100</v>
      </c>
      <c r="X199" s="408">
        <v>110</v>
      </c>
      <c r="Y199" s="408">
        <v>28</v>
      </c>
      <c r="Z199" s="408">
        <v>17</v>
      </c>
      <c r="AA199" s="408">
        <v>12</v>
      </c>
      <c r="AB199" s="408">
        <v>17</v>
      </c>
      <c r="AC199" s="408">
        <v>54</v>
      </c>
      <c r="AD199" s="408">
        <v>212</v>
      </c>
    </row>
    <row r="200" spans="1:30">
      <c r="A200">
        <v>163</v>
      </c>
      <c r="B200" s="1" t="s">
        <v>103</v>
      </c>
      <c r="C200" s="1" t="s">
        <v>83</v>
      </c>
      <c r="D200" s="408">
        <v>34</v>
      </c>
      <c r="E200" s="5" t="s">
        <v>78</v>
      </c>
      <c r="F200" s="408">
        <v>1</v>
      </c>
      <c r="G200" s="408">
        <v>0</v>
      </c>
      <c r="H200" s="408">
        <v>11</v>
      </c>
      <c r="I200" s="408">
        <v>1</v>
      </c>
      <c r="J200" s="408">
        <v>1</v>
      </c>
      <c r="K200" s="408">
        <v>1</v>
      </c>
      <c r="L200" s="408">
        <v>1</v>
      </c>
      <c r="M200" s="408">
        <v>1</v>
      </c>
      <c r="N200" s="408">
        <v>1</v>
      </c>
      <c r="O200" s="408">
        <v>0</v>
      </c>
      <c r="P200" s="408">
        <v>0</v>
      </c>
      <c r="Q200" s="408"/>
      <c r="R200" s="408">
        <v>1.5</v>
      </c>
      <c r="S200" s="408">
        <v>0</v>
      </c>
      <c r="T200" s="408">
        <v>0</v>
      </c>
      <c r="U200" s="408"/>
      <c r="V200" s="408">
        <v>0</v>
      </c>
      <c r="W200" s="408">
        <v>0</v>
      </c>
      <c r="X200" s="408">
        <v>0</v>
      </c>
      <c r="Y200" s="408">
        <v>0</v>
      </c>
      <c r="Z200" s="408">
        <v>0</v>
      </c>
      <c r="AA200" s="408">
        <v>0</v>
      </c>
      <c r="AB200" s="408">
        <v>0</v>
      </c>
      <c r="AC200" s="408">
        <v>2</v>
      </c>
      <c r="AD200" s="408">
        <v>3</v>
      </c>
    </row>
    <row r="201" spans="1:30">
      <c r="A201">
        <v>164</v>
      </c>
      <c r="B201" s="1" t="s">
        <v>617</v>
      </c>
      <c r="C201" s="1" t="s">
        <v>26</v>
      </c>
      <c r="D201" s="408">
        <v>19</v>
      </c>
      <c r="E201" s="5" t="s">
        <v>118</v>
      </c>
      <c r="F201" s="408">
        <v>4</v>
      </c>
      <c r="G201" s="408">
        <v>0</v>
      </c>
      <c r="H201" s="408">
        <v>76</v>
      </c>
      <c r="I201" s="408">
        <v>9</v>
      </c>
      <c r="J201" s="408">
        <v>27</v>
      </c>
      <c r="K201" s="408">
        <v>0.33300000000000002</v>
      </c>
      <c r="L201" s="408">
        <v>0</v>
      </c>
      <c r="M201" s="408">
        <v>0</v>
      </c>
      <c r="N201" s="408"/>
      <c r="O201" s="408">
        <v>9</v>
      </c>
      <c r="P201" s="408">
        <v>27</v>
      </c>
      <c r="Q201" s="408">
        <v>0.33300000000000002</v>
      </c>
      <c r="R201" s="408">
        <v>0.33300000000000002</v>
      </c>
      <c r="S201" s="408">
        <v>6</v>
      </c>
      <c r="T201" s="408">
        <v>12</v>
      </c>
      <c r="U201" s="408">
        <v>0.5</v>
      </c>
      <c r="V201" s="408">
        <v>3</v>
      </c>
      <c r="W201" s="408">
        <v>6</v>
      </c>
      <c r="X201" s="408">
        <v>9</v>
      </c>
      <c r="Y201" s="408">
        <v>7</v>
      </c>
      <c r="Z201" s="408">
        <v>2</v>
      </c>
      <c r="AA201" s="408">
        <v>1</v>
      </c>
      <c r="AB201" s="408">
        <v>6</v>
      </c>
      <c r="AC201" s="408">
        <v>6</v>
      </c>
      <c r="AD201" s="408">
        <v>24</v>
      </c>
    </row>
    <row r="202" spans="1:30">
      <c r="A202">
        <v>165</v>
      </c>
      <c r="B202" s="1" t="s">
        <v>337</v>
      </c>
      <c r="C202" s="1" t="s">
        <v>46</v>
      </c>
      <c r="D202" s="408">
        <v>29</v>
      </c>
      <c r="E202" s="5" t="s">
        <v>64</v>
      </c>
      <c r="F202" s="408">
        <v>19</v>
      </c>
      <c r="G202" s="408">
        <v>19</v>
      </c>
      <c r="H202" s="408">
        <v>615</v>
      </c>
      <c r="I202" s="408">
        <v>98</v>
      </c>
      <c r="J202" s="408">
        <v>241</v>
      </c>
      <c r="K202" s="408">
        <v>0.40699999999999997</v>
      </c>
      <c r="L202" s="408">
        <v>34</v>
      </c>
      <c r="M202" s="408">
        <v>106</v>
      </c>
      <c r="N202" s="408">
        <v>0.32100000000000001</v>
      </c>
      <c r="O202" s="408">
        <v>64</v>
      </c>
      <c r="P202" s="408">
        <v>135</v>
      </c>
      <c r="Q202" s="408">
        <v>0.47399999999999998</v>
      </c>
      <c r="R202" s="408">
        <v>0.47699999999999998</v>
      </c>
      <c r="S202" s="408">
        <v>73</v>
      </c>
      <c r="T202" s="408">
        <v>77</v>
      </c>
      <c r="U202" s="408">
        <v>0.94799999999999995</v>
      </c>
      <c r="V202" s="408">
        <v>8</v>
      </c>
      <c r="W202" s="408">
        <v>85</v>
      </c>
      <c r="X202" s="408">
        <v>93</v>
      </c>
      <c r="Y202" s="408">
        <v>39</v>
      </c>
      <c r="Z202" s="408">
        <v>11</v>
      </c>
      <c r="AA202" s="408">
        <v>6</v>
      </c>
      <c r="AB202" s="408">
        <v>23</v>
      </c>
      <c r="AC202" s="408">
        <v>27</v>
      </c>
      <c r="AD202" s="408">
        <v>303</v>
      </c>
    </row>
    <row r="203" spans="1:30">
      <c r="A203">
        <v>166</v>
      </c>
      <c r="B203" s="1" t="s">
        <v>391</v>
      </c>
      <c r="C203" s="1" t="s">
        <v>26</v>
      </c>
      <c r="D203" s="408">
        <v>26</v>
      </c>
      <c r="E203" s="5" t="s">
        <v>157</v>
      </c>
      <c r="F203" s="408">
        <v>53</v>
      </c>
      <c r="G203" s="408">
        <v>2</v>
      </c>
      <c r="H203" s="408">
        <v>779</v>
      </c>
      <c r="I203" s="408">
        <v>115</v>
      </c>
      <c r="J203" s="408">
        <v>303</v>
      </c>
      <c r="K203" s="408">
        <v>0.38</v>
      </c>
      <c r="L203" s="408">
        <v>68</v>
      </c>
      <c r="M203" s="408">
        <v>196</v>
      </c>
      <c r="N203" s="408">
        <v>0.34699999999999998</v>
      </c>
      <c r="O203" s="408">
        <v>47</v>
      </c>
      <c r="P203" s="408">
        <v>107</v>
      </c>
      <c r="Q203" s="408">
        <v>0.439</v>
      </c>
      <c r="R203" s="408">
        <v>0.49199999999999999</v>
      </c>
      <c r="S203" s="408">
        <v>27</v>
      </c>
      <c r="T203" s="408">
        <v>34</v>
      </c>
      <c r="U203" s="408">
        <v>0.79400000000000004</v>
      </c>
      <c r="V203" s="408">
        <v>12</v>
      </c>
      <c r="W203" s="408">
        <v>70</v>
      </c>
      <c r="X203" s="408">
        <v>82</v>
      </c>
      <c r="Y203" s="408">
        <v>53</v>
      </c>
      <c r="Z203" s="408">
        <v>30</v>
      </c>
      <c r="AA203" s="408">
        <v>5</v>
      </c>
      <c r="AB203" s="408">
        <v>17</v>
      </c>
      <c r="AC203" s="408">
        <v>38</v>
      </c>
      <c r="AD203" s="408">
        <v>325</v>
      </c>
    </row>
    <row r="204" spans="1:30">
      <c r="A204">
        <v>167</v>
      </c>
      <c r="B204" s="1" t="s">
        <v>375</v>
      </c>
      <c r="C204" s="1" t="s">
        <v>83</v>
      </c>
      <c r="D204" s="408">
        <v>33</v>
      </c>
      <c r="E204" s="5" t="s">
        <v>128</v>
      </c>
      <c r="F204" s="408">
        <v>65</v>
      </c>
      <c r="G204" s="408">
        <v>65</v>
      </c>
      <c r="H204" s="408">
        <v>2197</v>
      </c>
      <c r="I204" s="408">
        <v>394</v>
      </c>
      <c r="J204" s="408">
        <v>948</v>
      </c>
      <c r="K204" s="408">
        <v>0.41599999999999998</v>
      </c>
      <c r="L204" s="408">
        <v>93</v>
      </c>
      <c r="M204" s="408">
        <v>287</v>
      </c>
      <c r="N204" s="408">
        <v>0.32400000000000001</v>
      </c>
      <c r="O204" s="408">
        <v>301</v>
      </c>
      <c r="P204" s="408">
        <v>661</v>
      </c>
      <c r="Q204" s="408">
        <v>0.45500000000000002</v>
      </c>
      <c r="R204" s="408">
        <v>0.46500000000000002</v>
      </c>
      <c r="S204" s="408">
        <v>271</v>
      </c>
      <c r="T204" s="408">
        <v>325</v>
      </c>
      <c r="U204" s="408">
        <v>0.83399999999999996</v>
      </c>
      <c r="V204" s="408">
        <v>72</v>
      </c>
      <c r="W204" s="408">
        <v>477</v>
      </c>
      <c r="X204" s="408">
        <v>549</v>
      </c>
      <c r="Y204" s="408">
        <v>270</v>
      </c>
      <c r="Z204" s="408">
        <v>44</v>
      </c>
      <c r="AA204" s="408">
        <v>95</v>
      </c>
      <c r="AB204" s="408">
        <v>179</v>
      </c>
      <c r="AC204" s="408">
        <v>164</v>
      </c>
      <c r="AD204" s="408">
        <v>1152</v>
      </c>
    </row>
    <row r="205" spans="1:30">
      <c r="A205">
        <v>168</v>
      </c>
      <c r="B205" s="1" t="s">
        <v>477</v>
      </c>
      <c r="C205" s="1" t="s">
        <v>83</v>
      </c>
      <c r="D205" s="408">
        <v>37</v>
      </c>
      <c r="E205" s="5" t="s">
        <v>140</v>
      </c>
      <c r="F205" s="408">
        <v>66</v>
      </c>
      <c r="G205" s="408">
        <v>59</v>
      </c>
      <c r="H205" s="408">
        <v>1607</v>
      </c>
      <c r="I205" s="408">
        <v>254</v>
      </c>
      <c r="J205" s="408">
        <v>556</v>
      </c>
      <c r="K205" s="408">
        <v>0.45700000000000002</v>
      </c>
      <c r="L205" s="408">
        <v>41</v>
      </c>
      <c r="M205" s="408">
        <v>109</v>
      </c>
      <c r="N205" s="408">
        <v>0.376</v>
      </c>
      <c r="O205" s="408">
        <v>213</v>
      </c>
      <c r="P205" s="408">
        <v>447</v>
      </c>
      <c r="Q205" s="408">
        <v>0.47699999999999998</v>
      </c>
      <c r="R205" s="408">
        <v>0.49399999999999999</v>
      </c>
      <c r="S205" s="408">
        <v>140</v>
      </c>
      <c r="T205" s="408">
        <v>181</v>
      </c>
      <c r="U205" s="408">
        <v>0.77300000000000002</v>
      </c>
      <c r="V205" s="408">
        <v>103</v>
      </c>
      <c r="W205" s="408">
        <v>435</v>
      </c>
      <c r="X205" s="408">
        <v>538</v>
      </c>
      <c r="Y205" s="408">
        <v>215</v>
      </c>
      <c r="Z205" s="408">
        <v>21</v>
      </c>
      <c r="AA205" s="408">
        <v>70</v>
      </c>
      <c r="AB205" s="408">
        <v>97</v>
      </c>
      <c r="AC205" s="408">
        <v>99</v>
      </c>
      <c r="AD205" s="408">
        <v>689</v>
      </c>
    </row>
    <row r="206" spans="1:30">
      <c r="A206">
        <v>169</v>
      </c>
      <c r="B206" s="1" t="s">
        <v>482</v>
      </c>
      <c r="C206" s="1" t="s">
        <v>38</v>
      </c>
      <c r="D206" s="408">
        <v>31</v>
      </c>
      <c r="E206" s="5" t="s">
        <v>140</v>
      </c>
      <c r="F206" s="408">
        <v>46</v>
      </c>
      <c r="G206" s="408">
        <v>6</v>
      </c>
      <c r="H206" s="408">
        <v>990</v>
      </c>
      <c r="I206" s="408">
        <v>198</v>
      </c>
      <c r="J206" s="408">
        <v>423</v>
      </c>
      <c r="K206" s="408">
        <v>0.46800000000000003</v>
      </c>
      <c r="L206" s="408">
        <v>30</v>
      </c>
      <c r="M206" s="408">
        <v>93</v>
      </c>
      <c r="N206" s="408">
        <v>0.32300000000000001</v>
      </c>
      <c r="O206" s="408">
        <v>168</v>
      </c>
      <c r="P206" s="408">
        <v>330</v>
      </c>
      <c r="Q206" s="408">
        <v>0.50900000000000001</v>
      </c>
      <c r="R206" s="408">
        <v>0.504</v>
      </c>
      <c r="S206" s="408">
        <v>87</v>
      </c>
      <c r="T206" s="408">
        <v>110</v>
      </c>
      <c r="U206" s="408">
        <v>0.79100000000000004</v>
      </c>
      <c r="V206" s="408">
        <v>56</v>
      </c>
      <c r="W206" s="408">
        <v>175</v>
      </c>
      <c r="X206" s="408">
        <v>231</v>
      </c>
      <c r="Y206" s="408">
        <v>61</v>
      </c>
      <c r="Z206" s="408">
        <v>34</v>
      </c>
      <c r="AA206" s="408">
        <v>33</v>
      </c>
      <c r="AB206" s="408">
        <v>68</v>
      </c>
      <c r="AC206" s="408">
        <v>83</v>
      </c>
      <c r="AD206" s="408">
        <v>513</v>
      </c>
    </row>
    <row r="207" spans="1:30">
      <c r="A207">
        <v>170</v>
      </c>
      <c r="B207" s="1" t="s">
        <v>307</v>
      </c>
      <c r="C207" s="1" t="s">
        <v>46</v>
      </c>
      <c r="D207" s="408">
        <v>27</v>
      </c>
      <c r="E207" s="5" t="s">
        <v>58</v>
      </c>
      <c r="F207" s="408">
        <v>69</v>
      </c>
      <c r="G207" s="408">
        <v>69</v>
      </c>
      <c r="H207" s="408">
        <v>2510</v>
      </c>
      <c r="I207" s="408">
        <v>507</v>
      </c>
      <c r="J207" s="408">
        <v>1158</v>
      </c>
      <c r="K207" s="408">
        <v>0.438</v>
      </c>
      <c r="L207" s="408">
        <v>213</v>
      </c>
      <c r="M207" s="408">
        <v>524</v>
      </c>
      <c r="N207" s="408">
        <v>0.40600000000000003</v>
      </c>
      <c r="O207" s="408">
        <v>294</v>
      </c>
      <c r="P207" s="408">
        <v>634</v>
      </c>
      <c r="Q207" s="408">
        <v>0.46400000000000002</v>
      </c>
      <c r="R207" s="408">
        <v>0.53</v>
      </c>
      <c r="S207" s="408">
        <v>278</v>
      </c>
      <c r="T207" s="408">
        <v>344</v>
      </c>
      <c r="U207" s="408">
        <v>0.80800000000000005</v>
      </c>
      <c r="V207" s="408">
        <v>60</v>
      </c>
      <c r="W207" s="408">
        <v>325</v>
      </c>
      <c r="X207" s="408">
        <v>385</v>
      </c>
      <c r="Y207" s="408">
        <v>235</v>
      </c>
      <c r="Z207" s="408">
        <v>142</v>
      </c>
      <c r="AA207" s="408">
        <v>37</v>
      </c>
      <c r="AB207" s="408">
        <v>186</v>
      </c>
      <c r="AC207" s="408">
        <v>201</v>
      </c>
      <c r="AD207" s="408">
        <v>1505</v>
      </c>
    </row>
    <row r="208" spans="1:30">
      <c r="A208">
        <v>171</v>
      </c>
      <c r="B208" s="1" t="s">
        <v>0</v>
      </c>
      <c r="C208" s="1" t="s">
        <v>26</v>
      </c>
      <c r="D208" s="408">
        <v>23</v>
      </c>
      <c r="E208" s="5" t="s">
        <v>56</v>
      </c>
      <c r="F208" s="408">
        <v>39</v>
      </c>
      <c r="G208" s="408">
        <v>0</v>
      </c>
      <c r="H208" s="408">
        <v>204</v>
      </c>
      <c r="I208" s="408">
        <v>17</v>
      </c>
      <c r="J208" s="408">
        <v>42</v>
      </c>
      <c r="K208" s="408">
        <v>0.40500000000000003</v>
      </c>
      <c r="L208" s="408">
        <v>3</v>
      </c>
      <c r="M208" s="408">
        <v>14</v>
      </c>
      <c r="N208" s="408">
        <v>0.214</v>
      </c>
      <c r="O208" s="408">
        <v>14</v>
      </c>
      <c r="P208" s="408">
        <v>28</v>
      </c>
      <c r="Q208" s="408">
        <v>0.5</v>
      </c>
      <c r="R208" s="408">
        <v>0.44</v>
      </c>
      <c r="S208" s="408">
        <v>8</v>
      </c>
      <c r="T208" s="408">
        <v>16</v>
      </c>
      <c r="U208" s="408">
        <v>0.5</v>
      </c>
      <c r="V208" s="408">
        <v>7</v>
      </c>
      <c r="W208" s="408">
        <v>7</v>
      </c>
      <c r="X208" s="408">
        <v>14</v>
      </c>
      <c r="Y208" s="408">
        <v>7</v>
      </c>
      <c r="Z208" s="408">
        <v>4</v>
      </c>
      <c r="AA208" s="408">
        <v>0</v>
      </c>
      <c r="AB208" s="408">
        <v>3</v>
      </c>
      <c r="AC208" s="408">
        <v>30</v>
      </c>
      <c r="AD208" s="408">
        <v>45</v>
      </c>
    </row>
    <row r="209" spans="1:30">
      <c r="A209">
        <v>172</v>
      </c>
      <c r="B209" s="1" t="s">
        <v>10</v>
      </c>
      <c r="C209" s="1" t="s">
        <v>38</v>
      </c>
      <c r="D209" s="408">
        <v>32</v>
      </c>
      <c r="E209" s="5" t="s">
        <v>56</v>
      </c>
      <c r="F209" s="408">
        <v>71</v>
      </c>
      <c r="G209" s="408">
        <v>71</v>
      </c>
      <c r="H209" s="408">
        <v>2374</v>
      </c>
      <c r="I209" s="408">
        <v>372</v>
      </c>
      <c r="J209" s="408">
        <v>643</v>
      </c>
      <c r="K209" s="408">
        <v>0.57899999999999996</v>
      </c>
      <c r="L209" s="408">
        <v>7</v>
      </c>
      <c r="M209" s="408">
        <v>33</v>
      </c>
      <c r="N209" s="408">
        <v>0.21199999999999999</v>
      </c>
      <c r="O209" s="408">
        <v>365</v>
      </c>
      <c r="P209" s="408">
        <v>610</v>
      </c>
      <c r="Q209" s="408">
        <v>0.59799999999999998</v>
      </c>
      <c r="R209" s="408">
        <v>0.58399999999999996</v>
      </c>
      <c r="S209" s="408">
        <v>118</v>
      </c>
      <c r="T209" s="408">
        <v>155</v>
      </c>
      <c r="U209" s="408">
        <v>0.76100000000000001</v>
      </c>
      <c r="V209" s="408">
        <v>170</v>
      </c>
      <c r="W209" s="408">
        <v>333</v>
      </c>
      <c r="X209" s="408">
        <v>503</v>
      </c>
      <c r="Y209" s="408">
        <v>90</v>
      </c>
      <c r="Z209" s="408">
        <v>55</v>
      </c>
      <c r="AA209" s="408">
        <v>50</v>
      </c>
      <c r="AB209" s="408">
        <v>79</v>
      </c>
      <c r="AC209" s="408">
        <v>191</v>
      </c>
      <c r="AD209" s="408">
        <v>869</v>
      </c>
    </row>
    <row r="210" spans="1:30">
      <c r="A210">
        <v>173</v>
      </c>
      <c r="B210" s="1" t="s">
        <v>418</v>
      </c>
      <c r="C210" s="1" t="s">
        <v>26</v>
      </c>
      <c r="D210" s="408">
        <v>40</v>
      </c>
      <c r="E210" s="5" t="s">
        <v>140</v>
      </c>
      <c r="F210" s="408">
        <v>55</v>
      </c>
      <c r="G210" s="408">
        <v>0</v>
      </c>
      <c r="H210" s="408">
        <v>1108</v>
      </c>
      <c r="I210" s="408">
        <v>172</v>
      </c>
      <c r="J210" s="408">
        <v>397</v>
      </c>
      <c r="K210" s="408">
        <v>0.433</v>
      </c>
      <c r="L210" s="408">
        <v>52</v>
      </c>
      <c r="M210" s="408">
        <v>165</v>
      </c>
      <c r="N210" s="408">
        <v>0.315</v>
      </c>
      <c r="O210" s="408">
        <v>120</v>
      </c>
      <c r="P210" s="408">
        <v>232</v>
      </c>
      <c r="Q210" s="408">
        <v>0.51700000000000002</v>
      </c>
      <c r="R210" s="408">
        <v>0.499</v>
      </c>
      <c r="S210" s="408">
        <v>90</v>
      </c>
      <c r="T210" s="408">
        <v>106</v>
      </c>
      <c r="U210" s="408">
        <v>0.84899999999999998</v>
      </c>
      <c r="V210" s="408">
        <v>18</v>
      </c>
      <c r="W210" s="408">
        <v>100</v>
      </c>
      <c r="X210" s="408">
        <v>118</v>
      </c>
      <c r="Y210" s="408">
        <v>138</v>
      </c>
      <c r="Z210" s="408">
        <v>36</v>
      </c>
      <c r="AA210" s="408">
        <v>16</v>
      </c>
      <c r="AB210" s="408">
        <v>91</v>
      </c>
      <c r="AC210" s="408">
        <v>107</v>
      </c>
      <c r="AD210" s="408">
        <v>486</v>
      </c>
    </row>
    <row r="211" spans="1:30">
      <c r="A211">
        <v>174</v>
      </c>
      <c r="B211" s="1" t="s">
        <v>588</v>
      </c>
      <c r="C211" s="1" t="s">
        <v>83</v>
      </c>
      <c r="D211" s="408">
        <v>25</v>
      </c>
      <c r="E211" s="5" t="s">
        <v>305</v>
      </c>
      <c r="F211" s="408">
        <v>44</v>
      </c>
      <c r="G211" s="408">
        <v>44</v>
      </c>
      <c r="H211" s="408">
        <v>1422</v>
      </c>
      <c r="I211" s="408">
        <v>224</v>
      </c>
      <c r="J211" s="408">
        <v>362</v>
      </c>
      <c r="K211" s="408">
        <v>0.61899999999999999</v>
      </c>
      <c r="L211" s="408">
        <v>0</v>
      </c>
      <c r="M211" s="408">
        <v>0</v>
      </c>
      <c r="N211" s="408"/>
      <c r="O211" s="408">
        <v>224</v>
      </c>
      <c r="P211" s="408">
        <v>362</v>
      </c>
      <c r="Q211" s="408">
        <v>0.61899999999999999</v>
      </c>
      <c r="R211" s="408">
        <v>0.61899999999999999</v>
      </c>
      <c r="S211" s="408">
        <v>170</v>
      </c>
      <c r="T211" s="408">
        <v>245</v>
      </c>
      <c r="U211" s="408">
        <v>0.69399999999999995</v>
      </c>
      <c r="V211" s="408">
        <v>128</v>
      </c>
      <c r="W211" s="408">
        <v>344</v>
      </c>
      <c r="X211" s="408">
        <v>472</v>
      </c>
      <c r="Y211" s="408">
        <v>59</v>
      </c>
      <c r="Z211" s="408">
        <v>32</v>
      </c>
      <c r="AA211" s="408">
        <v>102</v>
      </c>
      <c r="AB211" s="408">
        <v>77</v>
      </c>
      <c r="AC211" s="408">
        <v>120</v>
      </c>
      <c r="AD211" s="408">
        <v>618</v>
      </c>
    </row>
    <row r="212" spans="1:30">
      <c r="A212">
        <v>175</v>
      </c>
      <c r="B212" s="1" t="s">
        <v>242</v>
      </c>
      <c r="C212" s="1" t="s">
        <v>38</v>
      </c>
      <c r="D212" s="408">
        <v>22</v>
      </c>
      <c r="E212" s="5" t="s">
        <v>75</v>
      </c>
      <c r="F212" s="408">
        <v>47</v>
      </c>
      <c r="G212" s="408">
        <v>46</v>
      </c>
      <c r="H212" s="408">
        <v>1582</v>
      </c>
      <c r="I212" s="408">
        <v>312</v>
      </c>
      <c r="J212" s="408">
        <v>704</v>
      </c>
      <c r="K212" s="408">
        <v>0.443</v>
      </c>
      <c r="L212" s="408">
        <v>95</v>
      </c>
      <c r="M212" s="408">
        <v>273</v>
      </c>
      <c r="N212" s="408">
        <v>0.34799999999999998</v>
      </c>
      <c r="O212" s="408">
        <v>217</v>
      </c>
      <c r="P212" s="408">
        <v>431</v>
      </c>
      <c r="Q212" s="408">
        <v>0.503</v>
      </c>
      <c r="R212" s="408">
        <v>0.51100000000000001</v>
      </c>
      <c r="S212" s="408">
        <v>139</v>
      </c>
      <c r="T212" s="408">
        <v>198</v>
      </c>
      <c r="U212" s="408">
        <v>0.70199999999999996</v>
      </c>
      <c r="V212" s="408">
        <v>79</v>
      </c>
      <c r="W212" s="408">
        <v>316</v>
      </c>
      <c r="X212" s="408">
        <v>395</v>
      </c>
      <c r="Y212" s="408">
        <v>107</v>
      </c>
      <c r="Z212" s="408">
        <v>43</v>
      </c>
      <c r="AA212" s="408">
        <v>37</v>
      </c>
      <c r="AB212" s="408">
        <v>87</v>
      </c>
      <c r="AC212" s="408">
        <v>93</v>
      </c>
      <c r="AD212" s="408">
        <v>858</v>
      </c>
    </row>
    <row r="213" spans="1:30">
      <c r="A213">
        <v>176</v>
      </c>
      <c r="B213" s="1" t="s">
        <v>289</v>
      </c>
      <c r="C213" s="1" t="s">
        <v>26</v>
      </c>
      <c r="D213" s="408">
        <v>29</v>
      </c>
      <c r="E213" s="5" t="s">
        <v>92</v>
      </c>
      <c r="F213" s="408">
        <v>61</v>
      </c>
      <c r="G213" s="408">
        <v>25</v>
      </c>
      <c r="H213" s="408">
        <v>1910</v>
      </c>
      <c r="I213" s="408">
        <v>362</v>
      </c>
      <c r="J213" s="408">
        <v>858</v>
      </c>
      <c r="K213" s="408">
        <v>0.42199999999999999</v>
      </c>
      <c r="L213" s="408">
        <v>190</v>
      </c>
      <c r="M213" s="408">
        <v>538</v>
      </c>
      <c r="N213" s="408">
        <v>0.35299999999999998</v>
      </c>
      <c r="O213" s="408">
        <v>172</v>
      </c>
      <c r="P213" s="408">
        <v>320</v>
      </c>
      <c r="Q213" s="408">
        <v>0.53800000000000003</v>
      </c>
      <c r="R213" s="408">
        <v>0.53300000000000003</v>
      </c>
      <c r="S213" s="408">
        <v>184</v>
      </c>
      <c r="T213" s="408">
        <v>225</v>
      </c>
      <c r="U213" s="408">
        <v>0.81799999999999995</v>
      </c>
      <c r="V213" s="408">
        <v>22</v>
      </c>
      <c r="W213" s="408">
        <v>128</v>
      </c>
      <c r="X213" s="408">
        <v>150</v>
      </c>
      <c r="Y213" s="408">
        <v>134</v>
      </c>
      <c r="Z213" s="408">
        <v>37</v>
      </c>
      <c r="AA213" s="408">
        <v>25</v>
      </c>
      <c r="AB213" s="408">
        <v>113</v>
      </c>
      <c r="AC213" s="408">
        <v>101</v>
      </c>
      <c r="AD213" s="408">
        <v>1098</v>
      </c>
    </row>
    <row r="214" spans="1:30">
      <c r="A214">
        <v>177</v>
      </c>
      <c r="B214" s="1" t="s">
        <v>604</v>
      </c>
      <c r="C214" s="1" t="s">
        <v>83</v>
      </c>
      <c r="D214" s="408">
        <v>33</v>
      </c>
      <c r="E214" s="5" t="s">
        <v>27</v>
      </c>
      <c r="F214" s="408">
        <v>70</v>
      </c>
      <c r="G214" s="408">
        <v>70</v>
      </c>
      <c r="H214" s="408">
        <v>1788</v>
      </c>
      <c r="I214" s="408">
        <v>249</v>
      </c>
      <c r="J214" s="408">
        <v>482</v>
      </c>
      <c r="K214" s="408">
        <v>0.51700000000000002</v>
      </c>
      <c r="L214" s="408">
        <v>0</v>
      </c>
      <c r="M214" s="408">
        <v>0</v>
      </c>
      <c r="N214" s="408"/>
      <c r="O214" s="408">
        <v>249</v>
      </c>
      <c r="P214" s="408">
        <v>482</v>
      </c>
      <c r="Q214" s="408">
        <v>0.51700000000000002</v>
      </c>
      <c r="R214" s="408">
        <v>0.51700000000000002</v>
      </c>
      <c r="S214" s="408">
        <v>96</v>
      </c>
      <c r="T214" s="408">
        <v>144</v>
      </c>
      <c r="U214" s="408">
        <v>0.66700000000000004</v>
      </c>
      <c r="V214" s="408">
        <v>154</v>
      </c>
      <c r="W214" s="408">
        <v>381</v>
      </c>
      <c r="X214" s="408">
        <v>535</v>
      </c>
      <c r="Y214" s="408">
        <v>129</v>
      </c>
      <c r="Z214" s="408">
        <v>36</v>
      </c>
      <c r="AA214" s="408">
        <v>53</v>
      </c>
      <c r="AB214" s="408">
        <v>84</v>
      </c>
      <c r="AC214" s="408">
        <v>147</v>
      </c>
      <c r="AD214" s="408">
        <v>594</v>
      </c>
    </row>
    <row r="215" spans="1:30">
      <c r="A215">
        <v>178</v>
      </c>
      <c r="B215" s="1" t="s">
        <v>133</v>
      </c>
      <c r="C215" s="1" t="s">
        <v>26</v>
      </c>
      <c r="D215" s="408">
        <v>24</v>
      </c>
      <c r="E215" s="5" t="s">
        <v>311</v>
      </c>
      <c r="F215" s="408">
        <v>58</v>
      </c>
      <c r="G215" s="408">
        <v>2</v>
      </c>
      <c r="H215" s="408">
        <v>978</v>
      </c>
      <c r="I215" s="408">
        <v>92</v>
      </c>
      <c r="J215" s="408">
        <v>208</v>
      </c>
      <c r="K215" s="408">
        <v>0.442</v>
      </c>
      <c r="L215" s="408">
        <v>39</v>
      </c>
      <c r="M215" s="408">
        <v>91</v>
      </c>
      <c r="N215" s="408">
        <v>0.42899999999999999</v>
      </c>
      <c r="O215" s="408">
        <v>53</v>
      </c>
      <c r="P215" s="408">
        <v>117</v>
      </c>
      <c r="Q215" s="408">
        <v>0.45300000000000001</v>
      </c>
      <c r="R215" s="408">
        <v>0.53600000000000003</v>
      </c>
      <c r="S215" s="408">
        <v>40</v>
      </c>
      <c r="T215" s="408">
        <v>55</v>
      </c>
      <c r="U215" s="408">
        <v>0.72699999999999998</v>
      </c>
      <c r="V215" s="408">
        <v>37</v>
      </c>
      <c r="W215" s="408">
        <v>78</v>
      </c>
      <c r="X215" s="408">
        <v>115</v>
      </c>
      <c r="Y215" s="408">
        <v>52</v>
      </c>
      <c r="Z215" s="408">
        <v>31</v>
      </c>
      <c r="AA215" s="408">
        <v>1</v>
      </c>
      <c r="AB215" s="408">
        <v>26</v>
      </c>
      <c r="AC215" s="408">
        <v>101</v>
      </c>
      <c r="AD215" s="408">
        <v>263</v>
      </c>
    </row>
    <row r="216" spans="1:30">
      <c r="A216">
        <v>179</v>
      </c>
      <c r="B216" s="1" t="s">
        <v>173</v>
      </c>
      <c r="C216" s="1" t="s">
        <v>38</v>
      </c>
      <c r="D216" s="408">
        <v>23</v>
      </c>
      <c r="E216" s="5" t="s">
        <v>58</v>
      </c>
      <c r="F216" s="408">
        <v>71</v>
      </c>
      <c r="G216" s="408">
        <v>1</v>
      </c>
      <c r="H216" s="408">
        <v>1464</v>
      </c>
      <c r="I216" s="408">
        <v>212</v>
      </c>
      <c r="J216" s="408">
        <v>403</v>
      </c>
      <c r="K216" s="408">
        <v>0.52600000000000002</v>
      </c>
      <c r="L216" s="408">
        <v>27</v>
      </c>
      <c r="M216" s="408">
        <v>99</v>
      </c>
      <c r="N216" s="408">
        <v>0.27300000000000002</v>
      </c>
      <c r="O216" s="408">
        <v>185</v>
      </c>
      <c r="P216" s="408">
        <v>304</v>
      </c>
      <c r="Q216" s="408">
        <v>0.60899999999999999</v>
      </c>
      <c r="R216" s="408">
        <v>0.56000000000000005</v>
      </c>
      <c r="S216" s="408">
        <v>128</v>
      </c>
      <c r="T216" s="408">
        <v>199</v>
      </c>
      <c r="U216" s="408">
        <v>0.64300000000000002</v>
      </c>
      <c r="V216" s="408">
        <v>80</v>
      </c>
      <c r="W216" s="408">
        <v>208</v>
      </c>
      <c r="X216" s="408">
        <v>288</v>
      </c>
      <c r="Y216" s="408">
        <v>53</v>
      </c>
      <c r="Z216" s="408">
        <v>27</v>
      </c>
      <c r="AA216" s="408">
        <v>63</v>
      </c>
      <c r="AB216" s="408">
        <v>50</v>
      </c>
      <c r="AC216" s="408">
        <v>141</v>
      </c>
      <c r="AD216" s="408">
        <v>579</v>
      </c>
    </row>
    <row r="217" spans="1:30">
      <c r="A217">
        <v>180</v>
      </c>
      <c r="B217" s="1" t="s">
        <v>450</v>
      </c>
      <c r="C217" s="1" t="s">
        <v>20</v>
      </c>
      <c r="D217" s="408">
        <v>25</v>
      </c>
      <c r="E217" s="5" t="s">
        <v>43</v>
      </c>
      <c r="F217" s="408">
        <v>62</v>
      </c>
      <c r="G217" s="408">
        <v>26</v>
      </c>
      <c r="H217" s="408">
        <v>1398</v>
      </c>
      <c r="I217" s="408">
        <v>169</v>
      </c>
      <c r="J217" s="408">
        <v>400</v>
      </c>
      <c r="K217" s="408">
        <v>0.42299999999999999</v>
      </c>
      <c r="L217" s="408">
        <v>50</v>
      </c>
      <c r="M217" s="408">
        <v>147</v>
      </c>
      <c r="N217" s="408">
        <v>0.34</v>
      </c>
      <c r="O217" s="408">
        <v>119</v>
      </c>
      <c r="P217" s="408">
        <v>253</v>
      </c>
      <c r="Q217" s="408">
        <v>0.47</v>
      </c>
      <c r="R217" s="408">
        <v>0.48499999999999999</v>
      </c>
      <c r="S217" s="408">
        <v>122</v>
      </c>
      <c r="T217" s="408">
        <v>161</v>
      </c>
      <c r="U217" s="408">
        <v>0.75800000000000001</v>
      </c>
      <c r="V217" s="408">
        <v>28</v>
      </c>
      <c r="W217" s="408">
        <v>124</v>
      </c>
      <c r="X217" s="408">
        <v>152</v>
      </c>
      <c r="Y217" s="408">
        <v>290</v>
      </c>
      <c r="Z217" s="408">
        <v>49</v>
      </c>
      <c r="AA217" s="408">
        <v>6</v>
      </c>
      <c r="AB217" s="408">
        <v>74</v>
      </c>
      <c r="AC217" s="408">
        <v>106</v>
      </c>
      <c r="AD217" s="408">
        <v>510</v>
      </c>
    </row>
    <row r="218" spans="1:30">
      <c r="A218">
        <v>181</v>
      </c>
      <c r="B218" s="1" t="s">
        <v>837</v>
      </c>
      <c r="C218" s="1" t="s">
        <v>20</v>
      </c>
      <c r="D218" s="408">
        <v>24</v>
      </c>
      <c r="E218" s="5" t="s">
        <v>313</v>
      </c>
      <c r="F218" s="408">
        <v>5</v>
      </c>
      <c r="G218" s="408">
        <v>0</v>
      </c>
      <c r="H218" s="408">
        <v>86</v>
      </c>
      <c r="I218" s="408">
        <v>11</v>
      </c>
      <c r="J218" s="408">
        <v>41</v>
      </c>
      <c r="K218" s="408">
        <v>0.26800000000000002</v>
      </c>
      <c r="L218" s="408">
        <v>3</v>
      </c>
      <c r="M218" s="408">
        <v>13</v>
      </c>
      <c r="N218" s="408">
        <v>0.23100000000000001</v>
      </c>
      <c r="O218" s="408">
        <v>8</v>
      </c>
      <c r="P218" s="408">
        <v>28</v>
      </c>
      <c r="Q218" s="408">
        <v>0.28599999999999998</v>
      </c>
      <c r="R218" s="408">
        <v>0.30499999999999999</v>
      </c>
      <c r="S218" s="408">
        <v>7</v>
      </c>
      <c r="T218" s="408">
        <v>11</v>
      </c>
      <c r="U218" s="408">
        <v>0.63600000000000001</v>
      </c>
      <c r="V218" s="408">
        <v>2</v>
      </c>
      <c r="W218" s="408">
        <v>8</v>
      </c>
      <c r="X218" s="408">
        <v>10</v>
      </c>
      <c r="Y218" s="408">
        <v>12</v>
      </c>
      <c r="Z218" s="408">
        <v>8</v>
      </c>
      <c r="AA218" s="408">
        <v>2</v>
      </c>
      <c r="AB218" s="408">
        <v>7</v>
      </c>
      <c r="AC218" s="408">
        <v>8</v>
      </c>
      <c r="AD218" s="408">
        <v>32</v>
      </c>
    </row>
    <row r="219" spans="1:30">
      <c r="A219">
        <v>182</v>
      </c>
      <c r="B219" s="1" t="s">
        <v>371</v>
      </c>
      <c r="C219" s="1" t="s">
        <v>26</v>
      </c>
      <c r="D219" s="408">
        <v>30</v>
      </c>
      <c r="E219" s="5" t="s">
        <v>140</v>
      </c>
      <c r="F219" s="408">
        <v>59</v>
      </c>
      <c r="G219" s="408">
        <v>52</v>
      </c>
      <c r="H219" s="408">
        <v>1527</v>
      </c>
      <c r="I219" s="408">
        <v>190</v>
      </c>
      <c r="J219" s="408">
        <v>479</v>
      </c>
      <c r="K219" s="408">
        <v>0.39700000000000002</v>
      </c>
      <c r="L219" s="408">
        <v>102</v>
      </c>
      <c r="M219" s="408">
        <v>273</v>
      </c>
      <c r="N219" s="408">
        <v>0.374</v>
      </c>
      <c r="O219" s="408">
        <v>88</v>
      </c>
      <c r="P219" s="408">
        <v>206</v>
      </c>
      <c r="Q219" s="408">
        <v>0.42699999999999999</v>
      </c>
      <c r="R219" s="408">
        <v>0.503</v>
      </c>
      <c r="S219" s="408">
        <v>38</v>
      </c>
      <c r="T219" s="408">
        <v>49</v>
      </c>
      <c r="U219" s="408">
        <v>0.77600000000000002</v>
      </c>
      <c r="V219" s="408">
        <v>34</v>
      </c>
      <c r="W219" s="408">
        <v>176</v>
      </c>
      <c r="X219" s="408">
        <v>210</v>
      </c>
      <c r="Y219" s="408">
        <v>97</v>
      </c>
      <c r="Z219" s="408">
        <v>56</v>
      </c>
      <c r="AA219" s="408">
        <v>67</v>
      </c>
      <c r="AB219" s="408">
        <v>59</v>
      </c>
      <c r="AC219" s="408">
        <v>95</v>
      </c>
      <c r="AD219" s="408">
        <v>520</v>
      </c>
    </row>
    <row r="220" spans="1:30">
      <c r="A220">
        <v>183</v>
      </c>
      <c r="B220" s="1" t="s">
        <v>396</v>
      </c>
      <c r="C220" s="1" t="s">
        <v>38</v>
      </c>
      <c r="D220" s="408">
        <v>27</v>
      </c>
      <c r="E220" s="5" t="s">
        <v>73</v>
      </c>
      <c r="F220" s="408">
        <v>62</v>
      </c>
      <c r="G220" s="408">
        <v>62</v>
      </c>
      <c r="H220" s="408">
        <v>2038</v>
      </c>
      <c r="I220" s="408">
        <v>255</v>
      </c>
      <c r="J220" s="408">
        <v>565</v>
      </c>
      <c r="K220" s="408">
        <v>0.45100000000000001</v>
      </c>
      <c r="L220" s="408">
        <v>69</v>
      </c>
      <c r="M220" s="408">
        <v>230</v>
      </c>
      <c r="N220" s="408">
        <v>0.3</v>
      </c>
      <c r="O220" s="408">
        <v>186</v>
      </c>
      <c r="P220" s="408">
        <v>335</v>
      </c>
      <c r="Q220" s="408">
        <v>0.55500000000000005</v>
      </c>
      <c r="R220" s="408">
        <v>0.51200000000000001</v>
      </c>
      <c r="S220" s="408">
        <v>119</v>
      </c>
      <c r="T220" s="408">
        <v>155</v>
      </c>
      <c r="U220" s="408">
        <v>0.76800000000000002</v>
      </c>
      <c r="V220" s="408">
        <v>73</v>
      </c>
      <c r="W220" s="408">
        <v>416</v>
      </c>
      <c r="X220" s="408">
        <v>489</v>
      </c>
      <c r="Y220" s="408">
        <v>453</v>
      </c>
      <c r="Z220" s="408">
        <v>84</v>
      </c>
      <c r="AA220" s="408">
        <v>86</v>
      </c>
      <c r="AB220" s="408">
        <v>171</v>
      </c>
      <c r="AC220" s="408">
        <v>164</v>
      </c>
      <c r="AD220" s="408">
        <v>698</v>
      </c>
    </row>
    <row r="221" spans="1:30">
      <c r="A221">
        <v>184</v>
      </c>
      <c r="B221" s="1" t="s">
        <v>234</v>
      </c>
      <c r="C221" s="1" t="s">
        <v>26</v>
      </c>
      <c r="D221" s="408">
        <v>32</v>
      </c>
      <c r="E221" s="5" t="s">
        <v>92</v>
      </c>
      <c r="F221" s="408">
        <v>29</v>
      </c>
      <c r="G221" s="408">
        <v>0</v>
      </c>
      <c r="H221" s="408">
        <v>617</v>
      </c>
      <c r="I221" s="408">
        <v>111</v>
      </c>
      <c r="J221" s="408">
        <v>277</v>
      </c>
      <c r="K221" s="408">
        <v>0.40100000000000002</v>
      </c>
      <c r="L221" s="408">
        <v>75</v>
      </c>
      <c r="M221" s="408">
        <v>199</v>
      </c>
      <c r="N221" s="408">
        <v>0.377</v>
      </c>
      <c r="O221" s="408">
        <v>36</v>
      </c>
      <c r="P221" s="408">
        <v>78</v>
      </c>
      <c r="Q221" s="408">
        <v>0.46200000000000002</v>
      </c>
      <c r="R221" s="408">
        <v>0.53600000000000003</v>
      </c>
      <c r="S221" s="408">
        <v>32</v>
      </c>
      <c r="T221" s="408">
        <v>41</v>
      </c>
      <c r="U221" s="408">
        <v>0.78</v>
      </c>
      <c r="V221" s="408">
        <v>12</v>
      </c>
      <c r="W221" s="408">
        <v>74</v>
      </c>
      <c r="X221" s="408">
        <v>86</v>
      </c>
      <c r="Y221" s="408">
        <v>12</v>
      </c>
      <c r="Z221" s="408">
        <v>16</v>
      </c>
      <c r="AA221" s="408">
        <v>11</v>
      </c>
      <c r="AB221" s="408">
        <v>17</v>
      </c>
      <c r="AC221" s="408">
        <v>62</v>
      </c>
      <c r="AD221" s="408">
        <v>329</v>
      </c>
    </row>
    <row r="222" spans="1:30">
      <c r="A222">
        <v>185</v>
      </c>
      <c r="B222" s="1" t="s">
        <v>471</v>
      </c>
      <c r="C222" s="1" t="s">
        <v>38</v>
      </c>
      <c r="D222" s="408">
        <v>27</v>
      </c>
      <c r="E222" s="5" t="s">
        <v>128</v>
      </c>
      <c r="F222" s="408">
        <v>49</v>
      </c>
      <c r="G222" s="408">
        <v>48</v>
      </c>
      <c r="H222" s="408">
        <v>1365</v>
      </c>
      <c r="I222" s="408">
        <v>202</v>
      </c>
      <c r="J222" s="408">
        <v>441</v>
      </c>
      <c r="K222" s="408">
        <v>0.45800000000000002</v>
      </c>
      <c r="L222" s="408">
        <v>36</v>
      </c>
      <c r="M222" s="408">
        <v>112</v>
      </c>
      <c r="N222" s="408">
        <v>0.32100000000000001</v>
      </c>
      <c r="O222" s="408">
        <v>166</v>
      </c>
      <c r="P222" s="408">
        <v>329</v>
      </c>
      <c r="Q222" s="408">
        <v>0.505</v>
      </c>
      <c r="R222" s="408">
        <v>0.499</v>
      </c>
      <c r="S222" s="408">
        <v>74</v>
      </c>
      <c r="T222" s="408">
        <v>101</v>
      </c>
      <c r="U222" s="408">
        <v>0.73299999999999998</v>
      </c>
      <c r="V222" s="408">
        <v>136</v>
      </c>
      <c r="W222" s="408">
        <v>273</v>
      </c>
      <c r="X222" s="408">
        <v>409</v>
      </c>
      <c r="Y222" s="408">
        <v>72</v>
      </c>
      <c r="Z222" s="408">
        <v>32</v>
      </c>
      <c r="AA222" s="408">
        <v>21</v>
      </c>
      <c r="AB222" s="408">
        <v>69</v>
      </c>
      <c r="AC222" s="408">
        <v>134</v>
      </c>
      <c r="AD222" s="408">
        <v>514</v>
      </c>
    </row>
    <row r="223" spans="1:30">
      <c r="A223">
        <v>186</v>
      </c>
      <c r="B223" s="1" t="s">
        <v>209</v>
      </c>
      <c r="C223" s="1" t="s">
        <v>38</v>
      </c>
      <c r="D223" s="408">
        <v>31</v>
      </c>
      <c r="E223" s="5" t="s">
        <v>102</v>
      </c>
      <c r="F223" s="408">
        <v>67</v>
      </c>
      <c r="G223" s="408">
        <v>5</v>
      </c>
      <c r="H223" s="408">
        <v>1536</v>
      </c>
      <c r="I223" s="408">
        <v>251</v>
      </c>
      <c r="J223" s="408">
        <v>527</v>
      </c>
      <c r="K223" s="408">
        <v>0.47599999999999998</v>
      </c>
      <c r="L223" s="408">
        <v>40</v>
      </c>
      <c r="M223" s="408">
        <v>136</v>
      </c>
      <c r="N223" s="408">
        <v>0.29399999999999998</v>
      </c>
      <c r="O223" s="408">
        <v>211</v>
      </c>
      <c r="P223" s="408">
        <v>391</v>
      </c>
      <c r="Q223" s="408">
        <v>0.54</v>
      </c>
      <c r="R223" s="408">
        <v>0.51400000000000001</v>
      </c>
      <c r="S223" s="408">
        <v>176</v>
      </c>
      <c r="T223" s="408">
        <v>204</v>
      </c>
      <c r="U223" s="408">
        <v>0.86299999999999999</v>
      </c>
      <c r="V223" s="408">
        <v>53</v>
      </c>
      <c r="W223" s="408">
        <v>169</v>
      </c>
      <c r="X223" s="408">
        <v>222</v>
      </c>
      <c r="Y223" s="408">
        <v>88</v>
      </c>
      <c r="Z223" s="408">
        <v>34</v>
      </c>
      <c r="AA223" s="408">
        <v>27</v>
      </c>
      <c r="AB223" s="408">
        <v>66</v>
      </c>
      <c r="AC223" s="408">
        <v>127</v>
      </c>
      <c r="AD223" s="408">
        <v>718</v>
      </c>
    </row>
    <row r="224" spans="1:30">
      <c r="A224">
        <v>187</v>
      </c>
      <c r="B224" s="1" t="s">
        <v>335</v>
      </c>
      <c r="C224" s="1" t="s">
        <v>38</v>
      </c>
      <c r="D224" s="408">
        <v>28</v>
      </c>
      <c r="E224" s="5" t="s">
        <v>357</v>
      </c>
      <c r="F224" s="408">
        <v>54</v>
      </c>
      <c r="G224" s="408">
        <v>54</v>
      </c>
      <c r="H224" s="408">
        <v>1845</v>
      </c>
      <c r="I224" s="408">
        <v>408</v>
      </c>
      <c r="J224" s="408">
        <v>942</v>
      </c>
      <c r="K224" s="408">
        <v>0.433</v>
      </c>
      <c r="L224" s="408">
        <v>103</v>
      </c>
      <c r="M224" s="408">
        <v>300</v>
      </c>
      <c r="N224" s="408">
        <v>0.34300000000000003</v>
      </c>
      <c r="O224" s="408">
        <v>305</v>
      </c>
      <c r="P224" s="408">
        <v>642</v>
      </c>
      <c r="Q224" s="408">
        <v>0.47499999999999998</v>
      </c>
      <c r="R224" s="408">
        <v>0.48799999999999999</v>
      </c>
      <c r="S224" s="408">
        <v>251</v>
      </c>
      <c r="T224" s="408">
        <v>319</v>
      </c>
      <c r="U224" s="408">
        <v>0.78700000000000003</v>
      </c>
      <c r="V224" s="408">
        <v>68</v>
      </c>
      <c r="W224" s="408">
        <v>332</v>
      </c>
      <c r="X224" s="408">
        <v>400</v>
      </c>
      <c r="Y224" s="408">
        <v>302</v>
      </c>
      <c r="Z224" s="408">
        <v>39</v>
      </c>
      <c r="AA224" s="408">
        <v>17</v>
      </c>
      <c r="AB224" s="408">
        <v>155</v>
      </c>
      <c r="AC224" s="408">
        <v>127</v>
      </c>
      <c r="AD224" s="408">
        <v>1170</v>
      </c>
    </row>
    <row r="225" spans="1:30">
      <c r="A225">
        <v>187</v>
      </c>
      <c r="B225" s="1" t="s">
        <v>335</v>
      </c>
      <c r="C225" s="1" t="s">
        <v>38</v>
      </c>
      <c r="D225" s="408">
        <v>28</v>
      </c>
      <c r="E225" s="5" t="s">
        <v>64</v>
      </c>
      <c r="F225" s="408">
        <v>33</v>
      </c>
      <c r="G225" s="408">
        <v>33</v>
      </c>
      <c r="H225" s="408">
        <v>1139</v>
      </c>
      <c r="I225" s="408">
        <v>255</v>
      </c>
      <c r="J225" s="408">
        <v>578</v>
      </c>
      <c r="K225" s="408">
        <v>0.441</v>
      </c>
      <c r="L225" s="408">
        <v>64</v>
      </c>
      <c r="M225" s="408">
        <v>187</v>
      </c>
      <c r="N225" s="408">
        <v>0.34200000000000003</v>
      </c>
      <c r="O225" s="408">
        <v>191</v>
      </c>
      <c r="P225" s="408">
        <v>391</v>
      </c>
      <c r="Q225" s="408">
        <v>0.48799999999999999</v>
      </c>
      <c r="R225" s="408">
        <v>0.497</v>
      </c>
      <c r="S225" s="408">
        <v>172</v>
      </c>
      <c r="T225" s="408">
        <v>219</v>
      </c>
      <c r="U225" s="408">
        <v>0.78500000000000003</v>
      </c>
      <c r="V225" s="408">
        <v>46</v>
      </c>
      <c r="W225" s="408">
        <v>216</v>
      </c>
      <c r="X225" s="408">
        <v>262</v>
      </c>
      <c r="Y225" s="408">
        <v>179</v>
      </c>
      <c r="Z225" s="408">
        <v>30</v>
      </c>
      <c r="AA225" s="408">
        <v>9</v>
      </c>
      <c r="AB225" s="408">
        <v>99</v>
      </c>
      <c r="AC225" s="408">
        <v>78</v>
      </c>
      <c r="AD225" s="408">
        <v>746</v>
      </c>
    </row>
    <row r="226" spans="1:30">
      <c r="A226">
        <v>187</v>
      </c>
      <c r="B226" s="1" t="s">
        <v>335</v>
      </c>
      <c r="C226" s="1" t="s">
        <v>38</v>
      </c>
      <c r="D226" s="408">
        <v>28</v>
      </c>
      <c r="E226" s="5" t="s">
        <v>157</v>
      </c>
      <c r="F226" s="408">
        <v>21</v>
      </c>
      <c r="G226" s="408">
        <v>21</v>
      </c>
      <c r="H226" s="408">
        <v>706</v>
      </c>
      <c r="I226" s="408">
        <v>153</v>
      </c>
      <c r="J226" s="408">
        <v>364</v>
      </c>
      <c r="K226" s="408">
        <v>0.42</v>
      </c>
      <c r="L226" s="408">
        <v>39</v>
      </c>
      <c r="M226" s="408">
        <v>113</v>
      </c>
      <c r="N226" s="408">
        <v>0.34499999999999997</v>
      </c>
      <c r="O226" s="408">
        <v>114</v>
      </c>
      <c r="P226" s="408">
        <v>251</v>
      </c>
      <c r="Q226" s="408">
        <v>0.45400000000000001</v>
      </c>
      <c r="R226" s="408">
        <v>0.47399999999999998</v>
      </c>
      <c r="S226" s="408">
        <v>79</v>
      </c>
      <c r="T226" s="408">
        <v>100</v>
      </c>
      <c r="U226" s="408">
        <v>0.79</v>
      </c>
      <c r="V226" s="408">
        <v>22</v>
      </c>
      <c r="W226" s="408">
        <v>116</v>
      </c>
      <c r="X226" s="408">
        <v>138</v>
      </c>
      <c r="Y226" s="408">
        <v>123</v>
      </c>
      <c r="Z226" s="408">
        <v>9</v>
      </c>
      <c r="AA226" s="408">
        <v>8</v>
      </c>
      <c r="AB226" s="408">
        <v>56</v>
      </c>
      <c r="AC226" s="408">
        <v>49</v>
      </c>
      <c r="AD226" s="408">
        <v>424</v>
      </c>
    </row>
    <row r="227" spans="1:30">
      <c r="A227">
        <v>188</v>
      </c>
      <c r="B227" s="1" t="s">
        <v>645</v>
      </c>
      <c r="C227" s="1" t="s">
        <v>26</v>
      </c>
      <c r="D227" s="408">
        <v>22</v>
      </c>
      <c r="E227" s="5" t="s">
        <v>58</v>
      </c>
      <c r="F227" s="408">
        <v>5</v>
      </c>
      <c r="G227" s="408">
        <v>0</v>
      </c>
      <c r="H227" s="408">
        <v>26</v>
      </c>
      <c r="I227" s="408">
        <v>5</v>
      </c>
      <c r="J227" s="408">
        <v>11</v>
      </c>
      <c r="K227" s="408">
        <v>0.45500000000000002</v>
      </c>
      <c r="L227" s="408">
        <v>2</v>
      </c>
      <c r="M227" s="408">
        <v>5</v>
      </c>
      <c r="N227" s="408">
        <v>0.4</v>
      </c>
      <c r="O227" s="408">
        <v>3</v>
      </c>
      <c r="P227" s="408">
        <v>6</v>
      </c>
      <c r="Q227" s="408">
        <v>0.5</v>
      </c>
      <c r="R227" s="408">
        <v>0.54500000000000004</v>
      </c>
      <c r="S227" s="408">
        <v>0</v>
      </c>
      <c r="T227" s="408">
        <v>0</v>
      </c>
      <c r="U227" s="408"/>
      <c r="V227" s="408">
        <v>0</v>
      </c>
      <c r="W227" s="408">
        <v>5</v>
      </c>
      <c r="X227" s="408">
        <v>5</v>
      </c>
      <c r="Y227" s="408">
        <v>7</v>
      </c>
      <c r="Z227" s="408">
        <v>1</v>
      </c>
      <c r="AA227" s="408">
        <v>0</v>
      </c>
      <c r="AB227" s="408">
        <v>2</v>
      </c>
      <c r="AC227" s="408">
        <v>0</v>
      </c>
      <c r="AD227" s="408">
        <v>12</v>
      </c>
    </row>
    <row r="228" spans="1:30">
      <c r="A228">
        <v>189</v>
      </c>
      <c r="B228" s="1" t="s">
        <v>309</v>
      </c>
      <c r="C228" s="1" t="s">
        <v>26</v>
      </c>
      <c r="D228" s="408">
        <v>25</v>
      </c>
      <c r="E228" s="5" t="s">
        <v>21</v>
      </c>
      <c r="F228" s="408">
        <v>49</v>
      </c>
      <c r="G228" s="408">
        <v>46</v>
      </c>
      <c r="H228" s="408">
        <v>1612</v>
      </c>
      <c r="I228" s="408">
        <v>310</v>
      </c>
      <c r="J228" s="408">
        <v>736</v>
      </c>
      <c r="K228" s="408">
        <v>0.42099999999999999</v>
      </c>
      <c r="L228" s="408">
        <v>110</v>
      </c>
      <c r="M228" s="408">
        <v>349</v>
      </c>
      <c r="N228" s="408">
        <v>0.315</v>
      </c>
      <c r="O228" s="408">
        <v>200</v>
      </c>
      <c r="P228" s="408">
        <v>387</v>
      </c>
      <c r="Q228" s="408">
        <v>0.51700000000000002</v>
      </c>
      <c r="R228" s="408">
        <v>0.496</v>
      </c>
      <c r="S228" s="408">
        <v>129</v>
      </c>
      <c r="T228" s="408">
        <v>157</v>
      </c>
      <c r="U228" s="408">
        <v>0.82199999999999995</v>
      </c>
      <c r="V228" s="408">
        <v>26</v>
      </c>
      <c r="W228" s="408">
        <v>167</v>
      </c>
      <c r="X228" s="408">
        <v>193</v>
      </c>
      <c r="Y228" s="408">
        <v>134</v>
      </c>
      <c r="Z228" s="408">
        <v>51</v>
      </c>
      <c r="AA228" s="408">
        <v>10</v>
      </c>
      <c r="AB228" s="408">
        <v>79</v>
      </c>
      <c r="AC228" s="408">
        <v>106</v>
      </c>
      <c r="AD228" s="408">
        <v>859</v>
      </c>
    </row>
    <row r="229" spans="1:30">
      <c r="A229">
        <v>190</v>
      </c>
      <c r="B229" s="1" t="s">
        <v>286</v>
      </c>
      <c r="C229" s="1" t="s">
        <v>26</v>
      </c>
      <c r="D229" s="408">
        <v>28</v>
      </c>
      <c r="E229" s="5" t="s">
        <v>92</v>
      </c>
      <c r="F229" s="408">
        <v>62</v>
      </c>
      <c r="G229" s="408">
        <v>62</v>
      </c>
      <c r="H229" s="408">
        <v>2208</v>
      </c>
      <c r="I229" s="408">
        <v>569</v>
      </c>
      <c r="J229" s="408">
        <v>1263</v>
      </c>
      <c r="K229" s="408">
        <v>0.45100000000000001</v>
      </c>
      <c r="L229" s="408">
        <v>240</v>
      </c>
      <c r="M229" s="408">
        <v>646</v>
      </c>
      <c r="N229" s="408">
        <v>0.372</v>
      </c>
      <c r="O229" s="408">
        <v>329</v>
      </c>
      <c r="P229" s="408">
        <v>617</v>
      </c>
      <c r="Q229" s="408">
        <v>0.53300000000000003</v>
      </c>
      <c r="R229" s="408">
        <v>0.54600000000000004</v>
      </c>
      <c r="S229" s="408">
        <v>543</v>
      </c>
      <c r="T229" s="408">
        <v>624</v>
      </c>
      <c r="U229" s="408">
        <v>0.87</v>
      </c>
      <c r="V229" s="408">
        <v>37</v>
      </c>
      <c r="W229" s="408">
        <v>287</v>
      </c>
      <c r="X229" s="408">
        <v>324</v>
      </c>
      <c r="Y229" s="408">
        <v>542</v>
      </c>
      <c r="Z229" s="408">
        <v>115</v>
      </c>
      <c r="AA229" s="408">
        <v>43</v>
      </c>
      <c r="AB229" s="408">
        <v>266</v>
      </c>
      <c r="AC229" s="408">
        <v>150</v>
      </c>
      <c r="AD229" s="408">
        <v>1921</v>
      </c>
    </row>
    <row r="230" spans="1:30">
      <c r="A230">
        <v>191</v>
      </c>
      <c r="B230" s="1" t="s">
        <v>494</v>
      </c>
      <c r="C230" s="1" t="s">
        <v>46</v>
      </c>
      <c r="D230" s="408">
        <v>24</v>
      </c>
      <c r="E230" s="5" t="s">
        <v>96</v>
      </c>
      <c r="F230" s="408">
        <v>56</v>
      </c>
      <c r="G230" s="408">
        <v>33</v>
      </c>
      <c r="H230" s="408">
        <v>1173</v>
      </c>
      <c r="I230" s="408">
        <v>132</v>
      </c>
      <c r="J230" s="408">
        <v>274</v>
      </c>
      <c r="K230" s="408">
        <v>0.48199999999999998</v>
      </c>
      <c r="L230" s="408">
        <v>43</v>
      </c>
      <c r="M230" s="408">
        <v>108</v>
      </c>
      <c r="N230" s="408">
        <v>0.39800000000000002</v>
      </c>
      <c r="O230" s="408">
        <v>89</v>
      </c>
      <c r="P230" s="408">
        <v>166</v>
      </c>
      <c r="Q230" s="408">
        <v>0.53600000000000003</v>
      </c>
      <c r="R230" s="408">
        <v>0.56000000000000005</v>
      </c>
      <c r="S230" s="408">
        <v>37</v>
      </c>
      <c r="T230" s="408">
        <v>51</v>
      </c>
      <c r="U230" s="408">
        <v>0.72499999999999998</v>
      </c>
      <c r="V230" s="408">
        <v>42</v>
      </c>
      <c r="W230" s="408">
        <v>109</v>
      </c>
      <c r="X230" s="408">
        <v>151</v>
      </c>
      <c r="Y230" s="408">
        <v>47</v>
      </c>
      <c r="Z230" s="408">
        <v>48</v>
      </c>
      <c r="AA230" s="408">
        <v>37</v>
      </c>
      <c r="AB230" s="408">
        <v>39</v>
      </c>
      <c r="AC230" s="408">
        <v>92</v>
      </c>
      <c r="AD230" s="408">
        <v>344</v>
      </c>
    </row>
    <row r="231" spans="1:30">
      <c r="A231">
        <v>192</v>
      </c>
      <c r="B231" s="1" t="s">
        <v>180</v>
      </c>
      <c r="C231" s="1" t="s">
        <v>83</v>
      </c>
      <c r="D231" s="408">
        <v>24</v>
      </c>
      <c r="E231" s="5" t="s">
        <v>64</v>
      </c>
      <c r="F231" s="408">
        <v>63</v>
      </c>
      <c r="G231" s="408">
        <v>3</v>
      </c>
      <c r="H231" s="408">
        <v>1015</v>
      </c>
      <c r="I231" s="408">
        <v>269</v>
      </c>
      <c r="J231" s="408">
        <v>423</v>
      </c>
      <c r="K231" s="408">
        <v>0.63600000000000001</v>
      </c>
      <c r="L231" s="408">
        <v>0</v>
      </c>
      <c r="M231" s="408">
        <v>4</v>
      </c>
      <c r="N231" s="408">
        <v>0</v>
      </c>
      <c r="O231" s="408">
        <v>269</v>
      </c>
      <c r="P231" s="408">
        <v>419</v>
      </c>
      <c r="Q231" s="408">
        <v>0.64200000000000002</v>
      </c>
      <c r="R231" s="408">
        <v>0.63600000000000001</v>
      </c>
      <c r="S231" s="408">
        <v>120</v>
      </c>
      <c r="T231" s="408">
        <v>186</v>
      </c>
      <c r="U231" s="408">
        <v>0.64500000000000002</v>
      </c>
      <c r="V231" s="408">
        <v>85</v>
      </c>
      <c r="W231" s="408">
        <v>163</v>
      </c>
      <c r="X231" s="408">
        <v>248</v>
      </c>
      <c r="Y231" s="408">
        <v>52</v>
      </c>
      <c r="Z231" s="408">
        <v>29</v>
      </c>
      <c r="AA231" s="408">
        <v>45</v>
      </c>
      <c r="AB231" s="408">
        <v>57</v>
      </c>
      <c r="AC231" s="408">
        <v>114</v>
      </c>
      <c r="AD231" s="408">
        <v>658</v>
      </c>
    </row>
    <row r="232" spans="1:30">
      <c r="A232">
        <v>193</v>
      </c>
      <c r="B232" s="1" t="s">
        <v>187</v>
      </c>
      <c r="C232" s="1" t="s">
        <v>20</v>
      </c>
      <c r="D232" s="408">
        <v>34</v>
      </c>
      <c r="E232" s="5" t="s">
        <v>357</v>
      </c>
      <c r="F232" s="408">
        <v>60</v>
      </c>
      <c r="G232" s="408">
        <v>1</v>
      </c>
      <c r="H232" s="408">
        <v>1099</v>
      </c>
      <c r="I232" s="408">
        <v>156</v>
      </c>
      <c r="J232" s="408">
        <v>378</v>
      </c>
      <c r="K232" s="408">
        <v>0.41299999999999998</v>
      </c>
      <c r="L232" s="408">
        <v>63</v>
      </c>
      <c r="M232" s="408">
        <v>183</v>
      </c>
      <c r="N232" s="408">
        <v>0.34399999999999997</v>
      </c>
      <c r="O232" s="408">
        <v>93</v>
      </c>
      <c r="P232" s="408">
        <v>195</v>
      </c>
      <c r="Q232" s="408">
        <v>0.47699999999999998</v>
      </c>
      <c r="R232" s="408">
        <v>0.496</v>
      </c>
      <c r="S232" s="408">
        <v>123</v>
      </c>
      <c r="T232" s="408">
        <v>147</v>
      </c>
      <c r="U232" s="408">
        <v>0.83699999999999997</v>
      </c>
      <c r="V232" s="408">
        <v>11</v>
      </c>
      <c r="W232" s="408">
        <v>96</v>
      </c>
      <c r="X232" s="408">
        <v>107</v>
      </c>
      <c r="Y232" s="408">
        <v>121</v>
      </c>
      <c r="Z232" s="408">
        <v>43</v>
      </c>
      <c r="AA232" s="408">
        <v>11</v>
      </c>
      <c r="AB232" s="408">
        <v>62</v>
      </c>
      <c r="AC232" s="408">
        <v>141</v>
      </c>
      <c r="AD232" s="408">
        <v>498</v>
      </c>
    </row>
    <row r="233" spans="1:30">
      <c r="A233">
        <v>193</v>
      </c>
      <c r="B233" s="1" t="s">
        <v>187</v>
      </c>
      <c r="C233" s="1" t="s">
        <v>20</v>
      </c>
      <c r="D233" s="408">
        <v>34</v>
      </c>
      <c r="E233" s="5" t="s">
        <v>33</v>
      </c>
      <c r="F233" s="408">
        <v>44</v>
      </c>
      <c r="G233" s="408">
        <v>1</v>
      </c>
      <c r="H233" s="408">
        <v>807</v>
      </c>
      <c r="I233" s="408">
        <v>118</v>
      </c>
      <c r="J233" s="408">
        <v>284</v>
      </c>
      <c r="K233" s="408">
        <v>0.41499999999999998</v>
      </c>
      <c r="L233" s="408">
        <v>44</v>
      </c>
      <c r="M233" s="408">
        <v>125</v>
      </c>
      <c r="N233" s="408">
        <v>0.35199999999999998</v>
      </c>
      <c r="O233" s="408">
        <v>74</v>
      </c>
      <c r="P233" s="408">
        <v>159</v>
      </c>
      <c r="Q233" s="408">
        <v>0.46500000000000002</v>
      </c>
      <c r="R233" s="408">
        <v>0.49299999999999999</v>
      </c>
      <c r="S233" s="408">
        <v>93</v>
      </c>
      <c r="T233" s="408">
        <v>112</v>
      </c>
      <c r="U233" s="408">
        <v>0.83</v>
      </c>
      <c r="V233" s="408">
        <v>9</v>
      </c>
      <c r="W233" s="408">
        <v>76</v>
      </c>
      <c r="X233" s="408">
        <v>85</v>
      </c>
      <c r="Y233" s="408">
        <v>85</v>
      </c>
      <c r="Z233" s="408">
        <v>33</v>
      </c>
      <c r="AA233" s="408">
        <v>8</v>
      </c>
      <c r="AB233" s="408">
        <v>49</v>
      </c>
      <c r="AC233" s="408">
        <v>103</v>
      </c>
      <c r="AD233" s="408">
        <v>373</v>
      </c>
    </row>
    <row r="234" spans="1:30">
      <c r="A234">
        <v>193</v>
      </c>
      <c r="B234" s="1" t="s">
        <v>187</v>
      </c>
      <c r="C234" s="1" t="s">
        <v>20</v>
      </c>
      <c r="D234" s="408">
        <v>34</v>
      </c>
      <c r="E234" s="5" t="s">
        <v>61</v>
      </c>
      <c r="F234" s="408">
        <v>16</v>
      </c>
      <c r="G234" s="408">
        <v>0</v>
      </c>
      <c r="H234" s="408">
        <v>292</v>
      </c>
      <c r="I234" s="408">
        <v>38</v>
      </c>
      <c r="J234" s="408">
        <v>94</v>
      </c>
      <c r="K234" s="408">
        <v>0.40400000000000003</v>
      </c>
      <c r="L234" s="408">
        <v>19</v>
      </c>
      <c r="M234" s="408">
        <v>58</v>
      </c>
      <c r="N234" s="408">
        <v>0.32800000000000001</v>
      </c>
      <c r="O234" s="408">
        <v>19</v>
      </c>
      <c r="P234" s="408">
        <v>36</v>
      </c>
      <c r="Q234" s="408">
        <v>0.52800000000000002</v>
      </c>
      <c r="R234" s="408">
        <v>0.505</v>
      </c>
      <c r="S234" s="408">
        <v>30</v>
      </c>
      <c r="T234" s="408">
        <v>35</v>
      </c>
      <c r="U234" s="408">
        <v>0.85699999999999998</v>
      </c>
      <c r="V234" s="408">
        <v>2</v>
      </c>
      <c r="W234" s="408">
        <v>20</v>
      </c>
      <c r="X234" s="408">
        <v>22</v>
      </c>
      <c r="Y234" s="408">
        <v>36</v>
      </c>
      <c r="Z234" s="408">
        <v>10</v>
      </c>
      <c r="AA234" s="408">
        <v>3</v>
      </c>
      <c r="AB234" s="408">
        <v>13</v>
      </c>
      <c r="AC234" s="408">
        <v>38</v>
      </c>
      <c r="AD234" s="408">
        <v>125</v>
      </c>
    </row>
    <row r="235" spans="1:30">
      <c r="A235">
        <v>194</v>
      </c>
      <c r="B235" s="1" t="s">
        <v>332</v>
      </c>
      <c r="C235" s="1" t="s">
        <v>26</v>
      </c>
      <c r="D235" s="408">
        <v>23</v>
      </c>
      <c r="E235" s="5" t="s">
        <v>61</v>
      </c>
      <c r="F235" s="408">
        <v>65</v>
      </c>
      <c r="G235" s="408">
        <v>65</v>
      </c>
      <c r="H235" s="408">
        <v>2265</v>
      </c>
      <c r="I235" s="408">
        <v>432</v>
      </c>
      <c r="J235" s="408">
        <v>889</v>
      </c>
      <c r="K235" s="408">
        <v>0.48599999999999999</v>
      </c>
      <c r="L235" s="408">
        <v>155</v>
      </c>
      <c r="M235" s="408">
        <v>388</v>
      </c>
      <c r="N235" s="408">
        <v>0.39900000000000002</v>
      </c>
      <c r="O235" s="408">
        <v>277</v>
      </c>
      <c r="P235" s="408">
        <v>501</v>
      </c>
      <c r="Q235" s="408">
        <v>0.55300000000000005</v>
      </c>
      <c r="R235" s="408">
        <v>0.57299999999999995</v>
      </c>
      <c r="S235" s="408">
        <v>129</v>
      </c>
      <c r="T235" s="408">
        <v>156</v>
      </c>
      <c r="U235" s="408">
        <v>0.82699999999999996</v>
      </c>
      <c r="V235" s="408">
        <v>37</v>
      </c>
      <c r="W235" s="408">
        <v>137</v>
      </c>
      <c r="X235" s="408">
        <v>174</v>
      </c>
      <c r="Y235" s="408">
        <v>193</v>
      </c>
      <c r="Z235" s="408">
        <v>120</v>
      </c>
      <c r="AA235" s="408">
        <v>15</v>
      </c>
      <c r="AB235" s="408">
        <v>118</v>
      </c>
      <c r="AC235" s="408">
        <v>119</v>
      </c>
      <c r="AD235" s="408">
        <v>1148</v>
      </c>
    </row>
    <row r="236" spans="1:30">
      <c r="A236">
        <v>195</v>
      </c>
      <c r="B236" s="1" t="s">
        <v>203</v>
      </c>
      <c r="C236" s="1" t="s">
        <v>26</v>
      </c>
      <c r="D236" s="408">
        <v>26</v>
      </c>
      <c r="E236" s="5" t="s">
        <v>315</v>
      </c>
      <c r="F236" s="408">
        <v>69</v>
      </c>
      <c r="G236" s="408">
        <v>11</v>
      </c>
      <c r="H236" s="408">
        <v>1741</v>
      </c>
      <c r="I236" s="408">
        <v>256</v>
      </c>
      <c r="J236" s="408">
        <v>540</v>
      </c>
      <c r="K236" s="408">
        <v>0.47399999999999998</v>
      </c>
      <c r="L236" s="408">
        <v>127</v>
      </c>
      <c r="M236" s="408">
        <v>315</v>
      </c>
      <c r="N236" s="408">
        <v>0.40300000000000002</v>
      </c>
      <c r="O236" s="408">
        <v>129</v>
      </c>
      <c r="P236" s="408">
        <v>225</v>
      </c>
      <c r="Q236" s="408">
        <v>0.57299999999999995</v>
      </c>
      <c r="R236" s="408">
        <v>0.59199999999999997</v>
      </c>
      <c r="S236" s="408">
        <v>71</v>
      </c>
      <c r="T236" s="408">
        <v>87</v>
      </c>
      <c r="U236" s="408">
        <v>0.81599999999999995</v>
      </c>
      <c r="V236" s="408">
        <v>46</v>
      </c>
      <c r="W236" s="408">
        <v>180</v>
      </c>
      <c r="X236" s="408">
        <v>226</v>
      </c>
      <c r="Y236" s="408">
        <v>106</v>
      </c>
      <c r="Z236" s="408">
        <v>30</v>
      </c>
      <c r="AA236" s="408">
        <v>16</v>
      </c>
      <c r="AB236" s="408">
        <v>79</v>
      </c>
      <c r="AC236" s="408">
        <v>140</v>
      </c>
      <c r="AD236" s="408">
        <v>710</v>
      </c>
    </row>
    <row r="237" spans="1:30">
      <c r="A237">
        <v>196</v>
      </c>
      <c r="B237" s="1" t="s">
        <v>331</v>
      </c>
      <c r="C237" s="1" t="s">
        <v>38</v>
      </c>
      <c r="D237" s="408">
        <v>25</v>
      </c>
      <c r="E237" s="5" t="s">
        <v>357</v>
      </c>
      <c r="F237" s="408">
        <v>67</v>
      </c>
      <c r="G237" s="408">
        <v>67</v>
      </c>
      <c r="H237" s="408">
        <v>2238</v>
      </c>
      <c r="I237" s="408">
        <v>468</v>
      </c>
      <c r="J237" s="408">
        <v>1017</v>
      </c>
      <c r="K237" s="408">
        <v>0.46</v>
      </c>
      <c r="L237" s="408">
        <v>159</v>
      </c>
      <c r="M237" s="408">
        <v>386</v>
      </c>
      <c r="N237" s="408">
        <v>0.41199999999999998</v>
      </c>
      <c r="O237" s="408">
        <v>309</v>
      </c>
      <c r="P237" s="408">
        <v>631</v>
      </c>
      <c r="Q237" s="408">
        <v>0.49</v>
      </c>
      <c r="R237" s="408">
        <v>0.53800000000000003</v>
      </c>
      <c r="S237" s="408">
        <v>154</v>
      </c>
      <c r="T237" s="408">
        <v>184</v>
      </c>
      <c r="U237" s="408">
        <v>0.83699999999999997</v>
      </c>
      <c r="V237" s="408">
        <v>52</v>
      </c>
      <c r="W237" s="408">
        <v>319</v>
      </c>
      <c r="X237" s="408">
        <v>371</v>
      </c>
      <c r="Y237" s="408">
        <v>152</v>
      </c>
      <c r="Z237" s="408">
        <v>60</v>
      </c>
      <c r="AA237" s="408">
        <v>29</v>
      </c>
      <c r="AB237" s="408">
        <v>84</v>
      </c>
      <c r="AC237" s="408">
        <v>134</v>
      </c>
      <c r="AD237" s="408">
        <v>1249</v>
      </c>
    </row>
    <row r="238" spans="1:30">
      <c r="A238">
        <v>196</v>
      </c>
      <c r="B238" s="1" t="s">
        <v>331</v>
      </c>
      <c r="C238" s="1" t="s">
        <v>38</v>
      </c>
      <c r="D238" s="408">
        <v>25</v>
      </c>
      <c r="E238" s="5" t="s">
        <v>157</v>
      </c>
      <c r="F238" s="408">
        <v>48</v>
      </c>
      <c r="G238" s="408">
        <v>48</v>
      </c>
      <c r="H238" s="408">
        <v>1563</v>
      </c>
      <c r="I238" s="408">
        <v>320</v>
      </c>
      <c r="J238" s="408">
        <v>709</v>
      </c>
      <c r="K238" s="408">
        <v>0.45100000000000001</v>
      </c>
      <c r="L238" s="408">
        <v>113</v>
      </c>
      <c r="M238" s="408">
        <v>276</v>
      </c>
      <c r="N238" s="408">
        <v>0.40899999999999997</v>
      </c>
      <c r="O238" s="408">
        <v>207</v>
      </c>
      <c r="P238" s="408">
        <v>433</v>
      </c>
      <c r="Q238" s="408">
        <v>0.47799999999999998</v>
      </c>
      <c r="R238" s="408">
        <v>0.53100000000000003</v>
      </c>
      <c r="S238" s="408">
        <v>115</v>
      </c>
      <c r="T238" s="408">
        <v>136</v>
      </c>
      <c r="U238" s="408">
        <v>0.84599999999999997</v>
      </c>
      <c r="V238" s="408">
        <v>36</v>
      </c>
      <c r="W238" s="408">
        <v>208</v>
      </c>
      <c r="X238" s="408">
        <v>244</v>
      </c>
      <c r="Y238" s="408">
        <v>94</v>
      </c>
      <c r="Z238" s="408">
        <v>34</v>
      </c>
      <c r="AA238" s="408">
        <v>15</v>
      </c>
      <c r="AB238" s="408">
        <v>51</v>
      </c>
      <c r="AC238" s="408">
        <v>91</v>
      </c>
      <c r="AD238" s="408">
        <v>868</v>
      </c>
    </row>
    <row r="239" spans="1:30">
      <c r="A239">
        <v>196</v>
      </c>
      <c r="B239" s="1" t="s">
        <v>331</v>
      </c>
      <c r="C239" s="1" t="s">
        <v>38</v>
      </c>
      <c r="D239" s="408">
        <v>25</v>
      </c>
      <c r="E239" s="5" t="s">
        <v>64</v>
      </c>
      <c r="F239" s="408">
        <v>19</v>
      </c>
      <c r="G239" s="408">
        <v>19</v>
      </c>
      <c r="H239" s="408">
        <v>675</v>
      </c>
      <c r="I239" s="408">
        <v>148</v>
      </c>
      <c r="J239" s="408">
        <v>308</v>
      </c>
      <c r="K239" s="408">
        <v>0.48099999999999998</v>
      </c>
      <c r="L239" s="408">
        <v>46</v>
      </c>
      <c r="M239" s="408">
        <v>110</v>
      </c>
      <c r="N239" s="408">
        <v>0.41799999999999998</v>
      </c>
      <c r="O239" s="408">
        <v>102</v>
      </c>
      <c r="P239" s="408">
        <v>198</v>
      </c>
      <c r="Q239" s="408">
        <v>0.51500000000000001</v>
      </c>
      <c r="R239" s="408">
        <v>0.55500000000000005</v>
      </c>
      <c r="S239" s="408">
        <v>39</v>
      </c>
      <c r="T239" s="408">
        <v>48</v>
      </c>
      <c r="U239" s="408">
        <v>0.81299999999999994</v>
      </c>
      <c r="V239" s="408">
        <v>16</v>
      </c>
      <c r="W239" s="408">
        <v>111</v>
      </c>
      <c r="X239" s="408">
        <v>127</v>
      </c>
      <c r="Y239" s="408">
        <v>58</v>
      </c>
      <c r="Z239" s="408">
        <v>26</v>
      </c>
      <c r="AA239" s="408">
        <v>14</v>
      </c>
      <c r="AB239" s="408">
        <v>33</v>
      </c>
      <c r="AC239" s="408">
        <v>43</v>
      </c>
      <c r="AD239" s="408">
        <v>381</v>
      </c>
    </row>
    <row r="240" spans="1:30">
      <c r="A240">
        <v>197</v>
      </c>
      <c r="B240" s="1" t="s">
        <v>470</v>
      </c>
      <c r="C240" s="1" t="s">
        <v>20</v>
      </c>
      <c r="D240" s="408">
        <v>23</v>
      </c>
      <c r="E240" s="5" t="s">
        <v>128</v>
      </c>
      <c r="F240" s="408">
        <v>53</v>
      </c>
      <c r="G240" s="408">
        <v>43</v>
      </c>
      <c r="H240" s="408">
        <v>1239</v>
      </c>
      <c r="I240" s="408">
        <v>168</v>
      </c>
      <c r="J240" s="408">
        <v>398</v>
      </c>
      <c r="K240" s="408">
        <v>0.42199999999999999</v>
      </c>
      <c r="L240" s="408">
        <v>45</v>
      </c>
      <c r="M240" s="408">
        <v>131</v>
      </c>
      <c r="N240" s="408">
        <v>0.34399999999999997</v>
      </c>
      <c r="O240" s="408">
        <v>123</v>
      </c>
      <c r="P240" s="408">
        <v>267</v>
      </c>
      <c r="Q240" s="408">
        <v>0.46100000000000002</v>
      </c>
      <c r="R240" s="408">
        <v>0.47899999999999998</v>
      </c>
      <c r="S240" s="408">
        <v>119</v>
      </c>
      <c r="T240" s="408">
        <v>153</v>
      </c>
      <c r="U240" s="408">
        <v>0.77800000000000002</v>
      </c>
      <c r="V240" s="408">
        <v>21</v>
      </c>
      <c r="W240" s="408">
        <v>104</v>
      </c>
      <c r="X240" s="408">
        <v>125</v>
      </c>
      <c r="Y240" s="408">
        <v>163</v>
      </c>
      <c r="Z240" s="408">
        <v>36</v>
      </c>
      <c r="AA240" s="408">
        <v>25</v>
      </c>
      <c r="AB240" s="408">
        <v>76</v>
      </c>
      <c r="AC240" s="408">
        <v>133</v>
      </c>
      <c r="AD240" s="408">
        <v>500</v>
      </c>
    </row>
    <row r="241" spans="1:30">
      <c r="A241">
        <v>198</v>
      </c>
      <c r="B241" s="1" t="s">
        <v>1041</v>
      </c>
      <c r="C241" s="1" t="s">
        <v>20</v>
      </c>
      <c r="D241" s="408">
        <v>24</v>
      </c>
      <c r="E241" s="5" t="s">
        <v>313</v>
      </c>
      <c r="F241" s="408">
        <v>12</v>
      </c>
      <c r="G241" s="408">
        <v>1</v>
      </c>
      <c r="H241" s="408">
        <v>170</v>
      </c>
      <c r="I241" s="408">
        <v>23</v>
      </c>
      <c r="J241" s="408">
        <v>52</v>
      </c>
      <c r="K241" s="408">
        <v>0.442</v>
      </c>
      <c r="L241" s="408">
        <v>3</v>
      </c>
      <c r="M241" s="408">
        <v>11</v>
      </c>
      <c r="N241" s="408">
        <v>0.27300000000000002</v>
      </c>
      <c r="O241" s="408">
        <v>20</v>
      </c>
      <c r="P241" s="408">
        <v>41</v>
      </c>
      <c r="Q241" s="408">
        <v>0.48799999999999999</v>
      </c>
      <c r="R241" s="408">
        <v>0.47099999999999997</v>
      </c>
      <c r="S241" s="408">
        <v>13</v>
      </c>
      <c r="T241" s="408">
        <v>20</v>
      </c>
      <c r="U241" s="408">
        <v>0.65</v>
      </c>
      <c r="V241" s="408">
        <v>5</v>
      </c>
      <c r="W241" s="408">
        <v>32</v>
      </c>
      <c r="X241" s="408">
        <v>37</v>
      </c>
      <c r="Y241" s="408">
        <v>22</v>
      </c>
      <c r="Z241" s="408">
        <v>13</v>
      </c>
      <c r="AA241" s="408">
        <v>5</v>
      </c>
      <c r="AB241" s="408">
        <v>10</v>
      </c>
      <c r="AC241" s="408">
        <v>24</v>
      </c>
      <c r="AD241" s="408">
        <v>62</v>
      </c>
    </row>
    <row r="242" spans="1:30">
      <c r="A242">
        <v>199</v>
      </c>
      <c r="B242" s="1" t="s">
        <v>464</v>
      </c>
      <c r="C242" s="1" t="s">
        <v>26</v>
      </c>
      <c r="D242" s="408">
        <v>22</v>
      </c>
      <c r="E242" s="5" t="s">
        <v>78</v>
      </c>
      <c r="F242" s="408">
        <v>55</v>
      </c>
      <c r="G242" s="408">
        <v>20</v>
      </c>
      <c r="H242" s="408">
        <v>1182</v>
      </c>
      <c r="I242" s="408">
        <v>131</v>
      </c>
      <c r="J242" s="408">
        <v>284</v>
      </c>
      <c r="K242" s="408">
        <v>0.46100000000000002</v>
      </c>
      <c r="L242" s="408">
        <v>60</v>
      </c>
      <c r="M242" s="408">
        <v>151</v>
      </c>
      <c r="N242" s="408">
        <v>0.39700000000000002</v>
      </c>
      <c r="O242" s="408">
        <v>71</v>
      </c>
      <c r="P242" s="408">
        <v>133</v>
      </c>
      <c r="Q242" s="408">
        <v>0.53400000000000003</v>
      </c>
      <c r="R242" s="408">
        <v>0.56699999999999995</v>
      </c>
      <c r="S242" s="408">
        <v>42</v>
      </c>
      <c r="T242" s="408">
        <v>64</v>
      </c>
      <c r="U242" s="408">
        <v>0.65600000000000003</v>
      </c>
      <c r="V242" s="408">
        <v>33</v>
      </c>
      <c r="W242" s="408">
        <v>173</v>
      </c>
      <c r="X242" s="408">
        <v>206</v>
      </c>
      <c r="Y242" s="408">
        <v>65</v>
      </c>
      <c r="Z242" s="408">
        <v>39</v>
      </c>
      <c r="AA242" s="408">
        <v>12</v>
      </c>
      <c r="AB242" s="408">
        <v>35</v>
      </c>
      <c r="AC242" s="408">
        <v>88</v>
      </c>
      <c r="AD242" s="408">
        <v>364</v>
      </c>
    </row>
    <row r="243" spans="1:30">
      <c r="A243">
        <v>200</v>
      </c>
      <c r="B243" s="1" t="s">
        <v>51</v>
      </c>
      <c r="C243" s="1" t="s">
        <v>83</v>
      </c>
      <c r="D243" s="408">
        <v>37</v>
      </c>
      <c r="E243" s="5" t="s">
        <v>50</v>
      </c>
      <c r="F243" s="408">
        <v>12</v>
      </c>
      <c r="G243" s="408">
        <v>0</v>
      </c>
      <c r="H243" s="408">
        <v>61</v>
      </c>
      <c r="I243" s="408">
        <v>3</v>
      </c>
      <c r="J243" s="408">
        <v>12</v>
      </c>
      <c r="K243" s="408">
        <v>0.25</v>
      </c>
      <c r="L243" s="408">
        <v>1</v>
      </c>
      <c r="M243" s="408">
        <v>6</v>
      </c>
      <c r="N243" s="408">
        <v>0.16700000000000001</v>
      </c>
      <c r="O243" s="408">
        <v>2</v>
      </c>
      <c r="P243" s="408">
        <v>6</v>
      </c>
      <c r="Q243" s="408">
        <v>0.33300000000000002</v>
      </c>
      <c r="R243" s="408">
        <v>0.29199999999999998</v>
      </c>
      <c r="S243" s="408">
        <v>0</v>
      </c>
      <c r="T243" s="408">
        <v>0</v>
      </c>
      <c r="U243" s="408"/>
      <c r="V243" s="408">
        <v>3</v>
      </c>
      <c r="W243" s="408">
        <v>6</v>
      </c>
      <c r="X243" s="408">
        <v>9</v>
      </c>
      <c r="Y243" s="408">
        <v>5</v>
      </c>
      <c r="Z243" s="408">
        <v>0</v>
      </c>
      <c r="AA243" s="408">
        <v>2</v>
      </c>
      <c r="AB243" s="408">
        <v>2</v>
      </c>
      <c r="AC243" s="408">
        <v>2</v>
      </c>
      <c r="AD243" s="408">
        <v>7</v>
      </c>
    </row>
    <row r="244" spans="1:30">
      <c r="A244">
        <v>201</v>
      </c>
      <c r="B244" s="1" t="s">
        <v>721</v>
      </c>
      <c r="C244" s="1" t="s">
        <v>46</v>
      </c>
      <c r="D244" s="408">
        <v>23</v>
      </c>
      <c r="E244" s="5" t="s">
        <v>357</v>
      </c>
      <c r="F244" s="408">
        <v>4</v>
      </c>
      <c r="G244" s="408">
        <v>0</v>
      </c>
      <c r="H244" s="408">
        <v>17</v>
      </c>
      <c r="I244" s="408">
        <v>3</v>
      </c>
      <c r="J244" s="408">
        <v>5</v>
      </c>
      <c r="K244" s="408">
        <v>0.6</v>
      </c>
      <c r="L244" s="408">
        <v>2</v>
      </c>
      <c r="M244" s="408">
        <v>4</v>
      </c>
      <c r="N244" s="408">
        <v>0.5</v>
      </c>
      <c r="O244" s="408">
        <v>1</v>
      </c>
      <c r="P244" s="408">
        <v>1</v>
      </c>
      <c r="Q244" s="408">
        <v>1</v>
      </c>
      <c r="R244" s="408">
        <v>0.8</v>
      </c>
      <c r="S244" s="408">
        <v>1</v>
      </c>
      <c r="T244" s="408">
        <v>1</v>
      </c>
      <c r="U244" s="408">
        <v>1</v>
      </c>
      <c r="V244" s="408">
        <v>0</v>
      </c>
      <c r="W244" s="408">
        <v>0</v>
      </c>
      <c r="X244" s="408">
        <v>0</v>
      </c>
      <c r="Y244" s="408">
        <v>2</v>
      </c>
      <c r="Z244" s="408">
        <v>0</v>
      </c>
      <c r="AA244" s="408">
        <v>0</v>
      </c>
      <c r="AB244" s="408">
        <v>1</v>
      </c>
      <c r="AC244" s="408">
        <v>0</v>
      </c>
      <c r="AD244" s="408">
        <v>9</v>
      </c>
    </row>
    <row r="245" spans="1:30">
      <c r="A245">
        <v>201</v>
      </c>
      <c r="B245" s="1" t="s">
        <v>721</v>
      </c>
      <c r="C245" s="1" t="s">
        <v>46</v>
      </c>
      <c r="D245" s="408">
        <v>23</v>
      </c>
      <c r="E245" s="5" t="s">
        <v>78</v>
      </c>
      <c r="F245" s="408">
        <v>2</v>
      </c>
      <c r="G245" s="408">
        <v>0</v>
      </c>
      <c r="H245" s="408">
        <v>11</v>
      </c>
      <c r="I245" s="408">
        <v>1</v>
      </c>
      <c r="J245" s="408">
        <v>3</v>
      </c>
      <c r="K245" s="408">
        <v>0.33300000000000002</v>
      </c>
      <c r="L245" s="408">
        <v>0</v>
      </c>
      <c r="M245" s="408">
        <v>2</v>
      </c>
      <c r="N245" s="408">
        <v>0</v>
      </c>
      <c r="O245" s="408">
        <v>1</v>
      </c>
      <c r="P245" s="408">
        <v>1</v>
      </c>
      <c r="Q245" s="408">
        <v>1</v>
      </c>
      <c r="R245" s="408">
        <v>0.33300000000000002</v>
      </c>
      <c r="S245" s="408">
        <v>1</v>
      </c>
      <c r="T245" s="408">
        <v>1</v>
      </c>
      <c r="U245" s="408">
        <v>1</v>
      </c>
      <c r="V245" s="408">
        <v>0</v>
      </c>
      <c r="W245" s="408">
        <v>0</v>
      </c>
      <c r="X245" s="408">
        <v>0</v>
      </c>
      <c r="Y245" s="408">
        <v>2</v>
      </c>
      <c r="Z245" s="408">
        <v>0</v>
      </c>
      <c r="AA245" s="408">
        <v>0</v>
      </c>
      <c r="AB245" s="408">
        <v>0</v>
      </c>
      <c r="AC245" s="408">
        <v>0</v>
      </c>
      <c r="AD245" s="408">
        <v>3</v>
      </c>
    </row>
    <row r="246" spans="1:30">
      <c r="A246">
        <v>201</v>
      </c>
      <c r="B246" s="1" t="s">
        <v>721</v>
      </c>
      <c r="C246" s="1" t="s">
        <v>46</v>
      </c>
      <c r="D246" s="408">
        <v>23</v>
      </c>
      <c r="E246" s="5" t="s">
        <v>47</v>
      </c>
      <c r="F246" s="408">
        <v>2</v>
      </c>
      <c r="G246" s="408">
        <v>0</v>
      </c>
      <c r="H246" s="408">
        <v>6</v>
      </c>
      <c r="I246" s="408">
        <v>2</v>
      </c>
      <c r="J246" s="408">
        <v>2</v>
      </c>
      <c r="K246" s="408">
        <v>1</v>
      </c>
      <c r="L246" s="408">
        <v>2</v>
      </c>
      <c r="M246" s="408">
        <v>2</v>
      </c>
      <c r="N246" s="408">
        <v>1</v>
      </c>
      <c r="O246" s="408">
        <v>0</v>
      </c>
      <c r="P246" s="408">
        <v>0</v>
      </c>
      <c r="Q246" s="408"/>
      <c r="R246" s="408">
        <v>1.5</v>
      </c>
      <c r="S246" s="408">
        <v>0</v>
      </c>
      <c r="T246" s="408">
        <v>0</v>
      </c>
      <c r="U246" s="408"/>
      <c r="V246" s="408">
        <v>0</v>
      </c>
      <c r="W246" s="408">
        <v>0</v>
      </c>
      <c r="X246" s="408">
        <v>0</v>
      </c>
      <c r="Y246" s="408">
        <v>0</v>
      </c>
      <c r="Z246" s="408">
        <v>0</v>
      </c>
      <c r="AA246" s="408">
        <v>0</v>
      </c>
      <c r="AB246" s="408">
        <v>1</v>
      </c>
      <c r="AC246" s="408">
        <v>0</v>
      </c>
      <c r="AD246" s="408">
        <v>6</v>
      </c>
    </row>
    <row r="247" spans="1:30">
      <c r="A247">
        <v>202</v>
      </c>
      <c r="B247" s="1" t="s">
        <v>635</v>
      </c>
      <c r="C247" s="1" t="s">
        <v>46</v>
      </c>
      <c r="D247" s="408">
        <v>27</v>
      </c>
      <c r="E247" s="5" t="s">
        <v>87</v>
      </c>
      <c r="F247" s="408">
        <v>1</v>
      </c>
      <c r="G247" s="408">
        <v>1</v>
      </c>
      <c r="H247" s="408">
        <v>5</v>
      </c>
      <c r="I247" s="408">
        <v>1</v>
      </c>
      <c r="J247" s="408">
        <v>2</v>
      </c>
      <c r="K247" s="408">
        <v>0.5</v>
      </c>
      <c r="L247" s="408">
        <v>0</v>
      </c>
      <c r="M247" s="408">
        <v>1</v>
      </c>
      <c r="N247" s="408">
        <v>0</v>
      </c>
      <c r="O247" s="408">
        <v>1</v>
      </c>
      <c r="P247" s="408">
        <v>1</v>
      </c>
      <c r="Q247" s="408">
        <v>1</v>
      </c>
      <c r="R247" s="408">
        <v>0.5</v>
      </c>
      <c r="S247" s="408">
        <v>0</v>
      </c>
      <c r="T247" s="408">
        <v>0</v>
      </c>
      <c r="U247" s="408"/>
      <c r="V247" s="408">
        <v>0</v>
      </c>
      <c r="W247" s="408">
        <v>1</v>
      </c>
      <c r="X247" s="408">
        <v>1</v>
      </c>
      <c r="Y247" s="408">
        <v>0</v>
      </c>
      <c r="Z247" s="408">
        <v>0</v>
      </c>
      <c r="AA247" s="408">
        <v>0</v>
      </c>
      <c r="AB247" s="408">
        <v>0</v>
      </c>
      <c r="AC247" s="408">
        <v>1</v>
      </c>
      <c r="AD247" s="408">
        <v>2</v>
      </c>
    </row>
    <row r="248" spans="1:30">
      <c r="A248">
        <v>203</v>
      </c>
      <c r="B248" s="1" t="s">
        <v>839</v>
      </c>
      <c r="C248" s="1" t="s">
        <v>26</v>
      </c>
      <c r="D248" s="408">
        <v>26</v>
      </c>
      <c r="E248" s="5" t="s">
        <v>157</v>
      </c>
      <c r="F248" s="408">
        <v>2</v>
      </c>
      <c r="G248" s="408">
        <v>0</v>
      </c>
      <c r="H248" s="408">
        <v>3</v>
      </c>
      <c r="I248" s="408">
        <v>1</v>
      </c>
      <c r="J248" s="408">
        <v>1</v>
      </c>
      <c r="K248" s="408">
        <v>1</v>
      </c>
      <c r="L248" s="408">
        <v>1</v>
      </c>
      <c r="M248" s="408">
        <v>1</v>
      </c>
      <c r="N248" s="408">
        <v>1</v>
      </c>
      <c r="O248" s="408">
        <v>0</v>
      </c>
      <c r="P248" s="408">
        <v>0</v>
      </c>
      <c r="Q248" s="408"/>
      <c r="R248" s="408">
        <v>1.5</v>
      </c>
      <c r="S248" s="408">
        <v>0</v>
      </c>
      <c r="T248" s="408">
        <v>0</v>
      </c>
      <c r="U248" s="408"/>
      <c r="V248" s="408">
        <v>0</v>
      </c>
      <c r="W248" s="408">
        <v>0</v>
      </c>
      <c r="X248" s="408">
        <v>0</v>
      </c>
      <c r="Y248" s="408">
        <v>0</v>
      </c>
      <c r="Z248" s="408">
        <v>0</v>
      </c>
      <c r="AA248" s="408">
        <v>0</v>
      </c>
      <c r="AB248" s="408">
        <v>0</v>
      </c>
      <c r="AC248" s="408">
        <v>0</v>
      </c>
      <c r="AD248" s="408">
        <v>3</v>
      </c>
    </row>
    <row r="249" spans="1:30">
      <c r="A249">
        <v>204</v>
      </c>
      <c r="B249" s="1" t="s">
        <v>793</v>
      </c>
      <c r="C249" s="1" t="s">
        <v>46</v>
      </c>
      <c r="D249" s="408">
        <v>25</v>
      </c>
      <c r="E249" s="5" t="s">
        <v>128</v>
      </c>
      <c r="F249" s="408">
        <v>15</v>
      </c>
      <c r="G249" s="408">
        <v>0</v>
      </c>
      <c r="H249" s="408">
        <v>279</v>
      </c>
      <c r="I249" s="408">
        <v>30</v>
      </c>
      <c r="J249" s="408">
        <v>78</v>
      </c>
      <c r="K249" s="408">
        <v>0.38500000000000001</v>
      </c>
      <c r="L249" s="408">
        <v>15</v>
      </c>
      <c r="M249" s="408">
        <v>43</v>
      </c>
      <c r="N249" s="408">
        <v>0.34899999999999998</v>
      </c>
      <c r="O249" s="408">
        <v>15</v>
      </c>
      <c r="P249" s="408">
        <v>35</v>
      </c>
      <c r="Q249" s="408">
        <v>0.42899999999999999</v>
      </c>
      <c r="R249" s="408">
        <v>0.48099999999999998</v>
      </c>
      <c r="S249" s="408">
        <v>6</v>
      </c>
      <c r="T249" s="408">
        <v>10</v>
      </c>
      <c r="U249" s="408">
        <v>0.6</v>
      </c>
      <c r="V249" s="408">
        <v>7</v>
      </c>
      <c r="W249" s="408">
        <v>18</v>
      </c>
      <c r="X249" s="408">
        <v>25</v>
      </c>
      <c r="Y249" s="408">
        <v>16</v>
      </c>
      <c r="Z249" s="408">
        <v>21</v>
      </c>
      <c r="AA249" s="408">
        <v>5</v>
      </c>
      <c r="AB249" s="408">
        <v>14</v>
      </c>
      <c r="AC249" s="408">
        <v>21</v>
      </c>
      <c r="AD249" s="408">
        <v>81</v>
      </c>
    </row>
    <row r="250" spans="1:30">
      <c r="A250">
        <v>205</v>
      </c>
      <c r="B250" s="1" t="s">
        <v>582</v>
      </c>
      <c r="C250" s="1" t="s">
        <v>83</v>
      </c>
      <c r="D250" s="408">
        <v>27</v>
      </c>
      <c r="E250" s="5" t="s">
        <v>41</v>
      </c>
      <c r="F250" s="408">
        <v>65</v>
      </c>
      <c r="G250" s="408">
        <v>58</v>
      </c>
      <c r="H250" s="408">
        <v>1671</v>
      </c>
      <c r="I250" s="408">
        <v>243</v>
      </c>
      <c r="J250" s="408">
        <v>424</v>
      </c>
      <c r="K250" s="408">
        <v>0.57299999999999995</v>
      </c>
      <c r="L250" s="408">
        <v>0</v>
      </c>
      <c r="M250" s="408">
        <v>4</v>
      </c>
      <c r="N250" s="408">
        <v>0</v>
      </c>
      <c r="O250" s="408">
        <v>243</v>
      </c>
      <c r="P250" s="408">
        <v>420</v>
      </c>
      <c r="Q250" s="408">
        <v>0.57899999999999996</v>
      </c>
      <c r="R250" s="408">
        <v>0.57299999999999995</v>
      </c>
      <c r="S250" s="408">
        <v>84</v>
      </c>
      <c r="T250" s="408">
        <v>142</v>
      </c>
      <c r="U250" s="408">
        <v>0.59199999999999997</v>
      </c>
      <c r="V250" s="408">
        <v>130</v>
      </c>
      <c r="W250" s="408">
        <v>312</v>
      </c>
      <c r="X250" s="408">
        <v>442</v>
      </c>
      <c r="Y250" s="408">
        <v>86</v>
      </c>
      <c r="Z250" s="408">
        <v>35</v>
      </c>
      <c r="AA250" s="408">
        <v>92</v>
      </c>
      <c r="AB250" s="408">
        <v>75</v>
      </c>
      <c r="AC250" s="408">
        <v>179</v>
      </c>
      <c r="AD250" s="408">
        <v>570</v>
      </c>
    </row>
    <row r="251" spans="1:30">
      <c r="A251">
        <v>206</v>
      </c>
      <c r="B251" s="1" t="s">
        <v>474</v>
      </c>
      <c r="C251" s="1" t="s">
        <v>38</v>
      </c>
      <c r="D251" s="408">
        <v>22</v>
      </c>
      <c r="E251" s="5" t="s">
        <v>61</v>
      </c>
      <c r="F251" s="408">
        <v>22</v>
      </c>
      <c r="G251" s="408">
        <v>3</v>
      </c>
      <c r="H251" s="408">
        <v>251</v>
      </c>
      <c r="I251" s="408">
        <v>26</v>
      </c>
      <c r="J251" s="408">
        <v>67</v>
      </c>
      <c r="K251" s="408">
        <v>0.38800000000000001</v>
      </c>
      <c r="L251" s="408">
        <v>11</v>
      </c>
      <c r="M251" s="408">
        <v>42</v>
      </c>
      <c r="N251" s="408">
        <v>0.26200000000000001</v>
      </c>
      <c r="O251" s="408">
        <v>15</v>
      </c>
      <c r="P251" s="408">
        <v>25</v>
      </c>
      <c r="Q251" s="408">
        <v>0.6</v>
      </c>
      <c r="R251" s="408">
        <v>0.47</v>
      </c>
      <c r="S251" s="408">
        <v>10</v>
      </c>
      <c r="T251" s="408">
        <v>12</v>
      </c>
      <c r="U251" s="408">
        <v>0.83299999999999996</v>
      </c>
      <c r="V251" s="408">
        <v>17</v>
      </c>
      <c r="W251" s="408">
        <v>36</v>
      </c>
      <c r="X251" s="408">
        <v>53</v>
      </c>
      <c r="Y251" s="408">
        <v>9</v>
      </c>
      <c r="Z251" s="408">
        <v>6</v>
      </c>
      <c r="AA251" s="408">
        <v>3</v>
      </c>
      <c r="AB251" s="408">
        <v>8</v>
      </c>
      <c r="AC251" s="408">
        <v>20</v>
      </c>
      <c r="AD251" s="408">
        <v>73</v>
      </c>
    </row>
    <row r="252" spans="1:30">
      <c r="A252">
        <v>207</v>
      </c>
      <c r="B252" s="1" t="s">
        <v>612</v>
      </c>
      <c r="C252" s="1" t="s">
        <v>83</v>
      </c>
      <c r="D252" s="408">
        <v>23</v>
      </c>
      <c r="E252" s="5" t="s">
        <v>357</v>
      </c>
      <c r="F252" s="408">
        <v>37</v>
      </c>
      <c r="G252" s="408">
        <v>0</v>
      </c>
      <c r="H252" s="408">
        <v>310</v>
      </c>
      <c r="I252" s="408">
        <v>60</v>
      </c>
      <c r="J252" s="408">
        <v>107</v>
      </c>
      <c r="K252" s="408">
        <v>0.56100000000000005</v>
      </c>
      <c r="L252" s="408">
        <v>3</v>
      </c>
      <c r="M252" s="408">
        <v>8</v>
      </c>
      <c r="N252" s="408">
        <v>0.375</v>
      </c>
      <c r="O252" s="408">
        <v>57</v>
      </c>
      <c r="P252" s="408">
        <v>99</v>
      </c>
      <c r="Q252" s="408">
        <v>0.57599999999999996</v>
      </c>
      <c r="R252" s="408">
        <v>0.57499999999999996</v>
      </c>
      <c r="S252" s="408">
        <v>25</v>
      </c>
      <c r="T252" s="408">
        <v>48</v>
      </c>
      <c r="U252" s="408">
        <v>0.52100000000000002</v>
      </c>
      <c r="V252" s="408">
        <v>31</v>
      </c>
      <c r="W252" s="408">
        <v>63</v>
      </c>
      <c r="X252" s="408">
        <v>94</v>
      </c>
      <c r="Y252" s="408">
        <v>23</v>
      </c>
      <c r="Z252" s="408">
        <v>11</v>
      </c>
      <c r="AA252" s="408">
        <v>10</v>
      </c>
      <c r="AB252" s="408">
        <v>30</v>
      </c>
      <c r="AC252" s="408">
        <v>43</v>
      </c>
      <c r="AD252" s="408">
        <v>148</v>
      </c>
    </row>
    <row r="253" spans="1:30">
      <c r="A253">
        <v>207</v>
      </c>
      <c r="B253" s="1" t="s">
        <v>612</v>
      </c>
      <c r="C253" s="1" t="s">
        <v>83</v>
      </c>
      <c r="D253" s="408">
        <v>23</v>
      </c>
      <c r="E253" s="5" t="s">
        <v>21</v>
      </c>
      <c r="F253" s="408">
        <v>26</v>
      </c>
      <c r="G253" s="408">
        <v>0</v>
      </c>
      <c r="H253" s="408">
        <v>233</v>
      </c>
      <c r="I253" s="408">
        <v>49</v>
      </c>
      <c r="J253" s="408">
        <v>81</v>
      </c>
      <c r="K253" s="408">
        <v>0.60499999999999998</v>
      </c>
      <c r="L253" s="408">
        <v>1</v>
      </c>
      <c r="M253" s="408">
        <v>5</v>
      </c>
      <c r="N253" s="408">
        <v>0.2</v>
      </c>
      <c r="O253" s="408">
        <v>48</v>
      </c>
      <c r="P253" s="408">
        <v>76</v>
      </c>
      <c r="Q253" s="408">
        <v>0.63200000000000001</v>
      </c>
      <c r="R253" s="408">
        <v>0.61099999999999999</v>
      </c>
      <c r="S253" s="408">
        <v>12</v>
      </c>
      <c r="T253" s="408">
        <v>28</v>
      </c>
      <c r="U253" s="408">
        <v>0.42899999999999999</v>
      </c>
      <c r="V253" s="408">
        <v>22</v>
      </c>
      <c r="W253" s="408">
        <v>45</v>
      </c>
      <c r="X253" s="408">
        <v>67</v>
      </c>
      <c r="Y253" s="408">
        <v>21</v>
      </c>
      <c r="Z253" s="408">
        <v>8</v>
      </c>
      <c r="AA253" s="408">
        <v>7</v>
      </c>
      <c r="AB253" s="408">
        <v>26</v>
      </c>
      <c r="AC253" s="408">
        <v>32</v>
      </c>
      <c r="AD253" s="408">
        <v>111</v>
      </c>
    </row>
    <row r="254" spans="1:30">
      <c r="A254">
        <v>207</v>
      </c>
      <c r="B254" s="1" t="s">
        <v>612</v>
      </c>
      <c r="C254" s="1" t="s">
        <v>83</v>
      </c>
      <c r="D254" s="408">
        <v>23</v>
      </c>
      <c r="E254" s="5" t="s">
        <v>311</v>
      </c>
      <c r="F254" s="408">
        <v>11</v>
      </c>
      <c r="G254" s="408">
        <v>0</v>
      </c>
      <c r="H254" s="408">
        <v>77</v>
      </c>
      <c r="I254" s="408">
        <v>11</v>
      </c>
      <c r="J254" s="408">
        <v>26</v>
      </c>
      <c r="K254" s="408">
        <v>0.42299999999999999</v>
      </c>
      <c r="L254" s="408">
        <v>2</v>
      </c>
      <c r="M254" s="408">
        <v>3</v>
      </c>
      <c r="N254" s="408">
        <v>0.66700000000000004</v>
      </c>
      <c r="O254" s="408">
        <v>9</v>
      </c>
      <c r="P254" s="408">
        <v>23</v>
      </c>
      <c r="Q254" s="408">
        <v>0.39100000000000001</v>
      </c>
      <c r="R254" s="408">
        <v>0.46200000000000002</v>
      </c>
      <c r="S254" s="408">
        <v>13</v>
      </c>
      <c r="T254" s="408">
        <v>20</v>
      </c>
      <c r="U254" s="408">
        <v>0.65</v>
      </c>
      <c r="V254" s="408">
        <v>9</v>
      </c>
      <c r="W254" s="408">
        <v>18</v>
      </c>
      <c r="X254" s="408">
        <v>27</v>
      </c>
      <c r="Y254" s="408">
        <v>2</v>
      </c>
      <c r="Z254" s="408">
        <v>3</v>
      </c>
      <c r="AA254" s="408">
        <v>3</v>
      </c>
      <c r="AB254" s="408">
        <v>4</v>
      </c>
      <c r="AC254" s="408">
        <v>11</v>
      </c>
      <c r="AD254" s="408">
        <v>37</v>
      </c>
    </row>
    <row r="255" spans="1:30">
      <c r="A255">
        <v>208</v>
      </c>
      <c r="B255" s="1" t="s">
        <v>160</v>
      </c>
      <c r="C255" s="1" t="s">
        <v>46</v>
      </c>
      <c r="D255" s="408">
        <v>22</v>
      </c>
      <c r="E255" s="5" t="s">
        <v>75</v>
      </c>
      <c r="F255" s="408">
        <v>63</v>
      </c>
      <c r="G255" s="408">
        <v>21</v>
      </c>
      <c r="H255" s="408">
        <v>1301</v>
      </c>
      <c r="I255" s="408">
        <v>218</v>
      </c>
      <c r="J255" s="408">
        <v>484</v>
      </c>
      <c r="K255" s="408">
        <v>0.45</v>
      </c>
      <c r="L255" s="408">
        <v>69</v>
      </c>
      <c r="M255" s="408">
        <v>207</v>
      </c>
      <c r="N255" s="408">
        <v>0.33300000000000002</v>
      </c>
      <c r="O255" s="408">
        <v>149</v>
      </c>
      <c r="P255" s="408">
        <v>277</v>
      </c>
      <c r="Q255" s="408">
        <v>0.53800000000000003</v>
      </c>
      <c r="R255" s="408">
        <v>0.52200000000000002</v>
      </c>
      <c r="S255" s="408">
        <v>61</v>
      </c>
      <c r="T255" s="408">
        <v>74</v>
      </c>
      <c r="U255" s="408">
        <v>0.82399999999999995</v>
      </c>
      <c r="V255" s="408">
        <v>36</v>
      </c>
      <c r="W255" s="408">
        <v>182</v>
      </c>
      <c r="X255" s="408">
        <v>218</v>
      </c>
      <c r="Y255" s="408">
        <v>78</v>
      </c>
      <c r="Z255" s="408">
        <v>62</v>
      </c>
      <c r="AA255" s="408">
        <v>21</v>
      </c>
      <c r="AB255" s="408">
        <v>64</v>
      </c>
      <c r="AC255" s="408">
        <v>110</v>
      </c>
      <c r="AD255" s="408">
        <v>566</v>
      </c>
    </row>
    <row r="256" spans="1:30">
      <c r="A256">
        <v>209</v>
      </c>
      <c r="B256" s="1" t="s">
        <v>887</v>
      </c>
      <c r="C256" s="1" t="s">
        <v>38</v>
      </c>
      <c r="D256" s="408">
        <v>23</v>
      </c>
      <c r="E256" s="5" t="s">
        <v>21</v>
      </c>
      <c r="F256" s="408">
        <v>9</v>
      </c>
      <c r="G256" s="408">
        <v>0</v>
      </c>
      <c r="H256" s="408">
        <v>120</v>
      </c>
      <c r="I256" s="408">
        <v>17</v>
      </c>
      <c r="J256" s="408">
        <v>34</v>
      </c>
      <c r="K256" s="408">
        <v>0.5</v>
      </c>
      <c r="L256" s="408">
        <v>1</v>
      </c>
      <c r="M256" s="408">
        <v>5</v>
      </c>
      <c r="N256" s="408">
        <v>0.2</v>
      </c>
      <c r="O256" s="408">
        <v>16</v>
      </c>
      <c r="P256" s="408">
        <v>29</v>
      </c>
      <c r="Q256" s="408">
        <v>0.55200000000000005</v>
      </c>
      <c r="R256" s="408">
        <v>0.51500000000000001</v>
      </c>
      <c r="S256" s="408">
        <v>5</v>
      </c>
      <c r="T256" s="408">
        <v>8</v>
      </c>
      <c r="U256" s="408">
        <v>0.625</v>
      </c>
      <c r="V256" s="408">
        <v>6</v>
      </c>
      <c r="W256" s="408">
        <v>17</v>
      </c>
      <c r="X256" s="408">
        <v>23</v>
      </c>
      <c r="Y256" s="408">
        <v>4</v>
      </c>
      <c r="Z256" s="408">
        <v>2</v>
      </c>
      <c r="AA256" s="408">
        <v>1</v>
      </c>
      <c r="AB256" s="408">
        <v>8</v>
      </c>
      <c r="AC256" s="408">
        <v>24</v>
      </c>
      <c r="AD256" s="408">
        <v>40</v>
      </c>
    </row>
    <row r="257" spans="1:30">
      <c r="A257">
        <v>210</v>
      </c>
      <c r="B257" s="1" t="s">
        <v>359</v>
      </c>
      <c r="C257" s="1" t="s">
        <v>26</v>
      </c>
      <c r="D257" s="408">
        <v>24</v>
      </c>
      <c r="E257" s="5" t="s">
        <v>100</v>
      </c>
      <c r="F257" s="408">
        <v>70</v>
      </c>
      <c r="G257" s="408">
        <v>12</v>
      </c>
      <c r="H257" s="408">
        <v>1733</v>
      </c>
      <c r="I257" s="408">
        <v>351</v>
      </c>
      <c r="J257" s="408">
        <v>797</v>
      </c>
      <c r="K257" s="408">
        <v>0.44</v>
      </c>
      <c r="L257" s="408">
        <v>150</v>
      </c>
      <c r="M257" s="408">
        <v>357</v>
      </c>
      <c r="N257" s="408">
        <v>0.42</v>
      </c>
      <c r="O257" s="408">
        <v>201</v>
      </c>
      <c r="P257" s="408">
        <v>440</v>
      </c>
      <c r="Q257" s="408">
        <v>0.45700000000000002</v>
      </c>
      <c r="R257" s="408">
        <v>0.53500000000000003</v>
      </c>
      <c r="S257" s="408">
        <v>63</v>
      </c>
      <c r="T257" s="408">
        <v>71</v>
      </c>
      <c r="U257" s="408">
        <v>0.88700000000000001</v>
      </c>
      <c r="V257" s="408">
        <v>44</v>
      </c>
      <c r="W257" s="408">
        <v>223</v>
      </c>
      <c r="X257" s="408">
        <v>267</v>
      </c>
      <c r="Y257" s="408">
        <v>128</v>
      </c>
      <c r="Z257" s="408">
        <v>64</v>
      </c>
      <c r="AA257" s="408">
        <v>21</v>
      </c>
      <c r="AB257" s="408">
        <v>101</v>
      </c>
      <c r="AC257" s="408">
        <v>124</v>
      </c>
      <c r="AD257" s="408">
        <v>915</v>
      </c>
    </row>
    <row r="258" spans="1:30">
      <c r="A258">
        <v>211</v>
      </c>
      <c r="B258" s="1" t="s">
        <v>575</v>
      </c>
      <c r="C258" s="1" t="s">
        <v>83</v>
      </c>
      <c r="D258" s="408">
        <v>35</v>
      </c>
      <c r="E258" s="5" t="s">
        <v>92</v>
      </c>
      <c r="F258" s="408">
        <v>47</v>
      </c>
      <c r="G258" s="408">
        <v>3</v>
      </c>
      <c r="H258" s="408">
        <v>682</v>
      </c>
      <c r="I258" s="408">
        <v>128</v>
      </c>
      <c r="J258" s="408">
        <v>218</v>
      </c>
      <c r="K258" s="408">
        <v>0.58699999999999997</v>
      </c>
      <c r="L258" s="408">
        <v>0</v>
      </c>
      <c r="M258" s="408">
        <v>2</v>
      </c>
      <c r="N258" s="408">
        <v>0</v>
      </c>
      <c r="O258" s="408">
        <v>128</v>
      </c>
      <c r="P258" s="408">
        <v>216</v>
      </c>
      <c r="Q258" s="408">
        <v>0.59299999999999997</v>
      </c>
      <c r="R258" s="408">
        <v>0.58699999999999997</v>
      </c>
      <c r="S258" s="408">
        <v>61</v>
      </c>
      <c r="T258" s="408">
        <v>94</v>
      </c>
      <c r="U258" s="408">
        <v>0.64900000000000002</v>
      </c>
      <c r="V258" s="408">
        <v>46</v>
      </c>
      <c r="W258" s="408">
        <v>109</v>
      </c>
      <c r="X258" s="408">
        <v>155</v>
      </c>
      <c r="Y258" s="408">
        <v>40</v>
      </c>
      <c r="Z258" s="408">
        <v>22</v>
      </c>
      <c r="AA258" s="408">
        <v>13</v>
      </c>
      <c r="AB258" s="408">
        <v>36</v>
      </c>
      <c r="AC258" s="408">
        <v>113</v>
      </c>
      <c r="AD258" s="408">
        <v>317</v>
      </c>
    </row>
    <row r="259" spans="1:30">
      <c r="A259">
        <v>212</v>
      </c>
      <c r="B259" s="1" t="s">
        <v>432</v>
      </c>
      <c r="C259" s="1" t="s">
        <v>20</v>
      </c>
      <c r="D259" s="408">
        <v>31</v>
      </c>
      <c r="E259" s="5" t="s">
        <v>357</v>
      </c>
      <c r="F259" s="408">
        <v>59</v>
      </c>
      <c r="G259" s="408">
        <v>52</v>
      </c>
      <c r="H259" s="408">
        <v>1601</v>
      </c>
      <c r="I259" s="408">
        <v>204</v>
      </c>
      <c r="J259" s="408">
        <v>453</v>
      </c>
      <c r="K259" s="408">
        <v>0.45</v>
      </c>
      <c r="L259" s="408">
        <v>77</v>
      </c>
      <c r="M259" s="408">
        <v>185</v>
      </c>
      <c r="N259" s="408">
        <v>0.41599999999999998</v>
      </c>
      <c r="O259" s="408">
        <v>127</v>
      </c>
      <c r="P259" s="408">
        <v>268</v>
      </c>
      <c r="Q259" s="408">
        <v>0.47399999999999998</v>
      </c>
      <c r="R259" s="408">
        <v>0.53500000000000003</v>
      </c>
      <c r="S259" s="408">
        <v>106</v>
      </c>
      <c r="T259" s="408">
        <v>136</v>
      </c>
      <c r="U259" s="408">
        <v>0.77900000000000003</v>
      </c>
      <c r="V259" s="408">
        <v>39</v>
      </c>
      <c r="W259" s="408">
        <v>122</v>
      </c>
      <c r="X259" s="408">
        <v>161</v>
      </c>
      <c r="Y259" s="408">
        <v>169</v>
      </c>
      <c r="Z259" s="408">
        <v>51</v>
      </c>
      <c r="AA259" s="408">
        <v>21</v>
      </c>
      <c r="AB259" s="408">
        <v>80</v>
      </c>
      <c r="AC259" s="408">
        <v>114</v>
      </c>
      <c r="AD259" s="408">
        <v>591</v>
      </c>
    </row>
    <row r="260" spans="1:30">
      <c r="A260">
        <v>212</v>
      </c>
      <c r="B260" s="1" t="s">
        <v>432</v>
      </c>
      <c r="C260" s="1" t="s">
        <v>20</v>
      </c>
      <c r="D260" s="408">
        <v>31</v>
      </c>
      <c r="E260" s="5" t="s">
        <v>100</v>
      </c>
      <c r="F260" s="408">
        <v>43</v>
      </c>
      <c r="G260" s="408">
        <v>36</v>
      </c>
      <c r="H260" s="408">
        <v>1143</v>
      </c>
      <c r="I260" s="408">
        <v>153</v>
      </c>
      <c r="J260" s="408">
        <v>326</v>
      </c>
      <c r="K260" s="408">
        <v>0.46899999999999997</v>
      </c>
      <c r="L260" s="408">
        <v>58</v>
      </c>
      <c r="M260" s="408">
        <v>128</v>
      </c>
      <c r="N260" s="408">
        <v>0.45300000000000001</v>
      </c>
      <c r="O260" s="408">
        <v>95</v>
      </c>
      <c r="P260" s="408">
        <v>198</v>
      </c>
      <c r="Q260" s="408">
        <v>0.48</v>
      </c>
      <c r="R260" s="408">
        <v>0.55800000000000005</v>
      </c>
      <c r="S260" s="408">
        <v>77</v>
      </c>
      <c r="T260" s="408">
        <v>99</v>
      </c>
      <c r="U260" s="408">
        <v>0.77800000000000002</v>
      </c>
      <c r="V260" s="408">
        <v>22</v>
      </c>
      <c r="W260" s="408">
        <v>95</v>
      </c>
      <c r="X260" s="408">
        <v>117</v>
      </c>
      <c r="Y260" s="408">
        <v>119</v>
      </c>
      <c r="Z260" s="408">
        <v>39</v>
      </c>
      <c r="AA260" s="408">
        <v>12</v>
      </c>
      <c r="AB260" s="408">
        <v>60</v>
      </c>
      <c r="AC260" s="408">
        <v>75</v>
      </c>
      <c r="AD260" s="408">
        <v>441</v>
      </c>
    </row>
    <row r="261" spans="1:30">
      <c r="A261">
        <v>212</v>
      </c>
      <c r="B261" s="1" t="s">
        <v>432</v>
      </c>
      <c r="C261" s="1" t="s">
        <v>20</v>
      </c>
      <c r="D261" s="408">
        <v>31</v>
      </c>
      <c r="E261" s="5" t="s">
        <v>102</v>
      </c>
      <c r="F261" s="408">
        <v>16</v>
      </c>
      <c r="G261" s="408">
        <v>16</v>
      </c>
      <c r="H261" s="408">
        <v>458</v>
      </c>
      <c r="I261" s="408">
        <v>51</v>
      </c>
      <c r="J261" s="408">
        <v>127</v>
      </c>
      <c r="K261" s="408">
        <v>0.40200000000000002</v>
      </c>
      <c r="L261" s="408">
        <v>19</v>
      </c>
      <c r="M261" s="408">
        <v>57</v>
      </c>
      <c r="N261" s="408">
        <v>0.33300000000000002</v>
      </c>
      <c r="O261" s="408">
        <v>32</v>
      </c>
      <c r="P261" s="408">
        <v>70</v>
      </c>
      <c r="Q261" s="408">
        <v>0.45700000000000002</v>
      </c>
      <c r="R261" s="408">
        <v>0.47599999999999998</v>
      </c>
      <c r="S261" s="408">
        <v>29</v>
      </c>
      <c r="T261" s="408">
        <v>37</v>
      </c>
      <c r="U261" s="408">
        <v>0.78400000000000003</v>
      </c>
      <c r="V261" s="408">
        <v>17</v>
      </c>
      <c r="W261" s="408">
        <v>27</v>
      </c>
      <c r="X261" s="408">
        <v>44</v>
      </c>
      <c r="Y261" s="408">
        <v>50</v>
      </c>
      <c r="Z261" s="408">
        <v>12</v>
      </c>
      <c r="AA261" s="408">
        <v>9</v>
      </c>
      <c r="AB261" s="408">
        <v>20</v>
      </c>
      <c r="AC261" s="408">
        <v>39</v>
      </c>
      <c r="AD261" s="408">
        <v>150</v>
      </c>
    </row>
    <row r="262" spans="1:30">
      <c r="A262">
        <v>213</v>
      </c>
      <c r="B262" s="1" t="s">
        <v>785</v>
      </c>
      <c r="C262" s="1" t="s">
        <v>46</v>
      </c>
      <c r="D262" s="408">
        <v>26</v>
      </c>
      <c r="E262" s="5" t="s">
        <v>112</v>
      </c>
      <c r="F262" s="408">
        <v>1</v>
      </c>
      <c r="G262" s="408">
        <v>0</v>
      </c>
      <c r="H262" s="408">
        <v>8</v>
      </c>
      <c r="I262" s="408">
        <v>0</v>
      </c>
      <c r="J262" s="408">
        <v>0</v>
      </c>
      <c r="K262" s="408"/>
      <c r="L262" s="408">
        <v>0</v>
      </c>
      <c r="M262" s="408">
        <v>0</v>
      </c>
      <c r="N262" s="408"/>
      <c r="O262" s="408">
        <v>0</v>
      </c>
      <c r="P262" s="408">
        <v>0</v>
      </c>
      <c r="Q262" s="408"/>
      <c r="R262" s="408"/>
      <c r="S262" s="408">
        <v>0</v>
      </c>
      <c r="T262" s="408">
        <v>0</v>
      </c>
      <c r="U262" s="408"/>
      <c r="V262" s="408">
        <v>0</v>
      </c>
      <c r="W262" s="408">
        <v>0</v>
      </c>
      <c r="X262" s="408">
        <v>0</v>
      </c>
      <c r="Y262" s="408">
        <v>1</v>
      </c>
      <c r="Z262" s="408">
        <v>0</v>
      </c>
      <c r="AA262" s="408">
        <v>0</v>
      </c>
      <c r="AB262" s="408">
        <v>0</v>
      </c>
      <c r="AC262" s="408">
        <v>0</v>
      </c>
      <c r="AD262" s="408">
        <v>0</v>
      </c>
    </row>
    <row r="263" spans="1:30">
      <c r="A263">
        <v>214</v>
      </c>
      <c r="B263" s="1" t="s">
        <v>593</v>
      </c>
      <c r="C263" s="1" t="s">
        <v>26</v>
      </c>
      <c r="D263" s="408">
        <v>24</v>
      </c>
      <c r="E263" s="5" t="s">
        <v>140</v>
      </c>
      <c r="F263" s="408">
        <v>14</v>
      </c>
      <c r="G263" s="408">
        <v>0</v>
      </c>
      <c r="H263" s="408">
        <v>95</v>
      </c>
      <c r="I263" s="408">
        <v>5</v>
      </c>
      <c r="J263" s="408">
        <v>19</v>
      </c>
      <c r="K263" s="408">
        <v>0.26300000000000001</v>
      </c>
      <c r="L263" s="408">
        <v>0</v>
      </c>
      <c r="M263" s="408">
        <v>6</v>
      </c>
      <c r="N263" s="408">
        <v>0</v>
      </c>
      <c r="O263" s="408">
        <v>5</v>
      </c>
      <c r="P263" s="408">
        <v>13</v>
      </c>
      <c r="Q263" s="408">
        <v>0.38500000000000001</v>
      </c>
      <c r="R263" s="408">
        <v>0.26300000000000001</v>
      </c>
      <c r="S263" s="408">
        <v>6</v>
      </c>
      <c r="T263" s="408">
        <v>7</v>
      </c>
      <c r="U263" s="408">
        <v>0.85699999999999998</v>
      </c>
      <c r="V263" s="408">
        <v>0</v>
      </c>
      <c r="W263" s="408">
        <v>7</v>
      </c>
      <c r="X263" s="408">
        <v>7</v>
      </c>
      <c r="Y263" s="408">
        <v>11</v>
      </c>
      <c r="Z263" s="408">
        <v>2</v>
      </c>
      <c r="AA263" s="408">
        <v>0</v>
      </c>
      <c r="AB263" s="408">
        <v>4</v>
      </c>
      <c r="AC263" s="408">
        <v>7</v>
      </c>
      <c r="AD263" s="408">
        <v>16</v>
      </c>
    </row>
    <row r="264" spans="1:30">
      <c r="A264">
        <v>215</v>
      </c>
      <c r="B264" s="1" t="s">
        <v>350</v>
      </c>
      <c r="C264" s="1" t="s">
        <v>26</v>
      </c>
      <c r="D264" s="408">
        <v>27</v>
      </c>
      <c r="E264" s="5" t="s">
        <v>112</v>
      </c>
      <c r="F264" s="408">
        <v>70</v>
      </c>
      <c r="G264" s="408">
        <v>70</v>
      </c>
      <c r="H264" s="408">
        <v>2556</v>
      </c>
      <c r="I264" s="408">
        <v>531</v>
      </c>
      <c r="J264" s="408">
        <v>1089</v>
      </c>
      <c r="K264" s="408">
        <v>0.48799999999999999</v>
      </c>
      <c r="L264" s="408">
        <v>109</v>
      </c>
      <c r="M264" s="408">
        <v>320</v>
      </c>
      <c r="N264" s="408">
        <v>0.34100000000000003</v>
      </c>
      <c r="O264" s="408">
        <v>422</v>
      </c>
      <c r="P264" s="408">
        <v>769</v>
      </c>
      <c r="Q264" s="408">
        <v>0.54900000000000004</v>
      </c>
      <c r="R264" s="408">
        <v>0.53800000000000003</v>
      </c>
      <c r="S264" s="408">
        <v>169</v>
      </c>
      <c r="T264" s="408">
        <v>212</v>
      </c>
      <c r="U264" s="408">
        <v>0.79700000000000004</v>
      </c>
      <c r="V264" s="408">
        <v>51</v>
      </c>
      <c r="W264" s="408">
        <v>260</v>
      </c>
      <c r="X264" s="408">
        <v>311</v>
      </c>
      <c r="Y264" s="408">
        <v>410</v>
      </c>
      <c r="Z264" s="408">
        <v>99</v>
      </c>
      <c r="AA264" s="408">
        <v>54</v>
      </c>
      <c r="AB264" s="408">
        <v>177</v>
      </c>
      <c r="AC264" s="408">
        <v>173</v>
      </c>
      <c r="AD264" s="408">
        <v>1340</v>
      </c>
    </row>
    <row r="265" spans="1:30">
      <c r="A265">
        <v>216</v>
      </c>
      <c r="B265" s="1" t="s">
        <v>321</v>
      </c>
      <c r="C265" s="1" t="s">
        <v>26</v>
      </c>
      <c r="D265" s="408">
        <v>28</v>
      </c>
      <c r="E265" s="5" t="s">
        <v>43</v>
      </c>
      <c r="F265" s="408">
        <v>61</v>
      </c>
      <c r="G265" s="408">
        <v>61</v>
      </c>
      <c r="H265" s="408">
        <v>2009</v>
      </c>
      <c r="I265" s="408">
        <v>252</v>
      </c>
      <c r="J265" s="408">
        <v>672</v>
      </c>
      <c r="K265" s="408">
        <v>0.375</v>
      </c>
      <c r="L265" s="408">
        <v>142</v>
      </c>
      <c r="M265" s="408">
        <v>386</v>
      </c>
      <c r="N265" s="408">
        <v>0.36799999999999999</v>
      </c>
      <c r="O265" s="408">
        <v>110</v>
      </c>
      <c r="P265" s="408">
        <v>286</v>
      </c>
      <c r="Q265" s="408">
        <v>0.38500000000000001</v>
      </c>
      <c r="R265" s="408">
        <v>0.48099999999999998</v>
      </c>
      <c r="S265" s="408">
        <v>121</v>
      </c>
      <c r="T265" s="408">
        <v>147</v>
      </c>
      <c r="U265" s="408">
        <v>0.82299999999999995</v>
      </c>
      <c r="V265" s="408">
        <v>30</v>
      </c>
      <c r="W265" s="408">
        <v>234</v>
      </c>
      <c r="X265" s="408">
        <v>264</v>
      </c>
      <c r="Y265" s="408">
        <v>134</v>
      </c>
      <c r="Z265" s="408">
        <v>68</v>
      </c>
      <c r="AA265" s="408">
        <v>30</v>
      </c>
      <c r="AB265" s="408">
        <v>83</v>
      </c>
      <c r="AC265" s="408">
        <v>115</v>
      </c>
      <c r="AD265" s="408">
        <v>767</v>
      </c>
    </row>
    <row r="266" spans="1:30">
      <c r="A266">
        <v>217</v>
      </c>
      <c r="B266" s="1" t="s">
        <v>632</v>
      </c>
      <c r="C266" s="1" t="s">
        <v>46</v>
      </c>
      <c r="D266" s="408">
        <v>29</v>
      </c>
      <c r="E266" s="5" t="s">
        <v>102</v>
      </c>
      <c r="F266" s="408">
        <v>16</v>
      </c>
      <c r="G266" s="408">
        <v>0</v>
      </c>
      <c r="H266" s="408">
        <v>119</v>
      </c>
      <c r="I266" s="408">
        <v>10</v>
      </c>
      <c r="J266" s="408">
        <v>35</v>
      </c>
      <c r="K266" s="408">
        <v>0.28599999999999998</v>
      </c>
      <c r="L266" s="408">
        <v>7</v>
      </c>
      <c r="M266" s="408">
        <v>23</v>
      </c>
      <c r="N266" s="408">
        <v>0.30399999999999999</v>
      </c>
      <c r="O266" s="408">
        <v>3</v>
      </c>
      <c r="P266" s="408">
        <v>12</v>
      </c>
      <c r="Q266" s="408">
        <v>0.25</v>
      </c>
      <c r="R266" s="408">
        <v>0.38600000000000001</v>
      </c>
      <c r="S266" s="408">
        <v>3</v>
      </c>
      <c r="T266" s="408">
        <v>4</v>
      </c>
      <c r="U266" s="408">
        <v>0.75</v>
      </c>
      <c r="V266" s="408">
        <v>3</v>
      </c>
      <c r="W266" s="408">
        <v>14</v>
      </c>
      <c r="X266" s="408">
        <v>17</v>
      </c>
      <c r="Y266" s="408">
        <v>4</v>
      </c>
      <c r="Z266" s="408">
        <v>6</v>
      </c>
      <c r="AA266" s="408">
        <v>2</v>
      </c>
      <c r="AB266" s="408">
        <v>4</v>
      </c>
      <c r="AC266" s="408">
        <v>7</v>
      </c>
      <c r="AD266" s="408">
        <v>30</v>
      </c>
    </row>
    <row r="267" spans="1:30">
      <c r="A267">
        <v>218</v>
      </c>
      <c r="B267" s="1" t="s">
        <v>540</v>
      </c>
      <c r="C267" s="1" t="s">
        <v>46</v>
      </c>
      <c r="D267" s="408">
        <v>23</v>
      </c>
      <c r="E267" s="5" t="s">
        <v>315</v>
      </c>
      <c r="F267" s="408">
        <v>57</v>
      </c>
      <c r="G267" s="408">
        <v>48</v>
      </c>
      <c r="H267" s="408">
        <v>1598</v>
      </c>
      <c r="I267" s="408">
        <v>296</v>
      </c>
      <c r="J267" s="408">
        <v>622</v>
      </c>
      <c r="K267" s="408">
        <v>0.47599999999999998</v>
      </c>
      <c r="L267" s="408">
        <v>12</v>
      </c>
      <c r="M267" s="408">
        <v>49</v>
      </c>
      <c r="N267" s="408">
        <v>0.245</v>
      </c>
      <c r="O267" s="408">
        <v>284</v>
      </c>
      <c r="P267" s="408">
        <v>573</v>
      </c>
      <c r="Q267" s="408">
        <v>0.496</v>
      </c>
      <c r="R267" s="408">
        <v>0.48599999999999999</v>
      </c>
      <c r="S267" s="408">
        <v>217</v>
      </c>
      <c r="T267" s="408">
        <v>276</v>
      </c>
      <c r="U267" s="408">
        <v>0.78600000000000003</v>
      </c>
      <c r="V267" s="408">
        <v>90</v>
      </c>
      <c r="W267" s="408">
        <v>291</v>
      </c>
      <c r="X267" s="408">
        <v>381</v>
      </c>
      <c r="Y267" s="408">
        <v>137</v>
      </c>
      <c r="Z267" s="408">
        <v>49</v>
      </c>
      <c r="AA267" s="408">
        <v>39</v>
      </c>
      <c r="AB267" s="408">
        <v>98</v>
      </c>
      <c r="AC267" s="408">
        <v>121</v>
      </c>
      <c r="AD267" s="408">
        <v>821</v>
      </c>
    </row>
    <row r="268" spans="1:30">
      <c r="A268">
        <v>219</v>
      </c>
      <c r="B268" s="1" t="s">
        <v>541</v>
      </c>
      <c r="C268" s="1" t="s">
        <v>83</v>
      </c>
      <c r="D268" s="408">
        <v>24</v>
      </c>
      <c r="E268" s="5" t="s">
        <v>118</v>
      </c>
      <c r="F268" s="408">
        <v>35</v>
      </c>
      <c r="G268" s="408">
        <v>2</v>
      </c>
      <c r="H268" s="408">
        <v>522</v>
      </c>
      <c r="I268" s="408">
        <v>86</v>
      </c>
      <c r="J268" s="408">
        <v>168</v>
      </c>
      <c r="K268" s="408">
        <v>0.51200000000000001</v>
      </c>
      <c r="L268" s="408">
        <v>3</v>
      </c>
      <c r="M268" s="408">
        <v>27</v>
      </c>
      <c r="N268" s="408">
        <v>0.111</v>
      </c>
      <c r="O268" s="408">
        <v>83</v>
      </c>
      <c r="P268" s="408">
        <v>141</v>
      </c>
      <c r="Q268" s="408">
        <v>0.58899999999999997</v>
      </c>
      <c r="R268" s="408">
        <v>0.52100000000000002</v>
      </c>
      <c r="S268" s="408">
        <v>26</v>
      </c>
      <c r="T268" s="408">
        <v>36</v>
      </c>
      <c r="U268" s="408">
        <v>0.72199999999999998</v>
      </c>
      <c r="V268" s="408">
        <v>42</v>
      </c>
      <c r="W268" s="408">
        <v>112</v>
      </c>
      <c r="X268" s="408">
        <v>154</v>
      </c>
      <c r="Y268" s="408">
        <v>44</v>
      </c>
      <c r="Z268" s="408">
        <v>15</v>
      </c>
      <c r="AA268" s="408">
        <v>20</v>
      </c>
      <c r="AB268" s="408">
        <v>20</v>
      </c>
      <c r="AC268" s="408">
        <v>73</v>
      </c>
      <c r="AD268" s="408">
        <v>201</v>
      </c>
    </row>
    <row r="269" spans="1:30">
      <c r="A269">
        <v>220</v>
      </c>
      <c r="B269" s="1" t="s">
        <v>236</v>
      </c>
      <c r="C269" s="1" t="s">
        <v>26</v>
      </c>
      <c r="D269" s="408">
        <v>25</v>
      </c>
      <c r="E269" s="5" t="s">
        <v>357</v>
      </c>
      <c r="F269" s="408">
        <v>51</v>
      </c>
      <c r="G269" s="408">
        <v>17</v>
      </c>
      <c r="H269" s="408">
        <v>1388</v>
      </c>
      <c r="I269" s="408">
        <v>280</v>
      </c>
      <c r="J269" s="408">
        <v>665</v>
      </c>
      <c r="K269" s="408">
        <v>0.42099999999999999</v>
      </c>
      <c r="L269" s="408">
        <v>116</v>
      </c>
      <c r="M269" s="408">
        <v>306</v>
      </c>
      <c r="N269" s="408">
        <v>0.379</v>
      </c>
      <c r="O269" s="408">
        <v>164</v>
      </c>
      <c r="P269" s="408">
        <v>359</v>
      </c>
      <c r="Q269" s="408">
        <v>0.45700000000000002</v>
      </c>
      <c r="R269" s="408">
        <v>0.50800000000000001</v>
      </c>
      <c r="S269" s="408">
        <v>96</v>
      </c>
      <c r="T269" s="408">
        <v>109</v>
      </c>
      <c r="U269" s="408">
        <v>0.88100000000000001</v>
      </c>
      <c r="V269" s="408">
        <v>18</v>
      </c>
      <c r="W269" s="408">
        <v>124</v>
      </c>
      <c r="X269" s="408">
        <v>142</v>
      </c>
      <c r="Y269" s="408">
        <v>81</v>
      </c>
      <c r="Z269" s="408">
        <v>38</v>
      </c>
      <c r="AA269" s="408">
        <v>11</v>
      </c>
      <c r="AB269" s="408">
        <v>69</v>
      </c>
      <c r="AC269" s="408">
        <v>91</v>
      </c>
      <c r="AD269" s="408">
        <v>772</v>
      </c>
    </row>
    <row r="270" spans="1:30">
      <c r="A270">
        <v>220</v>
      </c>
      <c r="B270" s="1" t="s">
        <v>236</v>
      </c>
      <c r="C270" s="1" t="s">
        <v>26</v>
      </c>
      <c r="D270" s="408">
        <v>25</v>
      </c>
      <c r="E270" s="5" t="s">
        <v>305</v>
      </c>
      <c r="F270" s="408">
        <v>39</v>
      </c>
      <c r="G270" s="408">
        <v>12</v>
      </c>
      <c r="H270" s="408">
        <v>1084</v>
      </c>
      <c r="I270" s="408">
        <v>234</v>
      </c>
      <c r="J270" s="408">
        <v>552</v>
      </c>
      <c r="K270" s="408">
        <v>0.42399999999999999</v>
      </c>
      <c r="L270" s="408">
        <v>102</v>
      </c>
      <c r="M270" s="408">
        <v>262</v>
      </c>
      <c r="N270" s="408">
        <v>0.38900000000000001</v>
      </c>
      <c r="O270" s="408">
        <v>132</v>
      </c>
      <c r="P270" s="408">
        <v>290</v>
      </c>
      <c r="Q270" s="408">
        <v>0.45500000000000002</v>
      </c>
      <c r="R270" s="408">
        <v>0.51600000000000001</v>
      </c>
      <c r="S270" s="408">
        <v>85</v>
      </c>
      <c r="T270" s="408">
        <v>97</v>
      </c>
      <c r="U270" s="408">
        <v>0.876</v>
      </c>
      <c r="V270" s="408">
        <v>14</v>
      </c>
      <c r="W270" s="408">
        <v>97</v>
      </c>
      <c r="X270" s="408">
        <v>111</v>
      </c>
      <c r="Y270" s="408">
        <v>65</v>
      </c>
      <c r="Z270" s="408">
        <v>30</v>
      </c>
      <c r="AA270" s="408">
        <v>7</v>
      </c>
      <c r="AB270" s="408">
        <v>63</v>
      </c>
      <c r="AC270" s="408">
        <v>64</v>
      </c>
      <c r="AD270" s="408">
        <v>655</v>
      </c>
    </row>
    <row r="271" spans="1:30">
      <c r="A271">
        <v>220</v>
      </c>
      <c r="B271" s="1" t="s">
        <v>236</v>
      </c>
      <c r="C271" s="1" t="s">
        <v>26</v>
      </c>
      <c r="D271" s="408">
        <v>25</v>
      </c>
      <c r="E271" s="5" t="s">
        <v>102</v>
      </c>
      <c r="F271" s="408">
        <v>12</v>
      </c>
      <c r="G271" s="408">
        <v>5</v>
      </c>
      <c r="H271" s="408">
        <v>304</v>
      </c>
      <c r="I271" s="408">
        <v>46</v>
      </c>
      <c r="J271" s="408">
        <v>113</v>
      </c>
      <c r="K271" s="408">
        <v>0.40699999999999997</v>
      </c>
      <c r="L271" s="408">
        <v>14</v>
      </c>
      <c r="M271" s="408">
        <v>44</v>
      </c>
      <c r="N271" s="408">
        <v>0.318</v>
      </c>
      <c r="O271" s="408">
        <v>32</v>
      </c>
      <c r="P271" s="408">
        <v>69</v>
      </c>
      <c r="Q271" s="408">
        <v>0.46400000000000002</v>
      </c>
      <c r="R271" s="408">
        <v>0.46899999999999997</v>
      </c>
      <c r="S271" s="408">
        <v>11</v>
      </c>
      <c r="T271" s="408">
        <v>12</v>
      </c>
      <c r="U271" s="408">
        <v>0.91700000000000004</v>
      </c>
      <c r="V271" s="408">
        <v>4</v>
      </c>
      <c r="W271" s="408">
        <v>27</v>
      </c>
      <c r="X271" s="408">
        <v>31</v>
      </c>
      <c r="Y271" s="408">
        <v>16</v>
      </c>
      <c r="Z271" s="408">
        <v>8</v>
      </c>
      <c r="AA271" s="408">
        <v>4</v>
      </c>
      <c r="AB271" s="408">
        <v>6</v>
      </c>
      <c r="AC271" s="408">
        <v>27</v>
      </c>
      <c r="AD271" s="408">
        <v>117</v>
      </c>
    </row>
    <row r="272" spans="1:30">
      <c r="A272">
        <v>221</v>
      </c>
      <c r="B272" s="1" t="s">
        <v>1057</v>
      </c>
      <c r="C272" s="1" t="s">
        <v>26</v>
      </c>
      <c r="D272" s="408">
        <v>28</v>
      </c>
      <c r="E272" s="5" t="s">
        <v>33</v>
      </c>
      <c r="F272" s="408">
        <v>1</v>
      </c>
      <c r="G272" s="408">
        <v>0</v>
      </c>
      <c r="H272" s="408">
        <v>8</v>
      </c>
      <c r="I272" s="408">
        <v>0</v>
      </c>
      <c r="J272" s="408">
        <v>1</v>
      </c>
      <c r="K272" s="408">
        <v>0</v>
      </c>
      <c r="L272" s="408">
        <v>0</v>
      </c>
      <c r="M272" s="408">
        <v>0</v>
      </c>
      <c r="N272" s="408"/>
      <c r="O272" s="408">
        <v>0</v>
      </c>
      <c r="P272" s="408">
        <v>1</v>
      </c>
      <c r="Q272" s="408">
        <v>0</v>
      </c>
      <c r="R272" s="408">
        <v>0</v>
      </c>
      <c r="S272" s="408">
        <v>1</v>
      </c>
      <c r="T272" s="408">
        <v>2</v>
      </c>
      <c r="U272" s="408">
        <v>0.5</v>
      </c>
      <c r="V272" s="408">
        <v>0</v>
      </c>
      <c r="W272" s="408">
        <v>0</v>
      </c>
      <c r="X272" s="408">
        <v>0</v>
      </c>
      <c r="Y272" s="408">
        <v>1</v>
      </c>
      <c r="Z272" s="408">
        <v>0</v>
      </c>
      <c r="AA272" s="408">
        <v>0</v>
      </c>
      <c r="AB272" s="408">
        <v>1</v>
      </c>
      <c r="AC272" s="408">
        <v>0</v>
      </c>
      <c r="AD272" s="408">
        <v>1</v>
      </c>
    </row>
    <row r="273" spans="1:30">
      <c r="A273">
        <v>222</v>
      </c>
      <c r="B273" s="1" t="s">
        <v>417</v>
      </c>
      <c r="C273" s="1" t="s">
        <v>83</v>
      </c>
      <c r="D273" s="408">
        <v>31</v>
      </c>
      <c r="E273" s="5" t="s">
        <v>87</v>
      </c>
      <c r="F273" s="408">
        <v>63</v>
      </c>
      <c r="G273" s="408">
        <v>63</v>
      </c>
      <c r="H273" s="408">
        <v>1991</v>
      </c>
      <c r="I273" s="408">
        <v>325</v>
      </c>
      <c r="J273" s="408">
        <v>662</v>
      </c>
      <c r="K273" s="408">
        <v>0.49099999999999999</v>
      </c>
      <c r="L273" s="408">
        <v>86</v>
      </c>
      <c r="M273" s="408">
        <v>203</v>
      </c>
      <c r="N273" s="408">
        <v>0.42399999999999999</v>
      </c>
      <c r="O273" s="408">
        <v>239</v>
      </c>
      <c r="P273" s="408">
        <v>459</v>
      </c>
      <c r="Q273" s="408">
        <v>0.52100000000000002</v>
      </c>
      <c r="R273" s="408">
        <v>0.55600000000000005</v>
      </c>
      <c r="S273" s="408">
        <v>71</v>
      </c>
      <c r="T273" s="408">
        <v>94</v>
      </c>
      <c r="U273" s="408">
        <v>0.755</v>
      </c>
      <c r="V273" s="408">
        <v>89</v>
      </c>
      <c r="W273" s="408">
        <v>383</v>
      </c>
      <c r="X273" s="408">
        <v>472</v>
      </c>
      <c r="Y273" s="408">
        <v>303</v>
      </c>
      <c r="Z273" s="408">
        <v>36</v>
      </c>
      <c r="AA273" s="408">
        <v>69</v>
      </c>
      <c r="AB273" s="408">
        <v>120</v>
      </c>
      <c r="AC273" s="408">
        <v>124</v>
      </c>
      <c r="AD273" s="408">
        <v>807</v>
      </c>
    </row>
    <row r="274" spans="1:30">
      <c r="A274">
        <v>223</v>
      </c>
      <c r="B274" s="1" t="s">
        <v>493</v>
      </c>
      <c r="C274" s="1" t="s">
        <v>26</v>
      </c>
      <c r="D274" s="408">
        <v>24</v>
      </c>
      <c r="E274" s="5" t="s">
        <v>313</v>
      </c>
      <c r="F274" s="408">
        <v>16</v>
      </c>
      <c r="G274" s="408">
        <v>0</v>
      </c>
      <c r="H274" s="408">
        <v>193</v>
      </c>
      <c r="I274" s="408">
        <v>25</v>
      </c>
      <c r="J274" s="408">
        <v>67</v>
      </c>
      <c r="K274" s="408">
        <v>0.373</v>
      </c>
      <c r="L274" s="408">
        <v>8</v>
      </c>
      <c r="M274" s="408">
        <v>31</v>
      </c>
      <c r="N274" s="408">
        <v>0.25800000000000001</v>
      </c>
      <c r="O274" s="408">
        <v>17</v>
      </c>
      <c r="P274" s="408">
        <v>36</v>
      </c>
      <c r="Q274" s="408">
        <v>0.47199999999999998</v>
      </c>
      <c r="R274" s="408">
        <v>0.433</v>
      </c>
      <c r="S274" s="408">
        <v>16</v>
      </c>
      <c r="T274" s="408">
        <v>19</v>
      </c>
      <c r="U274" s="408">
        <v>0.84199999999999997</v>
      </c>
      <c r="V274" s="408">
        <v>9</v>
      </c>
      <c r="W274" s="408">
        <v>28</v>
      </c>
      <c r="X274" s="408">
        <v>37</v>
      </c>
      <c r="Y274" s="408">
        <v>8</v>
      </c>
      <c r="Z274" s="408">
        <v>5</v>
      </c>
      <c r="AA274" s="408">
        <v>1</v>
      </c>
      <c r="AB274" s="408">
        <v>5</v>
      </c>
      <c r="AC274" s="408">
        <v>15</v>
      </c>
      <c r="AD274" s="408">
        <v>74</v>
      </c>
    </row>
    <row r="275" spans="1:30">
      <c r="A275">
        <v>224</v>
      </c>
      <c r="B275" s="1" t="s">
        <v>580</v>
      </c>
      <c r="C275" s="1" t="s">
        <v>83</v>
      </c>
      <c r="D275" s="408">
        <v>32</v>
      </c>
      <c r="E275" s="5" t="s">
        <v>311</v>
      </c>
      <c r="F275" s="408">
        <v>71</v>
      </c>
      <c r="G275" s="408">
        <v>71</v>
      </c>
      <c r="H275" s="408">
        <v>2163</v>
      </c>
      <c r="I275" s="408">
        <v>439</v>
      </c>
      <c r="J275" s="408">
        <v>793</v>
      </c>
      <c r="K275" s="408">
        <v>0.55400000000000005</v>
      </c>
      <c r="L275" s="408">
        <v>1</v>
      </c>
      <c r="M275" s="408">
        <v>5</v>
      </c>
      <c r="N275" s="408">
        <v>0.2</v>
      </c>
      <c r="O275" s="408">
        <v>438</v>
      </c>
      <c r="P275" s="408">
        <v>788</v>
      </c>
      <c r="Q275" s="408">
        <v>0.55600000000000005</v>
      </c>
      <c r="R275" s="408">
        <v>0.55400000000000005</v>
      </c>
      <c r="S275" s="408">
        <v>281</v>
      </c>
      <c r="T275" s="408">
        <v>494</v>
      </c>
      <c r="U275" s="408">
        <v>0.56899999999999995</v>
      </c>
      <c r="V275" s="408">
        <v>218</v>
      </c>
      <c r="W275" s="408">
        <v>632</v>
      </c>
      <c r="X275" s="408">
        <v>850</v>
      </c>
      <c r="Y275" s="408">
        <v>93</v>
      </c>
      <c r="Z275" s="408">
        <v>45</v>
      </c>
      <c r="AA275" s="408">
        <v>120</v>
      </c>
      <c r="AB275" s="408">
        <v>185</v>
      </c>
      <c r="AC275" s="408">
        <v>226</v>
      </c>
      <c r="AD275" s="408">
        <v>1160</v>
      </c>
    </row>
    <row r="276" spans="1:30">
      <c r="A276">
        <v>225</v>
      </c>
      <c r="B276" s="1" t="s">
        <v>69</v>
      </c>
      <c r="C276" s="1" t="s">
        <v>38</v>
      </c>
      <c r="D276" s="408">
        <v>26</v>
      </c>
      <c r="E276" s="5" t="s">
        <v>58</v>
      </c>
      <c r="F276" s="408">
        <v>65</v>
      </c>
      <c r="G276" s="408">
        <v>10</v>
      </c>
      <c r="H276" s="408">
        <v>963</v>
      </c>
      <c r="I276" s="408">
        <v>59</v>
      </c>
      <c r="J276" s="408">
        <v>178</v>
      </c>
      <c r="K276" s="408">
        <v>0.33100000000000002</v>
      </c>
      <c r="L276" s="408">
        <v>32</v>
      </c>
      <c r="M276" s="408">
        <v>112</v>
      </c>
      <c r="N276" s="408">
        <v>0.28599999999999998</v>
      </c>
      <c r="O276" s="408">
        <v>27</v>
      </c>
      <c r="P276" s="408">
        <v>66</v>
      </c>
      <c r="Q276" s="408">
        <v>0.40899999999999997</v>
      </c>
      <c r="R276" s="408">
        <v>0.42099999999999999</v>
      </c>
      <c r="S276" s="408">
        <v>5</v>
      </c>
      <c r="T276" s="408">
        <v>18</v>
      </c>
      <c r="U276" s="408">
        <v>0.27800000000000002</v>
      </c>
      <c r="V276" s="408">
        <v>42</v>
      </c>
      <c r="W276" s="408">
        <v>116</v>
      </c>
      <c r="X276" s="408">
        <v>158</v>
      </c>
      <c r="Y276" s="408">
        <v>20</v>
      </c>
      <c r="Z276" s="408">
        <v>15</v>
      </c>
      <c r="AA276" s="408">
        <v>42</v>
      </c>
      <c r="AB276" s="408">
        <v>26</v>
      </c>
      <c r="AC276" s="408">
        <v>80</v>
      </c>
      <c r="AD276" s="408">
        <v>155</v>
      </c>
    </row>
    <row r="277" spans="1:30">
      <c r="A277">
        <v>226</v>
      </c>
      <c r="B277" s="1" t="s">
        <v>672</v>
      </c>
      <c r="C277" s="1" t="s">
        <v>26</v>
      </c>
      <c r="D277" s="408">
        <v>24</v>
      </c>
      <c r="E277" s="5" t="s">
        <v>92</v>
      </c>
      <c r="F277" s="408">
        <v>2</v>
      </c>
      <c r="G277" s="408">
        <v>0</v>
      </c>
      <c r="H277" s="408">
        <v>2</v>
      </c>
      <c r="I277" s="408">
        <v>0</v>
      </c>
      <c r="J277" s="408">
        <v>0</v>
      </c>
      <c r="K277" s="408"/>
      <c r="L277" s="408">
        <v>0</v>
      </c>
      <c r="M277" s="408">
        <v>0</v>
      </c>
      <c r="N277" s="408"/>
      <c r="O277" s="408">
        <v>0</v>
      </c>
      <c r="P277" s="408">
        <v>0</v>
      </c>
      <c r="Q277" s="408"/>
      <c r="R277" s="408"/>
      <c r="S277" s="408">
        <v>0</v>
      </c>
      <c r="T277" s="408">
        <v>0</v>
      </c>
      <c r="U277" s="408"/>
      <c r="V277" s="408">
        <v>0</v>
      </c>
      <c r="W277" s="408">
        <v>1</v>
      </c>
      <c r="X277" s="408">
        <v>1</v>
      </c>
      <c r="Y277" s="408">
        <v>2</v>
      </c>
      <c r="Z277" s="408">
        <v>0</v>
      </c>
      <c r="AA277" s="408">
        <v>0</v>
      </c>
      <c r="AB277" s="408">
        <v>0</v>
      </c>
      <c r="AC277" s="408">
        <v>0</v>
      </c>
      <c r="AD277" s="408">
        <v>0</v>
      </c>
    </row>
    <row r="278" spans="1:30">
      <c r="A278">
        <v>227</v>
      </c>
      <c r="B278" s="1" t="s">
        <v>631</v>
      </c>
      <c r="C278" s="1" t="s">
        <v>38</v>
      </c>
      <c r="D278" s="408">
        <v>23</v>
      </c>
      <c r="E278" s="5" t="s">
        <v>128</v>
      </c>
      <c r="F278" s="408">
        <v>4</v>
      </c>
      <c r="G278" s="408">
        <v>0</v>
      </c>
      <c r="H278" s="408">
        <v>7</v>
      </c>
      <c r="I278" s="408">
        <v>3</v>
      </c>
      <c r="J278" s="408">
        <v>5</v>
      </c>
      <c r="K278" s="408">
        <v>0.6</v>
      </c>
      <c r="L278" s="408">
        <v>0</v>
      </c>
      <c r="M278" s="408">
        <v>0</v>
      </c>
      <c r="N278" s="408"/>
      <c r="O278" s="408">
        <v>3</v>
      </c>
      <c r="P278" s="408">
        <v>5</v>
      </c>
      <c r="Q278" s="408">
        <v>0.6</v>
      </c>
      <c r="R278" s="408">
        <v>0.6</v>
      </c>
      <c r="S278" s="408">
        <v>0</v>
      </c>
      <c r="T278" s="408">
        <v>0</v>
      </c>
      <c r="U278" s="408"/>
      <c r="V278" s="408">
        <v>2</v>
      </c>
      <c r="W278" s="408">
        <v>1</v>
      </c>
      <c r="X278" s="408">
        <v>3</v>
      </c>
      <c r="Y278" s="408">
        <v>0</v>
      </c>
      <c r="Z278" s="408">
        <v>0</v>
      </c>
      <c r="AA278" s="408">
        <v>1</v>
      </c>
      <c r="AB278" s="408">
        <v>1</v>
      </c>
      <c r="AC278" s="408">
        <v>0</v>
      </c>
      <c r="AD278" s="408">
        <v>6</v>
      </c>
    </row>
    <row r="279" spans="1:30">
      <c r="A279">
        <v>228</v>
      </c>
      <c r="B279" s="1" t="s">
        <v>384</v>
      </c>
      <c r="C279" s="1" t="s">
        <v>38</v>
      </c>
      <c r="D279" s="408">
        <v>28</v>
      </c>
      <c r="E279" s="5" t="s">
        <v>47</v>
      </c>
      <c r="F279" s="408">
        <v>65</v>
      </c>
      <c r="G279" s="408">
        <v>65</v>
      </c>
      <c r="H279" s="408">
        <v>1783</v>
      </c>
      <c r="I279" s="408">
        <v>321</v>
      </c>
      <c r="J279" s="408">
        <v>672</v>
      </c>
      <c r="K279" s="408">
        <v>0.47799999999999998</v>
      </c>
      <c r="L279" s="408">
        <v>90</v>
      </c>
      <c r="M279" s="408">
        <v>258</v>
      </c>
      <c r="N279" s="408">
        <v>0.34899999999999998</v>
      </c>
      <c r="O279" s="408">
        <v>231</v>
      </c>
      <c r="P279" s="408">
        <v>414</v>
      </c>
      <c r="Q279" s="408">
        <v>0.55800000000000005</v>
      </c>
      <c r="R279" s="408">
        <v>0.54500000000000004</v>
      </c>
      <c r="S279" s="408">
        <v>87</v>
      </c>
      <c r="T279" s="408">
        <v>108</v>
      </c>
      <c r="U279" s="408">
        <v>0.80600000000000005</v>
      </c>
      <c r="V279" s="408">
        <v>65</v>
      </c>
      <c r="W279" s="408">
        <v>340</v>
      </c>
      <c r="X279" s="408">
        <v>405</v>
      </c>
      <c r="Y279" s="408">
        <v>50</v>
      </c>
      <c r="Z279" s="408">
        <v>25</v>
      </c>
      <c r="AA279" s="408">
        <v>81</v>
      </c>
      <c r="AB279" s="408">
        <v>77</v>
      </c>
      <c r="AC279" s="408">
        <v>180</v>
      </c>
      <c r="AD279" s="408">
        <v>819</v>
      </c>
    </row>
    <row r="280" spans="1:30">
      <c r="A280">
        <v>229</v>
      </c>
      <c r="B280" s="1" t="s">
        <v>490</v>
      </c>
      <c r="C280" s="1" t="s">
        <v>46</v>
      </c>
      <c r="D280" s="408">
        <v>34</v>
      </c>
      <c r="E280" s="5" t="s">
        <v>73</v>
      </c>
      <c r="F280" s="408">
        <v>59</v>
      </c>
      <c r="G280" s="408">
        <v>7</v>
      </c>
      <c r="H280" s="408">
        <v>1507</v>
      </c>
      <c r="I280" s="408">
        <v>135</v>
      </c>
      <c r="J280" s="408">
        <v>289</v>
      </c>
      <c r="K280" s="408">
        <v>0.46700000000000003</v>
      </c>
      <c r="L280" s="408">
        <v>27</v>
      </c>
      <c r="M280" s="408">
        <v>101</v>
      </c>
      <c r="N280" s="408">
        <v>0.26700000000000002</v>
      </c>
      <c r="O280" s="408">
        <v>108</v>
      </c>
      <c r="P280" s="408">
        <v>188</v>
      </c>
      <c r="Q280" s="408">
        <v>0.57399999999999995</v>
      </c>
      <c r="R280" s="408">
        <v>0.51400000000000001</v>
      </c>
      <c r="S280" s="408">
        <v>55</v>
      </c>
      <c r="T280" s="408">
        <v>86</v>
      </c>
      <c r="U280" s="408">
        <v>0.64</v>
      </c>
      <c r="V280" s="408">
        <v>49</v>
      </c>
      <c r="W280" s="408">
        <v>181</v>
      </c>
      <c r="X280" s="408">
        <v>230</v>
      </c>
      <c r="Y280" s="408">
        <v>192</v>
      </c>
      <c r="Z280" s="408">
        <v>49</v>
      </c>
      <c r="AA280" s="408">
        <v>36</v>
      </c>
      <c r="AB280" s="408">
        <v>62</v>
      </c>
      <c r="AC280" s="408">
        <v>90</v>
      </c>
      <c r="AD280" s="408">
        <v>352</v>
      </c>
    </row>
    <row r="281" spans="1:30">
      <c r="A281">
        <v>230</v>
      </c>
      <c r="B281" s="1" t="s">
        <v>208</v>
      </c>
      <c r="C281" s="1" t="s">
        <v>38</v>
      </c>
      <c r="D281" s="408">
        <v>30</v>
      </c>
      <c r="E281" s="5" t="s">
        <v>357</v>
      </c>
      <c r="F281" s="408">
        <v>56</v>
      </c>
      <c r="G281" s="408">
        <v>40</v>
      </c>
      <c r="H281" s="408">
        <v>1394</v>
      </c>
      <c r="I281" s="408">
        <v>215</v>
      </c>
      <c r="J281" s="408">
        <v>476</v>
      </c>
      <c r="K281" s="408">
        <v>0.45200000000000001</v>
      </c>
      <c r="L281" s="408">
        <v>71</v>
      </c>
      <c r="M281" s="408">
        <v>197</v>
      </c>
      <c r="N281" s="408">
        <v>0.36</v>
      </c>
      <c r="O281" s="408">
        <v>144</v>
      </c>
      <c r="P281" s="408">
        <v>279</v>
      </c>
      <c r="Q281" s="408">
        <v>0.51600000000000001</v>
      </c>
      <c r="R281" s="408">
        <v>0.52600000000000002</v>
      </c>
      <c r="S281" s="408">
        <v>83</v>
      </c>
      <c r="T281" s="408">
        <v>104</v>
      </c>
      <c r="U281" s="408">
        <v>0.79800000000000004</v>
      </c>
      <c r="V281" s="408">
        <v>89</v>
      </c>
      <c r="W281" s="408">
        <v>210</v>
      </c>
      <c r="X281" s="408">
        <v>299</v>
      </c>
      <c r="Y281" s="408">
        <v>70</v>
      </c>
      <c r="Z281" s="408">
        <v>52</v>
      </c>
      <c r="AA281" s="408">
        <v>19</v>
      </c>
      <c r="AB281" s="408">
        <v>55</v>
      </c>
      <c r="AC281" s="408">
        <v>125</v>
      </c>
      <c r="AD281" s="408">
        <v>584</v>
      </c>
    </row>
    <row r="282" spans="1:30">
      <c r="A282">
        <v>230</v>
      </c>
      <c r="B282" s="1" t="s">
        <v>208</v>
      </c>
      <c r="C282" s="1" t="s">
        <v>38</v>
      </c>
      <c r="D282" s="408">
        <v>30</v>
      </c>
      <c r="E282" s="5" t="s">
        <v>149</v>
      </c>
      <c r="F282" s="408">
        <v>46</v>
      </c>
      <c r="G282" s="408">
        <v>40</v>
      </c>
      <c r="H282" s="408">
        <v>1175</v>
      </c>
      <c r="I282" s="408">
        <v>184</v>
      </c>
      <c r="J282" s="408">
        <v>401</v>
      </c>
      <c r="K282" s="408">
        <v>0.45900000000000002</v>
      </c>
      <c r="L282" s="408">
        <v>61</v>
      </c>
      <c r="M282" s="408">
        <v>170</v>
      </c>
      <c r="N282" s="408">
        <v>0.35899999999999999</v>
      </c>
      <c r="O282" s="408">
        <v>123</v>
      </c>
      <c r="P282" s="408">
        <v>231</v>
      </c>
      <c r="Q282" s="408">
        <v>0.53200000000000003</v>
      </c>
      <c r="R282" s="408">
        <v>0.53500000000000003</v>
      </c>
      <c r="S282" s="408">
        <v>72</v>
      </c>
      <c r="T282" s="408">
        <v>90</v>
      </c>
      <c r="U282" s="408">
        <v>0.8</v>
      </c>
      <c r="V282" s="408">
        <v>74</v>
      </c>
      <c r="W282" s="408">
        <v>177</v>
      </c>
      <c r="X282" s="408">
        <v>251</v>
      </c>
      <c r="Y282" s="408">
        <v>51</v>
      </c>
      <c r="Z282" s="408">
        <v>44</v>
      </c>
      <c r="AA282" s="408">
        <v>17</v>
      </c>
      <c r="AB282" s="408">
        <v>43</v>
      </c>
      <c r="AC282" s="408">
        <v>92</v>
      </c>
      <c r="AD282" s="408">
        <v>501</v>
      </c>
    </row>
    <row r="283" spans="1:30">
      <c r="A283">
        <v>230</v>
      </c>
      <c r="B283" s="1" t="s">
        <v>208</v>
      </c>
      <c r="C283" s="1" t="s">
        <v>38</v>
      </c>
      <c r="D283" s="408">
        <v>30</v>
      </c>
      <c r="E283" s="5" t="s">
        <v>118</v>
      </c>
      <c r="F283" s="408">
        <v>10</v>
      </c>
      <c r="G283" s="408">
        <v>0</v>
      </c>
      <c r="H283" s="408">
        <v>219</v>
      </c>
      <c r="I283" s="408">
        <v>31</v>
      </c>
      <c r="J283" s="408">
        <v>75</v>
      </c>
      <c r="K283" s="408">
        <v>0.41299999999999998</v>
      </c>
      <c r="L283" s="408">
        <v>10</v>
      </c>
      <c r="M283" s="408">
        <v>27</v>
      </c>
      <c r="N283" s="408">
        <v>0.37</v>
      </c>
      <c r="O283" s="408">
        <v>21</v>
      </c>
      <c r="P283" s="408">
        <v>48</v>
      </c>
      <c r="Q283" s="408">
        <v>0.438</v>
      </c>
      <c r="R283" s="408">
        <v>0.48</v>
      </c>
      <c r="S283" s="408">
        <v>11</v>
      </c>
      <c r="T283" s="408">
        <v>14</v>
      </c>
      <c r="U283" s="408">
        <v>0.78600000000000003</v>
      </c>
      <c r="V283" s="408">
        <v>15</v>
      </c>
      <c r="W283" s="408">
        <v>33</v>
      </c>
      <c r="X283" s="408">
        <v>48</v>
      </c>
      <c r="Y283" s="408">
        <v>19</v>
      </c>
      <c r="Z283" s="408">
        <v>8</v>
      </c>
      <c r="AA283" s="408">
        <v>2</v>
      </c>
      <c r="AB283" s="408">
        <v>12</v>
      </c>
      <c r="AC283" s="408">
        <v>33</v>
      </c>
      <c r="AD283" s="408">
        <v>83</v>
      </c>
    </row>
    <row r="284" spans="1:30">
      <c r="A284">
        <v>231</v>
      </c>
      <c r="B284" s="1" t="s">
        <v>344</v>
      </c>
      <c r="C284" s="1" t="s">
        <v>46</v>
      </c>
      <c r="D284" s="408">
        <v>30</v>
      </c>
      <c r="E284" s="5" t="s">
        <v>305</v>
      </c>
      <c r="F284" s="408">
        <v>70</v>
      </c>
      <c r="G284" s="408">
        <v>69</v>
      </c>
      <c r="H284" s="408">
        <v>2186</v>
      </c>
      <c r="I284" s="408">
        <v>282</v>
      </c>
      <c r="J284" s="408">
        <v>605</v>
      </c>
      <c r="K284" s="408">
        <v>0.46600000000000003</v>
      </c>
      <c r="L284" s="408">
        <v>179</v>
      </c>
      <c r="M284" s="408">
        <v>398</v>
      </c>
      <c r="N284" s="408">
        <v>0.45</v>
      </c>
      <c r="O284" s="408">
        <v>103</v>
      </c>
      <c r="P284" s="408">
        <v>207</v>
      </c>
      <c r="Q284" s="408">
        <v>0.498</v>
      </c>
      <c r="R284" s="408">
        <v>0.61399999999999999</v>
      </c>
      <c r="S284" s="408">
        <v>48</v>
      </c>
      <c r="T284" s="408">
        <v>59</v>
      </c>
      <c r="U284" s="408">
        <v>0.81399999999999995</v>
      </c>
      <c r="V284" s="408">
        <v>21</v>
      </c>
      <c r="W284" s="408">
        <v>270</v>
      </c>
      <c r="X284" s="408">
        <v>291</v>
      </c>
      <c r="Y284" s="408">
        <v>304</v>
      </c>
      <c r="Z284" s="408">
        <v>78</v>
      </c>
      <c r="AA284" s="408">
        <v>16</v>
      </c>
      <c r="AB284" s="408">
        <v>136</v>
      </c>
      <c r="AC284" s="408">
        <v>147</v>
      </c>
      <c r="AD284" s="408">
        <v>791</v>
      </c>
    </row>
    <row r="285" spans="1:30">
      <c r="A285">
        <v>232</v>
      </c>
      <c r="B285" s="1" t="s">
        <v>496</v>
      </c>
      <c r="C285" s="1" t="s">
        <v>46</v>
      </c>
      <c r="D285" s="408">
        <v>20</v>
      </c>
      <c r="E285" s="5" t="s">
        <v>78</v>
      </c>
      <c r="F285" s="408">
        <v>57</v>
      </c>
      <c r="G285" s="408">
        <v>57</v>
      </c>
      <c r="H285" s="408">
        <v>1925</v>
      </c>
      <c r="I285" s="408">
        <v>349</v>
      </c>
      <c r="J285" s="408">
        <v>744</v>
      </c>
      <c r="K285" s="408">
        <v>0.46899999999999997</v>
      </c>
      <c r="L285" s="408">
        <v>38</v>
      </c>
      <c r="M285" s="408">
        <v>100</v>
      </c>
      <c r="N285" s="408">
        <v>0.38</v>
      </c>
      <c r="O285" s="408">
        <v>311</v>
      </c>
      <c r="P285" s="408">
        <v>644</v>
      </c>
      <c r="Q285" s="408">
        <v>0.48299999999999998</v>
      </c>
      <c r="R285" s="408">
        <v>0.495</v>
      </c>
      <c r="S285" s="408">
        <v>188</v>
      </c>
      <c r="T285" s="408">
        <v>273</v>
      </c>
      <c r="U285" s="408">
        <v>0.68899999999999995</v>
      </c>
      <c r="V285" s="408">
        <v>56</v>
      </c>
      <c r="W285" s="408">
        <v>249</v>
      </c>
      <c r="X285" s="408">
        <v>305</v>
      </c>
      <c r="Y285" s="408">
        <v>220</v>
      </c>
      <c r="Z285" s="408">
        <v>44</v>
      </c>
      <c r="AA285" s="408">
        <v>43</v>
      </c>
      <c r="AB285" s="408">
        <v>141</v>
      </c>
      <c r="AC285" s="408">
        <v>158</v>
      </c>
      <c r="AD285" s="408">
        <v>924</v>
      </c>
    </row>
    <row r="286" spans="1:30">
      <c r="A286">
        <v>233</v>
      </c>
      <c r="B286" s="1" t="s">
        <v>317</v>
      </c>
      <c r="C286" s="1" t="s">
        <v>20</v>
      </c>
      <c r="D286" s="408">
        <v>25</v>
      </c>
      <c r="E286" s="5" t="s">
        <v>87</v>
      </c>
      <c r="F286" s="408">
        <v>60</v>
      </c>
      <c r="G286" s="408">
        <v>60</v>
      </c>
      <c r="H286" s="408">
        <v>1931</v>
      </c>
      <c r="I286" s="408">
        <v>534</v>
      </c>
      <c r="J286" s="408">
        <v>1087</v>
      </c>
      <c r="K286" s="408">
        <v>0.49099999999999999</v>
      </c>
      <c r="L286" s="408">
        <v>166</v>
      </c>
      <c r="M286" s="408">
        <v>407</v>
      </c>
      <c r="N286" s="408">
        <v>0.40799999999999997</v>
      </c>
      <c r="O286" s="408">
        <v>368</v>
      </c>
      <c r="P286" s="408">
        <v>680</v>
      </c>
      <c r="Q286" s="408">
        <v>0.54100000000000004</v>
      </c>
      <c r="R286" s="408">
        <v>0.56799999999999995</v>
      </c>
      <c r="S286" s="408">
        <v>232</v>
      </c>
      <c r="T286" s="408">
        <v>261</v>
      </c>
      <c r="U286" s="408">
        <v>0.88900000000000001</v>
      </c>
      <c r="V286" s="408">
        <v>33</v>
      </c>
      <c r="W286" s="408">
        <v>194</v>
      </c>
      <c r="X286" s="408">
        <v>227</v>
      </c>
      <c r="Y286" s="408">
        <v>306</v>
      </c>
      <c r="Z286" s="408">
        <v>65</v>
      </c>
      <c r="AA286" s="408">
        <v>17</v>
      </c>
      <c r="AB286" s="408">
        <v>140</v>
      </c>
      <c r="AC286" s="408">
        <v>122</v>
      </c>
      <c r="AD286" s="408">
        <v>1466</v>
      </c>
    </row>
    <row r="287" spans="1:30">
      <c r="A287">
        <v>234</v>
      </c>
      <c r="B287" s="1" t="s">
        <v>522</v>
      </c>
      <c r="C287" s="1" t="s">
        <v>38</v>
      </c>
      <c r="D287" s="408">
        <v>20</v>
      </c>
      <c r="E287" s="5" t="s">
        <v>75</v>
      </c>
      <c r="F287" s="408">
        <v>24</v>
      </c>
      <c r="G287" s="408">
        <v>7</v>
      </c>
      <c r="H287" s="408">
        <v>466</v>
      </c>
      <c r="I287" s="408">
        <v>45</v>
      </c>
      <c r="J287" s="408">
        <v>122</v>
      </c>
      <c r="K287" s="408">
        <v>0.36899999999999999</v>
      </c>
      <c r="L287" s="408">
        <v>11</v>
      </c>
      <c r="M287" s="408">
        <v>36</v>
      </c>
      <c r="N287" s="408">
        <v>0.30599999999999999</v>
      </c>
      <c r="O287" s="408">
        <v>34</v>
      </c>
      <c r="P287" s="408">
        <v>86</v>
      </c>
      <c r="Q287" s="408">
        <v>0.39500000000000002</v>
      </c>
      <c r="R287" s="408">
        <v>0.41399999999999998</v>
      </c>
      <c r="S287" s="408">
        <v>15</v>
      </c>
      <c r="T287" s="408">
        <v>20</v>
      </c>
      <c r="U287" s="408">
        <v>0.75</v>
      </c>
      <c r="V287" s="408">
        <v>14</v>
      </c>
      <c r="W287" s="408">
        <v>72</v>
      </c>
      <c r="X287" s="408">
        <v>86</v>
      </c>
      <c r="Y287" s="408">
        <v>15</v>
      </c>
      <c r="Z287" s="408">
        <v>24</v>
      </c>
      <c r="AA287" s="408">
        <v>27</v>
      </c>
      <c r="AB287" s="408">
        <v>22</v>
      </c>
      <c r="AC287" s="408">
        <v>42</v>
      </c>
      <c r="AD287" s="408">
        <v>116</v>
      </c>
    </row>
    <row r="288" spans="1:30">
      <c r="A288">
        <v>235</v>
      </c>
      <c r="B288" s="1" t="s">
        <v>550</v>
      </c>
      <c r="C288" s="1" t="s">
        <v>46</v>
      </c>
      <c r="D288" s="408">
        <v>23</v>
      </c>
      <c r="E288" s="5" t="s">
        <v>75</v>
      </c>
      <c r="F288" s="408">
        <v>52</v>
      </c>
      <c r="G288" s="408">
        <v>3</v>
      </c>
      <c r="H288" s="408">
        <v>754</v>
      </c>
      <c r="I288" s="408">
        <v>71</v>
      </c>
      <c r="J288" s="408">
        <v>161</v>
      </c>
      <c r="K288" s="408">
        <v>0.441</v>
      </c>
      <c r="L288" s="408">
        <v>6</v>
      </c>
      <c r="M288" s="408">
        <v>28</v>
      </c>
      <c r="N288" s="408">
        <v>0.214</v>
      </c>
      <c r="O288" s="408">
        <v>65</v>
      </c>
      <c r="P288" s="408">
        <v>133</v>
      </c>
      <c r="Q288" s="408">
        <v>0.48899999999999999</v>
      </c>
      <c r="R288" s="408">
        <v>0.46</v>
      </c>
      <c r="S288" s="408">
        <v>26</v>
      </c>
      <c r="T288" s="408">
        <v>34</v>
      </c>
      <c r="U288" s="408">
        <v>0.76500000000000001</v>
      </c>
      <c r="V288" s="408">
        <v>25</v>
      </c>
      <c r="W288" s="408">
        <v>83</v>
      </c>
      <c r="X288" s="408">
        <v>108</v>
      </c>
      <c r="Y288" s="408">
        <v>44</v>
      </c>
      <c r="Z288" s="408">
        <v>27</v>
      </c>
      <c r="AA288" s="408">
        <v>8</v>
      </c>
      <c r="AB288" s="408">
        <v>22</v>
      </c>
      <c r="AC288" s="408">
        <v>62</v>
      </c>
      <c r="AD288" s="408">
        <v>174</v>
      </c>
    </row>
    <row r="289" spans="1:30">
      <c r="A289">
        <v>236</v>
      </c>
      <c r="B289" s="1" t="s">
        <v>183</v>
      </c>
      <c r="C289" s="1" t="s">
        <v>20</v>
      </c>
      <c r="D289" s="408">
        <v>34</v>
      </c>
      <c r="E289" s="5" t="s">
        <v>21</v>
      </c>
      <c r="F289" s="408">
        <v>58</v>
      </c>
      <c r="G289" s="408">
        <v>56</v>
      </c>
      <c r="H289" s="408">
        <v>1483</v>
      </c>
      <c r="I289" s="408">
        <v>178</v>
      </c>
      <c r="J289" s="408">
        <v>419</v>
      </c>
      <c r="K289" s="408">
        <v>0.42499999999999999</v>
      </c>
      <c r="L289" s="408">
        <v>24</v>
      </c>
      <c r="M289" s="408">
        <v>81</v>
      </c>
      <c r="N289" s="408">
        <v>0.29599999999999999</v>
      </c>
      <c r="O289" s="408">
        <v>154</v>
      </c>
      <c r="P289" s="408">
        <v>338</v>
      </c>
      <c r="Q289" s="408">
        <v>0.45600000000000002</v>
      </c>
      <c r="R289" s="408">
        <v>0.45300000000000001</v>
      </c>
      <c r="S289" s="408">
        <v>58</v>
      </c>
      <c r="T289" s="408">
        <v>70</v>
      </c>
      <c r="U289" s="408">
        <v>0.82899999999999996</v>
      </c>
      <c r="V289" s="408">
        <v>20</v>
      </c>
      <c r="W289" s="408">
        <v>159</v>
      </c>
      <c r="X289" s="408">
        <v>179</v>
      </c>
      <c r="Y289" s="408">
        <v>333</v>
      </c>
      <c r="Z289" s="408">
        <v>35</v>
      </c>
      <c r="AA289" s="408">
        <v>4</v>
      </c>
      <c r="AB289" s="408">
        <v>112</v>
      </c>
      <c r="AC289" s="408">
        <v>95</v>
      </c>
      <c r="AD289" s="408">
        <v>438</v>
      </c>
    </row>
    <row r="290" spans="1:30">
      <c r="A290">
        <v>237</v>
      </c>
      <c r="B290" s="1" t="s">
        <v>623</v>
      </c>
      <c r="C290" s="1" t="s">
        <v>20</v>
      </c>
      <c r="D290" s="408">
        <v>23</v>
      </c>
      <c r="E290" s="5" t="s">
        <v>92</v>
      </c>
      <c r="F290" s="408">
        <v>12</v>
      </c>
      <c r="G290" s="408">
        <v>0</v>
      </c>
      <c r="H290" s="408">
        <v>63</v>
      </c>
      <c r="I290" s="408">
        <v>4</v>
      </c>
      <c r="J290" s="408">
        <v>14</v>
      </c>
      <c r="K290" s="408">
        <v>0.28599999999999998</v>
      </c>
      <c r="L290" s="408">
        <v>0</v>
      </c>
      <c r="M290" s="408">
        <v>6</v>
      </c>
      <c r="N290" s="408">
        <v>0</v>
      </c>
      <c r="O290" s="408">
        <v>4</v>
      </c>
      <c r="P290" s="408">
        <v>8</v>
      </c>
      <c r="Q290" s="408">
        <v>0.5</v>
      </c>
      <c r="R290" s="408">
        <v>0.28599999999999998</v>
      </c>
      <c r="S290" s="408">
        <v>0</v>
      </c>
      <c r="T290" s="408">
        <v>0</v>
      </c>
      <c r="U290" s="408"/>
      <c r="V290" s="408">
        <v>4</v>
      </c>
      <c r="W290" s="408">
        <v>7</v>
      </c>
      <c r="X290" s="408">
        <v>11</v>
      </c>
      <c r="Y290" s="408">
        <v>5</v>
      </c>
      <c r="Z290" s="408">
        <v>4</v>
      </c>
      <c r="AA290" s="408">
        <v>1</v>
      </c>
      <c r="AB290" s="408">
        <v>10</v>
      </c>
      <c r="AC290" s="408">
        <v>6</v>
      </c>
      <c r="AD290" s="408">
        <v>8</v>
      </c>
    </row>
    <row r="291" spans="1:30">
      <c r="A291">
        <v>238</v>
      </c>
      <c r="B291" s="1" t="s">
        <v>459</v>
      </c>
      <c r="C291" s="1" t="s">
        <v>46</v>
      </c>
      <c r="D291" s="408">
        <v>20</v>
      </c>
      <c r="E291" s="5" t="s">
        <v>313</v>
      </c>
      <c r="F291" s="408">
        <v>68</v>
      </c>
      <c r="G291" s="408">
        <v>26</v>
      </c>
      <c r="H291" s="408">
        <v>1640</v>
      </c>
      <c r="I291" s="408">
        <v>313</v>
      </c>
      <c r="J291" s="408">
        <v>750</v>
      </c>
      <c r="K291" s="408">
        <v>0.41699999999999998</v>
      </c>
      <c r="L291" s="408">
        <v>51</v>
      </c>
      <c r="M291" s="408">
        <v>188</v>
      </c>
      <c r="N291" s="408">
        <v>0.27100000000000002</v>
      </c>
      <c r="O291" s="408">
        <v>262</v>
      </c>
      <c r="P291" s="408">
        <v>562</v>
      </c>
      <c r="Q291" s="408">
        <v>0.46600000000000003</v>
      </c>
      <c r="R291" s="408">
        <v>0.45100000000000001</v>
      </c>
      <c r="S291" s="408">
        <v>145</v>
      </c>
      <c r="T291" s="408">
        <v>230</v>
      </c>
      <c r="U291" s="408">
        <v>0.63</v>
      </c>
      <c r="V291" s="408">
        <v>81</v>
      </c>
      <c r="W291" s="408">
        <v>218</v>
      </c>
      <c r="X291" s="408">
        <v>299</v>
      </c>
      <c r="Y291" s="408">
        <v>92</v>
      </c>
      <c r="Z291" s="408">
        <v>62</v>
      </c>
      <c r="AA291" s="408">
        <v>30</v>
      </c>
      <c r="AB291" s="408">
        <v>120</v>
      </c>
      <c r="AC291" s="408">
        <v>187</v>
      </c>
      <c r="AD291" s="408">
        <v>822</v>
      </c>
    </row>
    <row r="292" spans="1:30">
      <c r="A292">
        <v>239</v>
      </c>
      <c r="B292" s="1" t="s">
        <v>452</v>
      </c>
      <c r="C292" s="1" t="s">
        <v>46</v>
      </c>
      <c r="D292" s="408">
        <v>22</v>
      </c>
      <c r="E292" s="5" t="s">
        <v>100</v>
      </c>
      <c r="F292" s="408">
        <v>58</v>
      </c>
      <c r="G292" s="408">
        <v>31</v>
      </c>
      <c r="H292" s="408">
        <v>1219</v>
      </c>
      <c r="I292" s="408">
        <v>155</v>
      </c>
      <c r="J292" s="408">
        <v>344</v>
      </c>
      <c r="K292" s="408">
        <v>0.45100000000000001</v>
      </c>
      <c r="L292" s="408">
        <v>44</v>
      </c>
      <c r="M292" s="408">
        <v>145</v>
      </c>
      <c r="N292" s="408">
        <v>0.30299999999999999</v>
      </c>
      <c r="O292" s="408">
        <v>111</v>
      </c>
      <c r="P292" s="408">
        <v>199</v>
      </c>
      <c r="Q292" s="408">
        <v>0.55800000000000005</v>
      </c>
      <c r="R292" s="408">
        <v>0.51500000000000001</v>
      </c>
      <c r="S292" s="408">
        <v>22</v>
      </c>
      <c r="T292" s="408">
        <v>32</v>
      </c>
      <c r="U292" s="408">
        <v>0.68799999999999994</v>
      </c>
      <c r="V292" s="408">
        <v>24</v>
      </c>
      <c r="W292" s="408">
        <v>132</v>
      </c>
      <c r="X292" s="408">
        <v>156</v>
      </c>
      <c r="Y292" s="408">
        <v>59</v>
      </c>
      <c r="Z292" s="408">
        <v>25</v>
      </c>
      <c r="AA292" s="408">
        <v>10</v>
      </c>
      <c r="AB292" s="408">
        <v>33</v>
      </c>
      <c r="AC292" s="408">
        <v>61</v>
      </c>
      <c r="AD292" s="408">
        <v>376</v>
      </c>
    </row>
    <row r="293" spans="1:30">
      <c r="A293">
        <v>240</v>
      </c>
      <c r="B293" s="1" t="s">
        <v>394</v>
      </c>
      <c r="C293" s="1" t="s">
        <v>20</v>
      </c>
      <c r="D293" s="408">
        <v>27</v>
      </c>
      <c r="E293" s="5" t="s">
        <v>157</v>
      </c>
      <c r="F293" s="408">
        <v>33</v>
      </c>
      <c r="G293" s="408">
        <v>33</v>
      </c>
      <c r="H293" s="408">
        <v>894</v>
      </c>
      <c r="I293" s="408">
        <v>181</v>
      </c>
      <c r="J293" s="408">
        <v>406</v>
      </c>
      <c r="K293" s="408">
        <v>0.44600000000000001</v>
      </c>
      <c r="L293" s="408">
        <v>42</v>
      </c>
      <c r="M293" s="408">
        <v>124</v>
      </c>
      <c r="N293" s="408">
        <v>0.33900000000000002</v>
      </c>
      <c r="O293" s="408">
        <v>139</v>
      </c>
      <c r="P293" s="408">
        <v>282</v>
      </c>
      <c r="Q293" s="408">
        <v>0.49299999999999999</v>
      </c>
      <c r="R293" s="408">
        <v>0.498</v>
      </c>
      <c r="S293" s="408">
        <v>79</v>
      </c>
      <c r="T293" s="408">
        <v>94</v>
      </c>
      <c r="U293" s="408">
        <v>0.84</v>
      </c>
      <c r="V293" s="408">
        <v>22</v>
      </c>
      <c r="W293" s="408">
        <v>71</v>
      </c>
      <c r="X293" s="408">
        <v>93</v>
      </c>
      <c r="Y293" s="408">
        <v>180</v>
      </c>
      <c r="Z293" s="408">
        <v>21</v>
      </c>
      <c r="AA293" s="408">
        <v>3</v>
      </c>
      <c r="AB293" s="408">
        <v>82</v>
      </c>
      <c r="AC293" s="408">
        <v>69</v>
      </c>
      <c r="AD293" s="408">
        <v>483</v>
      </c>
    </row>
    <row r="294" spans="1:30">
      <c r="A294">
        <v>241</v>
      </c>
      <c r="B294" s="1" t="s">
        <v>354</v>
      </c>
      <c r="C294" s="1" t="s">
        <v>38</v>
      </c>
      <c r="D294" s="408">
        <v>33</v>
      </c>
      <c r="E294" s="5" t="s">
        <v>102</v>
      </c>
      <c r="F294" s="408">
        <v>70</v>
      </c>
      <c r="G294" s="408">
        <v>70</v>
      </c>
      <c r="H294" s="408">
        <v>2598</v>
      </c>
      <c r="I294" s="408">
        <v>735</v>
      </c>
      <c r="J294" s="408">
        <v>1349</v>
      </c>
      <c r="K294" s="408">
        <v>0.54500000000000004</v>
      </c>
      <c r="L294" s="408">
        <v>128</v>
      </c>
      <c r="M294" s="408">
        <v>347</v>
      </c>
      <c r="N294" s="408">
        <v>0.36899999999999999</v>
      </c>
      <c r="O294" s="408">
        <v>607</v>
      </c>
      <c r="P294" s="408">
        <v>1002</v>
      </c>
      <c r="Q294" s="408">
        <v>0.60599999999999998</v>
      </c>
      <c r="R294" s="408">
        <v>0.59199999999999997</v>
      </c>
      <c r="S294" s="408">
        <v>312</v>
      </c>
      <c r="T294" s="408">
        <v>433</v>
      </c>
      <c r="U294" s="408">
        <v>0.72099999999999997</v>
      </c>
      <c r="V294" s="408">
        <v>83</v>
      </c>
      <c r="W294" s="408">
        <v>524</v>
      </c>
      <c r="X294" s="408">
        <v>607</v>
      </c>
      <c r="Y294" s="408">
        <v>631</v>
      </c>
      <c r="Z294" s="408">
        <v>107</v>
      </c>
      <c r="AA294" s="408">
        <v>69</v>
      </c>
      <c r="AB294" s="408">
        <v>302</v>
      </c>
      <c r="AC294" s="408">
        <v>118</v>
      </c>
      <c r="AD294" s="408">
        <v>1910</v>
      </c>
    </row>
    <row r="295" spans="1:30">
      <c r="A295">
        <v>242</v>
      </c>
      <c r="B295" s="1" t="s">
        <v>434</v>
      </c>
      <c r="C295" s="1" t="s">
        <v>20</v>
      </c>
      <c r="D295" s="408">
        <v>27</v>
      </c>
      <c r="E295" s="5" t="s">
        <v>357</v>
      </c>
      <c r="F295" s="408">
        <v>36</v>
      </c>
      <c r="G295" s="408">
        <v>10</v>
      </c>
      <c r="H295" s="408">
        <v>687</v>
      </c>
      <c r="I295" s="408">
        <v>123</v>
      </c>
      <c r="J295" s="408">
        <v>321</v>
      </c>
      <c r="K295" s="408">
        <v>0.38300000000000001</v>
      </c>
      <c r="L295" s="408">
        <v>26</v>
      </c>
      <c r="M295" s="408">
        <v>98</v>
      </c>
      <c r="N295" s="408">
        <v>0.26500000000000001</v>
      </c>
      <c r="O295" s="408">
        <v>97</v>
      </c>
      <c r="P295" s="408">
        <v>223</v>
      </c>
      <c r="Q295" s="408">
        <v>0.435</v>
      </c>
      <c r="R295" s="408">
        <v>0.42399999999999999</v>
      </c>
      <c r="S295" s="408">
        <v>64</v>
      </c>
      <c r="T295" s="408">
        <v>84</v>
      </c>
      <c r="U295" s="408">
        <v>0.76200000000000001</v>
      </c>
      <c r="V295" s="408">
        <v>13</v>
      </c>
      <c r="W295" s="408">
        <v>77</v>
      </c>
      <c r="X295" s="408">
        <v>90</v>
      </c>
      <c r="Y295" s="408">
        <v>126</v>
      </c>
      <c r="Z295" s="408">
        <v>28</v>
      </c>
      <c r="AA295" s="408">
        <v>7</v>
      </c>
      <c r="AB295" s="408">
        <v>49</v>
      </c>
      <c r="AC295" s="408">
        <v>48</v>
      </c>
      <c r="AD295" s="408">
        <v>336</v>
      </c>
    </row>
    <row r="296" spans="1:30">
      <c r="A296">
        <v>242</v>
      </c>
      <c r="B296" s="1" t="s">
        <v>434</v>
      </c>
      <c r="C296" s="1" t="s">
        <v>20</v>
      </c>
      <c r="D296" s="408">
        <v>27</v>
      </c>
      <c r="E296" s="5" t="s">
        <v>313</v>
      </c>
      <c r="F296" s="408">
        <v>32</v>
      </c>
      <c r="G296" s="408">
        <v>10</v>
      </c>
      <c r="H296" s="408">
        <v>669</v>
      </c>
      <c r="I296" s="408">
        <v>121</v>
      </c>
      <c r="J296" s="408">
        <v>312</v>
      </c>
      <c r="K296" s="408">
        <v>0.38800000000000001</v>
      </c>
      <c r="L296" s="408">
        <v>26</v>
      </c>
      <c r="M296" s="408">
        <v>97</v>
      </c>
      <c r="N296" s="408">
        <v>0.26800000000000002</v>
      </c>
      <c r="O296" s="408">
        <v>95</v>
      </c>
      <c r="P296" s="408">
        <v>215</v>
      </c>
      <c r="Q296" s="408">
        <v>0.442</v>
      </c>
      <c r="R296" s="408">
        <v>0.42899999999999999</v>
      </c>
      <c r="S296" s="408">
        <v>64</v>
      </c>
      <c r="T296" s="408">
        <v>84</v>
      </c>
      <c r="U296" s="408">
        <v>0.76200000000000001</v>
      </c>
      <c r="V296" s="408">
        <v>12</v>
      </c>
      <c r="W296" s="408">
        <v>77</v>
      </c>
      <c r="X296" s="408">
        <v>89</v>
      </c>
      <c r="Y296" s="408">
        <v>120</v>
      </c>
      <c r="Z296" s="408">
        <v>27</v>
      </c>
      <c r="AA296" s="408">
        <v>7</v>
      </c>
      <c r="AB296" s="408">
        <v>48</v>
      </c>
      <c r="AC296" s="408">
        <v>45</v>
      </c>
      <c r="AD296" s="408">
        <v>332</v>
      </c>
    </row>
    <row r="297" spans="1:30">
      <c r="A297">
        <v>242</v>
      </c>
      <c r="B297" s="1" t="s">
        <v>434</v>
      </c>
      <c r="C297" s="1" t="s">
        <v>20</v>
      </c>
      <c r="D297" s="408">
        <v>27</v>
      </c>
      <c r="E297" s="5" t="s">
        <v>112</v>
      </c>
      <c r="F297" s="408">
        <v>4</v>
      </c>
      <c r="G297" s="408">
        <v>0</v>
      </c>
      <c r="H297" s="408">
        <v>18</v>
      </c>
      <c r="I297" s="408">
        <v>2</v>
      </c>
      <c r="J297" s="408">
        <v>9</v>
      </c>
      <c r="K297" s="408">
        <v>0.222</v>
      </c>
      <c r="L297" s="408">
        <v>0</v>
      </c>
      <c r="M297" s="408">
        <v>1</v>
      </c>
      <c r="N297" s="408">
        <v>0</v>
      </c>
      <c r="O297" s="408">
        <v>2</v>
      </c>
      <c r="P297" s="408">
        <v>8</v>
      </c>
      <c r="Q297" s="408">
        <v>0.25</v>
      </c>
      <c r="R297" s="408">
        <v>0.222</v>
      </c>
      <c r="S297" s="408">
        <v>0</v>
      </c>
      <c r="T297" s="408">
        <v>0</v>
      </c>
      <c r="U297" s="408"/>
      <c r="V297" s="408">
        <v>1</v>
      </c>
      <c r="W297" s="408">
        <v>0</v>
      </c>
      <c r="X297" s="408">
        <v>1</v>
      </c>
      <c r="Y297" s="408">
        <v>6</v>
      </c>
      <c r="Z297" s="408">
        <v>1</v>
      </c>
      <c r="AA297" s="408">
        <v>0</v>
      </c>
      <c r="AB297" s="408">
        <v>1</v>
      </c>
      <c r="AC297" s="408">
        <v>3</v>
      </c>
      <c r="AD297" s="408">
        <v>4</v>
      </c>
    </row>
    <row r="298" spans="1:30">
      <c r="A298">
        <v>243</v>
      </c>
      <c r="B298" s="1" t="s">
        <v>566</v>
      </c>
      <c r="C298" s="1" t="s">
        <v>83</v>
      </c>
      <c r="D298" s="408">
        <v>33</v>
      </c>
      <c r="E298" s="5" t="s">
        <v>30</v>
      </c>
      <c r="F298" s="408">
        <v>33</v>
      </c>
      <c r="G298" s="408">
        <v>1</v>
      </c>
      <c r="H298" s="408">
        <v>453</v>
      </c>
      <c r="I298" s="408">
        <v>103</v>
      </c>
      <c r="J298" s="408">
        <v>193</v>
      </c>
      <c r="K298" s="408">
        <v>0.53400000000000003</v>
      </c>
      <c r="L298" s="408">
        <v>0</v>
      </c>
      <c r="M298" s="408">
        <v>1</v>
      </c>
      <c r="N298" s="408">
        <v>0</v>
      </c>
      <c r="O298" s="408">
        <v>103</v>
      </c>
      <c r="P298" s="408">
        <v>192</v>
      </c>
      <c r="Q298" s="408">
        <v>0.53600000000000003</v>
      </c>
      <c r="R298" s="408">
        <v>0.53400000000000003</v>
      </c>
      <c r="S298" s="408">
        <v>24</v>
      </c>
      <c r="T298" s="408">
        <v>30</v>
      </c>
      <c r="U298" s="408">
        <v>0.8</v>
      </c>
      <c r="V298" s="408">
        <v>27</v>
      </c>
      <c r="W298" s="408">
        <v>103</v>
      </c>
      <c r="X298" s="408">
        <v>130</v>
      </c>
      <c r="Y298" s="408">
        <v>28</v>
      </c>
      <c r="Z298" s="408">
        <v>16</v>
      </c>
      <c r="AA298" s="408">
        <v>22</v>
      </c>
      <c r="AB298" s="408">
        <v>19</v>
      </c>
      <c r="AC298" s="408">
        <v>62</v>
      </c>
      <c r="AD298" s="408">
        <v>230</v>
      </c>
    </row>
    <row r="299" spans="1:30">
      <c r="A299">
        <v>244</v>
      </c>
      <c r="B299" s="1" t="s">
        <v>62</v>
      </c>
      <c r="C299" s="1" t="s">
        <v>46</v>
      </c>
      <c r="D299" s="408">
        <v>37</v>
      </c>
      <c r="E299" s="5" t="s">
        <v>61</v>
      </c>
      <c r="F299" s="408">
        <v>19</v>
      </c>
      <c r="G299" s="408">
        <v>0</v>
      </c>
      <c r="H299" s="408">
        <v>159</v>
      </c>
      <c r="I299" s="408">
        <v>12</v>
      </c>
      <c r="J299" s="408">
        <v>27</v>
      </c>
      <c r="K299" s="408">
        <v>0.44400000000000001</v>
      </c>
      <c r="L299" s="408">
        <v>2</v>
      </c>
      <c r="M299" s="408">
        <v>7</v>
      </c>
      <c r="N299" s="408">
        <v>0.28599999999999998</v>
      </c>
      <c r="O299" s="408">
        <v>10</v>
      </c>
      <c r="P299" s="408">
        <v>20</v>
      </c>
      <c r="Q299" s="408">
        <v>0.5</v>
      </c>
      <c r="R299" s="408">
        <v>0.48099999999999998</v>
      </c>
      <c r="S299" s="408">
        <v>4</v>
      </c>
      <c r="T299" s="408">
        <v>7</v>
      </c>
      <c r="U299" s="408">
        <v>0.57099999999999995</v>
      </c>
      <c r="V299" s="408">
        <v>2</v>
      </c>
      <c r="W299" s="408">
        <v>14</v>
      </c>
      <c r="X299" s="408">
        <v>16</v>
      </c>
      <c r="Y299" s="408">
        <v>13</v>
      </c>
      <c r="Z299" s="408">
        <v>2</v>
      </c>
      <c r="AA299" s="408">
        <v>1</v>
      </c>
      <c r="AB299" s="408">
        <v>5</v>
      </c>
      <c r="AC299" s="408">
        <v>11</v>
      </c>
      <c r="AD299" s="408">
        <v>30</v>
      </c>
    </row>
    <row r="300" spans="1:30">
      <c r="A300">
        <v>245</v>
      </c>
      <c r="B300" s="1" t="s">
        <v>1201</v>
      </c>
      <c r="C300" s="1" t="s">
        <v>20</v>
      </c>
      <c r="D300" s="408">
        <v>28</v>
      </c>
      <c r="E300" s="5" t="s">
        <v>41</v>
      </c>
      <c r="F300" s="408">
        <v>4</v>
      </c>
      <c r="G300" s="408">
        <v>0</v>
      </c>
      <c r="H300" s="408">
        <v>63</v>
      </c>
      <c r="I300" s="408">
        <v>9</v>
      </c>
      <c r="J300" s="408">
        <v>19</v>
      </c>
      <c r="K300" s="408">
        <v>0.47399999999999998</v>
      </c>
      <c r="L300" s="408">
        <v>3</v>
      </c>
      <c r="M300" s="408">
        <v>9</v>
      </c>
      <c r="N300" s="408">
        <v>0.33300000000000002</v>
      </c>
      <c r="O300" s="408">
        <v>6</v>
      </c>
      <c r="P300" s="408">
        <v>10</v>
      </c>
      <c r="Q300" s="408">
        <v>0.6</v>
      </c>
      <c r="R300" s="408">
        <v>0.55300000000000005</v>
      </c>
      <c r="S300" s="408">
        <v>3</v>
      </c>
      <c r="T300" s="408">
        <v>3</v>
      </c>
      <c r="U300" s="408">
        <v>1</v>
      </c>
      <c r="V300" s="408">
        <v>3</v>
      </c>
      <c r="W300" s="408">
        <v>8</v>
      </c>
      <c r="X300" s="408">
        <v>11</v>
      </c>
      <c r="Y300" s="408">
        <v>22</v>
      </c>
      <c r="Z300" s="408">
        <v>0</v>
      </c>
      <c r="AA300" s="408">
        <v>3</v>
      </c>
      <c r="AB300" s="408">
        <v>4</v>
      </c>
      <c r="AC300" s="408">
        <v>4</v>
      </c>
      <c r="AD300" s="408">
        <v>24</v>
      </c>
    </row>
    <row r="301" spans="1:30">
      <c r="A301">
        <v>246</v>
      </c>
      <c r="B301" s="1" t="s">
        <v>466</v>
      </c>
      <c r="C301" s="1" t="s">
        <v>38</v>
      </c>
      <c r="D301" s="408">
        <v>30</v>
      </c>
      <c r="E301" s="5" t="s">
        <v>305</v>
      </c>
      <c r="F301" s="408">
        <v>62</v>
      </c>
      <c r="G301" s="408">
        <v>18</v>
      </c>
      <c r="H301" s="408">
        <v>976</v>
      </c>
      <c r="I301" s="408">
        <v>133</v>
      </c>
      <c r="J301" s="408">
        <v>291</v>
      </c>
      <c r="K301" s="408">
        <v>0.45700000000000002</v>
      </c>
      <c r="L301" s="408">
        <v>53</v>
      </c>
      <c r="M301" s="408">
        <v>131</v>
      </c>
      <c r="N301" s="408">
        <v>0.40500000000000003</v>
      </c>
      <c r="O301" s="408">
        <v>80</v>
      </c>
      <c r="P301" s="408">
        <v>160</v>
      </c>
      <c r="Q301" s="408">
        <v>0.5</v>
      </c>
      <c r="R301" s="408">
        <v>0.54800000000000004</v>
      </c>
      <c r="S301" s="408">
        <v>42</v>
      </c>
      <c r="T301" s="408">
        <v>53</v>
      </c>
      <c r="U301" s="408">
        <v>0.79200000000000004</v>
      </c>
      <c r="V301" s="408">
        <v>47</v>
      </c>
      <c r="W301" s="408">
        <v>167</v>
      </c>
      <c r="X301" s="408">
        <v>214</v>
      </c>
      <c r="Y301" s="408">
        <v>37</v>
      </c>
      <c r="Z301" s="408">
        <v>23</v>
      </c>
      <c r="AA301" s="408">
        <v>10</v>
      </c>
      <c r="AB301" s="408">
        <v>23</v>
      </c>
      <c r="AC301" s="408">
        <v>114</v>
      </c>
      <c r="AD301" s="408">
        <v>361</v>
      </c>
    </row>
    <row r="302" spans="1:30">
      <c r="A302">
        <v>247</v>
      </c>
      <c r="B302" s="1" t="s">
        <v>119</v>
      </c>
      <c r="C302" s="1" t="s">
        <v>83</v>
      </c>
      <c r="D302" s="408">
        <v>30</v>
      </c>
      <c r="E302" s="5" t="s">
        <v>118</v>
      </c>
      <c r="F302" s="408">
        <v>62</v>
      </c>
      <c r="G302" s="408">
        <v>10</v>
      </c>
      <c r="H302" s="408">
        <v>943</v>
      </c>
      <c r="I302" s="408">
        <v>112</v>
      </c>
      <c r="J302" s="408">
        <v>206</v>
      </c>
      <c r="K302" s="408">
        <v>0.54400000000000004</v>
      </c>
      <c r="L302" s="408">
        <v>8</v>
      </c>
      <c r="M302" s="408">
        <v>24</v>
      </c>
      <c r="N302" s="408">
        <v>0.33300000000000002</v>
      </c>
      <c r="O302" s="408">
        <v>104</v>
      </c>
      <c r="P302" s="408">
        <v>182</v>
      </c>
      <c r="Q302" s="408">
        <v>0.57099999999999995</v>
      </c>
      <c r="R302" s="408">
        <v>0.56299999999999994</v>
      </c>
      <c r="S302" s="408">
        <v>45</v>
      </c>
      <c r="T302" s="408">
        <v>77</v>
      </c>
      <c r="U302" s="408">
        <v>0.58399999999999996</v>
      </c>
      <c r="V302" s="408">
        <v>106</v>
      </c>
      <c r="W302" s="408">
        <v>162</v>
      </c>
      <c r="X302" s="408">
        <v>268</v>
      </c>
      <c r="Y302" s="408">
        <v>83</v>
      </c>
      <c r="Z302" s="408">
        <v>38</v>
      </c>
      <c r="AA302" s="408">
        <v>38</v>
      </c>
      <c r="AB302" s="408">
        <v>48</v>
      </c>
      <c r="AC302" s="408">
        <v>162</v>
      </c>
      <c r="AD302" s="408">
        <v>277</v>
      </c>
    </row>
    <row r="303" spans="1:30">
      <c r="A303">
        <v>248</v>
      </c>
      <c r="B303" s="1" t="s">
        <v>65</v>
      </c>
      <c r="C303" s="1" t="s">
        <v>38</v>
      </c>
      <c r="D303" s="408">
        <v>23</v>
      </c>
      <c r="E303" s="5" t="s">
        <v>357</v>
      </c>
      <c r="F303" s="408">
        <v>16</v>
      </c>
      <c r="G303" s="408">
        <v>0</v>
      </c>
      <c r="H303" s="408">
        <v>73</v>
      </c>
      <c r="I303" s="408">
        <v>15</v>
      </c>
      <c r="J303" s="408">
        <v>32</v>
      </c>
      <c r="K303" s="408">
        <v>0.46899999999999997</v>
      </c>
      <c r="L303" s="408">
        <v>0</v>
      </c>
      <c r="M303" s="408">
        <v>1</v>
      </c>
      <c r="N303" s="408">
        <v>0</v>
      </c>
      <c r="O303" s="408">
        <v>15</v>
      </c>
      <c r="P303" s="408">
        <v>31</v>
      </c>
      <c r="Q303" s="408">
        <v>0.48399999999999999</v>
      </c>
      <c r="R303" s="408">
        <v>0.46899999999999997</v>
      </c>
      <c r="S303" s="408">
        <v>2</v>
      </c>
      <c r="T303" s="408">
        <v>2</v>
      </c>
      <c r="U303" s="408">
        <v>1</v>
      </c>
      <c r="V303" s="408">
        <v>7</v>
      </c>
      <c r="W303" s="408">
        <v>18</v>
      </c>
      <c r="X303" s="408">
        <v>25</v>
      </c>
      <c r="Y303" s="408">
        <v>1</v>
      </c>
      <c r="Z303" s="408">
        <v>8</v>
      </c>
      <c r="AA303" s="408">
        <v>3</v>
      </c>
      <c r="AB303" s="408">
        <v>5</v>
      </c>
      <c r="AC303" s="408">
        <v>13</v>
      </c>
      <c r="AD303" s="408">
        <v>32</v>
      </c>
    </row>
    <row r="304" spans="1:30">
      <c r="A304">
        <v>248</v>
      </c>
      <c r="B304" s="1" t="s">
        <v>65</v>
      </c>
      <c r="C304" s="1" t="s">
        <v>38</v>
      </c>
      <c r="D304" s="408">
        <v>23</v>
      </c>
      <c r="E304" s="5" t="s">
        <v>64</v>
      </c>
      <c r="F304" s="408">
        <v>9</v>
      </c>
      <c r="G304" s="408">
        <v>0</v>
      </c>
      <c r="H304" s="408">
        <v>38</v>
      </c>
      <c r="I304" s="408">
        <v>7</v>
      </c>
      <c r="J304" s="408">
        <v>11</v>
      </c>
      <c r="K304" s="408">
        <v>0.63600000000000001</v>
      </c>
      <c r="L304" s="408">
        <v>0</v>
      </c>
      <c r="M304" s="408">
        <v>1</v>
      </c>
      <c r="N304" s="408">
        <v>0</v>
      </c>
      <c r="O304" s="408">
        <v>7</v>
      </c>
      <c r="P304" s="408">
        <v>10</v>
      </c>
      <c r="Q304" s="408">
        <v>0.7</v>
      </c>
      <c r="R304" s="408">
        <v>0.63600000000000001</v>
      </c>
      <c r="S304" s="408">
        <v>2</v>
      </c>
      <c r="T304" s="408">
        <v>2</v>
      </c>
      <c r="U304" s="408">
        <v>1</v>
      </c>
      <c r="V304" s="408">
        <v>2</v>
      </c>
      <c r="W304" s="408">
        <v>11</v>
      </c>
      <c r="X304" s="408">
        <v>13</v>
      </c>
      <c r="Y304" s="408">
        <v>1</v>
      </c>
      <c r="Z304" s="408">
        <v>6</v>
      </c>
      <c r="AA304" s="408">
        <v>2</v>
      </c>
      <c r="AB304" s="408">
        <v>4</v>
      </c>
      <c r="AC304" s="408">
        <v>7</v>
      </c>
      <c r="AD304" s="408">
        <v>16</v>
      </c>
    </row>
    <row r="305" spans="1:30">
      <c r="A305">
        <v>248</v>
      </c>
      <c r="B305" s="1" t="s">
        <v>65</v>
      </c>
      <c r="C305" s="1" t="s">
        <v>38</v>
      </c>
      <c r="D305" s="408">
        <v>23</v>
      </c>
      <c r="E305" s="5" t="s">
        <v>128</v>
      </c>
      <c r="F305" s="408">
        <v>7</v>
      </c>
      <c r="G305" s="408">
        <v>0</v>
      </c>
      <c r="H305" s="408">
        <v>35</v>
      </c>
      <c r="I305" s="408">
        <v>8</v>
      </c>
      <c r="J305" s="408">
        <v>21</v>
      </c>
      <c r="K305" s="408">
        <v>0.38100000000000001</v>
      </c>
      <c r="L305" s="408">
        <v>0</v>
      </c>
      <c r="M305" s="408">
        <v>0</v>
      </c>
      <c r="N305" s="408"/>
      <c r="O305" s="408">
        <v>8</v>
      </c>
      <c r="P305" s="408">
        <v>21</v>
      </c>
      <c r="Q305" s="408">
        <v>0.38100000000000001</v>
      </c>
      <c r="R305" s="408">
        <v>0.38100000000000001</v>
      </c>
      <c r="S305" s="408">
        <v>0</v>
      </c>
      <c r="T305" s="408">
        <v>0</v>
      </c>
      <c r="U305" s="408"/>
      <c r="V305" s="408">
        <v>5</v>
      </c>
      <c r="W305" s="408">
        <v>7</v>
      </c>
      <c r="X305" s="408">
        <v>12</v>
      </c>
      <c r="Y305" s="408">
        <v>0</v>
      </c>
      <c r="Z305" s="408">
        <v>2</v>
      </c>
      <c r="AA305" s="408">
        <v>1</v>
      </c>
      <c r="AB305" s="408">
        <v>1</v>
      </c>
      <c r="AC305" s="408">
        <v>6</v>
      </c>
      <c r="AD305" s="408">
        <v>16</v>
      </c>
    </row>
    <row r="306" spans="1:30">
      <c r="A306">
        <v>249</v>
      </c>
      <c r="B306" s="1" t="s">
        <v>581</v>
      </c>
      <c r="C306" s="1" t="s">
        <v>83</v>
      </c>
      <c r="D306" s="408">
        <v>22</v>
      </c>
      <c r="E306" s="5" t="s">
        <v>58</v>
      </c>
      <c r="F306" s="408">
        <v>29</v>
      </c>
      <c r="G306" s="408">
        <v>6</v>
      </c>
      <c r="H306" s="408">
        <v>159</v>
      </c>
      <c r="I306" s="408">
        <v>22</v>
      </c>
      <c r="J306" s="408">
        <v>39</v>
      </c>
      <c r="K306" s="408">
        <v>0.56399999999999995</v>
      </c>
      <c r="L306" s="408">
        <v>0</v>
      </c>
      <c r="M306" s="408">
        <v>0</v>
      </c>
      <c r="N306" s="408"/>
      <c r="O306" s="408">
        <v>22</v>
      </c>
      <c r="P306" s="408">
        <v>39</v>
      </c>
      <c r="Q306" s="408">
        <v>0.56399999999999995</v>
      </c>
      <c r="R306" s="408">
        <v>0.56399999999999995</v>
      </c>
      <c r="S306" s="408">
        <v>11</v>
      </c>
      <c r="T306" s="408">
        <v>20</v>
      </c>
      <c r="U306" s="408">
        <v>0.55000000000000004</v>
      </c>
      <c r="V306" s="408">
        <v>16</v>
      </c>
      <c r="W306" s="408">
        <v>18</v>
      </c>
      <c r="X306" s="408">
        <v>34</v>
      </c>
      <c r="Y306" s="408">
        <v>8</v>
      </c>
      <c r="Z306" s="408">
        <v>6</v>
      </c>
      <c r="AA306" s="408">
        <v>8</v>
      </c>
      <c r="AB306" s="408">
        <v>3</v>
      </c>
      <c r="AC306" s="408">
        <v>27</v>
      </c>
      <c r="AD306" s="408">
        <v>55</v>
      </c>
    </row>
    <row r="307" spans="1:30">
      <c r="A307">
        <v>250</v>
      </c>
      <c r="B307" s="1" t="s">
        <v>444</v>
      </c>
      <c r="C307" s="1" t="s">
        <v>38</v>
      </c>
      <c r="D307" s="408">
        <v>30</v>
      </c>
      <c r="E307" s="5" t="s">
        <v>50</v>
      </c>
      <c r="F307" s="408">
        <v>63</v>
      </c>
      <c r="G307" s="408">
        <v>31</v>
      </c>
      <c r="H307" s="408">
        <v>1659</v>
      </c>
      <c r="I307" s="408">
        <v>264</v>
      </c>
      <c r="J307" s="408">
        <v>527</v>
      </c>
      <c r="K307" s="408">
        <v>0.501</v>
      </c>
      <c r="L307" s="408">
        <v>52</v>
      </c>
      <c r="M307" s="408">
        <v>167</v>
      </c>
      <c r="N307" s="408">
        <v>0.311</v>
      </c>
      <c r="O307" s="408">
        <v>212</v>
      </c>
      <c r="P307" s="408">
        <v>360</v>
      </c>
      <c r="Q307" s="408">
        <v>0.58899999999999997</v>
      </c>
      <c r="R307" s="408">
        <v>0.55000000000000004</v>
      </c>
      <c r="S307" s="408">
        <v>88</v>
      </c>
      <c r="T307" s="408">
        <v>130</v>
      </c>
      <c r="U307" s="408">
        <v>0.67700000000000005</v>
      </c>
      <c r="V307" s="408">
        <v>50</v>
      </c>
      <c r="W307" s="408">
        <v>252</v>
      </c>
      <c r="X307" s="408">
        <v>302</v>
      </c>
      <c r="Y307" s="408">
        <v>243</v>
      </c>
      <c r="Z307" s="408">
        <v>62</v>
      </c>
      <c r="AA307" s="408">
        <v>41</v>
      </c>
      <c r="AB307" s="408">
        <v>119</v>
      </c>
      <c r="AC307" s="408">
        <v>166</v>
      </c>
      <c r="AD307" s="408">
        <v>668</v>
      </c>
    </row>
    <row r="308" spans="1:30">
      <c r="A308">
        <v>251</v>
      </c>
      <c r="B308" s="1" t="s">
        <v>169</v>
      </c>
      <c r="C308" s="1" t="s">
        <v>46</v>
      </c>
      <c r="D308" s="408">
        <v>36</v>
      </c>
      <c r="E308" s="5" t="s">
        <v>357</v>
      </c>
      <c r="F308" s="408">
        <v>43</v>
      </c>
      <c r="G308" s="408">
        <v>3</v>
      </c>
      <c r="H308" s="408">
        <v>947</v>
      </c>
      <c r="I308" s="408">
        <v>117</v>
      </c>
      <c r="J308" s="408">
        <v>284</v>
      </c>
      <c r="K308" s="408">
        <v>0.41199999999999998</v>
      </c>
      <c r="L308" s="408">
        <v>31</v>
      </c>
      <c r="M308" s="408">
        <v>111</v>
      </c>
      <c r="N308" s="408">
        <v>0.27900000000000003</v>
      </c>
      <c r="O308" s="408">
        <v>86</v>
      </c>
      <c r="P308" s="408">
        <v>173</v>
      </c>
      <c r="Q308" s="408">
        <v>0.497</v>
      </c>
      <c r="R308" s="408">
        <v>0.46700000000000003</v>
      </c>
      <c r="S308" s="408">
        <v>28</v>
      </c>
      <c r="T308" s="408">
        <v>32</v>
      </c>
      <c r="U308" s="408">
        <v>0.875</v>
      </c>
      <c r="V308" s="408">
        <v>12</v>
      </c>
      <c r="W308" s="408">
        <v>122</v>
      </c>
      <c r="X308" s="408">
        <v>134</v>
      </c>
      <c r="Y308" s="408">
        <v>61</v>
      </c>
      <c r="Z308" s="408">
        <v>15</v>
      </c>
      <c r="AA308" s="408">
        <v>6</v>
      </c>
      <c r="AB308" s="408">
        <v>40</v>
      </c>
      <c r="AC308" s="408">
        <v>52</v>
      </c>
      <c r="AD308" s="408">
        <v>293</v>
      </c>
    </row>
    <row r="309" spans="1:30">
      <c r="A309">
        <v>251</v>
      </c>
      <c r="B309" s="1" t="s">
        <v>169</v>
      </c>
      <c r="C309" s="1" t="s">
        <v>46</v>
      </c>
      <c r="D309" s="408">
        <v>36</v>
      </c>
      <c r="E309" s="5" t="s">
        <v>305</v>
      </c>
      <c r="F309" s="408">
        <v>32</v>
      </c>
      <c r="G309" s="408">
        <v>3</v>
      </c>
      <c r="H309" s="408">
        <v>700</v>
      </c>
      <c r="I309" s="408">
        <v>95</v>
      </c>
      <c r="J309" s="408">
        <v>226</v>
      </c>
      <c r="K309" s="408">
        <v>0.42</v>
      </c>
      <c r="L309" s="408">
        <v>23</v>
      </c>
      <c r="M309" s="408">
        <v>84</v>
      </c>
      <c r="N309" s="408">
        <v>0.27400000000000002</v>
      </c>
      <c r="O309" s="408">
        <v>72</v>
      </c>
      <c r="P309" s="408">
        <v>142</v>
      </c>
      <c r="Q309" s="408">
        <v>0.50700000000000001</v>
      </c>
      <c r="R309" s="408">
        <v>0.47099999999999997</v>
      </c>
      <c r="S309" s="408">
        <v>20</v>
      </c>
      <c r="T309" s="408">
        <v>24</v>
      </c>
      <c r="U309" s="408">
        <v>0.83299999999999996</v>
      </c>
      <c r="V309" s="408">
        <v>12</v>
      </c>
      <c r="W309" s="408">
        <v>95</v>
      </c>
      <c r="X309" s="408">
        <v>107</v>
      </c>
      <c r="Y309" s="408">
        <v>45</v>
      </c>
      <c r="Z309" s="408">
        <v>12</v>
      </c>
      <c r="AA309" s="408">
        <v>6</v>
      </c>
      <c r="AB309" s="408">
        <v>31</v>
      </c>
      <c r="AC309" s="408">
        <v>32</v>
      </c>
      <c r="AD309" s="408">
        <v>233</v>
      </c>
    </row>
    <row r="310" spans="1:30">
      <c r="A310">
        <v>251</v>
      </c>
      <c r="B310" s="1" t="s">
        <v>169</v>
      </c>
      <c r="C310" s="1" t="s">
        <v>46</v>
      </c>
      <c r="D310" s="408">
        <v>36</v>
      </c>
      <c r="E310" s="5" t="s">
        <v>92</v>
      </c>
      <c r="F310" s="408">
        <v>11</v>
      </c>
      <c r="G310" s="408">
        <v>0</v>
      </c>
      <c r="H310" s="408">
        <v>247</v>
      </c>
      <c r="I310" s="408">
        <v>22</v>
      </c>
      <c r="J310" s="408">
        <v>58</v>
      </c>
      <c r="K310" s="408">
        <v>0.379</v>
      </c>
      <c r="L310" s="408">
        <v>8</v>
      </c>
      <c r="M310" s="408">
        <v>27</v>
      </c>
      <c r="N310" s="408">
        <v>0.29599999999999999</v>
      </c>
      <c r="O310" s="408">
        <v>14</v>
      </c>
      <c r="P310" s="408">
        <v>31</v>
      </c>
      <c r="Q310" s="408">
        <v>0.45200000000000001</v>
      </c>
      <c r="R310" s="408">
        <v>0.44800000000000001</v>
      </c>
      <c r="S310" s="408">
        <v>8</v>
      </c>
      <c r="T310" s="408">
        <v>8</v>
      </c>
      <c r="U310" s="408">
        <v>1</v>
      </c>
      <c r="V310" s="408">
        <v>0</v>
      </c>
      <c r="W310" s="408">
        <v>27</v>
      </c>
      <c r="X310" s="408">
        <v>27</v>
      </c>
      <c r="Y310" s="408">
        <v>16</v>
      </c>
      <c r="Z310" s="408">
        <v>3</v>
      </c>
      <c r="AA310" s="408">
        <v>0</v>
      </c>
      <c r="AB310" s="408">
        <v>9</v>
      </c>
      <c r="AC310" s="408">
        <v>20</v>
      </c>
      <c r="AD310" s="408">
        <v>60</v>
      </c>
    </row>
    <row r="311" spans="1:30">
      <c r="A311">
        <v>252</v>
      </c>
      <c r="B311" s="1" t="s">
        <v>413</v>
      </c>
      <c r="C311" s="1" t="s">
        <v>46</v>
      </c>
      <c r="D311" s="408">
        <v>21</v>
      </c>
      <c r="E311" s="5" t="s">
        <v>157</v>
      </c>
      <c r="F311" s="408">
        <v>57</v>
      </c>
      <c r="G311" s="408">
        <v>38</v>
      </c>
      <c r="H311" s="408">
        <v>1560</v>
      </c>
      <c r="I311" s="408">
        <v>170</v>
      </c>
      <c r="J311" s="408">
        <v>451</v>
      </c>
      <c r="K311" s="408">
        <v>0.377</v>
      </c>
      <c r="L311" s="408">
        <v>56</v>
      </c>
      <c r="M311" s="408">
        <v>193</v>
      </c>
      <c r="N311" s="408">
        <v>0.28999999999999998</v>
      </c>
      <c r="O311" s="408">
        <v>114</v>
      </c>
      <c r="P311" s="408">
        <v>258</v>
      </c>
      <c r="Q311" s="408">
        <v>0.442</v>
      </c>
      <c r="R311" s="408">
        <v>0.439</v>
      </c>
      <c r="S311" s="408">
        <v>98</v>
      </c>
      <c r="T311" s="408">
        <v>123</v>
      </c>
      <c r="U311" s="408">
        <v>0.79700000000000004</v>
      </c>
      <c r="V311" s="408">
        <v>24</v>
      </c>
      <c r="W311" s="408">
        <v>179</v>
      </c>
      <c r="X311" s="408">
        <v>203</v>
      </c>
      <c r="Y311" s="408">
        <v>85</v>
      </c>
      <c r="Z311" s="408">
        <v>70</v>
      </c>
      <c r="AA311" s="408">
        <v>11</v>
      </c>
      <c r="AB311" s="408">
        <v>63</v>
      </c>
      <c r="AC311" s="408">
        <v>145</v>
      </c>
      <c r="AD311" s="408">
        <v>494</v>
      </c>
    </row>
    <row r="312" spans="1:30">
      <c r="A312">
        <v>253</v>
      </c>
      <c r="B312" s="1" t="s">
        <v>363</v>
      </c>
      <c r="C312" s="1" t="s">
        <v>20</v>
      </c>
      <c r="D312" s="408">
        <v>25</v>
      </c>
      <c r="E312" s="5" t="s">
        <v>50</v>
      </c>
      <c r="F312" s="408">
        <v>61</v>
      </c>
      <c r="G312" s="408">
        <v>28</v>
      </c>
      <c r="H312" s="408">
        <v>1765</v>
      </c>
      <c r="I312" s="408">
        <v>262</v>
      </c>
      <c r="J312" s="408">
        <v>613</v>
      </c>
      <c r="K312" s="408">
        <v>0.42699999999999999</v>
      </c>
      <c r="L312" s="408">
        <v>102</v>
      </c>
      <c r="M312" s="408">
        <v>283</v>
      </c>
      <c r="N312" s="408">
        <v>0.36</v>
      </c>
      <c r="O312" s="408">
        <v>160</v>
      </c>
      <c r="P312" s="408">
        <v>330</v>
      </c>
      <c r="Q312" s="408">
        <v>0.48499999999999999</v>
      </c>
      <c r="R312" s="408">
        <v>0.51100000000000001</v>
      </c>
      <c r="S312" s="408">
        <v>99</v>
      </c>
      <c r="T312" s="408">
        <v>121</v>
      </c>
      <c r="U312" s="408">
        <v>0.81799999999999995</v>
      </c>
      <c r="V312" s="408">
        <v>28</v>
      </c>
      <c r="W312" s="408">
        <v>181</v>
      </c>
      <c r="X312" s="408">
        <v>209</v>
      </c>
      <c r="Y312" s="408">
        <v>142</v>
      </c>
      <c r="Z312" s="408">
        <v>55</v>
      </c>
      <c r="AA312" s="408">
        <v>30</v>
      </c>
      <c r="AB312" s="408">
        <v>69</v>
      </c>
      <c r="AC312" s="408">
        <v>127</v>
      </c>
      <c r="AD312" s="408">
        <v>725</v>
      </c>
    </row>
    <row r="313" spans="1:30">
      <c r="A313">
        <v>254</v>
      </c>
      <c r="B313" s="1" t="s">
        <v>439</v>
      </c>
      <c r="C313" s="1" t="s">
        <v>46</v>
      </c>
      <c r="D313" s="408">
        <v>30</v>
      </c>
      <c r="E313" s="5" t="s">
        <v>64</v>
      </c>
      <c r="F313" s="408">
        <v>62</v>
      </c>
      <c r="G313" s="408">
        <v>32</v>
      </c>
      <c r="H313" s="408">
        <v>1296</v>
      </c>
      <c r="I313" s="408">
        <v>130</v>
      </c>
      <c r="J313" s="408">
        <v>319</v>
      </c>
      <c r="K313" s="408">
        <v>0.40799999999999997</v>
      </c>
      <c r="L313" s="408">
        <v>49</v>
      </c>
      <c r="M313" s="408">
        <v>153</v>
      </c>
      <c r="N313" s="408">
        <v>0.32</v>
      </c>
      <c r="O313" s="408">
        <v>81</v>
      </c>
      <c r="P313" s="408">
        <v>166</v>
      </c>
      <c r="Q313" s="408">
        <v>0.48799999999999999</v>
      </c>
      <c r="R313" s="408">
        <v>0.48399999999999999</v>
      </c>
      <c r="S313" s="408">
        <v>39</v>
      </c>
      <c r="T313" s="408">
        <v>53</v>
      </c>
      <c r="U313" s="408">
        <v>0.73599999999999999</v>
      </c>
      <c r="V313" s="408">
        <v>22</v>
      </c>
      <c r="W313" s="408">
        <v>169</v>
      </c>
      <c r="X313" s="408">
        <v>191</v>
      </c>
      <c r="Y313" s="408">
        <v>52</v>
      </c>
      <c r="Z313" s="408">
        <v>66</v>
      </c>
      <c r="AA313" s="408">
        <v>58</v>
      </c>
      <c r="AB313" s="408">
        <v>52</v>
      </c>
      <c r="AC313" s="408">
        <v>130</v>
      </c>
      <c r="AD313" s="408">
        <v>348</v>
      </c>
    </row>
    <row r="314" spans="1:30">
      <c r="A314">
        <v>255</v>
      </c>
      <c r="B314" s="1" t="s">
        <v>409</v>
      </c>
      <c r="C314" s="1" t="s">
        <v>83</v>
      </c>
      <c r="D314" s="408">
        <v>22</v>
      </c>
      <c r="E314" s="5" t="s">
        <v>61</v>
      </c>
      <c r="F314" s="408">
        <v>64</v>
      </c>
      <c r="G314" s="408">
        <v>62</v>
      </c>
      <c r="H314" s="408">
        <v>2033</v>
      </c>
      <c r="I314" s="408">
        <v>400</v>
      </c>
      <c r="J314" s="408">
        <v>806</v>
      </c>
      <c r="K314" s="408">
        <v>0.496</v>
      </c>
      <c r="L314" s="408">
        <v>88</v>
      </c>
      <c r="M314" s="408">
        <v>227</v>
      </c>
      <c r="N314" s="408">
        <v>0.38800000000000001</v>
      </c>
      <c r="O314" s="408">
        <v>312</v>
      </c>
      <c r="P314" s="408">
        <v>579</v>
      </c>
      <c r="Q314" s="408">
        <v>0.53900000000000003</v>
      </c>
      <c r="R314" s="408">
        <v>0.55100000000000005</v>
      </c>
      <c r="S314" s="408">
        <v>231</v>
      </c>
      <c r="T314" s="408">
        <v>273</v>
      </c>
      <c r="U314" s="408">
        <v>0.84599999999999997</v>
      </c>
      <c r="V314" s="408">
        <v>171</v>
      </c>
      <c r="W314" s="408">
        <v>503</v>
      </c>
      <c r="X314" s="408">
        <v>674</v>
      </c>
      <c r="Y314" s="408">
        <v>384</v>
      </c>
      <c r="Z314" s="408">
        <v>75</v>
      </c>
      <c r="AA314" s="408">
        <v>49</v>
      </c>
      <c r="AB314" s="408">
        <v>180</v>
      </c>
      <c r="AC314" s="408">
        <v>180</v>
      </c>
      <c r="AD314" s="408">
        <v>1119</v>
      </c>
    </row>
    <row r="315" spans="1:30">
      <c r="A315">
        <v>256</v>
      </c>
      <c r="B315" s="1" t="s">
        <v>637</v>
      </c>
      <c r="C315" s="1" t="s">
        <v>83</v>
      </c>
      <c r="D315" s="408">
        <v>22</v>
      </c>
      <c r="E315" s="5" t="s">
        <v>73</v>
      </c>
      <c r="F315" s="408">
        <v>5</v>
      </c>
      <c r="G315" s="408">
        <v>0</v>
      </c>
      <c r="H315" s="408">
        <v>11</v>
      </c>
      <c r="I315" s="408">
        <v>0</v>
      </c>
      <c r="J315" s="408">
        <v>0</v>
      </c>
      <c r="K315" s="408"/>
      <c r="L315" s="408">
        <v>0</v>
      </c>
      <c r="M315" s="408">
        <v>0</v>
      </c>
      <c r="N315" s="408"/>
      <c r="O315" s="408">
        <v>0</v>
      </c>
      <c r="P315" s="408">
        <v>0</v>
      </c>
      <c r="Q315" s="408"/>
      <c r="R315" s="408"/>
      <c r="S315" s="408">
        <v>0</v>
      </c>
      <c r="T315" s="408">
        <v>0</v>
      </c>
      <c r="U315" s="408"/>
      <c r="V315" s="408">
        <v>1</v>
      </c>
      <c r="W315" s="408">
        <v>0</v>
      </c>
      <c r="X315" s="408">
        <v>1</v>
      </c>
      <c r="Y315" s="408">
        <v>0</v>
      </c>
      <c r="Z315" s="408">
        <v>0</v>
      </c>
      <c r="AA315" s="408">
        <v>1</v>
      </c>
      <c r="AB315" s="408">
        <v>1</v>
      </c>
      <c r="AC315" s="408">
        <v>5</v>
      </c>
      <c r="AD315" s="408">
        <v>0</v>
      </c>
    </row>
    <row r="316" spans="1:30">
      <c r="A316">
        <v>257</v>
      </c>
      <c r="B316" s="1" t="s">
        <v>380</v>
      </c>
      <c r="C316" s="1" t="s">
        <v>46</v>
      </c>
      <c r="D316" s="408">
        <v>20</v>
      </c>
      <c r="E316" s="5" t="s">
        <v>357</v>
      </c>
      <c r="F316" s="408">
        <v>17</v>
      </c>
      <c r="G316" s="408">
        <v>8</v>
      </c>
      <c r="H316" s="408">
        <v>231</v>
      </c>
      <c r="I316" s="408">
        <v>18</v>
      </c>
      <c r="J316" s="408">
        <v>47</v>
      </c>
      <c r="K316" s="408">
        <v>0.38300000000000001</v>
      </c>
      <c r="L316" s="408">
        <v>2</v>
      </c>
      <c r="M316" s="408">
        <v>16</v>
      </c>
      <c r="N316" s="408">
        <v>0.125</v>
      </c>
      <c r="O316" s="408">
        <v>16</v>
      </c>
      <c r="P316" s="408">
        <v>31</v>
      </c>
      <c r="Q316" s="408">
        <v>0.51600000000000001</v>
      </c>
      <c r="R316" s="408">
        <v>0.40400000000000003</v>
      </c>
      <c r="S316" s="408">
        <v>13</v>
      </c>
      <c r="T316" s="408">
        <v>20</v>
      </c>
      <c r="U316" s="408">
        <v>0.65</v>
      </c>
      <c r="V316" s="408">
        <v>19</v>
      </c>
      <c r="W316" s="408">
        <v>14</v>
      </c>
      <c r="X316" s="408">
        <v>33</v>
      </c>
      <c r="Y316" s="408">
        <v>8</v>
      </c>
      <c r="Z316" s="408">
        <v>4</v>
      </c>
      <c r="AA316" s="408">
        <v>13</v>
      </c>
      <c r="AB316" s="408">
        <v>6</v>
      </c>
      <c r="AC316" s="408">
        <v>23</v>
      </c>
      <c r="AD316" s="408">
        <v>51</v>
      </c>
    </row>
    <row r="317" spans="1:30">
      <c r="A317">
        <v>257</v>
      </c>
      <c r="B317" s="1" t="s">
        <v>380</v>
      </c>
      <c r="C317" s="1" t="s">
        <v>46</v>
      </c>
      <c r="D317" s="408">
        <v>20</v>
      </c>
      <c r="E317" s="5" t="s">
        <v>313</v>
      </c>
      <c r="F317" s="408">
        <v>6</v>
      </c>
      <c r="G317" s="408">
        <v>0</v>
      </c>
      <c r="H317" s="408">
        <v>33</v>
      </c>
      <c r="I317" s="408">
        <v>2</v>
      </c>
      <c r="J317" s="408">
        <v>4</v>
      </c>
      <c r="K317" s="408">
        <v>0.5</v>
      </c>
      <c r="L317" s="408">
        <v>0</v>
      </c>
      <c r="M317" s="408">
        <v>2</v>
      </c>
      <c r="N317" s="408">
        <v>0</v>
      </c>
      <c r="O317" s="408">
        <v>2</v>
      </c>
      <c r="P317" s="408">
        <v>2</v>
      </c>
      <c r="Q317" s="408">
        <v>1</v>
      </c>
      <c r="R317" s="408">
        <v>0.5</v>
      </c>
      <c r="S317" s="408">
        <v>5</v>
      </c>
      <c r="T317" s="408">
        <v>6</v>
      </c>
      <c r="U317" s="408">
        <v>0.83299999999999996</v>
      </c>
      <c r="V317" s="408">
        <v>2</v>
      </c>
      <c r="W317" s="408">
        <v>2</v>
      </c>
      <c r="X317" s="408">
        <v>4</v>
      </c>
      <c r="Y317" s="408">
        <v>3</v>
      </c>
      <c r="Z317" s="408">
        <v>1</v>
      </c>
      <c r="AA317" s="408">
        <v>4</v>
      </c>
      <c r="AB317" s="408">
        <v>1</v>
      </c>
      <c r="AC317" s="408">
        <v>2</v>
      </c>
      <c r="AD317" s="408">
        <v>9</v>
      </c>
    </row>
    <row r="318" spans="1:30">
      <c r="A318">
        <v>257</v>
      </c>
      <c r="B318" s="1" t="s">
        <v>380</v>
      </c>
      <c r="C318" s="1" t="s">
        <v>46</v>
      </c>
      <c r="D318" s="408">
        <v>20</v>
      </c>
      <c r="E318" s="5" t="s">
        <v>50</v>
      </c>
      <c r="F318" s="408">
        <v>11</v>
      </c>
      <c r="G318" s="408">
        <v>8</v>
      </c>
      <c r="H318" s="408">
        <v>198</v>
      </c>
      <c r="I318" s="408">
        <v>16</v>
      </c>
      <c r="J318" s="408">
        <v>43</v>
      </c>
      <c r="K318" s="408">
        <v>0.372</v>
      </c>
      <c r="L318" s="408">
        <v>2</v>
      </c>
      <c r="M318" s="408">
        <v>14</v>
      </c>
      <c r="N318" s="408">
        <v>0.14299999999999999</v>
      </c>
      <c r="O318" s="408">
        <v>14</v>
      </c>
      <c r="P318" s="408">
        <v>29</v>
      </c>
      <c r="Q318" s="408">
        <v>0.48299999999999998</v>
      </c>
      <c r="R318" s="408">
        <v>0.39500000000000002</v>
      </c>
      <c r="S318" s="408">
        <v>8</v>
      </c>
      <c r="T318" s="408">
        <v>14</v>
      </c>
      <c r="U318" s="408">
        <v>0.57099999999999995</v>
      </c>
      <c r="V318" s="408">
        <v>17</v>
      </c>
      <c r="W318" s="408">
        <v>12</v>
      </c>
      <c r="X318" s="408">
        <v>29</v>
      </c>
      <c r="Y318" s="408">
        <v>5</v>
      </c>
      <c r="Z318" s="408">
        <v>3</v>
      </c>
      <c r="AA318" s="408">
        <v>9</v>
      </c>
      <c r="AB318" s="408">
        <v>5</v>
      </c>
      <c r="AC318" s="408">
        <v>21</v>
      </c>
      <c r="AD318" s="408">
        <v>42</v>
      </c>
    </row>
    <row r="319" spans="1:30">
      <c r="A319">
        <v>258</v>
      </c>
      <c r="B319" s="1" t="s">
        <v>303</v>
      </c>
      <c r="C319" s="1" t="s">
        <v>46</v>
      </c>
      <c r="D319" s="408">
        <v>24</v>
      </c>
      <c r="E319" s="5" t="s">
        <v>357</v>
      </c>
      <c r="F319" s="408">
        <v>10</v>
      </c>
      <c r="G319" s="408">
        <v>0</v>
      </c>
      <c r="H319" s="408">
        <v>81</v>
      </c>
      <c r="I319" s="408">
        <v>11</v>
      </c>
      <c r="J319" s="408">
        <v>28</v>
      </c>
      <c r="K319" s="408">
        <v>0.39300000000000002</v>
      </c>
      <c r="L319" s="408">
        <v>4</v>
      </c>
      <c r="M319" s="408">
        <v>7</v>
      </c>
      <c r="N319" s="408">
        <v>0.57099999999999995</v>
      </c>
      <c r="O319" s="408">
        <v>7</v>
      </c>
      <c r="P319" s="408">
        <v>21</v>
      </c>
      <c r="Q319" s="408">
        <v>0.33300000000000002</v>
      </c>
      <c r="R319" s="408">
        <v>0.46400000000000002</v>
      </c>
      <c r="S319" s="408">
        <v>6</v>
      </c>
      <c r="T319" s="408">
        <v>8</v>
      </c>
      <c r="U319" s="408">
        <v>0.75</v>
      </c>
      <c r="V319" s="408">
        <v>7</v>
      </c>
      <c r="W319" s="408">
        <v>14</v>
      </c>
      <c r="X319" s="408">
        <v>21</v>
      </c>
      <c r="Y319" s="408">
        <v>2</v>
      </c>
      <c r="Z319" s="408">
        <v>2</v>
      </c>
      <c r="AA319" s="408">
        <v>0</v>
      </c>
      <c r="AB319" s="408">
        <v>2</v>
      </c>
      <c r="AC319" s="408">
        <v>11</v>
      </c>
      <c r="AD319" s="408">
        <v>32</v>
      </c>
    </row>
    <row r="320" spans="1:30">
      <c r="A320">
        <v>258</v>
      </c>
      <c r="B320" s="1" t="s">
        <v>303</v>
      </c>
      <c r="C320" s="1" t="s">
        <v>46</v>
      </c>
      <c r="D320" s="408">
        <v>24</v>
      </c>
      <c r="E320" s="5" t="s">
        <v>112</v>
      </c>
      <c r="F320" s="408">
        <v>4</v>
      </c>
      <c r="G320" s="408">
        <v>0</v>
      </c>
      <c r="H320" s="408">
        <v>19</v>
      </c>
      <c r="I320" s="408">
        <v>1</v>
      </c>
      <c r="J320" s="408">
        <v>4</v>
      </c>
      <c r="K320" s="408">
        <v>0.25</v>
      </c>
      <c r="L320" s="408">
        <v>1</v>
      </c>
      <c r="M320" s="408">
        <v>1</v>
      </c>
      <c r="N320" s="408">
        <v>1</v>
      </c>
      <c r="O320" s="408">
        <v>0</v>
      </c>
      <c r="P320" s="408">
        <v>3</v>
      </c>
      <c r="Q320" s="408">
        <v>0</v>
      </c>
      <c r="R320" s="408">
        <v>0.375</v>
      </c>
      <c r="S320" s="408">
        <v>2</v>
      </c>
      <c r="T320" s="408">
        <v>2</v>
      </c>
      <c r="U320" s="408">
        <v>1</v>
      </c>
      <c r="V320" s="408">
        <v>0</v>
      </c>
      <c r="W320" s="408">
        <v>3</v>
      </c>
      <c r="X320" s="408">
        <v>3</v>
      </c>
      <c r="Y320" s="408">
        <v>0</v>
      </c>
      <c r="Z320" s="408">
        <v>0</v>
      </c>
      <c r="AA320" s="408">
        <v>0</v>
      </c>
      <c r="AB320" s="408">
        <v>0</v>
      </c>
      <c r="AC320" s="408">
        <v>2</v>
      </c>
      <c r="AD320" s="408">
        <v>5</v>
      </c>
    </row>
    <row r="321" spans="1:30">
      <c r="A321">
        <v>258</v>
      </c>
      <c r="B321" s="1" t="s">
        <v>303</v>
      </c>
      <c r="C321" s="1" t="s">
        <v>46</v>
      </c>
      <c r="D321" s="408">
        <v>24</v>
      </c>
      <c r="E321" s="5" t="s">
        <v>33</v>
      </c>
      <c r="F321" s="408">
        <v>6</v>
      </c>
      <c r="G321" s="408">
        <v>0</v>
      </c>
      <c r="H321" s="408">
        <v>62</v>
      </c>
      <c r="I321" s="408">
        <v>10</v>
      </c>
      <c r="J321" s="408">
        <v>24</v>
      </c>
      <c r="K321" s="408">
        <v>0.41699999999999998</v>
      </c>
      <c r="L321" s="408">
        <v>3</v>
      </c>
      <c r="M321" s="408">
        <v>6</v>
      </c>
      <c r="N321" s="408">
        <v>0.5</v>
      </c>
      <c r="O321" s="408">
        <v>7</v>
      </c>
      <c r="P321" s="408">
        <v>18</v>
      </c>
      <c r="Q321" s="408">
        <v>0.38900000000000001</v>
      </c>
      <c r="R321" s="408">
        <v>0.47899999999999998</v>
      </c>
      <c r="S321" s="408">
        <v>4</v>
      </c>
      <c r="T321" s="408">
        <v>6</v>
      </c>
      <c r="U321" s="408">
        <v>0.66700000000000004</v>
      </c>
      <c r="V321" s="408">
        <v>7</v>
      </c>
      <c r="W321" s="408">
        <v>11</v>
      </c>
      <c r="X321" s="408">
        <v>18</v>
      </c>
      <c r="Y321" s="408">
        <v>2</v>
      </c>
      <c r="Z321" s="408">
        <v>2</v>
      </c>
      <c r="AA321" s="408">
        <v>0</v>
      </c>
      <c r="AB321" s="408">
        <v>2</v>
      </c>
      <c r="AC321" s="408">
        <v>9</v>
      </c>
      <c r="AD321" s="408">
        <v>27</v>
      </c>
    </row>
    <row r="322" spans="1:30">
      <c r="A322">
        <v>259</v>
      </c>
      <c r="B322" s="1" t="s">
        <v>1</v>
      </c>
      <c r="C322" s="1" t="s">
        <v>20</v>
      </c>
      <c r="D322" s="408">
        <v>21</v>
      </c>
      <c r="E322" s="5" t="s">
        <v>56</v>
      </c>
      <c r="F322" s="408">
        <v>71</v>
      </c>
      <c r="G322" s="408">
        <v>10</v>
      </c>
      <c r="H322" s="408">
        <v>1263</v>
      </c>
      <c r="I322" s="408">
        <v>131</v>
      </c>
      <c r="J322" s="408">
        <v>281</v>
      </c>
      <c r="K322" s="408">
        <v>0.46600000000000003</v>
      </c>
      <c r="L322" s="408">
        <v>37</v>
      </c>
      <c r="M322" s="408">
        <v>106</v>
      </c>
      <c r="N322" s="408">
        <v>0.34899999999999998</v>
      </c>
      <c r="O322" s="408">
        <v>94</v>
      </c>
      <c r="P322" s="408">
        <v>175</v>
      </c>
      <c r="Q322" s="408">
        <v>0.53700000000000003</v>
      </c>
      <c r="R322" s="408">
        <v>0.53200000000000003</v>
      </c>
      <c r="S322" s="408">
        <v>57</v>
      </c>
      <c r="T322" s="408">
        <v>64</v>
      </c>
      <c r="U322" s="408">
        <v>0.89100000000000001</v>
      </c>
      <c r="V322" s="408">
        <v>14</v>
      </c>
      <c r="W322" s="408">
        <v>106</v>
      </c>
      <c r="X322" s="408">
        <v>120</v>
      </c>
      <c r="Y322" s="408">
        <v>189</v>
      </c>
      <c r="Z322" s="408">
        <v>79</v>
      </c>
      <c r="AA322" s="408">
        <v>5</v>
      </c>
      <c r="AB322" s="408">
        <v>48</v>
      </c>
      <c r="AC322" s="408">
        <v>97</v>
      </c>
      <c r="AD322" s="408">
        <v>356</v>
      </c>
    </row>
    <row r="323" spans="1:30">
      <c r="A323">
        <v>260</v>
      </c>
      <c r="B323" s="1" t="s">
        <v>606</v>
      </c>
      <c r="C323" s="1" t="s">
        <v>83</v>
      </c>
      <c r="D323" s="408">
        <v>29</v>
      </c>
      <c r="E323" s="5" t="s">
        <v>64</v>
      </c>
      <c r="F323" s="408">
        <v>64</v>
      </c>
      <c r="G323" s="408">
        <v>64</v>
      </c>
      <c r="H323" s="408">
        <v>2045</v>
      </c>
      <c r="I323" s="408">
        <v>308</v>
      </c>
      <c r="J323" s="408">
        <v>478</v>
      </c>
      <c r="K323" s="408">
        <v>0.64400000000000002</v>
      </c>
      <c r="L323" s="408">
        <v>0</v>
      </c>
      <c r="M323" s="408">
        <v>0</v>
      </c>
      <c r="N323" s="408"/>
      <c r="O323" s="408">
        <v>308</v>
      </c>
      <c r="P323" s="408">
        <v>478</v>
      </c>
      <c r="Q323" s="408">
        <v>0.64400000000000002</v>
      </c>
      <c r="R323" s="408">
        <v>0.64400000000000002</v>
      </c>
      <c r="S323" s="408">
        <v>153</v>
      </c>
      <c r="T323" s="408">
        <v>250</v>
      </c>
      <c r="U323" s="408">
        <v>0.61199999999999999</v>
      </c>
      <c r="V323" s="408">
        <v>271</v>
      </c>
      <c r="W323" s="408">
        <v>717</v>
      </c>
      <c r="X323" s="408">
        <v>988</v>
      </c>
      <c r="Y323" s="408">
        <v>93</v>
      </c>
      <c r="Z323" s="408">
        <v>37</v>
      </c>
      <c r="AA323" s="408">
        <v>64</v>
      </c>
      <c r="AB323" s="408">
        <v>111</v>
      </c>
      <c r="AC323" s="408">
        <v>173</v>
      </c>
      <c r="AD323" s="408">
        <v>769</v>
      </c>
    </row>
    <row r="324" spans="1:30">
      <c r="A324">
        <v>261</v>
      </c>
      <c r="B324" s="1" t="s">
        <v>461</v>
      </c>
      <c r="C324" s="1" t="s">
        <v>20</v>
      </c>
      <c r="D324" s="408">
        <v>26</v>
      </c>
      <c r="E324" s="5" t="s">
        <v>30</v>
      </c>
      <c r="F324" s="408">
        <v>71</v>
      </c>
      <c r="G324" s="408">
        <v>17</v>
      </c>
      <c r="H324" s="408">
        <v>1939</v>
      </c>
      <c r="I324" s="408">
        <v>223</v>
      </c>
      <c r="J324" s="408">
        <v>519</v>
      </c>
      <c r="K324" s="408">
        <v>0.43</v>
      </c>
      <c r="L324" s="408">
        <v>60</v>
      </c>
      <c r="M324" s="408">
        <v>164</v>
      </c>
      <c r="N324" s="408">
        <v>0.36599999999999999</v>
      </c>
      <c r="O324" s="408">
        <v>163</v>
      </c>
      <c r="P324" s="408">
        <v>355</v>
      </c>
      <c r="Q324" s="408">
        <v>0.45900000000000002</v>
      </c>
      <c r="R324" s="408">
        <v>0.48699999999999999</v>
      </c>
      <c r="S324" s="408">
        <v>68</v>
      </c>
      <c r="T324" s="408">
        <v>90</v>
      </c>
      <c r="U324" s="408">
        <v>0.75600000000000001</v>
      </c>
      <c r="V324" s="408">
        <v>35</v>
      </c>
      <c r="W324" s="408">
        <v>194</v>
      </c>
      <c r="X324" s="408">
        <v>229</v>
      </c>
      <c r="Y324" s="408">
        <v>221</v>
      </c>
      <c r="Z324" s="408">
        <v>72</v>
      </c>
      <c r="AA324" s="408">
        <v>16</v>
      </c>
      <c r="AB324" s="408">
        <v>73</v>
      </c>
      <c r="AC324" s="408">
        <v>125</v>
      </c>
      <c r="AD324" s="408">
        <v>574</v>
      </c>
    </row>
    <row r="325" spans="1:30">
      <c r="A325">
        <v>262</v>
      </c>
      <c r="B325" s="1" t="s">
        <v>414</v>
      </c>
      <c r="C325" s="1" t="s">
        <v>38</v>
      </c>
      <c r="D325" s="408">
        <v>24</v>
      </c>
      <c r="E325" s="5" t="s">
        <v>311</v>
      </c>
      <c r="F325" s="408">
        <v>68</v>
      </c>
      <c r="G325" s="408">
        <v>4</v>
      </c>
      <c r="H325" s="408">
        <v>1575</v>
      </c>
      <c r="I325" s="408">
        <v>259</v>
      </c>
      <c r="J325" s="408">
        <v>619</v>
      </c>
      <c r="K325" s="408">
        <v>0.41799999999999998</v>
      </c>
      <c r="L325" s="408">
        <v>89</v>
      </c>
      <c r="M325" s="408">
        <v>238</v>
      </c>
      <c r="N325" s="408">
        <v>0.374</v>
      </c>
      <c r="O325" s="408">
        <v>170</v>
      </c>
      <c r="P325" s="408">
        <v>381</v>
      </c>
      <c r="Q325" s="408">
        <v>0.44600000000000001</v>
      </c>
      <c r="R325" s="408">
        <v>0.49</v>
      </c>
      <c r="S325" s="408">
        <v>134</v>
      </c>
      <c r="T325" s="408">
        <v>171</v>
      </c>
      <c r="U325" s="408">
        <v>0.78400000000000003</v>
      </c>
      <c r="V325" s="408">
        <v>41</v>
      </c>
      <c r="W325" s="408">
        <v>203</v>
      </c>
      <c r="X325" s="408">
        <v>244</v>
      </c>
      <c r="Y325" s="408">
        <v>104</v>
      </c>
      <c r="Z325" s="408">
        <v>33</v>
      </c>
      <c r="AA325" s="408">
        <v>18</v>
      </c>
      <c r="AB325" s="408">
        <v>53</v>
      </c>
      <c r="AC325" s="408">
        <v>78</v>
      </c>
      <c r="AD325" s="408">
        <v>741</v>
      </c>
    </row>
    <row r="326" spans="1:30">
      <c r="A326">
        <v>263</v>
      </c>
      <c r="B326" s="1" t="s">
        <v>564</v>
      </c>
      <c r="C326" s="1" t="s">
        <v>83</v>
      </c>
      <c r="D326" s="408">
        <v>25</v>
      </c>
      <c r="E326" s="5" t="s">
        <v>21</v>
      </c>
      <c r="F326" s="408">
        <v>66</v>
      </c>
      <c r="G326" s="408">
        <v>66</v>
      </c>
      <c r="H326" s="408">
        <v>1675</v>
      </c>
      <c r="I326" s="408">
        <v>395</v>
      </c>
      <c r="J326" s="408">
        <v>661</v>
      </c>
      <c r="K326" s="408">
        <v>0.59799999999999998</v>
      </c>
      <c r="L326" s="408">
        <v>0</v>
      </c>
      <c r="M326" s="408">
        <v>2</v>
      </c>
      <c r="N326" s="408">
        <v>0</v>
      </c>
      <c r="O326" s="408">
        <v>395</v>
      </c>
      <c r="P326" s="408">
        <v>659</v>
      </c>
      <c r="Q326" s="408">
        <v>0.59899999999999998</v>
      </c>
      <c r="R326" s="408">
        <v>0.59799999999999998</v>
      </c>
      <c r="S326" s="408">
        <v>134</v>
      </c>
      <c r="T326" s="408">
        <v>157</v>
      </c>
      <c r="U326" s="408">
        <v>0.85399999999999998</v>
      </c>
      <c r="V326" s="408">
        <v>250</v>
      </c>
      <c r="W326" s="408">
        <v>464</v>
      </c>
      <c r="X326" s="408">
        <v>714</v>
      </c>
      <c r="Y326" s="408">
        <v>96</v>
      </c>
      <c r="Z326" s="408">
        <v>34</v>
      </c>
      <c r="AA326" s="408">
        <v>35</v>
      </c>
      <c r="AB326" s="408">
        <v>117</v>
      </c>
      <c r="AC326" s="408">
        <v>170</v>
      </c>
      <c r="AD326" s="408">
        <v>924</v>
      </c>
    </row>
    <row r="327" spans="1:30">
      <c r="A327">
        <v>264</v>
      </c>
      <c r="B327" s="1" t="s">
        <v>460</v>
      </c>
      <c r="C327" s="1" t="s">
        <v>26</v>
      </c>
      <c r="D327" s="408">
        <v>21</v>
      </c>
      <c r="E327" s="5" t="s">
        <v>157</v>
      </c>
      <c r="F327" s="408">
        <v>61</v>
      </c>
      <c r="G327" s="408">
        <v>5</v>
      </c>
      <c r="H327" s="408">
        <v>1150</v>
      </c>
      <c r="I327" s="408">
        <v>153</v>
      </c>
      <c r="J327" s="408">
        <v>355</v>
      </c>
      <c r="K327" s="408">
        <v>0.43099999999999999</v>
      </c>
      <c r="L327" s="408">
        <v>62</v>
      </c>
      <c r="M327" s="408">
        <v>151</v>
      </c>
      <c r="N327" s="408">
        <v>0.41099999999999998</v>
      </c>
      <c r="O327" s="408">
        <v>91</v>
      </c>
      <c r="P327" s="408">
        <v>204</v>
      </c>
      <c r="Q327" s="408">
        <v>0.44600000000000001</v>
      </c>
      <c r="R327" s="408">
        <v>0.51800000000000002</v>
      </c>
      <c r="S327" s="408">
        <v>43</v>
      </c>
      <c r="T327" s="408">
        <v>50</v>
      </c>
      <c r="U327" s="408">
        <v>0.86</v>
      </c>
      <c r="V327" s="408">
        <v>19</v>
      </c>
      <c r="W327" s="408">
        <v>114</v>
      </c>
      <c r="X327" s="408">
        <v>133</v>
      </c>
      <c r="Y327" s="408">
        <v>90</v>
      </c>
      <c r="Z327" s="408">
        <v>35</v>
      </c>
      <c r="AA327" s="408">
        <v>9</v>
      </c>
      <c r="AB327" s="408">
        <v>57</v>
      </c>
      <c r="AC327" s="408">
        <v>64</v>
      </c>
      <c r="AD327" s="408">
        <v>411</v>
      </c>
    </row>
    <row r="328" spans="1:30">
      <c r="A328">
        <v>265</v>
      </c>
      <c r="B328" s="1" t="s">
        <v>576</v>
      </c>
      <c r="C328" s="1" t="s">
        <v>46</v>
      </c>
      <c r="D328" s="408">
        <v>24</v>
      </c>
      <c r="E328" s="5" t="s">
        <v>311</v>
      </c>
      <c r="F328" s="408">
        <v>63</v>
      </c>
      <c r="G328" s="408">
        <v>63</v>
      </c>
      <c r="H328" s="408">
        <v>1592</v>
      </c>
      <c r="I328" s="408">
        <v>247</v>
      </c>
      <c r="J328" s="408">
        <v>486</v>
      </c>
      <c r="K328" s="408">
        <v>0.50800000000000001</v>
      </c>
      <c r="L328" s="408">
        <v>0</v>
      </c>
      <c r="M328" s="408">
        <v>2</v>
      </c>
      <c r="N328" s="408">
        <v>0</v>
      </c>
      <c r="O328" s="408">
        <v>247</v>
      </c>
      <c r="P328" s="408">
        <v>484</v>
      </c>
      <c r="Q328" s="408">
        <v>0.51</v>
      </c>
      <c r="R328" s="408">
        <v>0.50800000000000001</v>
      </c>
      <c r="S328" s="408">
        <v>97</v>
      </c>
      <c r="T328" s="408">
        <v>143</v>
      </c>
      <c r="U328" s="408">
        <v>0.67800000000000005</v>
      </c>
      <c r="V328" s="408">
        <v>73</v>
      </c>
      <c r="W328" s="408">
        <v>189</v>
      </c>
      <c r="X328" s="408">
        <v>262</v>
      </c>
      <c r="Y328" s="408">
        <v>64</v>
      </c>
      <c r="Z328" s="408">
        <v>44</v>
      </c>
      <c r="AA328" s="408">
        <v>29</v>
      </c>
      <c r="AB328" s="408">
        <v>44</v>
      </c>
      <c r="AC328" s="408">
        <v>123</v>
      </c>
      <c r="AD328" s="408">
        <v>591</v>
      </c>
    </row>
    <row r="329" spans="1:30">
      <c r="A329">
        <v>266</v>
      </c>
      <c r="B329" s="1" t="s">
        <v>114</v>
      </c>
      <c r="C329" s="1" t="s">
        <v>26</v>
      </c>
      <c r="D329" s="408">
        <v>28</v>
      </c>
      <c r="E329" s="5" t="s">
        <v>357</v>
      </c>
      <c r="F329" s="408">
        <v>42</v>
      </c>
      <c r="G329" s="408">
        <v>0</v>
      </c>
      <c r="H329" s="408">
        <v>406</v>
      </c>
      <c r="I329" s="408">
        <v>58</v>
      </c>
      <c r="J329" s="408">
        <v>176</v>
      </c>
      <c r="K329" s="408">
        <v>0.33</v>
      </c>
      <c r="L329" s="408">
        <v>24</v>
      </c>
      <c r="M329" s="408">
        <v>89</v>
      </c>
      <c r="N329" s="408">
        <v>0.27</v>
      </c>
      <c r="O329" s="408">
        <v>34</v>
      </c>
      <c r="P329" s="408">
        <v>87</v>
      </c>
      <c r="Q329" s="408">
        <v>0.39100000000000001</v>
      </c>
      <c r="R329" s="408">
        <v>0.39800000000000002</v>
      </c>
      <c r="S329" s="408">
        <v>36</v>
      </c>
      <c r="T329" s="408">
        <v>38</v>
      </c>
      <c r="U329" s="408">
        <v>0.94699999999999995</v>
      </c>
      <c r="V329" s="408">
        <v>2</v>
      </c>
      <c r="W329" s="408">
        <v>58</v>
      </c>
      <c r="X329" s="408">
        <v>60</v>
      </c>
      <c r="Y329" s="408">
        <v>32</v>
      </c>
      <c r="Z329" s="408">
        <v>7</v>
      </c>
      <c r="AA329" s="408">
        <v>2</v>
      </c>
      <c r="AB329" s="408">
        <v>25</v>
      </c>
      <c r="AC329" s="408">
        <v>24</v>
      </c>
      <c r="AD329" s="408">
        <v>176</v>
      </c>
    </row>
    <row r="330" spans="1:30">
      <c r="A330">
        <v>266</v>
      </c>
      <c r="B330" s="1" t="s">
        <v>114</v>
      </c>
      <c r="C330" s="1" t="s">
        <v>26</v>
      </c>
      <c r="D330" s="408">
        <v>28</v>
      </c>
      <c r="E330" s="5" t="s">
        <v>315</v>
      </c>
      <c r="F330" s="408">
        <v>16</v>
      </c>
      <c r="G330" s="408">
        <v>0</v>
      </c>
      <c r="H330" s="408">
        <v>183</v>
      </c>
      <c r="I330" s="408">
        <v>25</v>
      </c>
      <c r="J330" s="408">
        <v>86</v>
      </c>
      <c r="K330" s="408">
        <v>0.29099999999999998</v>
      </c>
      <c r="L330" s="408">
        <v>11</v>
      </c>
      <c r="M330" s="408">
        <v>42</v>
      </c>
      <c r="N330" s="408">
        <v>0.26200000000000001</v>
      </c>
      <c r="O330" s="408">
        <v>14</v>
      </c>
      <c r="P330" s="408">
        <v>44</v>
      </c>
      <c r="Q330" s="408">
        <v>0.318</v>
      </c>
      <c r="R330" s="408">
        <v>0.35499999999999998</v>
      </c>
      <c r="S330" s="408">
        <v>18</v>
      </c>
      <c r="T330" s="408">
        <v>19</v>
      </c>
      <c r="U330" s="408">
        <v>0.94699999999999995</v>
      </c>
      <c r="V330" s="408">
        <v>1</v>
      </c>
      <c r="W330" s="408">
        <v>34</v>
      </c>
      <c r="X330" s="408">
        <v>35</v>
      </c>
      <c r="Y330" s="408">
        <v>15</v>
      </c>
      <c r="Z330" s="408">
        <v>2</v>
      </c>
      <c r="AA330" s="408">
        <v>1</v>
      </c>
      <c r="AB330" s="408">
        <v>16</v>
      </c>
      <c r="AC330" s="408">
        <v>8</v>
      </c>
      <c r="AD330" s="408">
        <v>79</v>
      </c>
    </row>
    <row r="331" spans="1:30">
      <c r="A331">
        <v>266</v>
      </c>
      <c r="B331" s="1" t="s">
        <v>114</v>
      </c>
      <c r="C331" s="1" t="s">
        <v>26</v>
      </c>
      <c r="D331" s="408">
        <v>28</v>
      </c>
      <c r="E331" s="5" t="s">
        <v>41</v>
      </c>
      <c r="F331" s="408">
        <v>23</v>
      </c>
      <c r="G331" s="408">
        <v>0</v>
      </c>
      <c r="H331" s="408">
        <v>205</v>
      </c>
      <c r="I331" s="408">
        <v>31</v>
      </c>
      <c r="J331" s="408">
        <v>82</v>
      </c>
      <c r="K331" s="408">
        <v>0.378</v>
      </c>
      <c r="L331" s="408">
        <v>13</v>
      </c>
      <c r="M331" s="408">
        <v>46</v>
      </c>
      <c r="N331" s="408">
        <v>0.28299999999999997</v>
      </c>
      <c r="O331" s="408">
        <v>18</v>
      </c>
      <c r="P331" s="408">
        <v>36</v>
      </c>
      <c r="Q331" s="408">
        <v>0.5</v>
      </c>
      <c r="R331" s="408">
        <v>0.45700000000000002</v>
      </c>
      <c r="S331" s="408">
        <v>18</v>
      </c>
      <c r="T331" s="408">
        <v>19</v>
      </c>
      <c r="U331" s="408">
        <v>0.94699999999999995</v>
      </c>
      <c r="V331" s="408">
        <v>1</v>
      </c>
      <c r="W331" s="408">
        <v>24</v>
      </c>
      <c r="X331" s="408">
        <v>25</v>
      </c>
      <c r="Y331" s="408">
        <v>15</v>
      </c>
      <c r="Z331" s="408">
        <v>5</v>
      </c>
      <c r="AA331" s="408">
        <v>1</v>
      </c>
      <c r="AB331" s="408">
        <v>9</v>
      </c>
      <c r="AC331" s="408">
        <v>15</v>
      </c>
      <c r="AD331" s="408">
        <v>93</v>
      </c>
    </row>
    <row r="332" spans="1:30">
      <c r="A332">
        <v>266</v>
      </c>
      <c r="B332" s="1" t="s">
        <v>114</v>
      </c>
      <c r="C332" s="1" t="s">
        <v>26</v>
      </c>
      <c r="D332" s="408">
        <v>28</v>
      </c>
      <c r="E332" s="5" t="s">
        <v>64</v>
      </c>
      <c r="F332" s="408">
        <v>3</v>
      </c>
      <c r="G332" s="408">
        <v>0</v>
      </c>
      <c r="H332" s="408">
        <v>18</v>
      </c>
      <c r="I332" s="408">
        <v>2</v>
      </c>
      <c r="J332" s="408">
        <v>8</v>
      </c>
      <c r="K332" s="408">
        <v>0.25</v>
      </c>
      <c r="L332" s="408">
        <v>0</v>
      </c>
      <c r="M332" s="408">
        <v>1</v>
      </c>
      <c r="N332" s="408">
        <v>0</v>
      </c>
      <c r="O332" s="408">
        <v>2</v>
      </c>
      <c r="P332" s="408">
        <v>7</v>
      </c>
      <c r="Q332" s="408">
        <v>0.28599999999999998</v>
      </c>
      <c r="R332" s="408">
        <v>0.25</v>
      </c>
      <c r="S332" s="408">
        <v>0</v>
      </c>
      <c r="T332" s="408">
        <v>0</v>
      </c>
      <c r="U332" s="408"/>
      <c r="V332" s="408">
        <v>0</v>
      </c>
      <c r="W332" s="408">
        <v>0</v>
      </c>
      <c r="X332" s="408">
        <v>0</v>
      </c>
      <c r="Y332" s="408">
        <v>2</v>
      </c>
      <c r="Z332" s="408">
        <v>0</v>
      </c>
      <c r="AA332" s="408">
        <v>0</v>
      </c>
      <c r="AB332" s="408">
        <v>0</v>
      </c>
      <c r="AC332" s="408">
        <v>1</v>
      </c>
      <c r="AD332" s="408">
        <v>4</v>
      </c>
    </row>
    <row r="333" spans="1:30">
      <c r="A333">
        <v>267</v>
      </c>
      <c r="B333" s="1" t="s">
        <v>495</v>
      </c>
      <c r="C333" s="1" t="s">
        <v>38</v>
      </c>
      <c r="D333" s="408">
        <v>26</v>
      </c>
      <c r="E333" s="5" t="s">
        <v>33</v>
      </c>
      <c r="F333" s="408">
        <v>60</v>
      </c>
      <c r="G333" s="408">
        <v>35</v>
      </c>
      <c r="H333" s="408">
        <v>985</v>
      </c>
      <c r="I333" s="408">
        <v>120</v>
      </c>
      <c r="J333" s="408">
        <v>253</v>
      </c>
      <c r="K333" s="408">
        <v>0.47399999999999998</v>
      </c>
      <c r="L333" s="408">
        <v>28</v>
      </c>
      <c r="M333" s="408">
        <v>96</v>
      </c>
      <c r="N333" s="408">
        <v>0.29199999999999998</v>
      </c>
      <c r="O333" s="408">
        <v>92</v>
      </c>
      <c r="P333" s="408">
        <v>157</v>
      </c>
      <c r="Q333" s="408">
        <v>0.58599999999999997</v>
      </c>
      <c r="R333" s="408">
        <v>0.53</v>
      </c>
      <c r="S333" s="408">
        <v>34</v>
      </c>
      <c r="T333" s="408">
        <v>47</v>
      </c>
      <c r="U333" s="408">
        <v>0.72299999999999998</v>
      </c>
      <c r="V333" s="408">
        <v>61</v>
      </c>
      <c r="W333" s="408">
        <v>116</v>
      </c>
      <c r="X333" s="408">
        <v>177</v>
      </c>
      <c r="Y333" s="408">
        <v>41</v>
      </c>
      <c r="Z333" s="408">
        <v>22</v>
      </c>
      <c r="AA333" s="408">
        <v>36</v>
      </c>
      <c r="AB333" s="408">
        <v>22</v>
      </c>
      <c r="AC333" s="408">
        <v>99</v>
      </c>
      <c r="AD333" s="408">
        <v>302</v>
      </c>
    </row>
    <row r="334" spans="1:30">
      <c r="A334">
        <v>268</v>
      </c>
      <c r="B334" s="1" t="s">
        <v>300</v>
      </c>
      <c r="C334" s="1" t="s">
        <v>26</v>
      </c>
      <c r="D334" s="408">
        <v>20</v>
      </c>
      <c r="E334" s="5" t="s">
        <v>118</v>
      </c>
      <c r="F334" s="408">
        <v>6</v>
      </c>
      <c r="G334" s="408">
        <v>0</v>
      </c>
      <c r="H334" s="408">
        <v>32</v>
      </c>
      <c r="I334" s="408">
        <v>3</v>
      </c>
      <c r="J334" s="408">
        <v>12</v>
      </c>
      <c r="K334" s="408">
        <v>0.25</v>
      </c>
      <c r="L334" s="408">
        <v>1</v>
      </c>
      <c r="M334" s="408">
        <v>8</v>
      </c>
      <c r="N334" s="408">
        <v>0.125</v>
      </c>
      <c r="O334" s="408">
        <v>2</v>
      </c>
      <c r="P334" s="408">
        <v>4</v>
      </c>
      <c r="Q334" s="408">
        <v>0.5</v>
      </c>
      <c r="R334" s="408">
        <v>0.29199999999999998</v>
      </c>
      <c r="S334" s="408">
        <v>2</v>
      </c>
      <c r="T334" s="408">
        <v>2</v>
      </c>
      <c r="U334" s="408">
        <v>1</v>
      </c>
      <c r="V334" s="408">
        <v>2</v>
      </c>
      <c r="W334" s="408">
        <v>4</v>
      </c>
      <c r="X334" s="408">
        <v>6</v>
      </c>
      <c r="Y334" s="408">
        <v>2</v>
      </c>
      <c r="Z334" s="408">
        <v>1</v>
      </c>
      <c r="AA334" s="408">
        <v>0</v>
      </c>
      <c r="AB334" s="408">
        <v>1</v>
      </c>
      <c r="AC334" s="408">
        <v>4</v>
      </c>
      <c r="AD334" s="408">
        <v>9</v>
      </c>
    </row>
    <row r="335" spans="1:30">
      <c r="A335">
        <v>269</v>
      </c>
      <c r="B335" s="1" t="s">
        <v>888</v>
      </c>
      <c r="C335" s="1" t="s">
        <v>38</v>
      </c>
      <c r="D335" s="408">
        <v>22</v>
      </c>
      <c r="E335" s="5" t="s">
        <v>21</v>
      </c>
      <c r="F335" s="408">
        <v>10</v>
      </c>
      <c r="G335" s="408">
        <v>1</v>
      </c>
      <c r="H335" s="408">
        <v>120</v>
      </c>
      <c r="I335" s="408">
        <v>19</v>
      </c>
      <c r="J335" s="408">
        <v>54</v>
      </c>
      <c r="K335" s="408">
        <v>0.35199999999999998</v>
      </c>
      <c r="L335" s="408">
        <v>10</v>
      </c>
      <c r="M335" s="408">
        <v>35</v>
      </c>
      <c r="N335" s="408">
        <v>0.28599999999999998</v>
      </c>
      <c r="O335" s="408">
        <v>9</v>
      </c>
      <c r="P335" s="408">
        <v>19</v>
      </c>
      <c r="Q335" s="408">
        <v>0.47399999999999998</v>
      </c>
      <c r="R335" s="408">
        <v>0.44400000000000001</v>
      </c>
      <c r="S335" s="408">
        <v>1</v>
      </c>
      <c r="T335" s="408">
        <v>2</v>
      </c>
      <c r="U335" s="408">
        <v>0.5</v>
      </c>
      <c r="V335" s="408">
        <v>9</v>
      </c>
      <c r="W335" s="408">
        <v>20</v>
      </c>
      <c r="X335" s="408">
        <v>29</v>
      </c>
      <c r="Y335" s="408">
        <v>7</v>
      </c>
      <c r="Z335" s="408">
        <v>3</v>
      </c>
      <c r="AA335" s="408">
        <v>9</v>
      </c>
      <c r="AB335" s="408">
        <v>2</v>
      </c>
      <c r="AC335" s="408">
        <v>7</v>
      </c>
      <c r="AD335" s="408">
        <v>49</v>
      </c>
    </row>
    <row r="336" spans="1:30">
      <c r="A336">
        <v>270</v>
      </c>
      <c r="B336" s="1" t="s">
        <v>340</v>
      </c>
      <c r="C336" s="1" t="s">
        <v>26</v>
      </c>
      <c r="D336" s="408">
        <v>36</v>
      </c>
      <c r="E336" s="5" t="s">
        <v>102</v>
      </c>
      <c r="F336" s="408">
        <v>69</v>
      </c>
      <c r="G336" s="408">
        <v>3</v>
      </c>
      <c r="H336" s="408">
        <v>1501</v>
      </c>
      <c r="I336" s="408">
        <v>214</v>
      </c>
      <c r="J336" s="408">
        <v>467</v>
      </c>
      <c r="K336" s="408">
        <v>0.45800000000000002</v>
      </c>
      <c r="L336" s="408">
        <v>160</v>
      </c>
      <c r="M336" s="408">
        <v>364</v>
      </c>
      <c r="N336" s="408">
        <v>0.44</v>
      </c>
      <c r="O336" s="408">
        <v>54</v>
      </c>
      <c r="P336" s="408">
        <v>103</v>
      </c>
      <c r="Q336" s="408">
        <v>0.52400000000000002</v>
      </c>
      <c r="R336" s="408">
        <v>0.63</v>
      </c>
      <c r="S336" s="408">
        <v>61</v>
      </c>
      <c r="T336" s="408">
        <v>69</v>
      </c>
      <c r="U336" s="408">
        <v>0.88400000000000001</v>
      </c>
      <c r="V336" s="408">
        <v>9</v>
      </c>
      <c r="W336" s="408">
        <v>145</v>
      </c>
      <c r="X336" s="408">
        <v>154</v>
      </c>
      <c r="Y336" s="408">
        <v>84</v>
      </c>
      <c r="Z336" s="408">
        <v>27</v>
      </c>
      <c r="AA336" s="408">
        <v>26</v>
      </c>
      <c r="AB336" s="408">
        <v>49</v>
      </c>
      <c r="AC336" s="408">
        <v>120</v>
      </c>
      <c r="AD336" s="408">
        <v>649</v>
      </c>
    </row>
    <row r="337" spans="1:30">
      <c r="A337">
        <v>271</v>
      </c>
      <c r="B337" s="1" t="s">
        <v>618</v>
      </c>
      <c r="C337" s="1" t="s">
        <v>83</v>
      </c>
      <c r="D337" s="408">
        <v>28</v>
      </c>
      <c r="E337" s="5" t="s">
        <v>100</v>
      </c>
      <c r="F337" s="408">
        <v>67</v>
      </c>
      <c r="G337" s="408">
        <v>13</v>
      </c>
      <c r="H337" s="408">
        <v>1297</v>
      </c>
      <c r="I337" s="408">
        <v>201</v>
      </c>
      <c r="J337" s="408">
        <v>359</v>
      </c>
      <c r="K337" s="408">
        <v>0.56000000000000005</v>
      </c>
      <c r="L337" s="408">
        <v>0</v>
      </c>
      <c r="M337" s="408">
        <v>0</v>
      </c>
      <c r="N337" s="408"/>
      <c r="O337" s="408">
        <v>201</v>
      </c>
      <c r="P337" s="408">
        <v>359</v>
      </c>
      <c r="Q337" s="408">
        <v>0.56000000000000005</v>
      </c>
      <c r="R337" s="408">
        <v>0.56000000000000005</v>
      </c>
      <c r="S337" s="408">
        <v>31</v>
      </c>
      <c r="T337" s="408">
        <v>70</v>
      </c>
      <c r="U337" s="408">
        <v>0.443</v>
      </c>
      <c r="V337" s="408">
        <v>138</v>
      </c>
      <c r="W337" s="408">
        <v>303</v>
      </c>
      <c r="X337" s="408">
        <v>441</v>
      </c>
      <c r="Y337" s="408">
        <v>81</v>
      </c>
      <c r="Z337" s="408">
        <v>42</v>
      </c>
      <c r="AA337" s="408">
        <v>28</v>
      </c>
      <c r="AB337" s="408">
        <v>49</v>
      </c>
      <c r="AC337" s="408">
        <v>134</v>
      </c>
      <c r="AD337" s="408">
        <v>433</v>
      </c>
    </row>
    <row r="338" spans="1:30">
      <c r="A338">
        <v>272</v>
      </c>
      <c r="B338" s="1" t="s">
        <v>345</v>
      </c>
      <c r="C338" s="1" t="s">
        <v>38</v>
      </c>
      <c r="D338" s="408">
        <v>22</v>
      </c>
      <c r="E338" s="5" t="s">
        <v>78</v>
      </c>
      <c r="F338" s="408">
        <v>68</v>
      </c>
      <c r="G338" s="408">
        <v>29</v>
      </c>
      <c r="H338" s="408">
        <v>2059</v>
      </c>
      <c r="I338" s="408">
        <v>402</v>
      </c>
      <c r="J338" s="408">
        <v>895</v>
      </c>
      <c r="K338" s="408">
        <v>0.44900000000000001</v>
      </c>
      <c r="L338" s="408">
        <v>135</v>
      </c>
      <c r="M338" s="408">
        <v>369</v>
      </c>
      <c r="N338" s="408">
        <v>0.36599999999999999</v>
      </c>
      <c r="O338" s="408">
        <v>267</v>
      </c>
      <c r="P338" s="408">
        <v>526</v>
      </c>
      <c r="Q338" s="408">
        <v>0.50800000000000001</v>
      </c>
      <c r="R338" s="408">
        <v>0.52500000000000002</v>
      </c>
      <c r="S338" s="408">
        <v>120</v>
      </c>
      <c r="T338" s="408">
        <v>170</v>
      </c>
      <c r="U338" s="408">
        <v>0.70599999999999996</v>
      </c>
      <c r="V338" s="408">
        <v>82</v>
      </c>
      <c r="W338" s="408">
        <v>340</v>
      </c>
      <c r="X338" s="408">
        <v>422</v>
      </c>
      <c r="Y338" s="408">
        <v>122</v>
      </c>
      <c r="Z338" s="408">
        <v>42</v>
      </c>
      <c r="AA338" s="408">
        <v>31</v>
      </c>
      <c r="AB338" s="408">
        <v>115</v>
      </c>
      <c r="AC338" s="408">
        <v>143</v>
      </c>
      <c r="AD338" s="408">
        <v>1059</v>
      </c>
    </row>
    <row r="339" spans="1:30">
      <c r="A339">
        <v>273</v>
      </c>
      <c r="B339" s="1" t="s">
        <v>648</v>
      </c>
      <c r="C339" s="1" t="s">
        <v>46</v>
      </c>
      <c r="D339" s="408">
        <v>28</v>
      </c>
      <c r="E339" s="5" t="s">
        <v>21</v>
      </c>
      <c r="F339" s="408">
        <v>1</v>
      </c>
      <c r="G339" s="408">
        <v>0</v>
      </c>
      <c r="H339" s="408">
        <v>2</v>
      </c>
      <c r="I339" s="408">
        <v>0</v>
      </c>
      <c r="J339" s="408">
        <v>2</v>
      </c>
      <c r="K339" s="408">
        <v>0</v>
      </c>
      <c r="L339" s="408">
        <v>0</v>
      </c>
      <c r="M339" s="408">
        <v>0</v>
      </c>
      <c r="N339" s="408"/>
      <c r="O339" s="408">
        <v>0</v>
      </c>
      <c r="P339" s="408">
        <v>2</v>
      </c>
      <c r="Q339" s="408">
        <v>0</v>
      </c>
      <c r="R339" s="408">
        <v>0</v>
      </c>
      <c r="S339" s="408">
        <v>0</v>
      </c>
      <c r="T339" s="408">
        <v>0</v>
      </c>
      <c r="U339" s="408"/>
      <c r="V339" s="408">
        <v>0</v>
      </c>
      <c r="W339" s="408">
        <v>0</v>
      </c>
      <c r="X339" s="408">
        <v>0</v>
      </c>
      <c r="Y339" s="408">
        <v>0</v>
      </c>
      <c r="Z339" s="408">
        <v>0</v>
      </c>
      <c r="AA339" s="408">
        <v>0</v>
      </c>
      <c r="AB339" s="408">
        <v>0</v>
      </c>
      <c r="AC339" s="408">
        <v>0</v>
      </c>
      <c r="AD339" s="408">
        <v>0</v>
      </c>
    </row>
    <row r="340" spans="1:30">
      <c r="A340">
        <v>274</v>
      </c>
      <c r="B340" s="1" t="s">
        <v>557</v>
      </c>
      <c r="C340" s="1" t="s">
        <v>38</v>
      </c>
      <c r="D340" s="408">
        <v>21</v>
      </c>
      <c r="E340" s="5" t="s">
        <v>100</v>
      </c>
      <c r="F340" s="408">
        <v>54</v>
      </c>
      <c r="G340" s="408">
        <v>22</v>
      </c>
      <c r="H340" s="408">
        <v>1078</v>
      </c>
      <c r="I340" s="408">
        <v>182</v>
      </c>
      <c r="J340" s="408">
        <v>395</v>
      </c>
      <c r="K340" s="408">
        <v>0.46100000000000002</v>
      </c>
      <c r="L340" s="408">
        <v>15</v>
      </c>
      <c r="M340" s="408">
        <v>37</v>
      </c>
      <c r="N340" s="408">
        <v>0.40500000000000003</v>
      </c>
      <c r="O340" s="408">
        <v>167</v>
      </c>
      <c r="P340" s="408">
        <v>358</v>
      </c>
      <c r="Q340" s="408">
        <v>0.46600000000000003</v>
      </c>
      <c r="R340" s="408">
        <v>0.48</v>
      </c>
      <c r="S340" s="408">
        <v>86</v>
      </c>
      <c r="T340" s="408">
        <v>109</v>
      </c>
      <c r="U340" s="408">
        <v>0.78900000000000003</v>
      </c>
      <c r="V340" s="408">
        <v>86</v>
      </c>
      <c r="W340" s="408">
        <v>161</v>
      </c>
      <c r="X340" s="408">
        <v>247</v>
      </c>
      <c r="Y340" s="408">
        <v>58</v>
      </c>
      <c r="Z340" s="408">
        <v>24</v>
      </c>
      <c r="AA340" s="408">
        <v>44</v>
      </c>
      <c r="AB340" s="408">
        <v>59</v>
      </c>
      <c r="AC340" s="408">
        <v>118</v>
      </c>
      <c r="AD340" s="408">
        <v>465</v>
      </c>
    </row>
    <row r="341" spans="1:30">
      <c r="A341">
        <v>275</v>
      </c>
      <c r="B341" s="1" t="s">
        <v>411</v>
      </c>
      <c r="C341" s="1" t="s">
        <v>26</v>
      </c>
      <c r="D341" s="408">
        <v>25</v>
      </c>
      <c r="E341" s="5" t="s">
        <v>311</v>
      </c>
      <c r="F341" s="408">
        <v>70</v>
      </c>
      <c r="G341" s="408">
        <v>15</v>
      </c>
      <c r="H341" s="408">
        <v>1715</v>
      </c>
      <c r="I341" s="408">
        <v>335</v>
      </c>
      <c r="J341" s="408">
        <v>742</v>
      </c>
      <c r="K341" s="408">
        <v>0.45100000000000001</v>
      </c>
      <c r="L341" s="408">
        <v>80</v>
      </c>
      <c r="M341" s="408">
        <v>224</v>
      </c>
      <c r="N341" s="408">
        <v>0.35699999999999998</v>
      </c>
      <c r="O341" s="408">
        <v>255</v>
      </c>
      <c r="P341" s="408">
        <v>518</v>
      </c>
      <c r="Q341" s="408">
        <v>0.49199999999999999</v>
      </c>
      <c r="R341" s="408">
        <v>0.505</v>
      </c>
      <c r="S341" s="408">
        <v>167</v>
      </c>
      <c r="T341" s="408">
        <v>194</v>
      </c>
      <c r="U341" s="408">
        <v>0.86099999999999999</v>
      </c>
      <c r="V341" s="408">
        <v>45</v>
      </c>
      <c r="W341" s="408">
        <v>241</v>
      </c>
      <c r="X341" s="408">
        <v>286</v>
      </c>
      <c r="Y341" s="408">
        <v>156</v>
      </c>
      <c r="Z341" s="408">
        <v>54</v>
      </c>
      <c r="AA341" s="408">
        <v>30</v>
      </c>
      <c r="AB341" s="408">
        <v>80</v>
      </c>
      <c r="AC341" s="408">
        <v>126</v>
      </c>
      <c r="AD341" s="408">
        <v>917</v>
      </c>
    </row>
    <row r="342" spans="1:30">
      <c r="A342">
        <v>276</v>
      </c>
      <c r="B342" s="1" t="s">
        <v>88</v>
      </c>
      <c r="C342" s="1" t="s">
        <v>20</v>
      </c>
      <c r="D342" s="408">
        <v>25</v>
      </c>
      <c r="E342" s="5" t="s">
        <v>87</v>
      </c>
      <c r="F342" s="408">
        <v>45</v>
      </c>
      <c r="G342" s="408">
        <v>1</v>
      </c>
      <c r="H342" s="408">
        <v>554</v>
      </c>
      <c r="I342" s="408">
        <v>61</v>
      </c>
      <c r="J342" s="408">
        <v>156</v>
      </c>
      <c r="K342" s="408">
        <v>0.39100000000000001</v>
      </c>
      <c r="L342" s="408">
        <v>24</v>
      </c>
      <c r="M342" s="408">
        <v>64</v>
      </c>
      <c r="N342" s="408">
        <v>0.375</v>
      </c>
      <c r="O342" s="408">
        <v>37</v>
      </c>
      <c r="P342" s="408">
        <v>92</v>
      </c>
      <c r="Q342" s="408">
        <v>0.40200000000000002</v>
      </c>
      <c r="R342" s="408">
        <v>0.46800000000000003</v>
      </c>
      <c r="S342" s="408">
        <v>25</v>
      </c>
      <c r="T342" s="408">
        <v>28</v>
      </c>
      <c r="U342" s="408">
        <v>0.89300000000000002</v>
      </c>
      <c r="V342" s="408">
        <v>8</v>
      </c>
      <c r="W342" s="408">
        <v>49</v>
      </c>
      <c r="X342" s="408">
        <v>57</v>
      </c>
      <c r="Y342" s="408">
        <v>58</v>
      </c>
      <c r="Z342" s="408">
        <v>21</v>
      </c>
      <c r="AA342" s="408">
        <v>2</v>
      </c>
      <c r="AB342" s="408">
        <v>25</v>
      </c>
      <c r="AC342" s="408">
        <v>45</v>
      </c>
      <c r="AD342" s="408">
        <v>171</v>
      </c>
    </row>
    <row r="343" spans="1:30">
      <c r="A343">
        <v>277</v>
      </c>
      <c r="B343" s="1" t="s">
        <v>562</v>
      </c>
      <c r="C343" s="1" t="s">
        <v>83</v>
      </c>
      <c r="D343" s="408">
        <v>26</v>
      </c>
      <c r="E343" s="5" t="s">
        <v>140</v>
      </c>
      <c r="F343" s="408">
        <v>49</v>
      </c>
      <c r="G343" s="408">
        <v>1</v>
      </c>
      <c r="H343" s="408">
        <v>500</v>
      </c>
      <c r="I343" s="408">
        <v>93</v>
      </c>
      <c r="J343" s="408">
        <v>178</v>
      </c>
      <c r="K343" s="408">
        <v>0.52200000000000002</v>
      </c>
      <c r="L343" s="408">
        <v>0</v>
      </c>
      <c r="M343" s="408">
        <v>5</v>
      </c>
      <c r="N343" s="408">
        <v>0</v>
      </c>
      <c r="O343" s="408">
        <v>93</v>
      </c>
      <c r="P343" s="408">
        <v>173</v>
      </c>
      <c r="Q343" s="408">
        <v>0.53800000000000003</v>
      </c>
      <c r="R343" s="408">
        <v>0.52200000000000002</v>
      </c>
      <c r="S343" s="408">
        <v>28</v>
      </c>
      <c r="T343" s="408">
        <v>43</v>
      </c>
      <c r="U343" s="408">
        <v>0.65100000000000002</v>
      </c>
      <c r="V343" s="408">
        <v>60</v>
      </c>
      <c r="W343" s="408">
        <v>103</v>
      </c>
      <c r="X343" s="408">
        <v>163</v>
      </c>
      <c r="Y343" s="408">
        <v>38</v>
      </c>
      <c r="Z343" s="408">
        <v>9</v>
      </c>
      <c r="AA343" s="408">
        <v>3</v>
      </c>
      <c r="AB343" s="408">
        <v>32</v>
      </c>
      <c r="AC343" s="408">
        <v>44</v>
      </c>
      <c r="AD343" s="408">
        <v>214</v>
      </c>
    </row>
    <row r="344" spans="1:30">
      <c r="A344">
        <v>278</v>
      </c>
      <c r="B344" s="1" t="s">
        <v>225</v>
      </c>
      <c r="C344" s="1" t="s">
        <v>26</v>
      </c>
      <c r="D344" s="408">
        <v>22</v>
      </c>
      <c r="E344" s="5" t="s">
        <v>43</v>
      </c>
      <c r="F344" s="408">
        <v>24</v>
      </c>
      <c r="G344" s="408">
        <v>24</v>
      </c>
      <c r="H344" s="408">
        <v>656</v>
      </c>
      <c r="I344" s="408">
        <v>136</v>
      </c>
      <c r="J344" s="408">
        <v>355</v>
      </c>
      <c r="K344" s="408">
        <v>0.38300000000000001</v>
      </c>
      <c r="L344" s="408">
        <v>42</v>
      </c>
      <c r="M344" s="408">
        <v>123</v>
      </c>
      <c r="N344" s="408">
        <v>0.34100000000000003</v>
      </c>
      <c r="O344" s="408">
        <v>94</v>
      </c>
      <c r="P344" s="408">
        <v>232</v>
      </c>
      <c r="Q344" s="408">
        <v>0.40500000000000003</v>
      </c>
      <c r="R344" s="408">
        <v>0.442</v>
      </c>
      <c r="S344" s="408">
        <v>87</v>
      </c>
      <c r="T344" s="408">
        <v>107</v>
      </c>
      <c r="U344" s="408">
        <v>0.81299999999999994</v>
      </c>
      <c r="V344" s="408">
        <v>9</v>
      </c>
      <c r="W344" s="408">
        <v>86</v>
      </c>
      <c r="X344" s="408">
        <v>95</v>
      </c>
      <c r="Y344" s="408">
        <v>72</v>
      </c>
      <c r="Z344" s="408">
        <v>24</v>
      </c>
      <c r="AA344" s="408">
        <v>4</v>
      </c>
      <c r="AB344" s="408">
        <v>43</v>
      </c>
      <c r="AC344" s="408">
        <v>55</v>
      </c>
      <c r="AD344" s="408">
        <v>401</v>
      </c>
    </row>
    <row r="345" spans="1:30">
      <c r="A345">
        <v>279</v>
      </c>
      <c r="B345" s="1" t="s">
        <v>301</v>
      </c>
      <c r="C345" s="1" t="s">
        <v>46</v>
      </c>
      <c r="D345" s="408">
        <v>23</v>
      </c>
      <c r="E345" s="5" t="s">
        <v>96</v>
      </c>
      <c r="F345" s="408">
        <v>31</v>
      </c>
      <c r="G345" s="408">
        <v>1</v>
      </c>
      <c r="H345" s="408">
        <v>153</v>
      </c>
      <c r="I345" s="408">
        <v>12</v>
      </c>
      <c r="J345" s="408">
        <v>44</v>
      </c>
      <c r="K345" s="408">
        <v>0.27300000000000002</v>
      </c>
      <c r="L345" s="408">
        <v>4</v>
      </c>
      <c r="M345" s="408">
        <v>19</v>
      </c>
      <c r="N345" s="408">
        <v>0.21099999999999999</v>
      </c>
      <c r="O345" s="408">
        <v>8</v>
      </c>
      <c r="P345" s="408">
        <v>25</v>
      </c>
      <c r="Q345" s="408">
        <v>0.32</v>
      </c>
      <c r="R345" s="408">
        <v>0.318</v>
      </c>
      <c r="S345" s="408">
        <v>2</v>
      </c>
      <c r="T345" s="408">
        <v>3</v>
      </c>
      <c r="U345" s="408">
        <v>0.66700000000000004</v>
      </c>
      <c r="V345" s="408">
        <v>4</v>
      </c>
      <c r="W345" s="408">
        <v>10</v>
      </c>
      <c r="X345" s="408">
        <v>14</v>
      </c>
      <c r="Y345" s="408">
        <v>10</v>
      </c>
      <c r="Z345" s="408">
        <v>6</v>
      </c>
      <c r="AA345" s="408">
        <v>4</v>
      </c>
      <c r="AB345" s="408">
        <v>5</v>
      </c>
      <c r="AC345" s="408">
        <v>13</v>
      </c>
      <c r="AD345" s="408">
        <v>30</v>
      </c>
    </row>
    <row r="346" spans="1:30">
      <c r="A346">
        <v>280</v>
      </c>
      <c r="B346" s="1" t="s">
        <v>608</v>
      </c>
      <c r="C346" s="1" t="s">
        <v>38</v>
      </c>
      <c r="D346" s="408">
        <v>20</v>
      </c>
      <c r="E346" s="5" t="s">
        <v>30</v>
      </c>
      <c r="F346" s="408">
        <v>49</v>
      </c>
      <c r="G346" s="408">
        <v>0</v>
      </c>
      <c r="H346" s="408">
        <v>424</v>
      </c>
      <c r="I346" s="408">
        <v>57</v>
      </c>
      <c r="J346" s="408">
        <v>121</v>
      </c>
      <c r="K346" s="408">
        <v>0.47099999999999997</v>
      </c>
      <c r="L346" s="408">
        <v>18</v>
      </c>
      <c r="M346" s="408">
        <v>39</v>
      </c>
      <c r="N346" s="408">
        <v>0.46200000000000002</v>
      </c>
      <c r="O346" s="408">
        <v>39</v>
      </c>
      <c r="P346" s="408">
        <v>82</v>
      </c>
      <c r="Q346" s="408">
        <v>0.47599999999999998</v>
      </c>
      <c r="R346" s="408">
        <v>0.54500000000000004</v>
      </c>
      <c r="S346" s="408">
        <v>8</v>
      </c>
      <c r="T346" s="408">
        <v>12</v>
      </c>
      <c r="U346" s="408">
        <v>0.66700000000000004</v>
      </c>
      <c r="V346" s="408">
        <v>26</v>
      </c>
      <c r="W346" s="408">
        <v>50</v>
      </c>
      <c r="X346" s="408">
        <v>76</v>
      </c>
      <c r="Y346" s="408">
        <v>8</v>
      </c>
      <c r="Z346" s="408">
        <v>5</v>
      </c>
      <c r="AA346" s="408">
        <v>4</v>
      </c>
      <c r="AB346" s="408">
        <v>10</v>
      </c>
      <c r="AC346" s="408">
        <v>43</v>
      </c>
      <c r="AD346" s="408">
        <v>140</v>
      </c>
    </row>
    <row r="347" spans="1:30">
      <c r="A347">
        <v>281</v>
      </c>
      <c r="B347" s="1" t="s">
        <v>388</v>
      </c>
      <c r="C347" s="1" t="s">
        <v>26</v>
      </c>
      <c r="D347" s="408">
        <v>32</v>
      </c>
      <c r="E347" s="5" t="s">
        <v>21</v>
      </c>
      <c r="F347" s="408">
        <v>68</v>
      </c>
      <c r="G347" s="408">
        <v>66</v>
      </c>
      <c r="H347" s="408">
        <v>2110</v>
      </c>
      <c r="I347" s="408">
        <v>311</v>
      </c>
      <c r="J347" s="408">
        <v>690</v>
      </c>
      <c r="K347" s="408">
        <v>0.45100000000000001</v>
      </c>
      <c r="L347" s="408">
        <v>103</v>
      </c>
      <c r="M347" s="408">
        <v>255</v>
      </c>
      <c r="N347" s="408">
        <v>0.40400000000000003</v>
      </c>
      <c r="O347" s="408">
        <v>208</v>
      </c>
      <c r="P347" s="408">
        <v>435</v>
      </c>
      <c r="Q347" s="408">
        <v>0.47799999999999998</v>
      </c>
      <c r="R347" s="408">
        <v>0.52500000000000002</v>
      </c>
      <c r="S347" s="408">
        <v>111</v>
      </c>
      <c r="T347" s="408">
        <v>121</v>
      </c>
      <c r="U347" s="408">
        <v>0.91700000000000004</v>
      </c>
      <c r="V347" s="408">
        <v>27</v>
      </c>
      <c r="W347" s="408">
        <v>178</v>
      </c>
      <c r="X347" s="408">
        <v>205</v>
      </c>
      <c r="Y347" s="408">
        <v>169</v>
      </c>
      <c r="Z347" s="408">
        <v>76</v>
      </c>
      <c r="AA347" s="408">
        <v>14</v>
      </c>
      <c r="AB347" s="408">
        <v>80</v>
      </c>
      <c r="AC347" s="408">
        <v>100</v>
      </c>
      <c r="AD347" s="408">
        <v>836</v>
      </c>
    </row>
    <row r="348" spans="1:30">
      <c r="A348">
        <v>282</v>
      </c>
      <c r="B348" s="1" t="s">
        <v>1208</v>
      </c>
      <c r="C348" s="1" t="s">
        <v>26</v>
      </c>
      <c r="D348" s="408">
        <v>25</v>
      </c>
      <c r="E348" s="5" t="s">
        <v>149</v>
      </c>
      <c r="F348" s="408">
        <v>3</v>
      </c>
      <c r="G348" s="408">
        <v>0</v>
      </c>
      <c r="H348" s="408">
        <v>64</v>
      </c>
      <c r="I348" s="408">
        <v>11</v>
      </c>
      <c r="J348" s="408">
        <v>24</v>
      </c>
      <c r="K348" s="408">
        <v>0.45800000000000002</v>
      </c>
      <c r="L348" s="408">
        <v>6</v>
      </c>
      <c r="M348" s="408">
        <v>13</v>
      </c>
      <c r="N348" s="408">
        <v>0.46200000000000002</v>
      </c>
      <c r="O348" s="408">
        <v>5</v>
      </c>
      <c r="P348" s="408">
        <v>11</v>
      </c>
      <c r="Q348" s="408">
        <v>0.45500000000000002</v>
      </c>
      <c r="R348" s="408">
        <v>0.58299999999999996</v>
      </c>
      <c r="S348" s="408">
        <v>6</v>
      </c>
      <c r="T348" s="408">
        <v>8</v>
      </c>
      <c r="U348" s="408">
        <v>0.75</v>
      </c>
      <c r="V348" s="408">
        <v>1</v>
      </c>
      <c r="W348" s="408">
        <v>7</v>
      </c>
      <c r="X348" s="408">
        <v>8</v>
      </c>
      <c r="Y348" s="408">
        <v>4</v>
      </c>
      <c r="Z348" s="408">
        <v>3</v>
      </c>
      <c r="AA348" s="408">
        <v>0</v>
      </c>
      <c r="AB348" s="408">
        <v>2</v>
      </c>
      <c r="AC348" s="408">
        <v>5</v>
      </c>
      <c r="AD348" s="408">
        <v>34</v>
      </c>
    </row>
    <row r="349" spans="1:30">
      <c r="A349">
        <v>283</v>
      </c>
      <c r="B349" s="1" t="s">
        <v>1042</v>
      </c>
      <c r="C349" s="1" t="s">
        <v>20</v>
      </c>
      <c r="D349" s="408">
        <v>25</v>
      </c>
      <c r="E349" s="5" t="s">
        <v>112</v>
      </c>
      <c r="F349" s="408">
        <v>5</v>
      </c>
      <c r="G349" s="408">
        <v>0</v>
      </c>
      <c r="H349" s="408">
        <v>35</v>
      </c>
      <c r="I349" s="408">
        <v>7</v>
      </c>
      <c r="J349" s="408">
        <v>16</v>
      </c>
      <c r="K349" s="408">
        <v>0.438</v>
      </c>
      <c r="L349" s="408">
        <v>1</v>
      </c>
      <c r="M349" s="408">
        <v>1</v>
      </c>
      <c r="N349" s="408">
        <v>1</v>
      </c>
      <c r="O349" s="408">
        <v>6</v>
      </c>
      <c r="P349" s="408">
        <v>15</v>
      </c>
      <c r="Q349" s="408">
        <v>0.4</v>
      </c>
      <c r="R349" s="408">
        <v>0.46899999999999997</v>
      </c>
      <c r="S349" s="408">
        <v>2</v>
      </c>
      <c r="T349" s="408">
        <v>3</v>
      </c>
      <c r="U349" s="408">
        <v>0.66700000000000004</v>
      </c>
      <c r="V349" s="408">
        <v>0</v>
      </c>
      <c r="W349" s="408">
        <v>2</v>
      </c>
      <c r="X349" s="408">
        <v>2</v>
      </c>
      <c r="Y349" s="408">
        <v>5</v>
      </c>
      <c r="Z349" s="408">
        <v>0</v>
      </c>
      <c r="AA349" s="408">
        <v>1</v>
      </c>
      <c r="AB349" s="408">
        <v>4</v>
      </c>
      <c r="AC349" s="408">
        <v>5</v>
      </c>
      <c r="AD349" s="408">
        <v>17</v>
      </c>
    </row>
    <row r="350" spans="1:30">
      <c r="A350">
        <v>284</v>
      </c>
      <c r="B350" s="1" t="s">
        <v>191</v>
      </c>
      <c r="C350" s="1" t="s">
        <v>83</v>
      </c>
      <c r="D350" s="408">
        <v>24</v>
      </c>
      <c r="E350" s="5" t="s">
        <v>313</v>
      </c>
      <c r="F350" s="408">
        <v>61</v>
      </c>
      <c r="G350" s="408">
        <v>10</v>
      </c>
      <c r="H350" s="408">
        <v>1200</v>
      </c>
      <c r="I350" s="408">
        <v>169</v>
      </c>
      <c r="J350" s="408">
        <v>305</v>
      </c>
      <c r="K350" s="408">
        <v>0.55400000000000005</v>
      </c>
      <c r="L350" s="408">
        <v>0</v>
      </c>
      <c r="M350" s="408">
        <v>0</v>
      </c>
      <c r="N350" s="408"/>
      <c r="O350" s="408">
        <v>169</v>
      </c>
      <c r="P350" s="408">
        <v>305</v>
      </c>
      <c r="Q350" s="408">
        <v>0.55400000000000005</v>
      </c>
      <c r="R350" s="408">
        <v>0.55400000000000005</v>
      </c>
      <c r="S350" s="408">
        <v>137</v>
      </c>
      <c r="T350" s="408">
        <v>196</v>
      </c>
      <c r="U350" s="408">
        <v>0.69899999999999995</v>
      </c>
      <c r="V350" s="408">
        <v>147</v>
      </c>
      <c r="W350" s="408">
        <v>306</v>
      </c>
      <c r="X350" s="408">
        <v>453</v>
      </c>
      <c r="Y350" s="408">
        <v>68</v>
      </c>
      <c r="Z350" s="408">
        <v>24</v>
      </c>
      <c r="AA350" s="408">
        <v>56</v>
      </c>
      <c r="AB350" s="408">
        <v>68</v>
      </c>
      <c r="AC350" s="408">
        <v>138</v>
      </c>
      <c r="AD350" s="408">
        <v>475</v>
      </c>
    </row>
    <row r="351" spans="1:30">
      <c r="A351">
        <v>285</v>
      </c>
      <c r="B351" s="1" t="s">
        <v>373</v>
      </c>
      <c r="C351" s="1" t="s">
        <v>46</v>
      </c>
      <c r="D351" s="408">
        <v>26</v>
      </c>
      <c r="E351" s="5" t="s">
        <v>140</v>
      </c>
      <c r="F351" s="408">
        <v>9</v>
      </c>
      <c r="G351" s="408">
        <v>9</v>
      </c>
      <c r="H351" s="408">
        <v>210</v>
      </c>
      <c r="I351" s="408">
        <v>52</v>
      </c>
      <c r="J351" s="408">
        <v>111</v>
      </c>
      <c r="K351" s="408">
        <v>0.46800000000000003</v>
      </c>
      <c r="L351" s="408">
        <v>11</v>
      </c>
      <c r="M351" s="408">
        <v>35</v>
      </c>
      <c r="N351" s="408">
        <v>0.314</v>
      </c>
      <c r="O351" s="408">
        <v>41</v>
      </c>
      <c r="P351" s="408">
        <v>76</v>
      </c>
      <c r="Q351" s="408">
        <v>0.53900000000000003</v>
      </c>
      <c r="R351" s="408">
        <v>0.51800000000000002</v>
      </c>
      <c r="S351" s="408">
        <v>31</v>
      </c>
      <c r="T351" s="408">
        <v>38</v>
      </c>
      <c r="U351" s="408">
        <v>0.81599999999999995</v>
      </c>
      <c r="V351" s="408">
        <v>6</v>
      </c>
      <c r="W351" s="408">
        <v>36</v>
      </c>
      <c r="X351" s="408">
        <v>42</v>
      </c>
      <c r="Y351" s="408">
        <v>21</v>
      </c>
      <c r="Z351" s="408">
        <v>18</v>
      </c>
      <c r="AA351" s="408">
        <v>9</v>
      </c>
      <c r="AB351" s="408">
        <v>16</v>
      </c>
      <c r="AC351" s="408">
        <v>9</v>
      </c>
      <c r="AD351" s="408">
        <v>146</v>
      </c>
    </row>
    <row r="352" spans="1:30">
      <c r="A352">
        <v>286</v>
      </c>
      <c r="B352" s="1" t="s">
        <v>535</v>
      </c>
      <c r="C352" s="1" t="s">
        <v>83</v>
      </c>
      <c r="D352" s="408">
        <v>25</v>
      </c>
      <c r="E352" s="5" t="s">
        <v>96</v>
      </c>
      <c r="F352" s="408">
        <v>27</v>
      </c>
      <c r="G352" s="408">
        <v>2</v>
      </c>
      <c r="H352" s="408">
        <v>204</v>
      </c>
      <c r="I352" s="408">
        <v>36</v>
      </c>
      <c r="J352" s="408">
        <v>62</v>
      </c>
      <c r="K352" s="408">
        <v>0.58099999999999996</v>
      </c>
      <c r="L352" s="408">
        <v>9</v>
      </c>
      <c r="M352" s="408">
        <v>21</v>
      </c>
      <c r="N352" s="408">
        <v>0.42899999999999999</v>
      </c>
      <c r="O352" s="408">
        <v>27</v>
      </c>
      <c r="P352" s="408">
        <v>41</v>
      </c>
      <c r="Q352" s="408">
        <v>0.65900000000000003</v>
      </c>
      <c r="R352" s="408">
        <v>0.65300000000000002</v>
      </c>
      <c r="S352" s="408">
        <v>8</v>
      </c>
      <c r="T352" s="408">
        <v>10</v>
      </c>
      <c r="U352" s="408">
        <v>0.8</v>
      </c>
      <c r="V352" s="408">
        <v>10</v>
      </c>
      <c r="W352" s="408">
        <v>45</v>
      </c>
      <c r="X352" s="408">
        <v>55</v>
      </c>
      <c r="Y352" s="408">
        <v>13</v>
      </c>
      <c r="Z352" s="408">
        <v>5</v>
      </c>
      <c r="AA352" s="408">
        <v>0</v>
      </c>
      <c r="AB352" s="408">
        <v>7</v>
      </c>
      <c r="AC352" s="408">
        <v>28</v>
      </c>
      <c r="AD352" s="408">
        <v>89</v>
      </c>
    </row>
    <row r="353" spans="1:30">
      <c r="A353">
        <v>287</v>
      </c>
      <c r="B353" s="1" t="s">
        <v>556</v>
      </c>
      <c r="C353" s="1" t="s">
        <v>38</v>
      </c>
      <c r="D353" s="408">
        <v>28</v>
      </c>
      <c r="E353" s="5" t="s">
        <v>157</v>
      </c>
      <c r="F353" s="408">
        <v>8</v>
      </c>
      <c r="G353" s="408">
        <v>0</v>
      </c>
      <c r="H353" s="408">
        <v>136</v>
      </c>
      <c r="I353" s="408">
        <v>15</v>
      </c>
      <c r="J353" s="408">
        <v>36</v>
      </c>
      <c r="K353" s="408">
        <v>0.41699999999999998</v>
      </c>
      <c r="L353" s="408">
        <v>0</v>
      </c>
      <c r="M353" s="408">
        <v>3</v>
      </c>
      <c r="N353" s="408">
        <v>0</v>
      </c>
      <c r="O353" s="408">
        <v>15</v>
      </c>
      <c r="P353" s="408">
        <v>33</v>
      </c>
      <c r="Q353" s="408">
        <v>0.45500000000000002</v>
      </c>
      <c r="R353" s="408">
        <v>0.41699999999999998</v>
      </c>
      <c r="S353" s="408">
        <v>13</v>
      </c>
      <c r="T353" s="408">
        <v>15</v>
      </c>
      <c r="U353" s="408">
        <v>0.86699999999999999</v>
      </c>
      <c r="V353" s="408">
        <v>7</v>
      </c>
      <c r="W353" s="408">
        <v>25</v>
      </c>
      <c r="X353" s="408">
        <v>32</v>
      </c>
      <c r="Y353" s="408">
        <v>5</v>
      </c>
      <c r="Z353" s="408">
        <v>1</v>
      </c>
      <c r="AA353" s="408">
        <v>3</v>
      </c>
      <c r="AB353" s="408">
        <v>7</v>
      </c>
      <c r="AC353" s="408">
        <v>16</v>
      </c>
      <c r="AD353" s="408">
        <v>43</v>
      </c>
    </row>
    <row r="354" spans="1:30">
      <c r="A354">
        <v>288</v>
      </c>
      <c r="B354" s="1" t="s">
        <v>416</v>
      </c>
      <c r="C354" s="1" t="s">
        <v>46</v>
      </c>
      <c r="D354" s="408">
        <v>23</v>
      </c>
      <c r="E354" s="5" t="s">
        <v>315</v>
      </c>
      <c r="F354" s="408">
        <v>61</v>
      </c>
      <c r="G354" s="408">
        <v>9</v>
      </c>
      <c r="H354" s="408">
        <v>1586</v>
      </c>
      <c r="I354" s="408">
        <v>274</v>
      </c>
      <c r="J354" s="408">
        <v>623</v>
      </c>
      <c r="K354" s="408">
        <v>0.44</v>
      </c>
      <c r="L354" s="408">
        <v>74</v>
      </c>
      <c r="M354" s="408">
        <v>208</v>
      </c>
      <c r="N354" s="408">
        <v>0.35599999999999998</v>
      </c>
      <c r="O354" s="408">
        <v>200</v>
      </c>
      <c r="P354" s="408">
        <v>415</v>
      </c>
      <c r="Q354" s="408">
        <v>0.48199999999999998</v>
      </c>
      <c r="R354" s="408">
        <v>0.499</v>
      </c>
      <c r="S354" s="408">
        <v>119</v>
      </c>
      <c r="T354" s="408">
        <v>168</v>
      </c>
      <c r="U354" s="408">
        <v>0.70799999999999996</v>
      </c>
      <c r="V354" s="408">
        <v>48</v>
      </c>
      <c r="W354" s="408">
        <v>176</v>
      </c>
      <c r="X354" s="408">
        <v>224</v>
      </c>
      <c r="Y354" s="408">
        <v>245</v>
      </c>
      <c r="Z354" s="408">
        <v>67</v>
      </c>
      <c r="AA354" s="408">
        <v>20</v>
      </c>
      <c r="AB354" s="408">
        <v>137</v>
      </c>
      <c r="AC354" s="408">
        <v>129</v>
      </c>
      <c r="AD354" s="408">
        <v>741</v>
      </c>
    </row>
    <row r="355" spans="1:30">
      <c r="A355">
        <v>289</v>
      </c>
      <c r="B355" s="1" t="s">
        <v>525</v>
      </c>
      <c r="C355" s="1" t="s">
        <v>26</v>
      </c>
      <c r="D355" s="408">
        <v>29</v>
      </c>
      <c r="E355" s="5" t="s">
        <v>357</v>
      </c>
      <c r="F355" s="408">
        <v>51</v>
      </c>
      <c r="G355" s="408">
        <v>3</v>
      </c>
      <c r="H355" s="408">
        <v>671</v>
      </c>
      <c r="I355" s="408">
        <v>40</v>
      </c>
      <c r="J355" s="408">
        <v>97</v>
      </c>
      <c r="K355" s="408">
        <v>0.41199999999999998</v>
      </c>
      <c r="L355" s="408">
        <v>19</v>
      </c>
      <c r="M355" s="408">
        <v>50</v>
      </c>
      <c r="N355" s="408">
        <v>0.38</v>
      </c>
      <c r="O355" s="408">
        <v>21</v>
      </c>
      <c r="P355" s="408">
        <v>47</v>
      </c>
      <c r="Q355" s="408">
        <v>0.44700000000000001</v>
      </c>
      <c r="R355" s="408">
        <v>0.51</v>
      </c>
      <c r="S355" s="408">
        <v>2</v>
      </c>
      <c r="T355" s="408">
        <v>5</v>
      </c>
      <c r="U355" s="408">
        <v>0.4</v>
      </c>
      <c r="V355" s="408">
        <v>7</v>
      </c>
      <c r="W355" s="408">
        <v>61</v>
      </c>
      <c r="X355" s="408">
        <v>68</v>
      </c>
      <c r="Y355" s="408">
        <v>43</v>
      </c>
      <c r="Z355" s="408">
        <v>37</v>
      </c>
      <c r="AA355" s="408">
        <v>13</v>
      </c>
      <c r="AB355" s="408">
        <v>18</v>
      </c>
      <c r="AC355" s="408">
        <v>77</v>
      </c>
      <c r="AD355" s="408">
        <v>101</v>
      </c>
    </row>
    <row r="356" spans="1:30">
      <c r="A356">
        <v>289</v>
      </c>
      <c r="B356" s="1" t="s">
        <v>525</v>
      </c>
      <c r="C356" s="1" t="s">
        <v>26</v>
      </c>
      <c r="D356" s="408">
        <v>29</v>
      </c>
      <c r="E356" s="5" t="s">
        <v>41</v>
      </c>
      <c r="F356" s="408">
        <v>31</v>
      </c>
      <c r="G356" s="408">
        <v>1</v>
      </c>
      <c r="H356" s="408">
        <v>480</v>
      </c>
      <c r="I356" s="408">
        <v>22</v>
      </c>
      <c r="J356" s="408">
        <v>65</v>
      </c>
      <c r="K356" s="408">
        <v>0.33800000000000002</v>
      </c>
      <c r="L356" s="408">
        <v>11</v>
      </c>
      <c r="M356" s="408">
        <v>36</v>
      </c>
      <c r="N356" s="408">
        <v>0.30599999999999999</v>
      </c>
      <c r="O356" s="408">
        <v>11</v>
      </c>
      <c r="P356" s="408">
        <v>29</v>
      </c>
      <c r="Q356" s="408">
        <v>0.379</v>
      </c>
      <c r="R356" s="408">
        <v>0.42299999999999999</v>
      </c>
      <c r="S356" s="408">
        <v>2</v>
      </c>
      <c r="T356" s="408">
        <v>5</v>
      </c>
      <c r="U356" s="408">
        <v>0.4</v>
      </c>
      <c r="V356" s="408">
        <v>5</v>
      </c>
      <c r="W356" s="408">
        <v>44</v>
      </c>
      <c r="X356" s="408">
        <v>49</v>
      </c>
      <c r="Y356" s="408">
        <v>27</v>
      </c>
      <c r="Z356" s="408">
        <v>27</v>
      </c>
      <c r="AA356" s="408">
        <v>10</v>
      </c>
      <c r="AB356" s="408">
        <v>13</v>
      </c>
      <c r="AC356" s="408">
        <v>61</v>
      </c>
      <c r="AD356" s="408">
        <v>57</v>
      </c>
    </row>
    <row r="357" spans="1:30">
      <c r="A357">
        <v>289</v>
      </c>
      <c r="B357" s="1" t="s">
        <v>525</v>
      </c>
      <c r="C357" s="1" t="s">
        <v>26</v>
      </c>
      <c r="D357" s="408">
        <v>29</v>
      </c>
      <c r="E357" s="5" t="s">
        <v>112</v>
      </c>
      <c r="F357" s="408">
        <v>20</v>
      </c>
      <c r="G357" s="408">
        <v>2</v>
      </c>
      <c r="H357" s="408">
        <v>191</v>
      </c>
      <c r="I357" s="408">
        <v>18</v>
      </c>
      <c r="J357" s="408">
        <v>32</v>
      </c>
      <c r="K357" s="408">
        <v>0.56299999999999994</v>
      </c>
      <c r="L357" s="408">
        <v>8</v>
      </c>
      <c r="M357" s="408">
        <v>14</v>
      </c>
      <c r="N357" s="408">
        <v>0.57099999999999995</v>
      </c>
      <c r="O357" s="408">
        <v>10</v>
      </c>
      <c r="P357" s="408">
        <v>18</v>
      </c>
      <c r="Q357" s="408">
        <v>0.55600000000000005</v>
      </c>
      <c r="R357" s="408">
        <v>0.68799999999999994</v>
      </c>
      <c r="S357" s="408">
        <v>0</v>
      </c>
      <c r="T357" s="408">
        <v>0</v>
      </c>
      <c r="U357" s="408"/>
      <c r="V357" s="408">
        <v>2</v>
      </c>
      <c r="W357" s="408">
        <v>17</v>
      </c>
      <c r="X357" s="408">
        <v>19</v>
      </c>
      <c r="Y357" s="408">
        <v>16</v>
      </c>
      <c r="Z357" s="408">
        <v>10</v>
      </c>
      <c r="AA357" s="408">
        <v>3</v>
      </c>
      <c r="AB357" s="408">
        <v>5</v>
      </c>
      <c r="AC357" s="408">
        <v>16</v>
      </c>
      <c r="AD357" s="408">
        <v>44</v>
      </c>
    </row>
    <row r="358" spans="1:30">
      <c r="A358">
        <v>290</v>
      </c>
      <c r="B358" s="1" t="s">
        <v>292</v>
      </c>
      <c r="C358" s="1" t="s">
        <v>20</v>
      </c>
      <c r="D358" s="408">
        <v>27</v>
      </c>
      <c r="E358" s="5" t="s">
        <v>96</v>
      </c>
      <c r="F358" s="408">
        <v>63</v>
      </c>
      <c r="G358" s="408">
        <v>63</v>
      </c>
      <c r="H358" s="408">
        <v>2296</v>
      </c>
      <c r="I358" s="408">
        <v>533</v>
      </c>
      <c r="J358" s="408">
        <v>1204</v>
      </c>
      <c r="K358" s="408">
        <v>0.443</v>
      </c>
      <c r="L358" s="408">
        <v>201</v>
      </c>
      <c r="M358" s="408">
        <v>535</v>
      </c>
      <c r="N358" s="408">
        <v>0.376</v>
      </c>
      <c r="O358" s="408">
        <v>332</v>
      </c>
      <c r="P358" s="408">
        <v>669</v>
      </c>
      <c r="Q358" s="408">
        <v>0.496</v>
      </c>
      <c r="R358" s="408">
        <v>0.52600000000000002</v>
      </c>
      <c r="S358" s="408">
        <v>417</v>
      </c>
      <c r="T358" s="408">
        <v>457</v>
      </c>
      <c r="U358" s="408">
        <v>0.91200000000000003</v>
      </c>
      <c r="V358" s="408">
        <v>47</v>
      </c>
      <c r="W358" s="408">
        <v>232</v>
      </c>
      <c r="X358" s="408">
        <v>279</v>
      </c>
      <c r="Y358" s="408">
        <v>410</v>
      </c>
      <c r="Z358" s="408">
        <v>63</v>
      </c>
      <c r="AA358" s="408">
        <v>26</v>
      </c>
      <c r="AB358" s="408">
        <v>188</v>
      </c>
      <c r="AC358" s="408">
        <v>101</v>
      </c>
      <c r="AD358" s="408">
        <v>1684</v>
      </c>
    </row>
    <row r="359" spans="1:30">
      <c r="A359">
        <v>291</v>
      </c>
      <c r="B359" s="1" t="s">
        <v>475</v>
      </c>
      <c r="C359" s="1" t="s">
        <v>20</v>
      </c>
      <c r="D359" s="408">
        <v>29</v>
      </c>
      <c r="E359" s="5" t="s">
        <v>315</v>
      </c>
      <c r="F359" s="408">
        <v>1</v>
      </c>
      <c r="G359" s="408">
        <v>1</v>
      </c>
      <c r="H359" s="408">
        <v>25</v>
      </c>
      <c r="I359" s="408">
        <v>5</v>
      </c>
      <c r="J359" s="408">
        <v>12</v>
      </c>
      <c r="K359" s="408">
        <v>0.41699999999999998</v>
      </c>
      <c r="L359" s="408">
        <v>1</v>
      </c>
      <c r="M359" s="408">
        <v>2</v>
      </c>
      <c r="N359" s="408">
        <v>0.5</v>
      </c>
      <c r="O359" s="408">
        <v>4</v>
      </c>
      <c r="P359" s="408">
        <v>10</v>
      </c>
      <c r="Q359" s="408">
        <v>0.4</v>
      </c>
      <c r="R359" s="408">
        <v>0.45800000000000002</v>
      </c>
      <c r="S359" s="408">
        <v>7</v>
      </c>
      <c r="T359" s="408">
        <v>7</v>
      </c>
      <c r="U359" s="408">
        <v>1</v>
      </c>
      <c r="V359" s="408">
        <v>0</v>
      </c>
      <c r="W359" s="408">
        <v>0</v>
      </c>
      <c r="X359" s="408">
        <v>0</v>
      </c>
      <c r="Y359" s="408">
        <v>4</v>
      </c>
      <c r="Z359" s="408">
        <v>0</v>
      </c>
      <c r="AA359" s="408">
        <v>0</v>
      </c>
      <c r="AB359" s="408">
        <v>3</v>
      </c>
      <c r="AC359" s="408">
        <v>3</v>
      </c>
      <c r="AD359" s="408">
        <v>18</v>
      </c>
    </row>
    <row r="360" spans="1:30">
      <c r="A360">
        <v>292</v>
      </c>
      <c r="B360" s="1" t="s">
        <v>567</v>
      </c>
      <c r="C360" s="1" t="s">
        <v>20</v>
      </c>
      <c r="D360" s="408">
        <v>32</v>
      </c>
      <c r="E360" s="5" t="s">
        <v>73</v>
      </c>
      <c r="F360" s="408">
        <v>62</v>
      </c>
      <c r="G360" s="408">
        <v>7</v>
      </c>
      <c r="H360" s="408">
        <v>980</v>
      </c>
      <c r="I360" s="408">
        <v>149</v>
      </c>
      <c r="J360" s="408">
        <v>297</v>
      </c>
      <c r="K360" s="408">
        <v>0.502</v>
      </c>
      <c r="L360" s="408">
        <v>0</v>
      </c>
      <c r="M360" s="408">
        <v>3</v>
      </c>
      <c r="N360" s="408">
        <v>0</v>
      </c>
      <c r="O360" s="408">
        <v>149</v>
      </c>
      <c r="P360" s="408">
        <v>294</v>
      </c>
      <c r="Q360" s="408">
        <v>0.50700000000000001</v>
      </c>
      <c r="R360" s="408">
        <v>0.502</v>
      </c>
      <c r="S360" s="408">
        <v>44</v>
      </c>
      <c r="T360" s="408">
        <v>53</v>
      </c>
      <c r="U360" s="408">
        <v>0.83</v>
      </c>
      <c r="V360" s="408">
        <v>27</v>
      </c>
      <c r="W360" s="408">
        <v>84</v>
      </c>
      <c r="X360" s="408">
        <v>111</v>
      </c>
      <c r="Y360" s="408">
        <v>121</v>
      </c>
      <c r="Z360" s="408">
        <v>28</v>
      </c>
      <c r="AA360" s="408">
        <v>19</v>
      </c>
      <c r="AB360" s="408">
        <v>51</v>
      </c>
      <c r="AC360" s="408">
        <v>105</v>
      </c>
      <c r="AD360" s="408">
        <v>342</v>
      </c>
    </row>
    <row r="361" spans="1:30">
      <c r="A361">
        <v>293</v>
      </c>
      <c r="B361" s="1" t="s">
        <v>74</v>
      </c>
      <c r="C361" s="1" t="s">
        <v>83</v>
      </c>
      <c r="D361" s="408">
        <v>21</v>
      </c>
      <c r="E361" s="5" t="s">
        <v>73</v>
      </c>
      <c r="F361" s="408">
        <v>56</v>
      </c>
      <c r="G361" s="408">
        <v>1</v>
      </c>
      <c r="H361" s="408">
        <v>670</v>
      </c>
      <c r="I361" s="408">
        <v>82</v>
      </c>
      <c r="J361" s="408">
        <v>140</v>
      </c>
      <c r="K361" s="408">
        <v>0.58599999999999997</v>
      </c>
      <c r="L361" s="408">
        <v>0</v>
      </c>
      <c r="M361" s="408">
        <v>2</v>
      </c>
      <c r="N361" s="408">
        <v>0</v>
      </c>
      <c r="O361" s="408">
        <v>82</v>
      </c>
      <c r="P361" s="408">
        <v>138</v>
      </c>
      <c r="Q361" s="408">
        <v>0.59399999999999997</v>
      </c>
      <c r="R361" s="408">
        <v>0.58599999999999997</v>
      </c>
      <c r="S361" s="408">
        <v>31</v>
      </c>
      <c r="T361" s="408">
        <v>62</v>
      </c>
      <c r="U361" s="408">
        <v>0.5</v>
      </c>
      <c r="V361" s="408">
        <v>65</v>
      </c>
      <c r="W361" s="408">
        <v>96</v>
      </c>
      <c r="X361" s="408">
        <v>161</v>
      </c>
      <c r="Y361" s="408">
        <v>30</v>
      </c>
      <c r="Z361" s="408">
        <v>22</v>
      </c>
      <c r="AA361" s="408">
        <v>38</v>
      </c>
      <c r="AB361" s="408">
        <v>24</v>
      </c>
      <c r="AC361" s="408">
        <v>83</v>
      </c>
      <c r="AD361" s="408">
        <v>195</v>
      </c>
    </row>
    <row r="362" spans="1:30">
      <c r="A362">
        <v>294</v>
      </c>
      <c r="B362" s="1" t="s">
        <v>215</v>
      </c>
      <c r="C362" s="1" t="s">
        <v>83</v>
      </c>
      <c r="D362" s="408">
        <v>29</v>
      </c>
      <c r="E362" s="5" t="s">
        <v>78</v>
      </c>
      <c r="F362" s="408">
        <v>62</v>
      </c>
      <c r="G362" s="408">
        <v>60</v>
      </c>
      <c r="H362" s="408">
        <v>1419</v>
      </c>
      <c r="I362" s="408">
        <v>309</v>
      </c>
      <c r="J362" s="408">
        <v>664</v>
      </c>
      <c r="K362" s="408">
        <v>0.46500000000000002</v>
      </c>
      <c r="L362" s="408">
        <v>98</v>
      </c>
      <c r="M362" s="408">
        <v>279</v>
      </c>
      <c r="N362" s="408">
        <v>0.35099999999999998</v>
      </c>
      <c r="O362" s="408">
        <v>211</v>
      </c>
      <c r="P362" s="408">
        <v>385</v>
      </c>
      <c r="Q362" s="408">
        <v>0.54800000000000004</v>
      </c>
      <c r="R362" s="408">
        <v>0.53900000000000003</v>
      </c>
      <c r="S362" s="408">
        <v>85</v>
      </c>
      <c r="T362" s="408">
        <v>124</v>
      </c>
      <c r="U362" s="408">
        <v>0.68500000000000005</v>
      </c>
      <c r="V362" s="408">
        <v>66</v>
      </c>
      <c r="W362" s="408">
        <v>177</v>
      </c>
      <c r="X362" s="408">
        <v>243</v>
      </c>
      <c r="Y362" s="408">
        <v>101</v>
      </c>
      <c r="Z362" s="408">
        <v>26</v>
      </c>
      <c r="AA362" s="408">
        <v>87</v>
      </c>
      <c r="AB362" s="408">
        <v>88</v>
      </c>
      <c r="AC362" s="408">
        <v>167</v>
      </c>
      <c r="AD362" s="408">
        <v>801</v>
      </c>
    </row>
    <row r="363" spans="1:30">
      <c r="A363">
        <v>295</v>
      </c>
      <c r="B363" s="1" t="s">
        <v>560</v>
      </c>
      <c r="C363" s="1" t="s">
        <v>83</v>
      </c>
      <c r="D363" s="408">
        <v>29</v>
      </c>
      <c r="E363" s="5" t="s">
        <v>43</v>
      </c>
      <c r="F363" s="408">
        <v>61</v>
      </c>
      <c r="G363" s="408">
        <v>61</v>
      </c>
      <c r="H363" s="408">
        <v>1625</v>
      </c>
      <c r="I363" s="408">
        <v>331</v>
      </c>
      <c r="J363" s="408">
        <v>622</v>
      </c>
      <c r="K363" s="408">
        <v>0.53200000000000003</v>
      </c>
      <c r="L363" s="408">
        <v>4</v>
      </c>
      <c r="M363" s="408">
        <v>12</v>
      </c>
      <c r="N363" s="408">
        <v>0.33300000000000002</v>
      </c>
      <c r="O363" s="408">
        <v>327</v>
      </c>
      <c r="P363" s="408">
        <v>610</v>
      </c>
      <c r="Q363" s="408">
        <v>0.53600000000000003</v>
      </c>
      <c r="R363" s="408">
        <v>0.53500000000000003</v>
      </c>
      <c r="S363" s="408">
        <v>67</v>
      </c>
      <c r="T363" s="408">
        <v>88</v>
      </c>
      <c r="U363" s="408">
        <v>0.76100000000000001</v>
      </c>
      <c r="V363" s="408">
        <v>130</v>
      </c>
      <c r="W363" s="408">
        <v>147</v>
      </c>
      <c r="X363" s="408">
        <v>277</v>
      </c>
      <c r="Y363" s="408">
        <v>119</v>
      </c>
      <c r="Z363" s="408">
        <v>14</v>
      </c>
      <c r="AA363" s="408">
        <v>49</v>
      </c>
      <c r="AB363" s="408">
        <v>101</v>
      </c>
      <c r="AC363" s="408">
        <v>105</v>
      </c>
      <c r="AD363" s="408">
        <v>733</v>
      </c>
    </row>
    <row r="364" spans="1:30">
      <c r="A364">
        <v>296</v>
      </c>
      <c r="B364" s="1" t="s">
        <v>333</v>
      </c>
      <c r="C364" s="1" t="s">
        <v>83</v>
      </c>
      <c r="D364" s="408">
        <v>29</v>
      </c>
      <c r="E364" s="5" t="s">
        <v>102</v>
      </c>
      <c r="F364" s="408">
        <v>49</v>
      </c>
      <c r="G364" s="408">
        <v>49</v>
      </c>
      <c r="H364" s="408">
        <v>1367</v>
      </c>
      <c r="I364" s="408">
        <v>283</v>
      </c>
      <c r="J364" s="408">
        <v>614</v>
      </c>
      <c r="K364" s="408">
        <v>0.46100000000000002</v>
      </c>
      <c r="L364" s="408">
        <v>109</v>
      </c>
      <c r="M364" s="408">
        <v>269</v>
      </c>
      <c r="N364" s="408">
        <v>0.40500000000000003</v>
      </c>
      <c r="O364" s="408">
        <v>174</v>
      </c>
      <c r="P364" s="408">
        <v>345</v>
      </c>
      <c r="Q364" s="408">
        <v>0.504</v>
      </c>
      <c r="R364" s="408">
        <v>0.55000000000000004</v>
      </c>
      <c r="S364" s="408">
        <v>200</v>
      </c>
      <c r="T364" s="408">
        <v>226</v>
      </c>
      <c r="U364" s="408">
        <v>0.88500000000000001</v>
      </c>
      <c r="V364" s="408">
        <v>94</v>
      </c>
      <c r="W364" s="408">
        <v>362</v>
      </c>
      <c r="X364" s="408">
        <v>456</v>
      </c>
      <c r="Y364" s="408">
        <v>82</v>
      </c>
      <c r="Z364" s="408">
        <v>33</v>
      </c>
      <c r="AA364" s="408">
        <v>22</v>
      </c>
      <c r="AB364" s="408">
        <v>74</v>
      </c>
      <c r="AC364" s="408">
        <v>101</v>
      </c>
      <c r="AD364" s="408">
        <v>875</v>
      </c>
    </row>
    <row r="365" spans="1:30">
      <c r="A365">
        <v>297</v>
      </c>
      <c r="B365" s="1" t="s">
        <v>294</v>
      </c>
      <c r="C365" s="1" t="s">
        <v>20</v>
      </c>
      <c r="D365" s="408">
        <v>31</v>
      </c>
      <c r="E365" s="5" t="s">
        <v>47</v>
      </c>
      <c r="F365" s="408">
        <v>66</v>
      </c>
      <c r="G365" s="408">
        <v>66</v>
      </c>
      <c r="H365" s="408">
        <v>2114</v>
      </c>
      <c r="I365" s="408">
        <v>341</v>
      </c>
      <c r="J365" s="408">
        <v>802</v>
      </c>
      <c r="K365" s="408">
        <v>0.42499999999999999</v>
      </c>
      <c r="L365" s="408">
        <v>197</v>
      </c>
      <c r="M365" s="408">
        <v>499</v>
      </c>
      <c r="N365" s="408">
        <v>0.39500000000000002</v>
      </c>
      <c r="O365" s="408">
        <v>144</v>
      </c>
      <c r="P365" s="408">
        <v>303</v>
      </c>
      <c r="Q365" s="408">
        <v>0.47499999999999998</v>
      </c>
      <c r="R365" s="408">
        <v>0.54800000000000004</v>
      </c>
      <c r="S365" s="408">
        <v>204</v>
      </c>
      <c r="T365" s="408">
        <v>239</v>
      </c>
      <c r="U365" s="408">
        <v>0.85399999999999998</v>
      </c>
      <c r="V365" s="408">
        <v>63</v>
      </c>
      <c r="W365" s="408">
        <v>307</v>
      </c>
      <c r="X365" s="408">
        <v>370</v>
      </c>
      <c r="Y365" s="408">
        <v>443</v>
      </c>
      <c r="Z365" s="408">
        <v>79</v>
      </c>
      <c r="AA365" s="408">
        <v>11</v>
      </c>
      <c r="AB365" s="408">
        <v>152</v>
      </c>
      <c r="AC365" s="408">
        <v>163</v>
      </c>
      <c r="AD365" s="408">
        <v>1083</v>
      </c>
    </row>
    <row r="366" spans="1:30">
      <c r="A366">
        <v>298</v>
      </c>
      <c r="B366" s="1" t="s">
        <v>425</v>
      </c>
      <c r="C366" s="1" t="s">
        <v>46</v>
      </c>
      <c r="D366" s="408">
        <v>22</v>
      </c>
      <c r="E366" s="5" t="s">
        <v>118</v>
      </c>
      <c r="F366" s="408">
        <v>52</v>
      </c>
      <c r="G366" s="408">
        <v>7</v>
      </c>
      <c r="H366" s="408">
        <v>807</v>
      </c>
      <c r="I366" s="408">
        <v>100</v>
      </c>
      <c r="J366" s="408">
        <v>267</v>
      </c>
      <c r="K366" s="408">
        <v>0.375</v>
      </c>
      <c r="L366" s="408">
        <v>53</v>
      </c>
      <c r="M366" s="408">
        <v>158</v>
      </c>
      <c r="N366" s="408">
        <v>0.33500000000000002</v>
      </c>
      <c r="O366" s="408">
        <v>47</v>
      </c>
      <c r="P366" s="408">
        <v>109</v>
      </c>
      <c r="Q366" s="408">
        <v>0.43099999999999999</v>
      </c>
      <c r="R366" s="408">
        <v>0.47399999999999998</v>
      </c>
      <c r="S366" s="408">
        <v>46</v>
      </c>
      <c r="T366" s="408">
        <v>58</v>
      </c>
      <c r="U366" s="408">
        <v>0.79300000000000004</v>
      </c>
      <c r="V366" s="408">
        <v>14</v>
      </c>
      <c r="W366" s="408">
        <v>58</v>
      </c>
      <c r="X366" s="408">
        <v>72</v>
      </c>
      <c r="Y366" s="408">
        <v>54</v>
      </c>
      <c r="Z366" s="408">
        <v>12</v>
      </c>
      <c r="AA366" s="408">
        <v>5</v>
      </c>
      <c r="AB366" s="408">
        <v>38</v>
      </c>
      <c r="AC366" s="408">
        <v>97</v>
      </c>
      <c r="AD366" s="408">
        <v>299</v>
      </c>
    </row>
    <row r="367" spans="1:30">
      <c r="A367">
        <v>299</v>
      </c>
      <c r="B367" s="1" t="s">
        <v>649</v>
      </c>
      <c r="C367" s="1" t="s">
        <v>38</v>
      </c>
      <c r="D367" s="408">
        <v>21</v>
      </c>
      <c r="E367" s="5" t="s">
        <v>61</v>
      </c>
      <c r="F367" s="408">
        <v>1</v>
      </c>
      <c r="G367" s="408">
        <v>0</v>
      </c>
      <c r="H367" s="408">
        <v>2</v>
      </c>
      <c r="I367" s="408">
        <v>0</v>
      </c>
      <c r="J367" s="408">
        <v>0</v>
      </c>
      <c r="K367" s="408"/>
      <c r="L367" s="408">
        <v>0</v>
      </c>
      <c r="M367" s="408">
        <v>0</v>
      </c>
      <c r="N367" s="408"/>
      <c r="O367" s="408">
        <v>0</v>
      </c>
      <c r="P367" s="408">
        <v>0</v>
      </c>
      <c r="Q367" s="408"/>
      <c r="R367" s="408"/>
      <c r="S367" s="408">
        <v>0</v>
      </c>
      <c r="T367" s="408">
        <v>0</v>
      </c>
      <c r="U367" s="408"/>
      <c r="V367" s="408">
        <v>0</v>
      </c>
      <c r="W367" s="408">
        <v>0</v>
      </c>
      <c r="X367" s="408">
        <v>0</v>
      </c>
      <c r="Y367" s="408">
        <v>0</v>
      </c>
      <c r="Z367" s="408">
        <v>0</v>
      </c>
      <c r="AA367" s="408">
        <v>0</v>
      </c>
      <c r="AB367" s="408">
        <v>0</v>
      </c>
      <c r="AC367" s="408">
        <v>0</v>
      </c>
      <c r="AD367" s="408">
        <v>0</v>
      </c>
    </row>
    <row r="368" spans="1:30">
      <c r="A368">
        <v>300</v>
      </c>
      <c r="B368" s="1" t="s">
        <v>426</v>
      </c>
      <c r="C368" s="1" t="s">
        <v>38</v>
      </c>
      <c r="D368" s="408">
        <v>22</v>
      </c>
      <c r="E368" s="5" t="s">
        <v>61</v>
      </c>
      <c r="F368" s="408">
        <v>64</v>
      </c>
      <c r="G368" s="408">
        <v>2</v>
      </c>
      <c r="H368" s="408">
        <v>1274</v>
      </c>
      <c r="I368" s="408">
        <v>249</v>
      </c>
      <c r="J368" s="408">
        <v>507</v>
      </c>
      <c r="K368" s="408">
        <v>0.49099999999999999</v>
      </c>
      <c r="L368" s="408">
        <v>77</v>
      </c>
      <c r="M368" s="408">
        <v>200</v>
      </c>
      <c r="N368" s="408">
        <v>0.38500000000000001</v>
      </c>
      <c r="O368" s="408">
        <v>172</v>
      </c>
      <c r="P368" s="408">
        <v>307</v>
      </c>
      <c r="Q368" s="408">
        <v>0.56000000000000005</v>
      </c>
      <c r="R368" s="408">
        <v>0.56699999999999995</v>
      </c>
      <c r="S368" s="408">
        <v>94</v>
      </c>
      <c r="T368" s="408">
        <v>135</v>
      </c>
      <c r="U368" s="408">
        <v>0.69599999999999995</v>
      </c>
      <c r="V368" s="408">
        <v>50</v>
      </c>
      <c r="W368" s="408">
        <v>266</v>
      </c>
      <c r="X368" s="408">
        <v>316</v>
      </c>
      <c r="Y368" s="408">
        <v>80</v>
      </c>
      <c r="Z368" s="408">
        <v>30</v>
      </c>
      <c r="AA368" s="408">
        <v>30</v>
      </c>
      <c r="AB368" s="408">
        <v>57</v>
      </c>
      <c r="AC368" s="408">
        <v>102</v>
      </c>
      <c r="AD368" s="408">
        <v>669</v>
      </c>
    </row>
    <row r="369" spans="1:30">
      <c r="A369">
        <v>301</v>
      </c>
      <c r="B369" s="1" t="s">
        <v>527</v>
      </c>
      <c r="C369" s="1" t="s">
        <v>20</v>
      </c>
      <c r="D369" s="408">
        <v>27</v>
      </c>
      <c r="E369" s="5" t="s">
        <v>75</v>
      </c>
      <c r="F369" s="408">
        <v>57</v>
      </c>
      <c r="G369" s="408">
        <v>3</v>
      </c>
      <c r="H369" s="408">
        <v>1083</v>
      </c>
      <c r="I369" s="408">
        <v>135</v>
      </c>
      <c r="J369" s="408">
        <v>305</v>
      </c>
      <c r="K369" s="408">
        <v>0.443</v>
      </c>
      <c r="L369" s="408">
        <v>34</v>
      </c>
      <c r="M369" s="408">
        <v>96</v>
      </c>
      <c r="N369" s="408">
        <v>0.35399999999999998</v>
      </c>
      <c r="O369" s="408">
        <v>101</v>
      </c>
      <c r="P369" s="408">
        <v>209</v>
      </c>
      <c r="Q369" s="408">
        <v>0.48299999999999998</v>
      </c>
      <c r="R369" s="408">
        <v>0.498</v>
      </c>
      <c r="S369" s="408">
        <v>59</v>
      </c>
      <c r="T369" s="408">
        <v>79</v>
      </c>
      <c r="U369" s="408">
        <v>0.747</v>
      </c>
      <c r="V369" s="408">
        <v>18</v>
      </c>
      <c r="W369" s="408">
        <v>116</v>
      </c>
      <c r="X369" s="408">
        <v>134</v>
      </c>
      <c r="Y369" s="408">
        <v>211</v>
      </c>
      <c r="Z369" s="408">
        <v>41</v>
      </c>
      <c r="AA369" s="408">
        <v>7</v>
      </c>
      <c r="AB369" s="408">
        <v>75</v>
      </c>
      <c r="AC369" s="408">
        <v>75</v>
      </c>
      <c r="AD369" s="408">
        <v>363</v>
      </c>
    </row>
    <row r="370" spans="1:30">
      <c r="A370">
        <v>302</v>
      </c>
      <c r="B370" s="1" t="s">
        <v>297</v>
      </c>
      <c r="C370" s="1" t="s">
        <v>20</v>
      </c>
      <c r="D370" s="408">
        <v>28</v>
      </c>
      <c r="E370" s="5" t="s">
        <v>149</v>
      </c>
      <c r="F370" s="408">
        <v>13</v>
      </c>
      <c r="G370" s="408">
        <v>0</v>
      </c>
      <c r="H370" s="408">
        <v>114</v>
      </c>
      <c r="I370" s="408">
        <v>8</v>
      </c>
      <c r="J370" s="408">
        <v>22</v>
      </c>
      <c r="K370" s="408">
        <v>0.36399999999999999</v>
      </c>
      <c r="L370" s="408">
        <v>4</v>
      </c>
      <c r="M370" s="408">
        <v>10</v>
      </c>
      <c r="N370" s="408">
        <v>0.4</v>
      </c>
      <c r="O370" s="408">
        <v>4</v>
      </c>
      <c r="P370" s="408">
        <v>12</v>
      </c>
      <c r="Q370" s="408">
        <v>0.33300000000000002</v>
      </c>
      <c r="R370" s="408">
        <v>0.45500000000000002</v>
      </c>
      <c r="S370" s="408">
        <v>8</v>
      </c>
      <c r="T370" s="408">
        <v>8</v>
      </c>
      <c r="U370" s="408">
        <v>1</v>
      </c>
      <c r="V370" s="408">
        <v>2</v>
      </c>
      <c r="W370" s="408">
        <v>8</v>
      </c>
      <c r="X370" s="408">
        <v>10</v>
      </c>
      <c r="Y370" s="408">
        <v>37</v>
      </c>
      <c r="Z370" s="408">
        <v>4</v>
      </c>
      <c r="AA370" s="408">
        <v>0</v>
      </c>
      <c r="AB370" s="408">
        <v>4</v>
      </c>
      <c r="AC370" s="408">
        <v>7</v>
      </c>
      <c r="AD370" s="408">
        <v>28</v>
      </c>
    </row>
    <row r="371" spans="1:30">
      <c r="A371">
        <v>303</v>
      </c>
      <c r="B371" s="1" t="s">
        <v>587</v>
      </c>
      <c r="C371" s="1" t="s">
        <v>83</v>
      </c>
      <c r="D371" s="408">
        <v>31</v>
      </c>
      <c r="E371" s="5" t="s">
        <v>27</v>
      </c>
      <c r="F371" s="408">
        <v>67</v>
      </c>
      <c r="G371" s="408">
        <v>0</v>
      </c>
      <c r="H371" s="408">
        <v>999</v>
      </c>
      <c r="I371" s="408">
        <v>118</v>
      </c>
      <c r="J371" s="408">
        <v>206</v>
      </c>
      <c r="K371" s="408">
        <v>0.57299999999999995</v>
      </c>
      <c r="L371" s="408">
        <v>0</v>
      </c>
      <c r="M371" s="408">
        <v>1</v>
      </c>
      <c r="N371" s="408">
        <v>0</v>
      </c>
      <c r="O371" s="408">
        <v>118</v>
      </c>
      <c r="P371" s="408">
        <v>205</v>
      </c>
      <c r="Q371" s="408">
        <v>0.57599999999999996</v>
      </c>
      <c r="R371" s="408">
        <v>0.57299999999999995</v>
      </c>
      <c r="S371" s="408">
        <v>82</v>
      </c>
      <c r="T371" s="408">
        <v>115</v>
      </c>
      <c r="U371" s="408">
        <v>0.71299999999999997</v>
      </c>
      <c r="V371" s="408">
        <v>120</v>
      </c>
      <c r="W371" s="408">
        <v>153</v>
      </c>
      <c r="X371" s="408">
        <v>273</v>
      </c>
      <c r="Y371" s="408">
        <v>44</v>
      </c>
      <c r="Z371" s="408">
        <v>32</v>
      </c>
      <c r="AA371" s="408">
        <v>38</v>
      </c>
      <c r="AB371" s="408">
        <v>86</v>
      </c>
      <c r="AC371" s="408">
        <v>203</v>
      </c>
      <c r="AD371" s="408">
        <v>318</v>
      </c>
    </row>
    <row r="372" spans="1:30">
      <c r="A372">
        <v>304</v>
      </c>
      <c r="B372" s="1" t="s">
        <v>519</v>
      </c>
      <c r="C372" s="1" t="s">
        <v>83</v>
      </c>
      <c r="D372" s="408">
        <v>20</v>
      </c>
      <c r="E372" s="5" t="s">
        <v>41</v>
      </c>
      <c r="F372" s="408">
        <v>68</v>
      </c>
      <c r="G372" s="408">
        <v>12</v>
      </c>
      <c r="H372" s="408">
        <v>1158</v>
      </c>
      <c r="I372" s="408">
        <v>122</v>
      </c>
      <c r="J372" s="408">
        <v>291</v>
      </c>
      <c r="K372" s="408">
        <v>0.41899999999999998</v>
      </c>
      <c r="L372" s="408">
        <v>30</v>
      </c>
      <c r="M372" s="408">
        <v>97</v>
      </c>
      <c r="N372" s="408">
        <v>0.309</v>
      </c>
      <c r="O372" s="408">
        <v>92</v>
      </c>
      <c r="P372" s="408">
        <v>194</v>
      </c>
      <c r="Q372" s="408">
        <v>0.47399999999999998</v>
      </c>
      <c r="R372" s="408">
        <v>0.47099999999999997</v>
      </c>
      <c r="S372" s="408">
        <v>60</v>
      </c>
      <c r="T372" s="408">
        <v>85</v>
      </c>
      <c r="U372" s="408">
        <v>0.70599999999999996</v>
      </c>
      <c r="V372" s="408">
        <v>72</v>
      </c>
      <c r="W372" s="408">
        <v>144</v>
      </c>
      <c r="X372" s="408">
        <v>216</v>
      </c>
      <c r="Y372" s="408">
        <v>42</v>
      </c>
      <c r="Z372" s="408">
        <v>37</v>
      </c>
      <c r="AA372" s="408">
        <v>51</v>
      </c>
      <c r="AB372" s="408">
        <v>40</v>
      </c>
      <c r="AC372" s="408">
        <v>149</v>
      </c>
      <c r="AD372" s="408">
        <v>334</v>
      </c>
    </row>
    <row r="373" spans="1:30">
      <c r="A373">
        <v>305</v>
      </c>
      <c r="B373" s="1" t="s">
        <v>423</v>
      </c>
      <c r="C373" s="1" t="s">
        <v>83</v>
      </c>
      <c r="D373" s="408">
        <v>29</v>
      </c>
      <c r="E373" s="5" t="s">
        <v>357</v>
      </c>
      <c r="F373" s="408">
        <v>29</v>
      </c>
      <c r="G373" s="408">
        <v>1</v>
      </c>
      <c r="H373" s="408">
        <v>241</v>
      </c>
      <c r="I373" s="408">
        <v>56</v>
      </c>
      <c r="J373" s="408">
        <v>109</v>
      </c>
      <c r="K373" s="408">
        <v>0.51400000000000001</v>
      </c>
      <c r="L373" s="408">
        <v>0</v>
      </c>
      <c r="M373" s="408">
        <v>0</v>
      </c>
      <c r="N373" s="408"/>
      <c r="O373" s="408">
        <v>56</v>
      </c>
      <c r="P373" s="408">
        <v>109</v>
      </c>
      <c r="Q373" s="408">
        <v>0.51400000000000001</v>
      </c>
      <c r="R373" s="408">
        <v>0.51400000000000001</v>
      </c>
      <c r="S373" s="408">
        <v>50</v>
      </c>
      <c r="T373" s="408">
        <v>60</v>
      </c>
      <c r="U373" s="408">
        <v>0.83299999999999996</v>
      </c>
      <c r="V373" s="408">
        <v>29</v>
      </c>
      <c r="W373" s="408">
        <v>60</v>
      </c>
      <c r="X373" s="408">
        <v>89</v>
      </c>
      <c r="Y373" s="408">
        <v>16</v>
      </c>
      <c r="Z373" s="408">
        <v>8</v>
      </c>
      <c r="AA373" s="408">
        <v>8</v>
      </c>
      <c r="AB373" s="408">
        <v>29</v>
      </c>
      <c r="AC373" s="408">
        <v>37</v>
      </c>
      <c r="AD373" s="408">
        <v>162</v>
      </c>
    </row>
    <row r="374" spans="1:30">
      <c r="A374">
        <v>305</v>
      </c>
      <c r="B374" s="1" t="s">
        <v>423</v>
      </c>
      <c r="C374" s="1" t="s">
        <v>83</v>
      </c>
      <c r="D374" s="408">
        <v>29</v>
      </c>
      <c r="E374" s="5" t="s">
        <v>157</v>
      </c>
      <c r="F374" s="408">
        <v>19</v>
      </c>
      <c r="G374" s="408">
        <v>1</v>
      </c>
      <c r="H374" s="408">
        <v>171</v>
      </c>
      <c r="I374" s="408">
        <v>41</v>
      </c>
      <c r="J374" s="408">
        <v>79</v>
      </c>
      <c r="K374" s="408">
        <v>0.51900000000000002</v>
      </c>
      <c r="L374" s="408">
        <v>0</v>
      </c>
      <c r="M374" s="408">
        <v>0</v>
      </c>
      <c r="N374" s="408"/>
      <c r="O374" s="408">
        <v>41</v>
      </c>
      <c r="P374" s="408">
        <v>79</v>
      </c>
      <c r="Q374" s="408">
        <v>0.51900000000000002</v>
      </c>
      <c r="R374" s="408">
        <v>0.51900000000000002</v>
      </c>
      <c r="S374" s="408">
        <v>36</v>
      </c>
      <c r="T374" s="408">
        <v>45</v>
      </c>
      <c r="U374" s="408">
        <v>0.8</v>
      </c>
      <c r="V374" s="408">
        <v>15</v>
      </c>
      <c r="W374" s="408">
        <v>42</v>
      </c>
      <c r="X374" s="408">
        <v>57</v>
      </c>
      <c r="Y374" s="408">
        <v>14</v>
      </c>
      <c r="Z374" s="408">
        <v>4</v>
      </c>
      <c r="AA374" s="408">
        <v>6</v>
      </c>
      <c r="AB374" s="408">
        <v>22</v>
      </c>
      <c r="AC374" s="408">
        <v>28</v>
      </c>
      <c r="AD374" s="408">
        <v>118</v>
      </c>
    </row>
    <row r="375" spans="1:30">
      <c r="A375">
        <v>305</v>
      </c>
      <c r="B375" s="1" t="s">
        <v>423</v>
      </c>
      <c r="C375" s="1" t="s">
        <v>83</v>
      </c>
      <c r="D375" s="408">
        <v>29</v>
      </c>
      <c r="E375" s="5" t="s">
        <v>64</v>
      </c>
      <c r="F375" s="408">
        <v>10</v>
      </c>
      <c r="G375" s="408">
        <v>0</v>
      </c>
      <c r="H375" s="408">
        <v>70</v>
      </c>
      <c r="I375" s="408">
        <v>15</v>
      </c>
      <c r="J375" s="408">
        <v>30</v>
      </c>
      <c r="K375" s="408">
        <v>0.5</v>
      </c>
      <c r="L375" s="408">
        <v>0</v>
      </c>
      <c r="M375" s="408">
        <v>0</v>
      </c>
      <c r="N375" s="408"/>
      <c r="O375" s="408">
        <v>15</v>
      </c>
      <c r="P375" s="408">
        <v>30</v>
      </c>
      <c r="Q375" s="408">
        <v>0.5</v>
      </c>
      <c r="R375" s="408">
        <v>0.5</v>
      </c>
      <c r="S375" s="408">
        <v>14</v>
      </c>
      <c r="T375" s="408">
        <v>15</v>
      </c>
      <c r="U375" s="408">
        <v>0.93300000000000005</v>
      </c>
      <c r="V375" s="408">
        <v>14</v>
      </c>
      <c r="W375" s="408">
        <v>18</v>
      </c>
      <c r="X375" s="408">
        <v>32</v>
      </c>
      <c r="Y375" s="408">
        <v>2</v>
      </c>
      <c r="Z375" s="408">
        <v>4</v>
      </c>
      <c r="AA375" s="408">
        <v>2</v>
      </c>
      <c r="AB375" s="408">
        <v>7</v>
      </c>
      <c r="AC375" s="408">
        <v>9</v>
      </c>
      <c r="AD375" s="408">
        <v>44</v>
      </c>
    </row>
    <row r="376" spans="1:30">
      <c r="A376">
        <v>306</v>
      </c>
      <c r="B376" s="1" t="s">
        <v>316</v>
      </c>
      <c r="C376" s="1" t="s">
        <v>38</v>
      </c>
      <c r="D376" s="408">
        <v>20</v>
      </c>
      <c r="E376" s="5" t="s">
        <v>43</v>
      </c>
      <c r="F376" s="408">
        <v>60</v>
      </c>
      <c r="G376" s="408">
        <v>60</v>
      </c>
      <c r="H376" s="408">
        <v>1825</v>
      </c>
      <c r="I376" s="408">
        <v>327</v>
      </c>
      <c r="J376" s="408">
        <v>767</v>
      </c>
      <c r="K376" s="408">
        <v>0.42599999999999999</v>
      </c>
      <c r="L376" s="408">
        <v>123</v>
      </c>
      <c r="M376" s="408">
        <v>357</v>
      </c>
      <c r="N376" s="408">
        <v>0.34499999999999997</v>
      </c>
      <c r="O376" s="408">
        <v>204</v>
      </c>
      <c r="P376" s="408">
        <v>410</v>
      </c>
      <c r="Q376" s="408">
        <v>0.498</v>
      </c>
      <c r="R376" s="408">
        <v>0.50700000000000001</v>
      </c>
      <c r="S376" s="408">
        <v>115</v>
      </c>
      <c r="T376" s="408">
        <v>133</v>
      </c>
      <c r="U376" s="408">
        <v>0.86499999999999999</v>
      </c>
      <c r="V376" s="408">
        <v>72</v>
      </c>
      <c r="W376" s="408">
        <v>386</v>
      </c>
      <c r="X376" s="408">
        <v>458</v>
      </c>
      <c r="Y376" s="408">
        <v>70</v>
      </c>
      <c r="Z376" s="408">
        <v>33</v>
      </c>
      <c r="AA376" s="408">
        <v>36</v>
      </c>
      <c r="AB376" s="408">
        <v>71</v>
      </c>
      <c r="AC376" s="408">
        <v>92</v>
      </c>
      <c r="AD376" s="408">
        <v>892</v>
      </c>
    </row>
    <row r="377" spans="1:30">
      <c r="A377">
        <v>307</v>
      </c>
      <c r="B377" s="1" t="s">
        <v>533</v>
      </c>
      <c r="C377" s="1" t="s">
        <v>38</v>
      </c>
      <c r="D377" s="408">
        <v>23</v>
      </c>
      <c r="E377" s="5" t="s">
        <v>128</v>
      </c>
      <c r="F377" s="408">
        <v>65</v>
      </c>
      <c r="G377" s="408">
        <v>28</v>
      </c>
      <c r="H377" s="408">
        <v>1424</v>
      </c>
      <c r="I377" s="408">
        <v>189</v>
      </c>
      <c r="J377" s="408">
        <v>417</v>
      </c>
      <c r="K377" s="408">
        <v>0.45300000000000001</v>
      </c>
      <c r="L377" s="408">
        <v>30</v>
      </c>
      <c r="M377" s="408">
        <v>81</v>
      </c>
      <c r="N377" s="408">
        <v>0.37</v>
      </c>
      <c r="O377" s="408">
        <v>159</v>
      </c>
      <c r="P377" s="408">
        <v>336</v>
      </c>
      <c r="Q377" s="408">
        <v>0.47299999999999998</v>
      </c>
      <c r="R377" s="408">
        <v>0.48899999999999999</v>
      </c>
      <c r="S377" s="408">
        <v>78</v>
      </c>
      <c r="T377" s="408">
        <v>100</v>
      </c>
      <c r="U377" s="408">
        <v>0.78</v>
      </c>
      <c r="V377" s="408">
        <v>83</v>
      </c>
      <c r="W377" s="408">
        <v>184</v>
      </c>
      <c r="X377" s="408">
        <v>267</v>
      </c>
      <c r="Y377" s="408">
        <v>62</v>
      </c>
      <c r="Z377" s="408">
        <v>37</v>
      </c>
      <c r="AA377" s="408">
        <v>44</v>
      </c>
      <c r="AB377" s="408">
        <v>74</v>
      </c>
      <c r="AC377" s="408">
        <v>188</v>
      </c>
      <c r="AD377" s="408">
        <v>486</v>
      </c>
    </row>
    <row r="378" spans="1:30">
      <c r="A378">
        <v>308</v>
      </c>
      <c r="B378" s="1" t="s">
        <v>510</v>
      </c>
      <c r="C378" s="1" t="s">
        <v>20</v>
      </c>
      <c r="D378" s="408">
        <v>23</v>
      </c>
      <c r="E378" s="5" t="s">
        <v>100</v>
      </c>
      <c r="F378" s="408">
        <v>44</v>
      </c>
      <c r="G378" s="408">
        <v>2</v>
      </c>
      <c r="H378" s="408">
        <v>826</v>
      </c>
      <c r="I378" s="408">
        <v>119</v>
      </c>
      <c r="J378" s="408">
        <v>312</v>
      </c>
      <c r="K378" s="408">
        <v>0.38100000000000001</v>
      </c>
      <c r="L378" s="408">
        <v>26</v>
      </c>
      <c r="M378" s="408">
        <v>67</v>
      </c>
      <c r="N378" s="408">
        <v>0.38800000000000001</v>
      </c>
      <c r="O378" s="408">
        <v>93</v>
      </c>
      <c r="P378" s="408">
        <v>245</v>
      </c>
      <c r="Q378" s="408">
        <v>0.38</v>
      </c>
      <c r="R378" s="408">
        <v>0.42299999999999999</v>
      </c>
      <c r="S378" s="408">
        <v>81</v>
      </c>
      <c r="T378" s="408">
        <v>99</v>
      </c>
      <c r="U378" s="408">
        <v>0.81799999999999995</v>
      </c>
      <c r="V378" s="408">
        <v>26</v>
      </c>
      <c r="W378" s="408">
        <v>78</v>
      </c>
      <c r="X378" s="408">
        <v>104</v>
      </c>
      <c r="Y378" s="408">
        <v>121</v>
      </c>
      <c r="Z378" s="408">
        <v>33</v>
      </c>
      <c r="AA378" s="408">
        <v>7</v>
      </c>
      <c r="AB378" s="408">
        <v>55</v>
      </c>
      <c r="AC378" s="408">
        <v>60</v>
      </c>
      <c r="AD378" s="408">
        <v>345</v>
      </c>
    </row>
    <row r="379" spans="1:30">
      <c r="A379">
        <v>309</v>
      </c>
      <c r="B379" s="1" t="s">
        <v>640</v>
      </c>
      <c r="C379" s="1" t="s">
        <v>83</v>
      </c>
      <c r="D379" s="408">
        <v>25</v>
      </c>
      <c r="E379" s="5" t="s">
        <v>311</v>
      </c>
      <c r="F379" s="408">
        <v>3</v>
      </c>
      <c r="G379" s="408">
        <v>0</v>
      </c>
      <c r="H379" s="408">
        <v>10</v>
      </c>
      <c r="I379" s="408">
        <v>0</v>
      </c>
      <c r="J379" s="408">
        <v>2</v>
      </c>
      <c r="K379" s="408">
        <v>0</v>
      </c>
      <c r="L379" s="408">
        <v>0</v>
      </c>
      <c r="M379" s="408">
        <v>0</v>
      </c>
      <c r="N379" s="408"/>
      <c r="O379" s="408">
        <v>0</v>
      </c>
      <c r="P379" s="408">
        <v>2</v>
      </c>
      <c r="Q379" s="408">
        <v>0</v>
      </c>
      <c r="R379" s="408">
        <v>0</v>
      </c>
      <c r="S379" s="408">
        <v>0</v>
      </c>
      <c r="T379" s="408">
        <v>0</v>
      </c>
      <c r="U379" s="408"/>
      <c r="V379" s="408">
        <v>1</v>
      </c>
      <c r="W379" s="408">
        <v>5</v>
      </c>
      <c r="X379" s="408">
        <v>6</v>
      </c>
      <c r="Y379" s="408">
        <v>0</v>
      </c>
      <c r="Z379" s="408">
        <v>0</v>
      </c>
      <c r="AA379" s="408">
        <v>0</v>
      </c>
      <c r="AB379" s="408">
        <v>0</v>
      </c>
      <c r="AC379" s="408">
        <v>2</v>
      </c>
      <c r="AD379" s="408">
        <v>0</v>
      </c>
    </row>
    <row r="380" spans="1:30">
      <c r="A380">
        <v>310</v>
      </c>
      <c r="B380" s="1" t="s">
        <v>327</v>
      </c>
      <c r="C380" s="1" t="s">
        <v>46</v>
      </c>
      <c r="D380" s="408">
        <v>31</v>
      </c>
      <c r="E380" s="5" t="s">
        <v>33</v>
      </c>
      <c r="F380" s="408">
        <v>63</v>
      </c>
      <c r="G380" s="408">
        <v>62</v>
      </c>
      <c r="H380" s="408">
        <v>2131</v>
      </c>
      <c r="I380" s="408">
        <v>283</v>
      </c>
      <c r="J380" s="408">
        <v>697</v>
      </c>
      <c r="K380" s="408">
        <v>0.40600000000000003</v>
      </c>
      <c r="L380" s="408">
        <v>153</v>
      </c>
      <c r="M380" s="408">
        <v>402</v>
      </c>
      <c r="N380" s="408">
        <v>0.38100000000000001</v>
      </c>
      <c r="O380" s="408">
        <v>130</v>
      </c>
      <c r="P380" s="408">
        <v>295</v>
      </c>
      <c r="Q380" s="408">
        <v>0.441</v>
      </c>
      <c r="R380" s="408">
        <v>0.51600000000000001</v>
      </c>
      <c r="S380" s="408">
        <v>83</v>
      </c>
      <c r="T380" s="408">
        <v>101</v>
      </c>
      <c r="U380" s="408">
        <v>0.82199999999999995</v>
      </c>
      <c r="V380" s="408">
        <v>28</v>
      </c>
      <c r="W380" s="408">
        <v>170</v>
      </c>
      <c r="X380" s="408">
        <v>198</v>
      </c>
      <c r="Y380" s="408">
        <v>172</v>
      </c>
      <c r="Z380" s="408">
        <v>76</v>
      </c>
      <c r="AA380" s="408">
        <v>16</v>
      </c>
      <c r="AB380" s="408">
        <v>83</v>
      </c>
      <c r="AC380" s="408">
        <v>140</v>
      </c>
      <c r="AD380" s="408">
        <v>802</v>
      </c>
    </row>
    <row r="381" spans="1:30">
      <c r="A381">
        <v>311</v>
      </c>
      <c r="B381" s="1" t="s">
        <v>438</v>
      </c>
      <c r="C381" s="1" t="s">
        <v>38</v>
      </c>
      <c r="D381" s="408">
        <v>31</v>
      </c>
      <c r="E381" s="5" t="s">
        <v>92</v>
      </c>
      <c r="F381" s="408">
        <v>53</v>
      </c>
      <c r="G381" s="408">
        <v>14</v>
      </c>
      <c r="H381" s="408">
        <v>1399</v>
      </c>
      <c r="I381" s="408">
        <v>145</v>
      </c>
      <c r="J381" s="408">
        <v>301</v>
      </c>
      <c r="K381" s="408">
        <v>0.48199999999999998</v>
      </c>
      <c r="L381" s="408">
        <v>54</v>
      </c>
      <c r="M381" s="408">
        <v>154</v>
      </c>
      <c r="N381" s="408">
        <v>0.35099999999999998</v>
      </c>
      <c r="O381" s="408">
        <v>91</v>
      </c>
      <c r="P381" s="408">
        <v>147</v>
      </c>
      <c r="Q381" s="408">
        <v>0.61899999999999999</v>
      </c>
      <c r="R381" s="408">
        <v>0.57099999999999995</v>
      </c>
      <c r="S381" s="408">
        <v>59</v>
      </c>
      <c r="T381" s="408">
        <v>84</v>
      </c>
      <c r="U381" s="408">
        <v>0.70199999999999996</v>
      </c>
      <c r="V381" s="408">
        <v>20</v>
      </c>
      <c r="W381" s="408">
        <v>147</v>
      </c>
      <c r="X381" s="408">
        <v>167</v>
      </c>
      <c r="Y381" s="408">
        <v>51</v>
      </c>
      <c r="Z381" s="408">
        <v>53</v>
      </c>
      <c r="AA381" s="408">
        <v>24</v>
      </c>
      <c r="AB381" s="408">
        <v>62</v>
      </c>
      <c r="AC381" s="408">
        <v>91</v>
      </c>
      <c r="AD381" s="408">
        <v>403</v>
      </c>
    </row>
    <row r="382" spans="1:30">
      <c r="A382">
        <v>312</v>
      </c>
      <c r="B382" s="1" t="s">
        <v>299</v>
      </c>
      <c r="C382" s="1" t="s">
        <v>38</v>
      </c>
      <c r="D382" s="408">
        <v>25</v>
      </c>
      <c r="E382" s="5" t="s">
        <v>118</v>
      </c>
      <c r="F382" s="408">
        <v>3</v>
      </c>
      <c r="G382" s="408">
        <v>0</v>
      </c>
      <c r="H382" s="408">
        <v>18</v>
      </c>
      <c r="I382" s="408">
        <v>2</v>
      </c>
      <c r="J382" s="408">
        <v>7</v>
      </c>
      <c r="K382" s="408">
        <v>0.28599999999999998</v>
      </c>
      <c r="L382" s="408">
        <v>2</v>
      </c>
      <c r="M382" s="408">
        <v>7</v>
      </c>
      <c r="N382" s="408">
        <v>0.28599999999999998</v>
      </c>
      <c r="O382" s="408">
        <v>0</v>
      </c>
      <c r="P382" s="408">
        <v>0</v>
      </c>
      <c r="Q382" s="408"/>
      <c r="R382" s="408">
        <v>0.42899999999999999</v>
      </c>
      <c r="S382" s="408">
        <v>2</v>
      </c>
      <c r="T382" s="408">
        <v>2</v>
      </c>
      <c r="U382" s="408">
        <v>1</v>
      </c>
      <c r="V382" s="408">
        <v>0</v>
      </c>
      <c r="W382" s="408">
        <v>2</v>
      </c>
      <c r="X382" s="408">
        <v>2</v>
      </c>
      <c r="Y382" s="408">
        <v>0</v>
      </c>
      <c r="Z382" s="408">
        <v>0</v>
      </c>
      <c r="AA382" s="408">
        <v>1</v>
      </c>
      <c r="AB382" s="408">
        <v>1</v>
      </c>
      <c r="AC382" s="408">
        <v>1</v>
      </c>
      <c r="AD382" s="408">
        <v>8</v>
      </c>
    </row>
    <row r="383" spans="1:30">
      <c r="A383">
        <v>313</v>
      </c>
      <c r="B383" s="1" t="s">
        <v>98</v>
      </c>
      <c r="C383" s="1" t="s">
        <v>26</v>
      </c>
      <c r="D383" s="408">
        <v>22</v>
      </c>
      <c r="E383" s="5" t="s">
        <v>73</v>
      </c>
      <c r="F383" s="408">
        <v>52</v>
      </c>
      <c r="G383" s="408">
        <v>6</v>
      </c>
      <c r="H383" s="408">
        <v>822</v>
      </c>
      <c r="I383" s="408">
        <v>78</v>
      </c>
      <c r="J383" s="408">
        <v>181</v>
      </c>
      <c r="K383" s="408">
        <v>0.43099999999999999</v>
      </c>
      <c r="L383" s="408">
        <v>16</v>
      </c>
      <c r="M383" s="408">
        <v>66</v>
      </c>
      <c r="N383" s="408">
        <v>0.24199999999999999</v>
      </c>
      <c r="O383" s="408">
        <v>62</v>
      </c>
      <c r="P383" s="408">
        <v>115</v>
      </c>
      <c r="Q383" s="408">
        <v>0.53900000000000003</v>
      </c>
      <c r="R383" s="408">
        <v>0.47499999999999998</v>
      </c>
      <c r="S383" s="408">
        <v>19</v>
      </c>
      <c r="T383" s="408">
        <v>27</v>
      </c>
      <c r="U383" s="408">
        <v>0.70399999999999996</v>
      </c>
      <c r="V383" s="408">
        <v>15</v>
      </c>
      <c r="W383" s="408">
        <v>58</v>
      </c>
      <c r="X383" s="408">
        <v>73</v>
      </c>
      <c r="Y383" s="408">
        <v>71</v>
      </c>
      <c r="Z383" s="408">
        <v>39</v>
      </c>
      <c r="AA383" s="408">
        <v>9</v>
      </c>
      <c r="AB383" s="408">
        <v>34</v>
      </c>
      <c r="AC383" s="408">
        <v>58</v>
      </c>
      <c r="AD383" s="408">
        <v>191</v>
      </c>
    </row>
    <row r="384" spans="1:30">
      <c r="A384">
        <v>314</v>
      </c>
      <c r="B384" s="1" t="s">
        <v>334</v>
      </c>
      <c r="C384" s="1" t="s">
        <v>26</v>
      </c>
      <c r="D384" s="408">
        <v>26</v>
      </c>
      <c r="E384" s="5" t="s">
        <v>96</v>
      </c>
      <c r="F384" s="408">
        <v>69</v>
      </c>
      <c r="G384" s="408">
        <v>69</v>
      </c>
      <c r="H384" s="408">
        <v>2486</v>
      </c>
      <c r="I384" s="408">
        <v>571</v>
      </c>
      <c r="J384" s="408">
        <v>1271</v>
      </c>
      <c r="K384" s="408">
        <v>0.44900000000000001</v>
      </c>
      <c r="L384" s="408">
        <v>170</v>
      </c>
      <c r="M384" s="408">
        <v>408</v>
      </c>
      <c r="N384" s="408">
        <v>0.41699999999999998</v>
      </c>
      <c r="O384" s="408">
        <v>401</v>
      </c>
      <c r="P384" s="408">
        <v>863</v>
      </c>
      <c r="Q384" s="408">
        <v>0.46500000000000002</v>
      </c>
      <c r="R384" s="408">
        <v>0.51600000000000001</v>
      </c>
      <c r="S384" s="408">
        <v>186</v>
      </c>
      <c r="T384" s="408">
        <v>221</v>
      </c>
      <c r="U384" s="408">
        <v>0.84199999999999997</v>
      </c>
      <c r="V384" s="408">
        <v>42</v>
      </c>
      <c r="W384" s="408">
        <v>229</v>
      </c>
      <c r="X384" s="408">
        <v>271</v>
      </c>
      <c r="Y384" s="408">
        <v>221</v>
      </c>
      <c r="Z384" s="408">
        <v>64</v>
      </c>
      <c r="AA384" s="408">
        <v>30</v>
      </c>
      <c r="AB384" s="408">
        <v>127</v>
      </c>
      <c r="AC384" s="408">
        <v>147</v>
      </c>
      <c r="AD384" s="408">
        <v>1498</v>
      </c>
    </row>
    <row r="385" spans="1:30">
      <c r="A385">
        <v>315</v>
      </c>
      <c r="B385" s="1" t="s">
        <v>539</v>
      </c>
      <c r="C385" s="1" t="s">
        <v>20</v>
      </c>
      <c r="D385" s="408">
        <v>25</v>
      </c>
      <c r="E385" s="5" t="s">
        <v>118</v>
      </c>
      <c r="F385" s="408">
        <v>63</v>
      </c>
      <c r="G385" s="408">
        <v>1</v>
      </c>
      <c r="H385" s="408">
        <v>1506</v>
      </c>
      <c r="I385" s="408">
        <v>185</v>
      </c>
      <c r="J385" s="408">
        <v>372</v>
      </c>
      <c r="K385" s="408">
        <v>0.497</v>
      </c>
      <c r="L385" s="408">
        <v>25</v>
      </c>
      <c r="M385" s="408">
        <v>58</v>
      </c>
      <c r="N385" s="408">
        <v>0.43099999999999999</v>
      </c>
      <c r="O385" s="408">
        <v>160</v>
      </c>
      <c r="P385" s="408">
        <v>314</v>
      </c>
      <c r="Q385" s="408">
        <v>0.51</v>
      </c>
      <c r="R385" s="408">
        <v>0.53100000000000003</v>
      </c>
      <c r="S385" s="408">
        <v>29</v>
      </c>
      <c r="T385" s="408">
        <v>34</v>
      </c>
      <c r="U385" s="408">
        <v>0.85299999999999998</v>
      </c>
      <c r="V385" s="408">
        <v>33</v>
      </c>
      <c r="W385" s="408">
        <v>163</v>
      </c>
      <c r="X385" s="408">
        <v>196</v>
      </c>
      <c r="Y385" s="408">
        <v>263</v>
      </c>
      <c r="Z385" s="408">
        <v>83</v>
      </c>
      <c r="AA385" s="408">
        <v>10</v>
      </c>
      <c r="AB385" s="408">
        <v>101</v>
      </c>
      <c r="AC385" s="408">
        <v>108</v>
      </c>
      <c r="AD385" s="408">
        <v>424</v>
      </c>
    </row>
    <row r="386" spans="1:30">
      <c r="A386">
        <v>316</v>
      </c>
      <c r="B386" s="1" t="s">
        <v>840</v>
      </c>
      <c r="C386" s="1" t="s">
        <v>46</v>
      </c>
      <c r="D386" s="408">
        <v>24</v>
      </c>
      <c r="E386" s="5" t="s">
        <v>305</v>
      </c>
      <c r="F386" s="408">
        <v>4</v>
      </c>
      <c r="G386" s="408">
        <v>0</v>
      </c>
      <c r="H386" s="408">
        <v>8</v>
      </c>
      <c r="I386" s="408">
        <v>0</v>
      </c>
      <c r="J386" s="408">
        <v>2</v>
      </c>
      <c r="K386" s="408">
        <v>0</v>
      </c>
      <c r="L386" s="408">
        <v>0</v>
      </c>
      <c r="M386" s="408">
        <v>1</v>
      </c>
      <c r="N386" s="408">
        <v>0</v>
      </c>
      <c r="O386" s="408">
        <v>0</v>
      </c>
      <c r="P386" s="408">
        <v>1</v>
      </c>
      <c r="Q386" s="408">
        <v>0</v>
      </c>
      <c r="R386" s="408">
        <v>0</v>
      </c>
      <c r="S386" s="408">
        <v>0</v>
      </c>
      <c r="T386" s="408">
        <v>0</v>
      </c>
      <c r="U386" s="408"/>
      <c r="V386" s="408">
        <v>0</v>
      </c>
      <c r="W386" s="408">
        <v>1</v>
      </c>
      <c r="X386" s="408">
        <v>1</v>
      </c>
      <c r="Y386" s="408">
        <v>0</v>
      </c>
      <c r="Z386" s="408">
        <v>1</v>
      </c>
      <c r="AA386" s="408">
        <v>0</v>
      </c>
      <c r="AB386" s="408">
        <v>1</v>
      </c>
      <c r="AC386" s="408">
        <v>0</v>
      </c>
      <c r="AD386" s="408">
        <v>0</v>
      </c>
    </row>
    <row r="387" spans="1:30">
      <c r="A387">
        <v>317</v>
      </c>
      <c r="B387" s="1" t="s">
        <v>71</v>
      </c>
      <c r="C387" s="1" t="s">
        <v>38</v>
      </c>
      <c r="D387" s="408">
        <v>22</v>
      </c>
      <c r="E387" s="5" t="s">
        <v>27</v>
      </c>
      <c r="F387" s="408">
        <v>19</v>
      </c>
      <c r="G387" s="408">
        <v>0</v>
      </c>
      <c r="H387" s="408">
        <v>90</v>
      </c>
      <c r="I387" s="408">
        <v>18</v>
      </c>
      <c r="J387" s="408">
        <v>42</v>
      </c>
      <c r="K387" s="408">
        <v>0.42899999999999999</v>
      </c>
      <c r="L387" s="408">
        <v>1</v>
      </c>
      <c r="M387" s="408">
        <v>8</v>
      </c>
      <c r="N387" s="408">
        <v>0.125</v>
      </c>
      <c r="O387" s="408">
        <v>17</v>
      </c>
      <c r="P387" s="408">
        <v>34</v>
      </c>
      <c r="Q387" s="408">
        <v>0.5</v>
      </c>
      <c r="R387" s="408">
        <v>0.44</v>
      </c>
      <c r="S387" s="408">
        <v>9</v>
      </c>
      <c r="T387" s="408">
        <v>14</v>
      </c>
      <c r="U387" s="408">
        <v>0.64300000000000002</v>
      </c>
      <c r="V387" s="408">
        <v>7</v>
      </c>
      <c r="W387" s="408">
        <v>18</v>
      </c>
      <c r="X387" s="408">
        <v>25</v>
      </c>
      <c r="Y387" s="408">
        <v>4</v>
      </c>
      <c r="Z387" s="408">
        <v>0</v>
      </c>
      <c r="AA387" s="408">
        <v>5</v>
      </c>
      <c r="AB387" s="408">
        <v>2</v>
      </c>
      <c r="AC387" s="408">
        <v>8</v>
      </c>
      <c r="AD387" s="408">
        <v>46</v>
      </c>
    </row>
    <row r="388" spans="1:30">
      <c r="A388">
        <v>318</v>
      </c>
      <c r="B388" s="1" t="s">
        <v>182</v>
      </c>
      <c r="C388" s="1" t="s">
        <v>46</v>
      </c>
      <c r="D388" s="408">
        <v>26</v>
      </c>
      <c r="E388" s="5" t="s">
        <v>357</v>
      </c>
      <c r="F388" s="408">
        <v>70</v>
      </c>
      <c r="G388" s="408">
        <v>3</v>
      </c>
      <c r="H388" s="408">
        <v>1540</v>
      </c>
      <c r="I388" s="408">
        <v>199</v>
      </c>
      <c r="J388" s="408">
        <v>430</v>
      </c>
      <c r="K388" s="408">
        <v>0.46300000000000002</v>
      </c>
      <c r="L388" s="408">
        <v>78</v>
      </c>
      <c r="M388" s="408">
        <v>184</v>
      </c>
      <c r="N388" s="408">
        <v>0.42399999999999999</v>
      </c>
      <c r="O388" s="408">
        <v>121</v>
      </c>
      <c r="P388" s="408">
        <v>246</v>
      </c>
      <c r="Q388" s="408">
        <v>0.49199999999999999</v>
      </c>
      <c r="R388" s="408">
        <v>0.55300000000000005</v>
      </c>
      <c r="S388" s="408">
        <v>58</v>
      </c>
      <c r="T388" s="408">
        <v>74</v>
      </c>
      <c r="U388" s="408">
        <v>0.78400000000000003</v>
      </c>
      <c r="V388" s="408">
        <v>40</v>
      </c>
      <c r="W388" s="408">
        <v>136</v>
      </c>
      <c r="X388" s="408">
        <v>176</v>
      </c>
      <c r="Y388" s="408">
        <v>73</v>
      </c>
      <c r="Z388" s="408">
        <v>16</v>
      </c>
      <c r="AA388" s="408">
        <v>14</v>
      </c>
      <c r="AB388" s="408">
        <v>46</v>
      </c>
      <c r="AC388" s="408">
        <v>106</v>
      </c>
      <c r="AD388" s="408">
        <v>534</v>
      </c>
    </row>
    <row r="389" spans="1:30">
      <c r="A389">
        <v>318</v>
      </c>
      <c r="B389" s="1" t="s">
        <v>182</v>
      </c>
      <c r="C389" s="1" t="s">
        <v>46</v>
      </c>
      <c r="D389" s="408">
        <v>26</v>
      </c>
      <c r="E389" s="5" t="s">
        <v>21</v>
      </c>
      <c r="F389" s="408">
        <v>55</v>
      </c>
      <c r="G389" s="408">
        <v>1</v>
      </c>
      <c r="H389" s="408">
        <v>1172</v>
      </c>
      <c r="I389" s="408">
        <v>151</v>
      </c>
      <c r="J389" s="408">
        <v>328</v>
      </c>
      <c r="K389" s="408">
        <v>0.46</v>
      </c>
      <c r="L389" s="408">
        <v>53</v>
      </c>
      <c r="M389" s="408">
        <v>137</v>
      </c>
      <c r="N389" s="408">
        <v>0.38700000000000001</v>
      </c>
      <c r="O389" s="408">
        <v>98</v>
      </c>
      <c r="P389" s="408">
        <v>191</v>
      </c>
      <c r="Q389" s="408">
        <v>0.51300000000000001</v>
      </c>
      <c r="R389" s="408">
        <v>0.54100000000000004</v>
      </c>
      <c r="S389" s="408">
        <v>40</v>
      </c>
      <c r="T389" s="408">
        <v>53</v>
      </c>
      <c r="U389" s="408">
        <v>0.755</v>
      </c>
      <c r="V389" s="408">
        <v>33</v>
      </c>
      <c r="W389" s="408">
        <v>101</v>
      </c>
      <c r="X389" s="408">
        <v>134</v>
      </c>
      <c r="Y389" s="408">
        <v>50</v>
      </c>
      <c r="Z389" s="408">
        <v>10</v>
      </c>
      <c r="AA389" s="408">
        <v>12</v>
      </c>
      <c r="AB389" s="408">
        <v>34</v>
      </c>
      <c r="AC389" s="408">
        <v>73</v>
      </c>
      <c r="AD389" s="408">
        <v>395</v>
      </c>
    </row>
    <row r="390" spans="1:30">
      <c r="A390">
        <v>318</v>
      </c>
      <c r="B390" s="1" t="s">
        <v>182</v>
      </c>
      <c r="C390" s="1" t="s">
        <v>46</v>
      </c>
      <c r="D390" s="408">
        <v>26</v>
      </c>
      <c r="E390" s="5" t="s">
        <v>33</v>
      </c>
      <c r="F390" s="408">
        <v>15</v>
      </c>
      <c r="G390" s="408">
        <v>2</v>
      </c>
      <c r="H390" s="408">
        <v>368</v>
      </c>
      <c r="I390" s="408">
        <v>48</v>
      </c>
      <c r="J390" s="408">
        <v>102</v>
      </c>
      <c r="K390" s="408">
        <v>0.47099999999999997</v>
      </c>
      <c r="L390" s="408">
        <v>25</v>
      </c>
      <c r="M390" s="408">
        <v>47</v>
      </c>
      <c r="N390" s="408">
        <v>0.53200000000000003</v>
      </c>
      <c r="O390" s="408">
        <v>23</v>
      </c>
      <c r="P390" s="408">
        <v>55</v>
      </c>
      <c r="Q390" s="408">
        <v>0.41799999999999998</v>
      </c>
      <c r="R390" s="408">
        <v>0.59299999999999997</v>
      </c>
      <c r="S390" s="408">
        <v>18</v>
      </c>
      <c r="T390" s="408">
        <v>21</v>
      </c>
      <c r="U390" s="408">
        <v>0.85699999999999998</v>
      </c>
      <c r="V390" s="408">
        <v>7</v>
      </c>
      <c r="W390" s="408">
        <v>35</v>
      </c>
      <c r="X390" s="408">
        <v>42</v>
      </c>
      <c r="Y390" s="408">
        <v>23</v>
      </c>
      <c r="Z390" s="408">
        <v>6</v>
      </c>
      <c r="AA390" s="408">
        <v>2</v>
      </c>
      <c r="AB390" s="408">
        <v>12</v>
      </c>
      <c r="AC390" s="408">
        <v>33</v>
      </c>
      <c r="AD390" s="408">
        <v>139</v>
      </c>
    </row>
    <row r="391" spans="1:30">
      <c r="A391">
        <v>319</v>
      </c>
      <c r="B391" s="1" t="s">
        <v>94</v>
      </c>
      <c r="C391" s="1" t="s">
        <v>83</v>
      </c>
      <c r="D391" s="408">
        <v>30</v>
      </c>
      <c r="E391" s="5" t="s">
        <v>73</v>
      </c>
      <c r="F391" s="408">
        <v>55</v>
      </c>
      <c r="G391" s="408">
        <v>13</v>
      </c>
      <c r="H391" s="408">
        <v>505</v>
      </c>
      <c r="I391" s="408">
        <v>102</v>
      </c>
      <c r="J391" s="408">
        <v>160</v>
      </c>
      <c r="K391" s="408">
        <v>0.63800000000000001</v>
      </c>
      <c r="L391" s="408">
        <v>0</v>
      </c>
      <c r="M391" s="408">
        <v>6</v>
      </c>
      <c r="N391" s="408">
        <v>0</v>
      </c>
      <c r="O391" s="408">
        <v>102</v>
      </c>
      <c r="P391" s="408">
        <v>154</v>
      </c>
      <c r="Q391" s="408">
        <v>0.66200000000000003</v>
      </c>
      <c r="R391" s="408">
        <v>0.63800000000000001</v>
      </c>
      <c r="S391" s="408">
        <v>34</v>
      </c>
      <c r="T391" s="408">
        <v>44</v>
      </c>
      <c r="U391" s="408">
        <v>0.77300000000000002</v>
      </c>
      <c r="V391" s="408">
        <v>37</v>
      </c>
      <c r="W391" s="408">
        <v>92</v>
      </c>
      <c r="X391" s="408">
        <v>129</v>
      </c>
      <c r="Y391" s="408">
        <v>30</v>
      </c>
      <c r="Z391" s="408">
        <v>18</v>
      </c>
      <c r="AA391" s="408">
        <v>52</v>
      </c>
      <c r="AB391" s="408">
        <v>22</v>
      </c>
      <c r="AC391" s="408">
        <v>76</v>
      </c>
      <c r="AD391" s="408">
        <v>238</v>
      </c>
    </row>
    <row r="392" spans="1:30">
      <c r="A392">
        <v>320</v>
      </c>
      <c r="B392" s="1" t="s">
        <v>747</v>
      </c>
      <c r="C392" s="1" t="s">
        <v>26</v>
      </c>
      <c r="D392" s="408">
        <v>26</v>
      </c>
      <c r="E392" s="5" t="s">
        <v>50</v>
      </c>
      <c r="F392" s="408">
        <v>10</v>
      </c>
      <c r="G392" s="408">
        <v>0</v>
      </c>
      <c r="H392" s="408">
        <v>188</v>
      </c>
      <c r="I392" s="408">
        <v>24</v>
      </c>
      <c r="J392" s="408">
        <v>46</v>
      </c>
      <c r="K392" s="408">
        <v>0.52200000000000002</v>
      </c>
      <c r="L392" s="408">
        <v>8</v>
      </c>
      <c r="M392" s="408">
        <v>21</v>
      </c>
      <c r="N392" s="408">
        <v>0.38100000000000001</v>
      </c>
      <c r="O392" s="408">
        <v>16</v>
      </c>
      <c r="P392" s="408">
        <v>25</v>
      </c>
      <c r="Q392" s="408">
        <v>0.64</v>
      </c>
      <c r="R392" s="408">
        <v>0.60899999999999999</v>
      </c>
      <c r="S392" s="408">
        <v>1</v>
      </c>
      <c r="T392" s="408">
        <v>2</v>
      </c>
      <c r="U392" s="408">
        <v>0.5</v>
      </c>
      <c r="V392" s="408">
        <v>6</v>
      </c>
      <c r="W392" s="408">
        <v>10</v>
      </c>
      <c r="X392" s="408">
        <v>16</v>
      </c>
      <c r="Y392" s="408">
        <v>10</v>
      </c>
      <c r="Z392" s="408">
        <v>4</v>
      </c>
      <c r="AA392" s="408">
        <v>2</v>
      </c>
      <c r="AB392" s="408">
        <v>3</v>
      </c>
      <c r="AC392" s="408">
        <v>12</v>
      </c>
      <c r="AD392" s="408">
        <v>57</v>
      </c>
    </row>
    <row r="393" spans="1:30">
      <c r="A393">
        <v>321</v>
      </c>
      <c r="B393" s="1" t="s">
        <v>1043</v>
      </c>
      <c r="C393" s="1" t="s">
        <v>26</v>
      </c>
      <c r="D393" s="408">
        <v>27</v>
      </c>
      <c r="E393" s="5" t="s">
        <v>30</v>
      </c>
      <c r="F393" s="408">
        <v>1</v>
      </c>
      <c r="G393" s="408">
        <v>0</v>
      </c>
      <c r="H393" s="408">
        <v>1</v>
      </c>
      <c r="I393" s="408">
        <v>0</v>
      </c>
      <c r="J393" s="408">
        <v>0</v>
      </c>
      <c r="K393" s="408"/>
      <c r="L393" s="408">
        <v>0</v>
      </c>
      <c r="M393" s="408">
        <v>0</v>
      </c>
      <c r="N393" s="408"/>
      <c r="O393" s="408">
        <v>0</v>
      </c>
      <c r="P393" s="408">
        <v>0</v>
      </c>
      <c r="Q393" s="408"/>
      <c r="R393" s="408"/>
      <c r="S393" s="408">
        <v>0</v>
      </c>
      <c r="T393" s="408">
        <v>0</v>
      </c>
      <c r="U393" s="408"/>
      <c r="V393" s="408">
        <v>0</v>
      </c>
      <c r="W393" s="408">
        <v>0</v>
      </c>
      <c r="X393" s="408">
        <v>0</v>
      </c>
      <c r="Y393" s="408">
        <v>0</v>
      </c>
      <c r="Z393" s="408">
        <v>0</v>
      </c>
      <c r="AA393" s="408">
        <v>0</v>
      </c>
      <c r="AB393" s="408">
        <v>0</v>
      </c>
      <c r="AC393" s="408">
        <v>0</v>
      </c>
      <c r="AD393" s="408">
        <v>0</v>
      </c>
    </row>
    <row r="394" spans="1:30">
      <c r="A394">
        <v>322</v>
      </c>
      <c r="B394" s="1" t="s">
        <v>549</v>
      </c>
      <c r="C394" s="1" t="s">
        <v>46</v>
      </c>
      <c r="D394" s="408">
        <v>25</v>
      </c>
      <c r="E394" s="5" t="s">
        <v>47</v>
      </c>
      <c r="F394" s="408">
        <v>13</v>
      </c>
      <c r="G394" s="408">
        <v>0</v>
      </c>
      <c r="H394" s="408">
        <v>49</v>
      </c>
      <c r="I394" s="408">
        <v>7</v>
      </c>
      <c r="J394" s="408">
        <v>13</v>
      </c>
      <c r="K394" s="408">
        <v>0.53800000000000003</v>
      </c>
      <c r="L394" s="408">
        <v>3</v>
      </c>
      <c r="M394" s="408">
        <v>8</v>
      </c>
      <c r="N394" s="408">
        <v>0.375</v>
      </c>
      <c r="O394" s="408">
        <v>4</v>
      </c>
      <c r="P394" s="408">
        <v>5</v>
      </c>
      <c r="Q394" s="408">
        <v>0.8</v>
      </c>
      <c r="R394" s="408">
        <v>0.65400000000000003</v>
      </c>
      <c r="S394" s="408">
        <v>2</v>
      </c>
      <c r="T394" s="408">
        <v>3</v>
      </c>
      <c r="U394" s="408">
        <v>0.66700000000000004</v>
      </c>
      <c r="V394" s="408">
        <v>0</v>
      </c>
      <c r="W394" s="408">
        <v>6</v>
      </c>
      <c r="X394" s="408">
        <v>6</v>
      </c>
      <c r="Y394" s="408">
        <v>1</v>
      </c>
      <c r="Z394" s="408">
        <v>1</v>
      </c>
      <c r="AA394" s="408">
        <v>1</v>
      </c>
      <c r="AB394" s="408">
        <v>3</v>
      </c>
      <c r="AC394" s="408">
        <v>8</v>
      </c>
      <c r="AD394" s="408">
        <v>19</v>
      </c>
    </row>
    <row r="395" spans="1:30">
      <c r="A395">
        <v>323</v>
      </c>
      <c r="B395" s="1" t="s">
        <v>443</v>
      </c>
      <c r="C395" s="1" t="s">
        <v>26</v>
      </c>
      <c r="D395" s="408">
        <v>24</v>
      </c>
      <c r="E395" s="5" t="s">
        <v>128</v>
      </c>
      <c r="F395" s="408">
        <v>46</v>
      </c>
      <c r="G395" s="408">
        <v>12</v>
      </c>
      <c r="H395" s="408">
        <v>848</v>
      </c>
      <c r="I395" s="408">
        <v>120</v>
      </c>
      <c r="J395" s="408">
        <v>278</v>
      </c>
      <c r="K395" s="408">
        <v>0.432</v>
      </c>
      <c r="L395" s="408">
        <v>44</v>
      </c>
      <c r="M395" s="408">
        <v>122</v>
      </c>
      <c r="N395" s="408">
        <v>0.36099999999999999</v>
      </c>
      <c r="O395" s="408">
        <v>76</v>
      </c>
      <c r="P395" s="408">
        <v>156</v>
      </c>
      <c r="Q395" s="408">
        <v>0.48699999999999999</v>
      </c>
      <c r="R395" s="408">
        <v>0.51100000000000001</v>
      </c>
      <c r="S395" s="408">
        <v>37</v>
      </c>
      <c r="T395" s="408">
        <v>46</v>
      </c>
      <c r="U395" s="408">
        <v>0.80400000000000005</v>
      </c>
      <c r="V395" s="408">
        <v>24</v>
      </c>
      <c r="W395" s="408">
        <v>79</v>
      </c>
      <c r="X395" s="408">
        <v>103</v>
      </c>
      <c r="Y395" s="408">
        <v>42</v>
      </c>
      <c r="Z395" s="408">
        <v>31</v>
      </c>
      <c r="AA395" s="408">
        <v>13</v>
      </c>
      <c r="AB395" s="408">
        <v>51</v>
      </c>
      <c r="AC395" s="408">
        <v>114</v>
      </c>
      <c r="AD395" s="408">
        <v>321</v>
      </c>
    </row>
    <row r="396" spans="1:30">
      <c r="A396">
        <v>324</v>
      </c>
      <c r="B396" s="1" t="s">
        <v>39</v>
      </c>
      <c r="C396" s="1" t="s">
        <v>38</v>
      </c>
      <c r="D396" s="408">
        <v>30</v>
      </c>
      <c r="E396" s="5" t="s">
        <v>33</v>
      </c>
      <c r="F396" s="408">
        <v>2</v>
      </c>
      <c r="G396" s="408">
        <v>0</v>
      </c>
      <c r="H396" s="408">
        <v>6</v>
      </c>
      <c r="I396" s="408">
        <v>0</v>
      </c>
      <c r="J396" s="408">
        <v>1</v>
      </c>
      <c r="K396" s="408">
        <v>0</v>
      </c>
      <c r="L396" s="408">
        <v>0</v>
      </c>
      <c r="M396" s="408">
        <v>1</v>
      </c>
      <c r="N396" s="408">
        <v>0</v>
      </c>
      <c r="O396" s="408">
        <v>0</v>
      </c>
      <c r="P396" s="408">
        <v>0</v>
      </c>
      <c r="Q396" s="408"/>
      <c r="R396" s="408">
        <v>0</v>
      </c>
      <c r="S396" s="408">
        <v>0</v>
      </c>
      <c r="T396" s="408">
        <v>0</v>
      </c>
      <c r="U396" s="408"/>
      <c r="V396" s="408">
        <v>0</v>
      </c>
      <c r="W396" s="408">
        <v>0</v>
      </c>
      <c r="X396" s="408">
        <v>0</v>
      </c>
      <c r="Y396" s="408">
        <v>0</v>
      </c>
      <c r="Z396" s="408">
        <v>0</v>
      </c>
      <c r="AA396" s="408">
        <v>0</v>
      </c>
      <c r="AB396" s="408">
        <v>0</v>
      </c>
      <c r="AC396" s="408">
        <v>2</v>
      </c>
      <c r="AD396" s="408">
        <v>0</v>
      </c>
    </row>
    <row r="397" spans="1:30">
      <c r="A397">
        <v>325</v>
      </c>
      <c r="B397" s="1" t="s">
        <v>436</v>
      </c>
      <c r="C397" s="1" t="s">
        <v>26</v>
      </c>
      <c r="D397" s="408">
        <v>30</v>
      </c>
      <c r="E397" s="5" t="s">
        <v>27</v>
      </c>
      <c r="F397" s="408">
        <v>67</v>
      </c>
      <c r="G397" s="408">
        <v>0</v>
      </c>
      <c r="H397" s="408">
        <v>1009</v>
      </c>
      <c r="I397" s="408">
        <v>136</v>
      </c>
      <c r="J397" s="408">
        <v>348</v>
      </c>
      <c r="K397" s="408">
        <v>0.39100000000000001</v>
      </c>
      <c r="L397" s="408">
        <v>59</v>
      </c>
      <c r="M397" s="408">
        <v>183</v>
      </c>
      <c r="N397" s="408">
        <v>0.32200000000000001</v>
      </c>
      <c r="O397" s="408">
        <v>77</v>
      </c>
      <c r="P397" s="408">
        <v>165</v>
      </c>
      <c r="Q397" s="408">
        <v>0.46700000000000003</v>
      </c>
      <c r="R397" s="408">
        <v>0.47599999999999998</v>
      </c>
      <c r="S397" s="408">
        <v>95</v>
      </c>
      <c r="T397" s="408">
        <v>109</v>
      </c>
      <c r="U397" s="408">
        <v>0.872</v>
      </c>
      <c r="V397" s="408">
        <v>15</v>
      </c>
      <c r="W397" s="408">
        <v>97</v>
      </c>
      <c r="X397" s="408">
        <v>112</v>
      </c>
      <c r="Y397" s="408">
        <v>64</v>
      </c>
      <c r="Z397" s="408">
        <v>27</v>
      </c>
      <c r="AA397" s="408">
        <v>4</v>
      </c>
      <c r="AB397" s="408">
        <v>34</v>
      </c>
      <c r="AC397" s="408">
        <v>50</v>
      </c>
      <c r="AD397" s="408">
        <v>426</v>
      </c>
    </row>
    <row r="398" spans="1:30">
      <c r="A398">
        <v>326</v>
      </c>
      <c r="B398" s="1" t="s">
        <v>84</v>
      </c>
      <c r="C398" s="1" t="s">
        <v>83</v>
      </c>
      <c r="D398" s="408">
        <v>31</v>
      </c>
      <c r="E398" s="5" t="s">
        <v>33</v>
      </c>
      <c r="F398" s="408">
        <v>57</v>
      </c>
      <c r="G398" s="408">
        <v>1</v>
      </c>
      <c r="H398" s="408">
        <v>668</v>
      </c>
      <c r="I398" s="408">
        <v>82</v>
      </c>
      <c r="J398" s="408">
        <v>125</v>
      </c>
      <c r="K398" s="408">
        <v>0.65600000000000003</v>
      </c>
      <c r="L398" s="408">
        <v>0</v>
      </c>
      <c r="M398" s="408">
        <v>3</v>
      </c>
      <c r="N398" s="408">
        <v>0</v>
      </c>
      <c r="O398" s="408">
        <v>82</v>
      </c>
      <c r="P398" s="408">
        <v>122</v>
      </c>
      <c r="Q398" s="408">
        <v>0.67200000000000004</v>
      </c>
      <c r="R398" s="408">
        <v>0.65600000000000003</v>
      </c>
      <c r="S398" s="408">
        <v>33</v>
      </c>
      <c r="T398" s="408">
        <v>58</v>
      </c>
      <c r="U398" s="408">
        <v>0.56899999999999995</v>
      </c>
      <c r="V398" s="408">
        <v>78</v>
      </c>
      <c r="W398" s="408">
        <v>155</v>
      </c>
      <c r="X398" s="408">
        <v>233</v>
      </c>
      <c r="Y398" s="408">
        <v>29</v>
      </c>
      <c r="Z398" s="408">
        <v>21</v>
      </c>
      <c r="AA398" s="408">
        <v>63</v>
      </c>
      <c r="AB398" s="408">
        <v>35</v>
      </c>
      <c r="AC398" s="408">
        <v>115</v>
      </c>
      <c r="AD398" s="408">
        <v>197</v>
      </c>
    </row>
    <row r="399" spans="1:30">
      <c r="A399">
        <v>327</v>
      </c>
      <c r="B399" s="1" t="s">
        <v>116</v>
      </c>
      <c r="C399" s="1" t="s">
        <v>38</v>
      </c>
      <c r="D399" s="408">
        <v>23</v>
      </c>
      <c r="E399" s="5" t="s">
        <v>50</v>
      </c>
      <c r="F399" s="408">
        <v>20</v>
      </c>
      <c r="G399" s="408">
        <v>2</v>
      </c>
      <c r="H399" s="408">
        <v>249</v>
      </c>
      <c r="I399" s="408">
        <v>34</v>
      </c>
      <c r="J399" s="408">
        <v>71</v>
      </c>
      <c r="K399" s="408">
        <v>0.47899999999999998</v>
      </c>
      <c r="L399" s="408">
        <v>1</v>
      </c>
      <c r="M399" s="408">
        <v>13</v>
      </c>
      <c r="N399" s="408">
        <v>7.6999999999999999E-2</v>
      </c>
      <c r="O399" s="408">
        <v>33</v>
      </c>
      <c r="P399" s="408">
        <v>58</v>
      </c>
      <c r="Q399" s="408">
        <v>0.56899999999999995</v>
      </c>
      <c r="R399" s="408">
        <v>0.48599999999999999</v>
      </c>
      <c r="S399" s="408">
        <v>11</v>
      </c>
      <c r="T399" s="408">
        <v>16</v>
      </c>
      <c r="U399" s="408">
        <v>0.68799999999999994</v>
      </c>
      <c r="V399" s="408">
        <v>16</v>
      </c>
      <c r="W399" s="408">
        <v>58</v>
      </c>
      <c r="X399" s="408">
        <v>74</v>
      </c>
      <c r="Y399" s="408">
        <v>9</v>
      </c>
      <c r="Z399" s="408">
        <v>5</v>
      </c>
      <c r="AA399" s="408">
        <v>9</v>
      </c>
      <c r="AB399" s="408">
        <v>16</v>
      </c>
      <c r="AC399" s="408">
        <v>33</v>
      </c>
      <c r="AD399" s="408">
        <v>80</v>
      </c>
    </row>
    <row r="400" spans="1:30">
      <c r="A400">
        <v>328</v>
      </c>
      <c r="B400" s="1" t="s">
        <v>338</v>
      </c>
      <c r="C400" s="1" t="s">
        <v>46</v>
      </c>
      <c r="D400" s="408">
        <v>26</v>
      </c>
      <c r="E400" s="5" t="s">
        <v>41</v>
      </c>
      <c r="F400" s="408">
        <v>70</v>
      </c>
      <c r="G400" s="408">
        <v>70</v>
      </c>
      <c r="H400" s="408">
        <v>2557</v>
      </c>
      <c r="I400" s="408">
        <v>508</v>
      </c>
      <c r="J400" s="408">
        <v>1082</v>
      </c>
      <c r="K400" s="408">
        <v>0.47</v>
      </c>
      <c r="L400" s="408">
        <v>126</v>
      </c>
      <c r="M400" s="408">
        <v>352</v>
      </c>
      <c r="N400" s="408">
        <v>0.35799999999999998</v>
      </c>
      <c r="O400" s="408">
        <v>382</v>
      </c>
      <c r="P400" s="408">
        <v>730</v>
      </c>
      <c r="Q400" s="408">
        <v>0.52300000000000002</v>
      </c>
      <c r="R400" s="408">
        <v>0.52800000000000002</v>
      </c>
      <c r="S400" s="408">
        <v>269</v>
      </c>
      <c r="T400" s="408">
        <v>307</v>
      </c>
      <c r="U400" s="408">
        <v>0.876</v>
      </c>
      <c r="V400" s="408">
        <v>37</v>
      </c>
      <c r="W400" s="408">
        <v>329</v>
      </c>
      <c r="X400" s="408">
        <v>366</v>
      </c>
      <c r="Y400" s="408">
        <v>275</v>
      </c>
      <c r="Z400" s="408">
        <v>93</v>
      </c>
      <c r="AA400" s="408">
        <v>14</v>
      </c>
      <c r="AB400" s="408">
        <v>164</v>
      </c>
      <c r="AC400" s="408">
        <v>232</v>
      </c>
      <c r="AD400" s="408">
        <v>1411</v>
      </c>
    </row>
    <row r="401" spans="1:30">
      <c r="A401">
        <v>329</v>
      </c>
      <c r="B401" s="1" t="s">
        <v>325</v>
      </c>
      <c r="C401" s="1" t="s">
        <v>46</v>
      </c>
      <c r="D401" s="408">
        <v>30</v>
      </c>
      <c r="E401" s="5" t="s">
        <v>47</v>
      </c>
      <c r="F401" s="408">
        <v>60</v>
      </c>
      <c r="G401" s="408">
        <v>3</v>
      </c>
      <c r="H401" s="408">
        <v>1133</v>
      </c>
      <c r="I401" s="408">
        <v>203</v>
      </c>
      <c r="J401" s="408">
        <v>507</v>
      </c>
      <c r="K401" s="408">
        <v>0.4</v>
      </c>
      <c r="L401" s="408">
        <v>149</v>
      </c>
      <c r="M401" s="408">
        <v>388</v>
      </c>
      <c r="N401" s="408">
        <v>0.38400000000000001</v>
      </c>
      <c r="O401" s="408">
        <v>54</v>
      </c>
      <c r="P401" s="408">
        <v>119</v>
      </c>
      <c r="Q401" s="408">
        <v>0.45400000000000001</v>
      </c>
      <c r="R401" s="408">
        <v>0.54700000000000004</v>
      </c>
      <c r="S401" s="408">
        <v>69</v>
      </c>
      <c r="T401" s="408">
        <v>83</v>
      </c>
      <c r="U401" s="408">
        <v>0.83099999999999996</v>
      </c>
      <c r="V401" s="408">
        <v>17</v>
      </c>
      <c r="W401" s="408">
        <v>109</v>
      </c>
      <c r="X401" s="408">
        <v>126</v>
      </c>
      <c r="Y401" s="408">
        <v>42</v>
      </c>
      <c r="Z401" s="408">
        <v>35</v>
      </c>
      <c r="AA401" s="408">
        <v>19</v>
      </c>
      <c r="AB401" s="408">
        <v>29</v>
      </c>
      <c r="AC401" s="408">
        <v>111</v>
      </c>
      <c r="AD401" s="408">
        <v>624</v>
      </c>
    </row>
    <row r="402" spans="1:30">
      <c r="A402">
        <v>330</v>
      </c>
      <c r="B402" s="1" t="s">
        <v>372</v>
      </c>
      <c r="C402" s="1" t="s">
        <v>46</v>
      </c>
      <c r="D402" s="408">
        <v>27</v>
      </c>
      <c r="E402" s="5" t="s">
        <v>112</v>
      </c>
      <c r="F402" s="408">
        <v>70</v>
      </c>
      <c r="G402" s="408">
        <v>2</v>
      </c>
      <c r="H402" s="408">
        <v>1654</v>
      </c>
      <c r="I402" s="408">
        <v>184</v>
      </c>
      <c r="J402" s="408">
        <v>406</v>
      </c>
      <c r="K402" s="408">
        <v>0.45300000000000001</v>
      </c>
      <c r="L402" s="408">
        <v>130</v>
      </c>
      <c r="M402" s="408">
        <v>305</v>
      </c>
      <c r="N402" s="408">
        <v>0.42599999999999999</v>
      </c>
      <c r="O402" s="408">
        <v>54</v>
      </c>
      <c r="P402" s="408">
        <v>101</v>
      </c>
      <c r="Q402" s="408">
        <v>0.53500000000000003</v>
      </c>
      <c r="R402" s="408">
        <v>0.61299999999999999</v>
      </c>
      <c r="S402" s="408">
        <v>52</v>
      </c>
      <c r="T402" s="408">
        <v>59</v>
      </c>
      <c r="U402" s="408">
        <v>0.88100000000000001</v>
      </c>
      <c r="V402" s="408">
        <v>12</v>
      </c>
      <c r="W402" s="408">
        <v>124</v>
      </c>
      <c r="X402" s="408">
        <v>136</v>
      </c>
      <c r="Y402" s="408">
        <v>94</v>
      </c>
      <c r="Z402" s="408">
        <v>22</v>
      </c>
      <c r="AA402" s="408">
        <v>16</v>
      </c>
      <c r="AB402" s="408">
        <v>48</v>
      </c>
      <c r="AC402" s="408">
        <v>145</v>
      </c>
      <c r="AD402" s="408">
        <v>550</v>
      </c>
    </row>
    <row r="403" spans="1:30">
      <c r="A403">
        <v>331</v>
      </c>
      <c r="B403" s="1" t="s">
        <v>642</v>
      </c>
      <c r="C403" s="1" t="s">
        <v>46</v>
      </c>
      <c r="D403" s="408">
        <v>24</v>
      </c>
      <c r="E403" s="5" t="s">
        <v>47</v>
      </c>
      <c r="F403" s="408">
        <v>14</v>
      </c>
      <c r="G403" s="408">
        <v>3</v>
      </c>
      <c r="H403" s="408">
        <v>118</v>
      </c>
      <c r="I403" s="408">
        <v>13</v>
      </c>
      <c r="J403" s="408">
        <v>28</v>
      </c>
      <c r="K403" s="408">
        <v>0.46400000000000002</v>
      </c>
      <c r="L403" s="408">
        <v>8</v>
      </c>
      <c r="M403" s="408">
        <v>21</v>
      </c>
      <c r="N403" s="408">
        <v>0.38100000000000001</v>
      </c>
      <c r="O403" s="408">
        <v>5</v>
      </c>
      <c r="P403" s="408">
        <v>7</v>
      </c>
      <c r="Q403" s="408">
        <v>0.71399999999999997</v>
      </c>
      <c r="R403" s="408">
        <v>0.60699999999999998</v>
      </c>
      <c r="S403" s="408">
        <v>4</v>
      </c>
      <c r="T403" s="408">
        <v>4</v>
      </c>
      <c r="U403" s="408">
        <v>1</v>
      </c>
      <c r="V403" s="408">
        <v>4</v>
      </c>
      <c r="W403" s="408">
        <v>12</v>
      </c>
      <c r="X403" s="408">
        <v>16</v>
      </c>
      <c r="Y403" s="408">
        <v>3</v>
      </c>
      <c r="Z403" s="408">
        <v>1</v>
      </c>
      <c r="AA403" s="408">
        <v>2</v>
      </c>
      <c r="AB403" s="408">
        <v>4</v>
      </c>
      <c r="AC403" s="408">
        <v>10</v>
      </c>
      <c r="AD403" s="408">
        <v>38</v>
      </c>
    </row>
    <row r="404" spans="1:30">
      <c r="A404">
        <v>332</v>
      </c>
      <c r="B404" s="1" t="s">
        <v>362</v>
      </c>
      <c r="C404" s="1" t="s">
        <v>20</v>
      </c>
      <c r="D404" s="408">
        <v>29</v>
      </c>
      <c r="E404" s="5" t="s">
        <v>140</v>
      </c>
      <c r="F404" s="408">
        <v>71</v>
      </c>
      <c r="G404" s="408">
        <v>25</v>
      </c>
      <c r="H404" s="408">
        <v>1751</v>
      </c>
      <c r="I404" s="408">
        <v>235</v>
      </c>
      <c r="J404" s="408">
        <v>569</v>
      </c>
      <c r="K404" s="408">
        <v>0.41299999999999998</v>
      </c>
      <c r="L404" s="408">
        <v>130</v>
      </c>
      <c r="M404" s="408">
        <v>343</v>
      </c>
      <c r="N404" s="408">
        <v>0.379</v>
      </c>
      <c r="O404" s="408">
        <v>105</v>
      </c>
      <c r="P404" s="408">
        <v>226</v>
      </c>
      <c r="Q404" s="408">
        <v>0.46500000000000002</v>
      </c>
      <c r="R404" s="408">
        <v>0.52700000000000002</v>
      </c>
      <c r="S404" s="408">
        <v>84</v>
      </c>
      <c r="T404" s="408">
        <v>96</v>
      </c>
      <c r="U404" s="408">
        <v>0.875</v>
      </c>
      <c r="V404" s="408">
        <v>23</v>
      </c>
      <c r="W404" s="408">
        <v>111</v>
      </c>
      <c r="X404" s="408">
        <v>134</v>
      </c>
      <c r="Y404" s="408">
        <v>192</v>
      </c>
      <c r="Z404" s="408">
        <v>45</v>
      </c>
      <c r="AA404" s="408">
        <v>11</v>
      </c>
      <c r="AB404" s="408">
        <v>89</v>
      </c>
      <c r="AC404" s="408">
        <v>103</v>
      </c>
      <c r="AD404" s="408">
        <v>684</v>
      </c>
    </row>
    <row r="405" spans="1:30">
      <c r="A405">
        <v>333</v>
      </c>
      <c r="B405" s="1" t="s">
        <v>407</v>
      </c>
      <c r="C405" s="1" t="s">
        <v>38</v>
      </c>
      <c r="D405" s="408">
        <v>32</v>
      </c>
      <c r="E405" s="5" t="s">
        <v>61</v>
      </c>
      <c r="F405" s="408">
        <v>27</v>
      </c>
      <c r="G405" s="408">
        <v>26</v>
      </c>
      <c r="H405" s="408">
        <v>763</v>
      </c>
      <c r="I405" s="408">
        <v>136</v>
      </c>
      <c r="J405" s="408">
        <v>304</v>
      </c>
      <c r="K405" s="408">
        <v>0.44700000000000001</v>
      </c>
      <c r="L405" s="408">
        <v>30</v>
      </c>
      <c r="M405" s="408">
        <v>86</v>
      </c>
      <c r="N405" s="408">
        <v>0.34899999999999998</v>
      </c>
      <c r="O405" s="408">
        <v>106</v>
      </c>
      <c r="P405" s="408">
        <v>218</v>
      </c>
      <c r="Q405" s="408">
        <v>0.48599999999999999</v>
      </c>
      <c r="R405" s="408">
        <v>0.497</v>
      </c>
      <c r="S405" s="408">
        <v>74</v>
      </c>
      <c r="T405" s="408">
        <v>104</v>
      </c>
      <c r="U405" s="408">
        <v>0.71199999999999997</v>
      </c>
      <c r="V405" s="408">
        <v>39</v>
      </c>
      <c r="W405" s="408">
        <v>130</v>
      </c>
      <c r="X405" s="408">
        <v>169</v>
      </c>
      <c r="Y405" s="408">
        <v>72</v>
      </c>
      <c r="Z405" s="408">
        <v>29</v>
      </c>
      <c r="AA405" s="408">
        <v>32</v>
      </c>
      <c r="AB405" s="408">
        <v>54</v>
      </c>
      <c r="AC405" s="408">
        <v>68</v>
      </c>
      <c r="AD405" s="408">
        <v>376</v>
      </c>
    </row>
    <row r="406" spans="1:30">
      <c r="A406">
        <v>334</v>
      </c>
      <c r="B406" s="1" t="s">
        <v>330</v>
      </c>
      <c r="C406" s="1" t="s">
        <v>38</v>
      </c>
      <c r="D406" s="408">
        <v>26</v>
      </c>
      <c r="E406" s="5" t="s">
        <v>357</v>
      </c>
      <c r="F406" s="408">
        <v>44</v>
      </c>
      <c r="G406" s="408">
        <v>9</v>
      </c>
      <c r="H406" s="408">
        <v>1181</v>
      </c>
      <c r="I406" s="408">
        <v>236</v>
      </c>
      <c r="J406" s="408">
        <v>536</v>
      </c>
      <c r="K406" s="408">
        <v>0.44</v>
      </c>
      <c r="L406" s="408">
        <v>107</v>
      </c>
      <c r="M406" s="408">
        <v>284</v>
      </c>
      <c r="N406" s="408">
        <v>0.377</v>
      </c>
      <c r="O406" s="408">
        <v>129</v>
      </c>
      <c r="P406" s="408">
        <v>252</v>
      </c>
      <c r="Q406" s="408">
        <v>0.51200000000000001</v>
      </c>
      <c r="R406" s="408">
        <v>0.54</v>
      </c>
      <c r="S406" s="408">
        <v>97</v>
      </c>
      <c r="T406" s="408">
        <v>120</v>
      </c>
      <c r="U406" s="408">
        <v>0.80800000000000005</v>
      </c>
      <c r="V406" s="408">
        <v>45</v>
      </c>
      <c r="W406" s="408">
        <v>266</v>
      </c>
      <c r="X406" s="408">
        <v>311</v>
      </c>
      <c r="Y406" s="408">
        <v>66</v>
      </c>
      <c r="Z406" s="408">
        <v>35</v>
      </c>
      <c r="AA406" s="408">
        <v>32</v>
      </c>
      <c r="AB406" s="408">
        <v>54</v>
      </c>
      <c r="AC406" s="408">
        <v>87</v>
      </c>
      <c r="AD406" s="408">
        <v>676</v>
      </c>
    </row>
    <row r="407" spans="1:30">
      <c r="A407">
        <v>334</v>
      </c>
      <c r="B407" s="1" t="s">
        <v>330</v>
      </c>
      <c r="C407" s="1" t="s">
        <v>38</v>
      </c>
      <c r="D407" s="408">
        <v>26</v>
      </c>
      <c r="E407" s="5" t="s">
        <v>43</v>
      </c>
      <c r="F407" s="408">
        <v>25</v>
      </c>
      <c r="G407" s="408">
        <v>3</v>
      </c>
      <c r="H407" s="408">
        <v>622</v>
      </c>
      <c r="I407" s="408">
        <v>143</v>
      </c>
      <c r="J407" s="408">
        <v>302</v>
      </c>
      <c r="K407" s="408">
        <v>0.47399999999999998</v>
      </c>
      <c r="L407" s="408">
        <v>69</v>
      </c>
      <c r="M407" s="408">
        <v>161</v>
      </c>
      <c r="N407" s="408">
        <v>0.42899999999999999</v>
      </c>
      <c r="O407" s="408">
        <v>74</v>
      </c>
      <c r="P407" s="408">
        <v>141</v>
      </c>
      <c r="Q407" s="408">
        <v>0.52500000000000002</v>
      </c>
      <c r="R407" s="408">
        <v>0.58799999999999997</v>
      </c>
      <c r="S407" s="408">
        <v>65</v>
      </c>
      <c r="T407" s="408">
        <v>79</v>
      </c>
      <c r="U407" s="408">
        <v>0.82299999999999995</v>
      </c>
      <c r="V407" s="408">
        <v>18</v>
      </c>
      <c r="W407" s="408">
        <v>141</v>
      </c>
      <c r="X407" s="408">
        <v>159</v>
      </c>
      <c r="Y407" s="408">
        <v>39</v>
      </c>
      <c r="Z407" s="408">
        <v>15</v>
      </c>
      <c r="AA407" s="408">
        <v>13</v>
      </c>
      <c r="AB407" s="408">
        <v>31</v>
      </c>
      <c r="AC407" s="408">
        <v>45</v>
      </c>
      <c r="AD407" s="408">
        <v>420</v>
      </c>
    </row>
    <row r="408" spans="1:30">
      <c r="A408">
        <v>334</v>
      </c>
      <c r="B408" s="1" t="s">
        <v>330</v>
      </c>
      <c r="C408" s="1" t="s">
        <v>38</v>
      </c>
      <c r="D408" s="408">
        <v>26</v>
      </c>
      <c r="E408" s="5" t="s">
        <v>112</v>
      </c>
      <c r="F408" s="408">
        <v>19</v>
      </c>
      <c r="G408" s="408">
        <v>6</v>
      </c>
      <c r="H408" s="408">
        <v>559</v>
      </c>
      <c r="I408" s="408">
        <v>93</v>
      </c>
      <c r="J408" s="408">
        <v>234</v>
      </c>
      <c r="K408" s="408">
        <v>0.39700000000000002</v>
      </c>
      <c r="L408" s="408">
        <v>38</v>
      </c>
      <c r="M408" s="408">
        <v>123</v>
      </c>
      <c r="N408" s="408">
        <v>0.309</v>
      </c>
      <c r="O408" s="408">
        <v>55</v>
      </c>
      <c r="P408" s="408">
        <v>111</v>
      </c>
      <c r="Q408" s="408">
        <v>0.495</v>
      </c>
      <c r="R408" s="408">
        <v>0.47899999999999998</v>
      </c>
      <c r="S408" s="408">
        <v>32</v>
      </c>
      <c r="T408" s="408">
        <v>41</v>
      </c>
      <c r="U408" s="408">
        <v>0.78</v>
      </c>
      <c r="V408" s="408">
        <v>27</v>
      </c>
      <c r="W408" s="408">
        <v>125</v>
      </c>
      <c r="X408" s="408">
        <v>152</v>
      </c>
      <c r="Y408" s="408">
        <v>27</v>
      </c>
      <c r="Z408" s="408">
        <v>20</v>
      </c>
      <c r="AA408" s="408">
        <v>19</v>
      </c>
      <c r="AB408" s="408">
        <v>23</v>
      </c>
      <c r="AC408" s="408">
        <v>42</v>
      </c>
      <c r="AD408" s="408">
        <v>256</v>
      </c>
    </row>
    <row r="409" spans="1:30">
      <c r="A409">
        <v>335</v>
      </c>
      <c r="B409" s="1" t="s">
        <v>319</v>
      </c>
      <c r="C409" s="1" t="s">
        <v>26</v>
      </c>
      <c r="D409" s="408">
        <v>21</v>
      </c>
      <c r="E409" s="5" t="s">
        <v>305</v>
      </c>
      <c r="F409" s="408">
        <v>67</v>
      </c>
      <c r="G409" s="408">
        <v>59</v>
      </c>
      <c r="H409" s="408">
        <v>2215</v>
      </c>
      <c r="I409" s="408">
        <v>490</v>
      </c>
      <c r="J409" s="408">
        <v>1118</v>
      </c>
      <c r="K409" s="408">
        <v>0.438</v>
      </c>
      <c r="L409" s="408">
        <v>159</v>
      </c>
      <c r="M409" s="408">
        <v>463</v>
      </c>
      <c r="N409" s="408">
        <v>0.34300000000000003</v>
      </c>
      <c r="O409" s="408">
        <v>331</v>
      </c>
      <c r="P409" s="408">
        <v>655</v>
      </c>
      <c r="Q409" s="408">
        <v>0.505</v>
      </c>
      <c r="R409" s="408">
        <v>0.50900000000000001</v>
      </c>
      <c r="S409" s="408">
        <v>194</v>
      </c>
      <c r="T409" s="408">
        <v>235</v>
      </c>
      <c r="U409" s="408">
        <v>0.82599999999999996</v>
      </c>
      <c r="V409" s="408">
        <v>40</v>
      </c>
      <c r="W409" s="408">
        <v>205</v>
      </c>
      <c r="X409" s="408">
        <v>245</v>
      </c>
      <c r="Y409" s="408">
        <v>239</v>
      </c>
      <c r="Z409" s="408">
        <v>97</v>
      </c>
      <c r="AA409" s="408">
        <v>25</v>
      </c>
      <c r="AB409" s="408">
        <v>182</v>
      </c>
      <c r="AC409" s="408">
        <v>189</v>
      </c>
      <c r="AD409" s="408">
        <v>1333</v>
      </c>
    </row>
    <row r="410" spans="1:30">
      <c r="A410">
        <v>336</v>
      </c>
      <c r="B410" s="1" t="s">
        <v>646</v>
      </c>
      <c r="C410" s="1" t="s">
        <v>26</v>
      </c>
      <c r="D410" s="408">
        <v>24</v>
      </c>
      <c r="E410" s="5" t="s">
        <v>305</v>
      </c>
      <c r="F410" s="408">
        <v>1</v>
      </c>
      <c r="G410" s="408">
        <v>0</v>
      </c>
      <c r="H410" s="408">
        <v>1</v>
      </c>
      <c r="I410" s="408">
        <v>1</v>
      </c>
      <c r="J410" s="408">
        <v>1</v>
      </c>
      <c r="K410" s="408">
        <v>1</v>
      </c>
      <c r="L410" s="408">
        <v>1</v>
      </c>
      <c r="M410" s="408">
        <v>1</v>
      </c>
      <c r="N410" s="408">
        <v>1</v>
      </c>
      <c r="O410" s="408">
        <v>0</v>
      </c>
      <c r="P410" s="408">
        <v>0</v>
      </c>
      <c r="Q410" s="408"/>
      <c r="R410" s="408">
        <v>1.5</v>
      </c>
      <c r="S410" s="408">
        <v>0</v>
      </c>
      <c r="T410" s="408">
        <v>0</v>
      </c>
      <c r="U410" s="408"/>
      <c r="V410" s="408">
        <v>0</v>
      </c>
      <c r="W410" s="408">
        <v>0</v>
      </c>
      <c r="X410" s="408">
        <v>0</v>
      </c>
      <c r="Y410" s="408">
        <v>0</v>
      </c>
      <c r="Z410" s="408">
        <v>0</v>
      </c>
      <c r="AA410" s="408">
        <v>0</v>
      </c>
      <c r="AB410" s="408">
        <v>0</v>
      </c>
      <c r="AC410" s="408">
        <v>0</v>
      </c>
      <c r="AD410" s="408">
        <v>3</v>
      </c>
    </row>
    <row r="411" spans="1:30">
      <c r="A411">
        <v>337</v>
      </c>
      <c r="B411" s="1" t="s">
        <v>415</v>
      </c>
      <c r="C411" s="1" t="s">
        <v>26</v>
      </c>
      <c r="D411" s="408">
        <v>19</v>
      </c>
      <c r="E411" s="5" t="s">
        <v>311</v>
      </c>
      <c r="F411" s="408">
        <v>52</v>
      </c>
      <c r="G411" s="408">
        <v>0</v>
      </c>
      <c r="H411" s="408">
        <v>633</v>
      </c>
      <c r="I411" s="408">
        <v>97</v>
      </c>
      <c r="J411" s="408">
        <v>297</v>
      </c>
      <c r="K411" s="408">
        <v>0.32700000000000001</v>
      </c>
      <c r="L411" s="408">
        <v>53</v>
      </c>
      <c r="M411" s="408">
        <v>168</v>
      </c>
      <c r="N411" s="408">
        <v>0.315</v>
      </c>
      <c r="O411" s="408">
        <v>44</v>
      </c>
      <c r="P411" s="408">
        <v>129</v>
      </c>
      <c r="Q411" s="408">
        <v>0.34100000000000003</v>
      </c>
      <c r="R411" s="408">
        <v>0.41599999999999998</v>
      </c>
      <c r="S411" s="408">
        <v>17</v>
      </c>
      <c r="T411" s="408">
        <v>23</v>
      </c>
      <c r="U411" s="408">
        <v>0.73899999999999999</v>
      </c>
      <c r="V411" s="408">
        <v>6</v>
      </c>
      <c r="W411" s="408">
        <v>46</v>
      </c>
      <c r="X411" s="408">
        <v>52</v>
      </c>
      <c r="Y411" s="408">
        <v>60</v>
      </c>
      <c r="Z411" s="408">
        <v>13</v>
      </c>
      <c r="AA411" s="408">
        <v>5</v>
      </c>
      <c r="AB411" s="408">
        <v>27</v>
      </c>
      <c r="AC411" s="408">
        <v>47</v>
      </c>
      <c r="AD411" s="408">
        <v>264</v>
      </c>
    </row>
    <row r="412" spans="1:30">
      <c r="A412">
        <v>338</v>
      </c>
      <c r="B412" s="1" t="s">
        <v>199</v>
      </c>
      <c r="C412" s="1" t="s">
        <v>83</v>
      </c>
      <c r="D412" s="408">
        <v>27</v>
      </c>
      <c r="E412" s="5" t="s">
        <v>357</v>
      </c>
      <c r="F412" s="408">
        <v>39</v>
      </c>
      <c r="G412" s="408">
        <v>14</v>
      </c>
      <c r="H412" s="408">
        <v>783</v>
      </c>
      <c r="I412" s="408">
        <v>167</v>
      </c>
      <c r="J412" s="408">
        <v>281</v>
      </c>
      <c r="K412" s="408">
        <v>0.59399999999999997</v>
      </c>
      <c r="L412" s="408">
        <v>0</v>
      </c>
      <c r="M412" s="408">
        <v>0</v>
      </c>
      <c r="N412" s="408"/>
      <c r="O412" s="408">
        <v>167</v>
      </c>
      <c r="P412" s="408">
        <v>281</v>
      </c>
      <c r="Q412" s="408">
        <v>0.59399999999999997</v>
      </c>
      <c r="R412" s="408">
        <v>0.59399999999999997</v>
      </c>
      <c r="S412" s="408">
        <v>56</v>
      </c>
      <c r="T412" s="408">
        <v>81</v>
      </c>
      <c r="U412" s="408">
        <v>0.69099999999999995</v>
      </c>
      <c r="V412" s="408">
        <v>82</v>
      </c>
      <c r="W412" s="408">
        <v>179</v>
      </c>
      <c r="X412" s="408">
        <v>261</v>
      </c>
      <c r="Y412" s="408">
        <v>73</v>
      </c>
      <c r="Z412" s="408">
        <v>29</v>
      </c>
      <c r="AA412" s="408">
        <v>16</v>
      </c>
      <c r="AB412" s="408">
        <v>70</v>
      </c>
      <c r="AC412" s="408">
        <v>71</v>
      </c>
      <c r="AD412" s="408">
        <v>390</v>
      </c>
    </row>
    <row r="413" spans="1:30">
      <c r="A413">
        <v>338</v>
      </c>
      <c r="B413" s="1" t="s">
        <v>199</v>
      </c>
      <c r="C413" s="1" t="s">
        <v>83</v>
      </c>
      <c r="D413" s="408">
        <v>27</v>
      </c>
      <c r="E413" s="5" t="s">
        <v>41</v>
      </c>
      <c r="F413" s="408">
        <v>5</v>
      </c>
      <c r="G413" s="408">
        <v>0</v>
      </c>
      <c r="H413" s="408">
        <v>79</v>
      </c>
      <c r="I413" s="408">
        <v>16</v>
      </c>
      <c r="J413" s="408">
        <v>33</v>
      </c>
      <c r="K413" s="408">
        <v>0.48499999999999999</v>
      </c>
      <c r="L413" s="408">
        <v>0</v>
      </c>
      <c r="M413" s="408">
        <v>0</v>
      </c>
      <c r="N413" s="408"/>
      <c r="O413" s="408">
        <v>16</v>
      </c>
      <c r="P413" s="408">
        <v>33</v>
      </c>
      <c r="Q413" s="408">
        <v>0.48499999999999999</v>
      </c>
      <c r="R413" s="408">
        <v>0.48499999999999999</v>
      </c>
      <c r="S413" s="408">
        <v>2</v>
      </c>
      <c r="T413" s="408">
        <v>4</v>
      </c>
      <c r="U413" s="408">
        <v>0.5</v>
      </c>
      <c r="V413" s="408">
        <v>6</v>
      </c>
      <c r="W413" s="408">
        <v>19</v>
      </c>
      <c r="X413" s="408">
        <v>25</v>
      </c>
      <c r="Y413" s="408">
        <v>5</v>
      </c>
      <c r="Z413" s="408">
        <v>0</v>
      </c>
      <c r="AA413" s="408">
        <v>0</v>
      </c>
      <c r="AB413" s="408">
        <v>6</v>
      </c>
      <c r="AC413" s="408">
        <v>7</v>
      </c>
      <c r="AD413" s="408">
        <v>34</v>
      </c>
    </row>
    <row r="414" spans="1:30">
      <c r="A414">
        <v>338</v>
      </c>
      <c r="B414" s="1" t="s">
        <v>199</v>
      </c>
      <c r="C414" s="1" t="s">
        <v>83</v>
      </c>
      <c r="D414" s="408">
        <v>27</v>
      </c>
      <c r="E414" s="5" t="s">
        <v>313</v>
      </c>
      <c r="F414" s="408">
        <v>20</v>
      </c>
      <c r="G414" s="408">
        <v>14</v>
      </c>
      <c r="H414" s="408">
        <v>465</v>
      </c>
      <c r="I414" s="408">
        <v>97</v>
      </c>
      <c r="J414" s="408">
        <v>155</v>
      </c>
      <c r="K414" s="408">
        <v>0.626</v>
      </c>
      <c r="L414" s="408">
        <v>0</v>
      </c>
      <c r="M414" s="408">
        <v>0</v>
      </c>
      <c r="N414" s="408"/>
      <c r="O414" s="408">
        <v>97</v>
      </c>
      <c r="P414" s="408">
        <v>155</v>
      </c>
      <c r="Q414" s="408">
        <v>0.626</v>
      </c>
      <c r="R414" s="408">
        <v>0.626</v>
      </c>
      <c r="S414" s="408">
        <v>31</v>
      </c>
      <c r="T414" s="408">
        <v>46</v>
      </c>
      <c r="U414" s="408">
        <v>0.67400000000000004</v>
      </c>
      <c r="V414" s="408">
        <v>50</v>
      </c>
      <c r="W414" s="408">
        <v>110</v>
      </c>
      <c r="X414" s="408">
        <v>160</v>
      </c>
      <c r="Y414" s="408">
        <v>50</v>
      </c>
      <c r="Z414" s="408">
        <v>16</v>
      </c>
      <c r="AA414" s="408">
        <v>6</v>
      </c>
      <c r="AB414" s="408">
        <v>40</v>
      </c>
      <c r="AC414" s="408">
        <v>40</v>
      </c>
      <c r="AD414" s="408">
        <v>225</v>
      </c>
    </row>
    <row r="415" spans="1:30">
      <c r="A415">
        <v>338</v>
      </c>
      <c r="B415" s="1" t="s">
        <v>199</v>
      </c>
      <c r="C415" s="1" t="s">
        <v>83</v>
      </c>
      <c r="D415" s="408">
        <v>27</v>
      </c>
      <c r="E415" s="5" t="s">
        <v>87</v>
      </c>
      <c r="F415" s="408">
        <v>14</v>
      </c>
      <c r="G415" s="408">
        <v>0</v>
      </c>
      <c r="H415" s="408">
        <v>239</v>
      </c>
      <c r="I415" s="408">
        <v>54</v>
      </c>
      <c r="J415" s="408">
        <v>93</v>
      </c>
      <c r="K415" s="408">
        <v>0.58099999999999996</v>
      </c>
      <c r="L415" s="408">
        <v>0</v>
      </c>
      <c r="M415" s="408">
        <v>0</v>
      </c>
      <c r="N415" s="408"/>
      <c r="O415" s="408">
        <v>54</v>
      </c>
      <c r="P415" s="408">
        <v>93</v>
      </c>
      <c r="Q415" s="408">
        <v>0.58099999999999996</v>
      </c>
      <c r="R415" s="408">
        <v>0.58099999999999996</v>
      </c>
      <c r="S415" s="408">
        <v>23</v>
      </c>
      <c r="T415" s="408">
        <v>31</v>
      </c>
      <c r="U415" s="408">
        <v>0.74199999999999999</v>
      </c>
      <c r="V415" s="408">
        <v>26</v>
      </c>
      <c r="W415" s="408">
        <v>50</v>
      </c>
      <c r="X415" s="408">
        <v>76</v>
      </c>
      <c r="Y415" s="408">
        <v>18</v>
      </c>
      <c r="Z415" s="408">
        <v>13</v>
      </c>
      <c r="AA415" s="408">
        <v>10</v>
      </c>
      <c r="AB415" s="408">
        <v>24</v>
      </c>
      <c r="AC415" s="408">
        <v>24</v>
      </c>
      <c r="AD415" s="408">
        <v>131</v>
      </c>
    </row>
    <row r="416" spans="1:30">
      <c r="A416">
        <v>339</v>
      </c>
      <c r="B416" s="1" t="s">
        <v>622</v>
      </c>
      <c r="C416" s="1" t="s">
        <v>26</v>
      </c>
      <c r="D416" s="408">
        <v>24</v>
      </c>
      <c r="E416" s="5" t="s">
        <v>157</v>
      </c>
      <c r="F416" s="408">
        <v>2</v>
      </c>
      <c r="G416" s="408">
        <v>0</v>
      </c>
      <c r="H416" s="408">
        <v>8</v>
      </c>
      <c r="I416" s="408">
        <v>0</v>
      </c>
      <c r="J416" s="408">
        <v>1</v>
      </c>
      <c r="K416" s="408">
        <v>0</v>
      </c>
      <c r="L416" s="408">
        <v>0</v>
      </c>
      <c r="M416" s="408">
        <v>0</v>
      </c>
      <c r="N416" s="408"/>
      <c r="O416" s="408">
        <v>0</v>
      </c>
      <c r="P416" s="408">
        <v>1</v>
      </c>
      <c r="Q416" s="408">
        <v>0</v>
      </c>
      <c r="R416" s="408">
        <v>0</v>
      </c>
      <c r="S416" s="408">
        <v>0</v>
      </c>
      <c r="T416" s="408">
        <v>0</v>
      </c>
      <c r="U416" s="408"/>
      <c r="V416" s="408">
        <v>0</v>
      </c>
      <c r="W416" s="408">
        <v>2</v>
      </c>
      <c r="X416" s="408">
        <v>2</v>
      </c>
      <c r="Y416" s="408">
        <v>0</v>
      </c>
      <c r="Z416" s="408">
        <v>0</v>
      </c>
      <c r="AA416" s="408">
        <v>0</v>
      </c>
      <c r="AB416" s="408">
        <v>2</v>
      </c>
      <c r="AC416" s="408">
        <v>0</v>
      </c>
      <c r="AD416" s="408">
        <v>0</v>
      </c>
    </row>
    <row r="417" spans="1:30">
      <c r="A417">
        <v>340</v>
      </c>
      <c r="B417" s="1" t="s">
        <v>807</v>
      </c>
      <c r="C417" s="1" t="s">
        <v>38</v>
      </c>
      <c r="D417" s="408">
        <v>22</v>
      </c>
      <c r="E417" s="5" t="s">
        <v>30</v>
      </c>
      <c r="F417" s="408">
        <v>2</v>
      </c>
      <c r="G417" s="408">
        <v>0</v>
      </c>
      <c r="H417" s="408">
        <v>9</v>
      </c>
      <c r="I417" s="408">
        <v>0</v>
      </c>
      <c r="J417" s="408">
        <v>0</v>
      </c>
      <c r="K417" s="408"/>
      <c r="L417" s="408">
        <v>0</v>
      </c>
      <c r="M417" s="408">
        <v>0</v>
      </c>
      <c r="N417" s="408"/>
      <c r="O417" s="408">
        <v>0</v>
      </c>
      <c r="P417" s="408">
        <v>0</v>
      </c>
      <c r="Q417" s="408"/>
      <c r="R417" s="408"/>
      <c r="S417" s="408">
        <v>0</v>
      </c>
      <c r="T417" s="408">
        <v>0</v>
      </c>
      <c r="U417" s="408"/>
      <c r="V417" s="408">
        <v>0</v>
      </c>
      <c r="W417" s="408">
        <v>1</v>
      </c>
      <c r="X417" s="408">
        <v>1</v>
      </c>
      <c r="Y417" s="408">
        <v>1</v>
      </c>
      <c r="Z417" s="408">
        <v>0</v>
      </c>
      <c r="AA417" s="408">
        <v>0</v>
      </c>
      <c r="AB417" s="408">
        <v>0</v>
      </c>
      <c r="AC417" s="408">
        <v>4</v>
      </c>
      <c r="AD417" s="408">
        <v>0</v>
      </c>
    </row>
    <row r="418" spans="1:30">
      <c r="A418">
        <v>341</v>
      </c>
      <c r="B418" s="1" t="s">
        <v>393</v>
      </c>
      <c r="C418" s="1" t="s">
        <v>26</v>
      </c>
      <c r="D418" s="408">
        <v>28</v>
      </c>
      <c r="E418" s="5" t="s">
        <v>112</v>
      </c>
      <c r="F418" s="408">
        <v>70</v>
      </c>
      <c r="G418" s="408">
        <v>68</v>
      </c>
      <c r="H418" s="408">
        <v>2222</v>
      </c>
      <c r="I418" s="408">
        <v>352</v>
      </c>
      <c r="J418" s="408">
        <v>705</v>
      </c>
      <c r="K418" s="408">
        <v>0.499</v>
      </c>
      <c r="L418" s="408">
        <v>106</v>
      </c>
      <c r="M418" s="408">
        <v>254</v>
      </c>
      <c r="N418" s="408">
        <v>0.41699999999999998</v>
      </c>
      <c r="O418" s="408">
        <v>246</v>
      </c>
      <c r="P418" s="408">
        <v>451</v>
      </c>
      <c r="Q418" s="408">
        <v>0.54500000000000004</v>
      </c>
      <c r="R418" s="408">
        <v>0.57399999999999995</v>
      </c>
      <c r="S418" s="408">
        <v>42</v>
      </c>
      <c r="T418" s="408">
        <v>60</v>
      </c>
      <c r="U418" s="408">
        <v>0.7</v>
      </c>
      <c r="V418" s="408">
        <v>52</v>
      </c>
      <c r="W418" s="408">
        <v>155</v>
      </c>
      <c r="X418" s="408">
        <v>207</v>
      </c>
      <c r="Y418" s="408">
        <v>152</v>
      </c>
      <c r="Z418" s="408">
        <v>64</v>
      </c>
      <c r="AA418" s="408">
        <v>10</v>
      </c>
      <c r="AB418" s="408">
        <v>89</v>
      </c>
      <c r="AC418" s="408">
        <v>159</v>
      </c>
      <c r="AD418" s="408">
        <v>852</v>
      </c>
    </row>
    <row r="419" spans="1:30">
      <c r="A419">
        <v>342</v>
      </c>
      <c r="B419" s="1" t="s">
        <v>610</v>
      </c>
      <c r="C419" s="1" t="s">
        <v>38</v>
      </c>
      <c r="D419" s="408">
        <v>26</v>
      </c>
      <c r="E419" s="5" t="s">
        <v>157</v>
      </c>
      <c r="F419" s="408">
        <v>56</v>
      </c>
      <c r="G419" s="408">
        <v>1</v>
      </c>
      <c r="H419" s="408">
        <v>645</v>
      </c>
      <c r="I419" s="408">
        <v>47</v>
      </c>
      <c r="J419" s="408">
        <v>89</v>
      </c>
      <c r="K419" s="408">
        <v>0.52800000000000002</v>
      </c>
      <c r="L419" s="408">
        <v>0</v>
      </c>
      <c r="M419" s="408">
        <v>0</v>
      </c>
      <c r="N419" s="408"/>
      <c r="O419" s="408">
        <v>47</v>
      </c>
      <c r="P419" s="408">
        <v>89</v>
      </c>
      <c r="Q419" s="408">
        <v>0.52800000000000002</v>
      </c>
      <c r="R419" s="408">
        <v>0.52800000000000002</v>
      </c>
      <c r="S419" s="408">
        <v>9</v>
      </c>
      <c r="T419" s="408">
        <v>24</v>
      </c>
      <c r="U419" s="408">
        <v>0.375</v>
      </c>
      <c r="V419" s="408">
        <v>64</v>
      </c>
      <c r="W419" s="408">
        <v>154</v>
      </c>
      <c r="X419" s="408">
        <v>218</v>
      </c>
      <c r="Y419" s="408">
        <v>62</v>
      </c>
      <c r="Z419" s="408">
        <v>21</v>
      </c>
      <c r="AA419" s="408">
        <v>37</v>
      </c>
      <c r="AB419" s="408">
        <v>31</v>
      </c>
      <c r="AC419" s="408">
        <v>92</v>
      </c>
      <c r="AD419" s="408">
        <v>103</v>
      </c>
    </row>
    <row r="420" spans="1:30">
      <c r="A420">
        <v>343</v>
      </c>
      <c r="B420" s="1" t="s">
        <v>1064</v>
      </c>
      <c r="C420" s="1" t="s">
        <v>26</v>
      </c>
      <c r="D420" s="408">
        <v>22</v>
      </c>
      <c r="E420" s="5" t="s">
        <v>149</v>
      </c>
      <c r="F420" s="408">
        <v>6</v>
      </c>
      <c r="G420" s="408">
        <v>0</v>
      </c>
      <c r="H420" s="408">
        <v>98</v>
      </c>
      <c r="I420" s="408">
        <v>13</v>
      </c>
      <c r="J420" s="408">
        <v>31</v>
      </c>
      <c r="K420" s="408">
        <v>0.41899999999999998</v>
      </c>
      <c r="L420" s="408">
        <v>2</v>
      </c>
      <c r="M420" s="408">
        <v>9</v>
      </c>
      <c r="N420" s="408">
        <v>0.222</v>
      </c>
      <c r="O420" s="408">
        <v>11</v>
      </c>
      <c r="P420" s="408">
        <v>22</v>
      </c>
      <c r="Q420" s="408">
        <v>0.5</v>
      </c>
      <c r="R420" s="408">
        <v>0.45200000000000001</v>
      </c>
      <c r="S420" s="408">
        <v>0</v>
      </c>
      <c r="T420" s="408">
        <v>0</v>
      </c>
      <c r="U420" s="408"/>
      <c r="V420" s="408">
        <v>2</v>
      </c>
      <c r="W420" s="408">
        <v>14</v>
      </c>
      <c r="X420" s="408">
        <v>16</v>
      </c>
      <c r="Y420" s="408">
        <v>7</v>
      </c>
      <c r="Z420" s="408">
        <v>2</v>
      </c>
      <c r="AA420" s="408">
        <v>1</v>
      </c>
      <c r="AB420" s="408">
        <v>6</v>
      </c>
      <c r="AC420" s="408">
        <v>2</v>
      </c>
      <c r="AD420" s="408">
        <v>28</v>
      </c>
    </row>
    <row r="421" spans="1:30">
      <c r="A421">
        <v>344</v>
      </c>
      <c r="B421" s="1" t="s">
        <v>400</v>
      </c>
      <c r="C421" s="1" t="s">
        <v>38</v>
      </c>
      <c r="D421" s="408">
        <v>28</v>
      </c>
      <c r="E421" s="5" t="s">
        <v>87</v>
      </c>
      <c r="F421" s="408">
        <v>46</v>
      </c>
      <c r="G421" s="408">
        <v>18</v>
      </c>
      <c r="H421" s="408">
        <v>1208</v>
      </c>
      <c r="I421" s="408">
        <v>213</v>
      </c>
      <c r="J421" s="408">
        <v>510</v>
      </c>
      <c r="K421" s="408">
        <v>0.41799999999999998</v>
      </c>
      <c r="L421" s="408">
        <v>72</v>
      </c>
      <c r="M421" s="408">
        <v>197</v>
      </c>
      <c r="N421" s="408">
        <v>0.36499999999999999</v>
      </c>
      <c r="O421" s="408">
        <v>141</v>
      </c>
      <c r="P421" s="408">
        <v>313</v>
      </c>
      <c r="Q421" s="408">
        <v>0.45</v>
      </c>
      <c r="R421" s="408">
        <v>0.48799999999999999</v>
      </c>
      <c r="S421" s="408">
        <v>88</v>
      </c>
      <c r="T421" s="408">
        <v>113</v>
      </c>
      <c r="U421" s="408">
        <v>0.77900000000000003</v>
      </c>
      <c r="V421" s="408">
        <v>42</v>
      </c>
      <c r="W421" s="408">
        <v>217</v>
      </c>
      <c r="X421" s="408">
        <v>259</v>
      </c>
      <c r="Y421" s="408">
        <v>61</v>
      </c>
      <c r="Z421" s="408">
        <v>30</v>
      </c>
      <c r="AA421" s="408">
        <v>10</v>
      </c>
      <c r="AB421" s="408">
        <v>49</v>
      </c>
      <c r="AC421" s="408">
        <v>86</v>
      </c>
      <c r="AD421" s="408">
        <v>586</v>
      </c>
    </row>
    <row r="422" spans="1:30">
      <c r="A422">
        <v>345</v>
      </c>
      <c r="B422" s="1" t="s">
        <v>446</v>
      </c>
      <c r="C422" s="1" t="s">
        <v>38</v>
      </c>
      <c r="D422" s="408">
        <v>28</v>
      </c>
      <c r="E422" s="5" t="s">
        <v>27</v>
      </c>
      <c r="F422" s="408">
        <v>61</v>
      </c>
      <c r="G422" s="408">
        <v>61</v>
      </c>
      <c r="H422" s="408">
        <v>1656</v>
      </c>
      <c r="I422" s="408">
        <v>277</v>
      </c>
      <c r="J422" s="408">
        <v>568</v>
      </c>
      <c r="K422" s="408">
        <v>0.48799999999999999</v>
      </c>
      <c r="L422" s="408">
        <v>65</v>
      </c>
      <c r="M422" s="408">
        <v>170</v>
      </c>
      <c r="N422" s="408">
        <v>0.38200000000000001</v>
      </c>
      <c r="O422" s="408">
        <v>212</v>
      </c>
      <c r="P422" s="408">
        <v>398</v>
      </c>
      <c r="Q422" s="408">
        <v>0.53300000000000003</v>
      </c>
      <c r="R422" s="408">
        <v>0.54500000000000004</v>
      </c>
      <c r="S422" s="408">
        <v>89</v>
      </c>
      <c r="T422" s="408">
        <v>108</v>
      </c>
      <c r="U422" s="408">
        <v>0.82399999999999995</v>
      </c>
      <c r="V422" s="408">
        <v>65</v>
      </c>
      <c r="W422" s="408">
        <v>288</v>
      </c>
      <c r="X422" s="408">
        <v>353</v>
      </c>
      <c r="Y422" s="408">
        <v>114</v>
      </c>
      <c r="Z422" s="408">
        <v>46</v>
      </c>
      <c r="AA422" s="408">
        <v>29</v>
      </c>
      <c r="AB422" s="408">
        <v>106</v>
      </c>
      <c r="AC422" s="408">
        <v>190</v>
      </c>
      <c r="AD422" s="408">
        <v>708</v>
      </c>
    </row>
    <row r="423" spans="1:30">
      <c r="A423">
        <v>346</v>
      </c>
      <c r="B423" s="1" t="s">
        <v>650</v>
      </c>
      <c r="C423" s="1" t="s">
        <v>20</v>
      </c>
      <c r="D423" s="408">
        <v>22</v>
      </c>
      <c r="E423" s="5" t="s">
        <v>61</v>
      </c>
      <c r="F423" s="408">
        <v>3</v>
      </c>
      <c r="G423" s="408">
        <v>0</v>
      </c>
      <c r="H423" s="408">
        <v>25</v>
      </c>
      <c r="I423" s="408">
        <v>4</v>
      </c>
      <c r="J423" s="408">
        <v>6</v>
      </c>
      <c r="K423" s="408">
        <v>0.66700000000000004</v>
      </c>
      <c r="L423" s="408">
        <v>0</v>
      </c>
      <c r="M423" s="408">
        <v>1</v>
      </c>
      <c r="N423" s="408">
        <v>0</v>
      </c>
      <c r="O423" s="408">
        <v>4</v>
      </c>
      <c r="P423" s="408">
        <v>5</v>
      </c>
      <c r="Q423" s="408">
        <v>0.8</v>
      </c>
      <c r="R423" s="408">
        <v>0.66700000000000004</v>
      </c>
      <c r="S423" s="408">
        <v>2</v>
      </c>
      <c r="T423" s="408">
        <v>2</v>
      </c>
      <c r="U423" s="408">
        <v>1</v>
      </c>
      <c r="V423" s="408">
        <v>0</v>
      </c>
      <c r="W423" s="408">
        <v>2</v>
      </c>
      <c r="X423" s="408">
        <v>2</v>
      </c>
      <c r="Y423" s="408">
        <v>7</v>
      </c>
      <c r="Z423" s="408">
        <v>3</v>
      </c>
      <c r="AA423" s="408">
        <v>0</v>
      </c>
      <c r="AB423" s="408">
        <v>1</v>
      </c>
      <c r="AC423" s="408">
        <v>1</v>
      </c>
      <c r="AD423" s="408">
        <v>10</v>
      </c>
    </row>
    <row r="424" spans="1:30">
      <c r="A424">
        <v>347</v>
      </c>
      <c r="B424" s="1" t="s">
        <v>602</v>
      </c>
      <c r="C424" s="1" t="s">
        <v>38</v>
      </c>
      <c r="D424" s="408">
        <v>22</v>
      </c>
      <c r="E424" s="5" t="s">
        <v>33</v>
      </c>
      <c r="F424" s="408">
        <v>5</v>
      </c>
      <c r="G424" s="408">
        <v>0</v>
      </c>
      <c r="H424" s="408">
        <v>30</v>
      </c>
      <c r="I424" s="408">
        <v>7</v>
      </c>
      <c r="J424" s="408">
        <v>11</v>
      </c>
      <c r="K424" s="408">
        <v>0.63600000000000001</v>
      </c>
      <c r="L424" s="408">
        <v>0</v>
      </c>
      <c r="M424" s="408">
        <v>0</v>
      </c>
      <c r="N424" s="408"/>
      <c r="O424" s="408">
        <v>7</v>
      </c>
      <c r="P424" s="408">
        <v>11</v>
      </c>
      <c r="Q424" s="408">
        <v>0.63600000000000001</v>
      </c>
      <c r="R424" s="408">
        <v>0.63600000000000001</v>
      </c>
      <c r="S424" s="408">
        <v>4</v>
      </c>
      <c r="T424" s="408">
        <v>11</v>
      </c>
      <c r="U424" s="408">
        <v>0.36399999999999999</v>
      </c>
      <c r="V424" s="408">
        <v>2</v>
      </c>
      <c r="W424" s="408">
        <v>11</v>
      </c>
      <c r="X424" s="408">
        <v>13</v>
      </c>
      <c r="Y424" s="408">
        <v>2</v>
      </c>
      <c r="Z424" s="408">
        <v>0</v>
      </c>
      <c r="AA424" s="408">
        <v>2</v>
      </c>
      <c r="AB424" s="408">
        <v>3</v>
      </c>
      <c r="AC424" s="408">
        <v>2</v>
      </c>
      <c r="AD424" s="408">
        <v>18</v>
      </c>
    </row>
    <row r="425" spans="1:30">
      <c r="A425">
        <v>348</v>
      </c>
      <c r="B425" s="1" t="s">
        <v>547</v>
      </c>
      <c r="C425" s="1" t="s">
        <v>83</v>
      </c>
      <c r="D425" s="408">
        <v>31</v>
      </c>
      <c r="E425" s="5" t="s">
        <v>315</v>
      </c>
      <c r="F425" s="408">
        <v>28</v>
      </c>
      <c r="G425" s="408">
        <v>14</v>
      </c>
      <c r="H425" s="408">
        <v>339</v>
      </c>
      <c r="I425" s="408">
        <v>45</v>
      </c>
      <c r="J425" s="408">
        <v>85</v>
      </c>
      <c r="K425" s="408">
        <v>0.52900000000000003</v>
      </c>
      <c r="L425" s="408">
        <v>4</v>
      </c>
      <c r="M425" s="408">
        <v>18</v>
      </c>
      <c r="N425" s="408">
        <v>0.222</v>
      </c>
      <c r="O425" s="408">
        <v>41</v>
      </c>
      <c r="P425" s="408">
        <v>67</v>
      </c>
      <c r="Q425" s="408">
        <v>0.61199999999999999</v>
      </c>
      <c r="R425" s="408">
        <v>0.55300000000000005</v>
      </c>
      <c r="S425" s="408">
        <v>19</v>
      </c>
      <c r="T425" s="408">
        <v>25</v>
      </c>
      <c r="U425" s="408">
        <v>0.76</v>
      </c>
      <c r="V425" s="408">
        <v>28</v>
      </c>
      <c r="W425" s="408">
        <v>59</v>
      </c>
      <c r="X425" s="408">
        <v>87</v>
      </c>
      <c r="Y425" s="408">
        <v>8</v>
      </c>
      <c r="Z425" s="408">
        <v>5</v>
      </c>
      <c r="AA425" s="408">
        <v>11</v>
      </c>
      <c r="AB425" s="408">
        <v>31</v>
      </c>
      <c r="AC425" s="408">
        <v>37</v>
      </c>
      <c r="AD425" s="408">
        <v>113</v>
      </c>
    </row>
    <row r="426" spans="1:30">
      <c r="A426">
        <v>349</v>
      </c>
      <c r="B426" s="1" t="s">
        <v>437</v>
      </c>
      <c r="C426" s="1" t="s">
        <v>20</v>
      </c>
      <c r="D426" s="408">
        <v>21</v>
      </c>
      <c r="E426" s="5" t="s">
        <v>357</v>
      </c>
      <c r="F426" s="408">
        <v>57</v>
      </c>
      <c r="G426" s="408">
        <v>12</v>
      </c>
      <c r="H426" s="408">
        <v>1120</v>
      </c>
      <c r="I426" s="408">
        <v>186</v>
      </c>
      <c r="J426" s="408">
        <v>477</v>
      </c>
      <c r="K426" s="408">
        <v>0.39</v>
      </c>
      <c r="L426" s="408">
        <v>45</v>
      </c>
      <c r="M426" s="408">
        <v>138</v>
      </c>
      <c r="N426" s="408">
        <v>0.32600000000000001</v>
      </c>
      <c r="O426" s="408">
        <v>141</v>
      </c>
      <c r="P426" s="408">
        <v>339</v>
      </c>
      <c r="Q426" s="408">
        <v>0.41599999999999998</v>
      </c>
      <c r="R426" s="408">
        <v>0.437</v>
      </c>
      <c r="S426" s="408">
        <v>89</v>
      </c>
      <c r="T426" s="408">
        <v>119</v>
      </c>
      <c r="U426" s="408">
        <v>0.748</v>
      </c>
      <c r="V426" s="408">
        <v>24</v>
      </c>
      <c r="W426" s="408">
        <v>109</v>
      </c>
      <c r="X426" s="408">
        <v>133</v>
      </c>
      <c r="Y426" s="408">
        <v>188</v>
      </c>
      <c r="Z426" s="408">
        <v>37</v>
      </c>
      <c r="AA426" s="408">
        <v>9</v>
      </c>
      <c r="AB426" s="408">
        <v>104</v>
      </c>
      <c r="AC426" s="408">
        <v>71</v>
      </c>
      <c r="AD426" s="408">
        <v>506</v>
      </c>
    </row>
    <row r="427" spans="1:30">
      <c r="A427">
        <v>349</v>
      </c>
      <c r="B427" s="1" t="s">
        <v>437</v>
      </c>
      <c r="C427" s="1" t="s">
        <v>20</v>
      </c>
      <c r="D427" s="408">
        <v>21</v>
      </c>
      <c r="E427" s="5" t="s">
        <v>61</v>
      </c>
      <c r="F427" s="408">
        <v>42</v>
      </c>
      <c r="G427" s="408">
        <v>0</v>
      </c>
      <c r="H427" s="408">
        <v>752</v>
      </c>
      <c r="I427" s="408">
        <v>129</v>
      </c>
      <c r="J427" s="408">
        <v>322</v>
      </c>
      <c r="K427" s="408">
        <v>0.40100000000000002</v>
      </c>
      <c r="L427" s="408">
        <v>38</v>
      </c>
      <c r="M427" s="408">
        <v>102</v>
      </c>
      <c r="N427" s="408">
        <v>0.373</v>
      </c>
      <c r="O427" s="408">
        <v>91</v>
      </c>
      <c r="P427" s="408">
        <v>220</v>
      </c>
      <c r="Q427" s="408">
        <v>0.41399999999999998</v>
      </c>
      <c r="R427" s="408">
        <v>0.46</v>
      </c>
      <c r="S427" s="408">
        <v>63</v>
      </c>
      <c r="T427" s="408">
        <v>78</v>
      </c>
      <c r="U427" s="408">
        <v>0.80800000000000005</v>
      </c>
      <c r="V427" s="408">
        <v>16</v>
      </c>
      <c r="W427" s="408">
        <v>78</v>
      </c>
      <c r="X427" s="408">
        <v>94</v>
      </c>
      <c r="Y427" s="408">
        <v>121</v>
      </c>
      <c r="Z427" s="408">
        <v>21</v>
      </c>
      <c r="AA427" s="408">
        <v>4</v>
      </c>
      <c r="AB427" s="408">
        <v>72</v>
      </c>
      <c r="AC427" s="408">
        <v>47</v>
      </c>
      <c r="AD427" s="408">
        <v>359</v>
      </c>
    </row>
    <row r="428" spans="1:30">
      <c r="A428">
        <v>349</v>
      </c>
      <c r="B428" s="1" t="s">
        <v>437</v>
      </c>
      <c r="C428" s="1" t="s">
        <v>20</v>
      </c>
      <c r="D428" s="408">
        <v>21</v>
      </c>
      <c r="E428" s="5" t="s">
        <v>21</v>
      </c>
      <c r="F428" s="408">
        <v>15</v>
      </c>
      <c r="G428" s="408">
        <v>12</v>
      </c>
      <c r="H428" s="408">
        <v>368</v>
      </c>
      <c r="I428" s="408">
        <v>57</v>
      </c>
      <c r="J428" s="408">
        <v>155</v>
      </c>
      <c r="K428" s="408">
        <v>0.36799999999999999</v>
      </c>
      <c r="L428" s="408">
        <v>7</v>
      </c>
      <c r="M428" s="408">
        <v>36</v>
      </c>
      <c r="N428" s="408">
        <v>0.19400000000000001</v>
      </c>
      <c r="O428" s="408">
        <v>50</v>
      </c>
      <c r="P428" s="408">
        <v>119</v>
      </c>
      <c r="Q428" s="408">
        <v>0.42</v>
      </c>
      <c r="R428" s="408">
        <v>0.39</v>
      </c>
      <c r="S428" s="408">
        <v>26</v>
      </c>
      <c r="T428" s="408">
        <v>41</v>
      </c>
      <c r="U428" s="408">
        <v>0.63400000000000001</v>
      </c>
      <c r="V428" s="408">
        <v>8</v>
      </c>
      <c r="W428" s="408">
        <v>31</v>
      </c>
      <c r="X428" s="408">
        <v>39</v>
      </c>
      <c r="Y428" s="408">
        <v>67</v>
      </c>
      <c r="Z428" s="408">
        <v>16</v>
      </c>
      <c r="AA428" s="408">
        <v>5</v>
      </c>
      <c r="AB428" s="408">
        <v>32</v>
      </c>
      <c r="AC428" s="408">
        <v>24</v>
      </c>
      <c r="AD428" s="408">
        <v>147</v>
      </c>
    </row>
    <row r="429" spans="1:30">
      <c r="A429">
        <v>350</v>
      </c>
      <c r="B429" s="1" t="s">
        <v>2</v>
      </c>
      <c r="C429" s="1" t="s">
        <v>1118</v>
      </c>
      <c r="D429" s="408">
        <v>25</v>
      </c>
      <c r="E429" s="5" t="s">
        <v>357</v>
      </c>
      <c r="F429" s="408">
        <v>35</v>
      </c>
      <c r="G429" s="408">
        <v>2</v>
      </c>
      <c r="H429" s="408">
        <v>321</v>
      </c>
      <c r="I429" s="408">
        <v>52</v>
      </c>
      <c r="J429" s="408">
        <v>130</v>
      </c>
      <c r="K429" s="408">
        <v>0.4</v>
      </c>
      <c r="L429" s="408">
        <v>4</v>
      </c>
      <c r="M429" s="408">
        <v>19</v>
      </c>
      <c r="N429" s="408">
        <v>0.21099999999999999</v>
      </c>
      <c r="O429" s="408">
        <v>48</v>
      </c>
      <c r="P429" s="408">
        <v>111</v>
      </c>
      <c r="Q429" s="408">
        <v>0.432</v>
      </c>
      <c r="R429" s="408">
        <v>0.41499999999999998</v>
      </c>
      <c r="S429" s="408">
        <v>24</v>
      </c>
      <c r="T429" s="408">
        <v>34</v>
      </c>
      <c r="U429" s="408">
        <v>0.70599999999999996</v>
      </c>
      <c r="V429" s="408">
        <v>16</v>
      </c>
      <c r="W429" s="408">
        <v>33</v>
      </c>
      <c r="X429" s="408">
        <v>49</v>
      </c>
      <c r="Y429" s="408">
        <v>8</v>
      </c>
      <c r="Z429" s="408">
        <v>6</v>
      </c>
      <c r="AA429" s="408">
        <v>2</v>
      </c>
      <c r="AB429" s="408">
        <v>6</v>
      </c>
      <c r="AC429" s="408">
        <v>24</v>
      </c>
      <c r="AD429" s="408">
        <v>132</v>
      </c>
    </row>
    <row r="430" spans="1:30">
      <c r="A430">
        <v>350</v>
      </c>
      <c r="B430" s="1" t="s">
        <v>2</v>
      </c>
      <c r="C430" s="1" t="s">
        <v>46</v>
      </c>
      <c r="D430" s="408">
        <v>25</v>
      </c>
      <c r="E430" s="5" t="s">
        <v>56</v>
      </c>
      <c r="F430" s="408">
        <v>32</v>
      </c>
      <c r="G430" s="408">
        <v>2</v>
      </c>
      <c r="H430" s="408">
        <v>301</v>
      </c>
      <c r="I430" s="408">
        <v>47</v>
      </c>
      <c r="J430" s="408">
        <v>121</v>
      </c>
      <c r="K430" s="408">
        <v>0.38800000000000001</v>
      </c>
      <c r="L430" s="408">
        <v>4</v>
      </c>
      <c r="M430" s="408">
        <v>19</v>
      </c>
      <c r="N430" s="408">
        <v>0.21099999999999999</v>
      </c>
      <c r="O430" s="408">
        <v>43</v>
      </c>
      <c r="P430" s="408">
        <v>102</v>
      </c>
      <c r="Q430" s="408">
        <v>0.42199999999999999</v>
      </c>
      <c r="R430" s="408">
        <v>0.40500000000000003</v>
      </c>
      <c r="S430" s="408">
        <v>22</v>
      </c>
      <c r="T430" s="408">
        <v>31</v>
      </c>
      <c r="U430" s="408">
        <v>0.71</v>
      </c>
      <c r="V430" s="408">
        <v>15</v>
      </c>
      <c r="W430" s="408">
        <v>30</v>
      </c>
      <c r="X430" s="408">
        <v>45</v>
      </c>
      <c r="Y430" s="408">
        <v>7</v>
      </c>
      <c r="Z430" s="408">
        <v>5</v>
      </c>
      <c r="AA430" s="408">
        <v>2</v>
      </c>
      <c r="AB430" s="408">
        <v>5</v>
      </c>
      <c r="AC430" s="408">
        <v>23</v>
      </c>
      <c r="AD430" s="408">
        <v>120</v>
      </c>
    </row>
    <row r="431" spans="1:30">
      <c r="A431">
        <v>350</v>
      </c>
      <c r="B431" s="1" t="s">
        <v>2</v>
      </c>
      <c r="C431" s="1" t="s">
        <v>26</v>
      </c>
      <c r="D431" s="408">
        <v>25</v>
      </c>
      <c r="E431" s="5" t="s">
        <v>41</v>
      </c>
      <c r="F431" s="408">
        <v>3</v>
      </c>
      <c r="G431" s="408">
        <v>0</v>
      </c>
      <c r="H431" s="408">
        <v>20</v>
      </c>
      <c r="I431" s="408">
        <v>5</v>
      </c>
      <c r="J431" s="408">
        <v>9</v>
      </c>
      <c r="K431" s="408">
        <v>0.55600000000000005</v>
      </c>
      <c r="L431" s="408">
        <v>0</v>
      </c>
      <c r="M431" s="408">
        <v>0</v>
      </c>
      <c r="N431" s="408"/>
      <c r="O431" s="408">
        <v>5</v>
      </c>
      <c r="P431" s="408">
        <v>9</v>
      </c>
      <c r="Q431" s="408">
        <v>0.55600000000000005</v>
      </c>
      <c r="R431" s="408">
        <v>0.55600000000000005</v>
      </c>
      <c r="S431" s="408">
        <v>2</v>
      </c>
      <c r="T431" s="408">
        <v>3</v>
      </c>
      <c r="U431" s="408">
        <v>0.66700000000000004</v>
      </c>
      <c r="V431" s="408">
        <v>1</v>
      </c>
      <c r="W431" s="408">
        <v>3</v>
      </c>
      <c r="X431" s="408">
        <v>4</v>
      </c>
      <c r="Y431" s="408">
        <v>1</v>
      </c>
      <c r="Z431" s="408">
        <v>1</v>
      </c>
      <c r="AA431" s="408">
        <v>0</v>
      </c>
      <c r="AB431" s="408">
        <v>1</v>
      </c>
      <c r="AC431" s="408">
        <v>1</v>
      </c>
      <c r="AD431" s="408">
        <v>12</v>
      </c>
    </row>
    <row r="432" spans="1:30">
      <c r="A432">
        <v>351</v>
      </c>
      <c r="B432" s="1" t="s">
        <v>794</v>
      </c>
      <c r="C432" s="1" t="s">
        <v>26</v>
      </c>
      <c r="D432" s="408">
        <v>25</v>
      </c>
      <c r="E432" s="5" t="s">
        <v>41</v>
      </c>
      <c r="F432" s="408">
        <v>6</v>
      </c>
      <c r="G432" s="408">
        <v>0</v>
      </c>
      <c r="H432" s="408">
        <v>21</v>
      </c>
      <c r="I432" s="408">
        <v>1</v>
      </c>
      <c r="J432" s="408">
        <v>6</v>
      </c>
      <c r="K432" s="408">
        <v>0.16700000000000001</v>
      </c>
      <c r="L432" s="408">
        <v>0</v>
      </c>
      <c r="M432" s="408">
        <v>2</v>
      </c>
      <c r="N432" s="408">
        <v>0</v>
      </c>
      <c r="O432" s="408">
        <v>1</v>
      </c>
      <c r="P432" s="408">
        <v>4</v>
      </c>
      <c r="Q432" s="408">
        <v>0.25</v>
      </c>
      <c r="R432" s="408">
        <v>0.16700000000000001</v>
      </c>
      <c r="S432" s="408">
        <v>1</v>
      </c>
      <c r="T432" s="408">
        <v>2</v>
      </c>
      <c r="U432" s="408">
        <v>0.5</v>
      </c>
      <c r="V432" s="408">
        <v>1</v>
      </c>
      <c r="W432" s="408">
        <v>0</v>
      </c>
      <c r="X432" s="408">
        <v>1</v>
      </c>
      <c r="Y432" s="408">
        <v>4</v>
      </c>
      <c r="Z432" s="408">
        <v>1</v>
      </c>
      <c r="AA432" s="408">
        <v>0</v>
      </c>
      <c r="AB432" s="408">
        <v>2</v>
      </c>
      <c r="AC432" s="408">
        <v>4</v>
      </c>
      <c r="AD432" s="408">
        <v>3</v>
      </c>
    </row>
    <row r="433" spans="1:30">
      <c r="A433">
        <v>352</v>
      </c>
      <c r="B433" s="1" t="s">
        <v>558</v>
      </c>
      <c r="C433" s="1" t="s">
        <v>20</v>
      </c>
      <c r="D433" s="408">
        <v>21</v>
      </c>
      <c r="E433" s="5" t="s">
        <v>140</v>
      </c>
      <c r="F433" s="408">
        <v>70</v>
      </c>
      <c r="G433" s="408">
        <v>37</v>
      </c>
      <c r="H433" s="408">
        <v>1436</v>
      </c>
      <c r="I433" s="408">
        <v>229</v>
      </c>
      <c r="J433" s="408">
        <v>514</v>
      </c>
      <c r="K433" s="408">
        <v>0.44600000000000001</v>
      </c>
      <c r="L433" s="408">
        <v>8</v>
      </c>
      <c r="M433" s="408">
        <v>27</v>
      </c>
      <c r="N433" s="408">
        <v>0.29599999999999999</v>
      </c>
      <c r="O433" s="408">
        <v>221</v>
      </c>
      <c r="P433" s="408">
        <v>487</v>
      </c>
      <c r="Q433" s="408">
        <v>0.45400000000000001</v>
      </c>
      <c r="R433" s="408">
        <v>0.45300000000000001</v>
      </c>
      <c r="S433" s="408">
        <v>78</v>
      </c>
      <c r="T433" s="408">
        <v>111</v>
      </c>
      <c r="U433" s="408">
        <v>0.70299999999999996</v>
      </c>
      <c r="V433" s="408">
        <v>94</v>
      </c>
      <c r="W433" s="408">
        <v>291</v>
      </c>
      <c r="X433" s="408">
        <v>385</v>
      </c>
      <c r="Y433" s="408">
        <v>196</v>
      </c>
      <c r="Z433" s="408">
        <v>76</v>
      </c>
      <c r="AA433" s="408">
        <v>26</v>
      </c>
      <c r="AB433" s="408">
        <v>117</v>
      </c>
      <c r="AC433" s="408">
        <v>129</v>
      </c>
      <c r="AD433" s="408">
        <v>544</v>
      </c>
    </row>
    <row r="434" spans="1:30">
      <c r="A434">
        <v>353</v>
      </c>
      <c r="B434" s="1" t="s">
        <v>347</v>
      </c>
      <c r="C434" s="1" t="s">
        <v>20</v>
      </c>
      <c r="D434" s="408">
        <v>20</v>
      </c>
      <c r="E434" s="5" t="s">
        <v>61</v>
      </c>
      <c r="F434" s="408">
        <v>70</v>
      </c>
      <c r="G434" s="408">
        <v>69</v>
      </c>
      <c r="H434" s="408">
        <v>2153</v>
      </c>
      <c r="I434" s="408">
        <v>409</v>
      </c>
      <c r="J434" s="408">
        <v>895</v>
      </c>
      <c r="K434" s="408">
        <v>0.45700000000000002</v>
      </c>
      <c r="L434" s="408">
        <v>140</v>
      </c>
      <c r="M434" s="408">
        <v>364</v>
      </c>
      <c r="N434" s="408">
        <v>0.38500000000000001</v>
      </c>
      <c r="O434" s="408">
        <v>269</v>
      </c>
      <c r="P434" s="408">
        <v>531</v>
      </c>
      <c r="Q434" s="408">
        <v>0.50700000000000001</v>
      </c>
      <c r="R434" s="408">
        <v>0.53500000000000003</v>
      </c>
      <c r="S434" s="408">
        <v>194</v>
      </c>
      <c r="T434" s="408">
        <v>215</v>
      </c>
      <c r="U434" s="408">
        <v>0.90200000000000002</v>
      </c>
      <c r="V434" s="408">
        <v>69</v>
      </c>
      <c r="W434" s="408">
        <v>187</v>
      </c>
      <c r="X434" s="408">
        <v>256</v>
      </c>
      <c r="Y434" s="408">
        <v>224</v>
      </c>
      <c r="Z434" s="408">
        <v>66</v>
      </c>
      <c r="AA434" s="408">
        <v>19</v>
      </c>
      <c r="AB434" s="408">
        <v>148</v>
      </c>
      <c r="AC434" s="408">
        <v>149</v>
      </c>
      <c r="AD434" s="408">
        <v>1152</v>
      </c>
    </row>
    <row r="435" spans="1:30">
      <c r="A435">
        <v>354</v>
      </c>
      <c r="B435" s="1" t="s">
        <v>492</v>
      </c>
      <c r="C435" s="1" t="s">
        <v>83</v>
      </c>
      <c r="D435" s="408">
        <v>26</v>
      </c>
      <c r="E435" s="5" t="s">
        <v>149</v>
      </c>
      <c r="F435" s="408">
        <v>41</v>
      </c>
      <c r="G435" s="408">
        <v>5</v>
      </c>
      <c r="H435" s="408">
        <v>745</v>
      </c>
      <c r="I435" s="408">
        <v>101</v>
      </c>
      <c r="J435" s="408">
        <v>214</v>
      </c>
      <c r="K435" s="408">
        <v>0.47199999999999998</v>
      </c>
      <c r="L435" s="408">
        <v>41</v>
      </c>
      <c r="M435" s="408">
        <v>102</v>
      </c>
      <c r="N435" s="408">
        <v>0.40200000000000002</v>
      </c>
      <c r="O435" s="408">
        <v>60</v>
      </c>
      <c r="P435" s="408">
        <v>112</v>
      </c>
      <c r="Q435" s="408">
        <v>0.53600000000000003</v>
      </c>
      <c r="R435" s="408">
        <v>0.56799999999999995</v>
      </c>
      <c r="S435" s="408">
        <v>42</v>
      </c>
      <c r="T435" s="408">
        <v>47</v>
      </c>
      <c r="U435" s="408">
        <v>0.89400000000000002</v>
      </c>
      <c r="V435" s="408">
        <v>45</v>
      </c>
      <c r="W435" s="408">
        <v>121</v>
      </c>
      <c r="X435" s="408">
        <v>166</v>
      </c>
      <c r="Y435" s="408">
        <v>34</v>
      </c>
      <c r="Z435" s="408">
        <v>26</v>
      </c>
      <c r="AA435" s="408">
        <v>21</v>
      </c>
      <c r="AB435" s="408">
        <v>31</v>
      </c>
      <c r="AC435" s="408">
        <v>69</v>
      </c>
      <c r="AD435" s="408">
        <v>285</v>
      </c>
    </row>
    <row r="436" spans="1:30">
      <c r="A436">
        <v>355</v>
      </c>
      <c r="B436" s="1" t="s">
        <v>615</v>
      </c>
      <c r="C436" s="1" t="s">
        <v>46</v>
      </c>
      <c r="D436" s="408">
        <v>24</v>
      </c>
      <c r="E436" s="5" t="s">
        <v>87</v>
      </c>
      <c r="F436" s="408">
        <v>36</v>
      </c>
      <c r="G436" s="408">
        <v>0</v>
      </c>
      <c r="H436" s="408">
        <v>370</v>
      </c>
      <c r="I436" s="408">
        <v>37</v>
      </c>
      <c r="J436" s="408">
        <v>103</v>
      </c>
      <c r="K436" s="408">
        <v>0.35899999999999999</v>
      </c>
      <c r="L436" s="408">
        <v>20</v>
      </c>
      <c r="M436" s="408">
        <v>52</v>
      </c>
      <c r="N436" s="408">
        <v>0.38500000000000001</v>
      </c>
      <c r="O436" s="408">
        <v>17</v>
      </c>
      <c r="P436" s="408">
        <v>51</v>
      </c>
      <c r="Q436" s="408">
        <v>0.33300000000000002</v>
      </c>
      <c r="R436" s="408">
        <v>0.45600000000000002</v>
      </c>
      <c r="S436" s="408">
        <v>20</v>
      </c>
      <c r="T436" s="408">
        <v>33</v>
      </c>
      <c r="U436" s="408">
        <v>0.60599999999999998</v>
      </c>
      <c r="V436" s="408">
        <v>9</v>
      </c>
      <c r="W436" s="408">
        <v>43</v>
      </c>
      <c r="X436" s="408">
        <v>52</v>
      </c>
      <c r="Y436" s="408">
        <v>20</v>
      </c>
      <c r="Z436" s="408">
        <v>9</v>
      </c>
      <c r="AA436" s="408">
        <v>6</v>
      </c>
      <c r="AB436" s="408">
        <v>24</v>
      </c>
      <c r="AC436" s="408">
        <v>34</v>
      </c>
      <c r="AD436" s="408">
        <v>114</v>
      </c>
    </row>
    <row r="437" spans="1:30">
      <c r="A437">
        <v>356</v>
      </c>
      <c r="B437" s="1" t="s">
        <v>579</v>
      </c>
      <c r="C437" s="1" t="s">
        <v>83</v>
      </c>
      <c r="D437" s="408">
        <v>25</v>
      </c>
      <c r="E437" s="5" t="s">
        <v>357</v>
      </c>
      <c r="F437" s="408">
        <v>55</v>
      </c>
      <c r="G437" s="408">
        <v>22</v>
      </c>
      <c r="H437" s="408">
        <v>1237</v>
      </c>
      <c r="I437" s="408">
        <v>215</v>
      </c>
      <c r="J437" s="408">
        <v>357</v>
      </c>
      <c r="K437" s="408">
        <v>0.60199999999999998</v>
      </c>
      <c r="L437" s="408">
        <v>1</v>
      </c>
      <c r="M437" s="408">
        <v>8</v>
      </c>
      <c r="N437" s="408">
        <v>0.125</v>
      </c>
      <c r="O437" s="408">
        <v>214</v>
      </c>
      <c r="P437" s="408">
        <v>349</v>
      </c>
      <c r="Q437" s="408">
        <v>0.61299999999999999</v>
      </c>
      <c r="R437" s="408">
        <v>0.60399999999999998</v>
      </c>
      <c r="S437" s="408">
        <v>80</v>
      </c>
      <c r="T437" s="408">
        <v>121</v>
      </c>
      <c r="U437" s="408">
        <v>0.66100000000000003</v>
      </c>
      <c r="V437" s="408">
        <v>140</v>
      </c>
      <c r="W437" s="408">
        <v>247</v>
      </c>
      <c r="X437" s="408">
        <v>387</v>
      </c>
      <c r="Y437" s="408">
        <v>74</v>
      </c>
      <c r="Z437" s="408">
        <v>76</v>
      </c>
      <c r="AA437" s="408">
        <v>32</v>
      </c>
      <c r="AB437" s="408">
        <v>47</v>
      </c>
      <c r="AC437" s="408">
        <v>154</v>
      </c>
      <c r="AD437" s="408">
        <v>511</v>
      </c>
    </row>
    <row r="438" spans="1:30">
      <c r="A438">
        <v>356</v>
      </c>
      <c r="B438" s="1" t="s">
        <v>579</v>
      </c>
      <c r="C438" s="1" t="s">
        <v>83</v>
      </c>
      <c r="D438" s="408">
        <v>25</v>
      </c>
      <c r="E438" s="5" t="s">
        <v>78</v>
      </c>
      <c r="F438" s="408">
        <v>42</v>
      </c>
      <c r="G438" s="408">
        <v>17</v>
      </c>
      <c r="H438" s="408">
        <v>922</v>
      </c>
      <c r="I438" s="408">
        <v>152</v>
      </c>
      <c r="J438" s="408">
        <v>253</v>
      </c>
      <c r="K438" s="408">
        <v>0.60099999999999998</v>
      </c>
      <c r="L438" s="408">
        <v>1</v>
      </c>
      <c r="M438" s="408">
        <v>4</v>
      </c>
      <c r="N438" s="408">
        <v>0.25</v>
      </c>
      <c r="O438" s="408">
        <v>151</v>
      </c>
      <c r="P438" s="408">
        <v>249</v>
      </c>
      <c r="Q438" s="408">
        <v>0.60599999999999998</v>
      </c>
      <c r="R438" s="408">
        <v>0.60299999999999998</v>
      </c>
      <c r="S438" s="408">
        <v>55</v>
      </c>
      <c r="T438" s="408">
        <v>87</v>
      </c>
      <c r="U438" s="408">
        <v>0.63200000000000001</v>
      </c>
      <c r="V438" s="408">
        <v>108</v>
      </c>
      <c r="W438" s="408">
        <v>176</v>
      </c>
      <c r="X438" s="408">
        <v>284</v>
      </c>
      <c r="Y438" s="408">
        <v>57</v>
      </c>
      <c r="Z438" s="408">
        <v>59</v>
      </c>
      <c r="AA438" s="408">
        <v>20</v>
      </c>
      <c r="AB438" s="408">
        <v>41</v>
      </c>
      <c r="AC438" s="408">
        <v>113</v>
      </c>
      <c r="AD438" s="408">
        <v>360</v>
      </c>
    </row>
    <row r="439" spans="1:30">
      <c r="A439">
        <v>356</v>
      </c>
      <c r="B439" s="1" t="s">
        <v>579</v>
      </c>
      <c r="C439" s="1" t="s">
        <v>83</v>
      </c>
      <c r="D439" s="408">
        <v>25</v>
      </c>
      <c r="E439" s="5" t="s">
        <v>102</v>
      </c>
      <c r="F439" s="408">
        <v>13</v>
      </c>
      <c r="G439" s="408">
        <v>5</v>
      </c>
      <c r="H439" s="408">
        <v>315</v>
      </c>
      <c r="I439" s="408">
        <v>63</v>
      </c>
      <c r="J439" s="408">
        <v>104</v>
      </c>
      <c r="K439" s="408">
        <v>0.60599999999999998</v>
      </c>
      <c r="L439" s="408">
        <v>0</v>
      </c>
      <c r="M439" s="408">
        <v>4</v>
      </c>
      <c r="N439" s="408">
        <v>0</v>
      </c>
      <c r="O439" s="408">
        <v>63</v>
      </c>
      <c r="P439" s="408">
        <v>100</v>
      </c>
      <c r="Q439" s="408">
        <v>0.63</v>
      </c>
      <c r="R439" s="408">
        <v>0.60599999999999998</v>
      </c>
      <c r="S439" s="408">
        <v>25</v>
      </c>
      <c r="T439" s="408">
        <v>34</v>
      </c>
      <c r="U439" s="408">
        <v>0.73499999999999999</v>
      </c>
      <c r="V439" s="408">
        <v>32</v>
      </c>
      <c r="W439" s="408">
        <v>71</v>
      </c>
      <c r="X439" s="408">
        <v>103</v>
      </c>
      <c r="Y439" s="408">
        <v>17</v>
      </c>
      <c r="Z439" s="408">
        <v>17</v>
      </c>
      <c r="AA439" s="408">
        <v>12</v>
      </c>
      <c r="AB439" s="408">
        <v>6</v>
      </c>
      <c r="AC439" s="408">
        <v>41</v>
      </c>
      <c r="AD439" s="408">
        <v>151</v>
      </c>
    </row>
    <row r="440" spans="1:30">
      <c r="A440">
        <v>357</v>
      </c>
      <c r="B440" s="1" t="s">
        <v>201</v>
      </c>
      <c r="C440" s="1" t="s">
        <v>20</v>
      </c>
      <c r="D440" s="408">
        <v>26</v>
      </c>
      <c r="E440" s="5" t="s">
        <v>96</v>
      </c>
      <c r="F440" s="408">
        <v>63</v>
      </c>
      <c r="G440" s="408">
        <v>8</v>
      </c>
      <c r="H440" s="408">
        <v>1320</v>
      </c>
      <c r="I440" s="408">
        <v>198</v>
      </c>
      <c r="J440" s="408">
        <v>457</v>
      </c>
      <c r="K440" s="408">
        <v>0.433</v>
      </c>
      <c r="L440" s="408">
        <v>70</v>
      </c>
      <c r="M440" s="408">
        <v>184</v>
      </c>
      <c r="N440" s="408">
        <v>0.38</v>
      </c>
      <c r="O440" s="408">
        <v>128</v>
      </c>
      <c r="P440" s="408">
        <v>273</v>
      </c>
      <c r="Q440" s="408">
        <v>0.46899999999999997</v>
      </c>
      <c r="R440" s="408">
        <v>0.51</v>
      </c>
      <c r="S440" s="408">
        <v>104</v>
      </c>
      <c r="T440" s="408">
        <v>124</v>
      </c>
      <c r="U440" s="408">
        <v>0.83899999999999997</v>
      </c>
      <c r="V440" s="408">
        <v>21</v>
      </c>
      <c r="W440" s="408">
        <v>120</v>
      </c>
      <c r="X440" s="408">
        <v>141</v>
      </c>
      <c r="Y440" s="408">
        <v>135</v>
      </c>
      <c r="Z440" s="408">
        <v>73</v>
      </c>
      <c r="AA440" s="408">
        <v>14</v>
      </c>
      <c r="AB440" s="408">
        <v>78</v>
      </c>
      <c r="AC440" s="408">
        <v>70</v>
      </c>
      <c r="AD440" s="408">
        <v>570</v>
      </c>
    </row>
    <row r="441" spans="1:30">
      <c r="A441">
        <v>358</v>
      </c>
      <c r="B441" s="1" t="s">
        <v>127</v>
      </c>
      <c r="C441" s="1" t="s">
        <v>20</v>
      </c>
      <c r="D441" s="408">
        <v>35</v>
      </c>
      <c r="E441" s="5" t="s">
        <v>357</v>
      </c>
      <c r="F441" s="408">
        <v>50</v>
      </c>
      <c r="G441" s="408">
        <v>0</v>
      </c>
      <c r="H441" s="408">
        <v>1013</v>
      </c>
      <c r="I441" s="408">
        <v>95</v>
      </c>
      <c r="J441" s="408">
        <v>244</v>
      </c>
      <c r="K441" s="408">
        <v>0.38900000000000001</v>
      </c>
      <c r="L441" s="408">
        <v>41</v>
      </c>
      <c r="M441" s="408">
        <v>124</v>
      </c>
      <c r="N441" s="408">
        <v>0.33100000000000002</v>
      </c>
      <c r="O441" s="408">
        <v>54</v>
      </c>
      <c r="P441" s="408">
        <v>120</v>
      </c>
      <c r="Q441" s="408">
        <v>0.45</v>
      </c>
      <c r="R441" s="408">
        <v>0.47299999999999998</v>
      </c>
      <c r="S441" s="408">
        <v>16</v>
      </c>
      <c r="T441" s="408">
        <v>20</v>
      </c>
      <c r="U441" s="408">
        <v>0.8</v>
      </c>
      <c r="V441" s="408">
        <v>13</v>
      </c>
      <c r="W441" s="408">
        <v>91</v>
      </c>
      <c r="X441" s="408">
        <v>104</v>
      </c>
      <c r="Y441" s="408">
        <v>179</v>
      </c>
      <c r="Z441" s="408">
        <v>27</v>
      </c>
      <c r="AA441" s="408">
        <v>4</v>
      </c>
      <c r="AB441" s="408">
        <v>67</v>
      </c>
      <c r="AC441" s="408">
        <v>81</v>
      </c>
      <c r="AD441" s="408">
        <v>247</v>
      </c>
    </row>
    <row r="442" spans="1:30">
      <c r="A442">
        <v>358</v>
      </c>
      <c r="B442" s="1" t="s">
        <v>127</v>
      </c>
      <c r="C442" s="1" t="s">
        <v>20</v>
      </c>
      <c r="D442" s="408">
        <v>35</v>
      </c>
      <c r="E442" s="5" t="s">
        <v>112</v>
      </c>
      <c r="F442" s="408">
        <v>43</v>
      </c>
      <c r="G442" s="408">
        <v>0</v>
      </c>
      <c r="H442" s="408">
        <v>897</v>
      </c>
      <c r="I442" s="408">
        <v>84</v>
      </c>
      <c r="J442" s="408">
        <v>205</v>
      </c>
      <c r="K442" s="408">
        <v>0.41</v>
      </c>
      <c r="L442" s="408">
        <v>40</v>
      </c>
      <c r="M442" s="408">
        <v>110</v>
      </c>
      <c r="N442" s="408">
        <v>0.36399999999999999</v>
      </c>
      <c r="O442" s="408">
        <v>44</v>
      </c>
      <c r="P442" s="408">
        <v>95</v>
      </c>
      <c r="Q442" s="408">
        <v>0.46300000000000002</v>
      </c>
      <c r="R442" s="408">
        <v>0.50700000000000001</v>
      </c>
      <c r="S442" s="408">
        <v>13</v>
      </c>
      <c r="T442" s="408">
        <v>17</v>
      </c>
      <c r="U442" s="408">
        <v>0.76500000000000001</v>
      </c>
      <c r="V442" s="408">
        <v>11</v>
      </c>
      <c r="W442" s="408">
        <v>85</v>
      </c>
      <c r="X442" s="408">
        <v>96</v>
      </c>
      <c r="Y442" s="408">
        <v>156</v>
      </c>
      <c r="Z442" s="408">
        <v>23</v>
      </c>
      <c r="AA442" s="408">
        <v>3</v>
      </c>
      <c r="AB442" s="408">
        <v>56</v>
      </c>
      <c r="AC442" s="408">
        <v>67</v>
      </c>
      <c r="AD442" s="408">
        <v>221</v>
      </c>
    </row>
    <row r="443" spans="1:30">
      <c r="A443">
        <v>358</v>
      </c>
      <c r="B443" s="1" t="s">
        <v>127</v>
      </c>
      <c r="C443" s="1" t="s">
        <v>20</v>
      </c>
      <c r="D443" s="408">
        <v>35</v>
      </c>
      <c r="E443" s="5" t="s">
        <v>157</v>
      </c>
      <c r="F443" s="408">
        <v>7</v>
      </c>
      <c r="G443" s="408">
        <v>0</v>
      </c>
      <c r="H443" s="408">
        <v>116</v>
      </c>
      <c r="I443" s="408">
        <v>11</v>
      </c>
      <c r="J443" s="408">
        <v>39</v>
      </c>
      <c r="K443" s="408">
        <v>0.28199999999999997</v>
      </c>
      <c r="L443" s="408">
        <v>1</v>
      </c>
      <c r="M443" s="408">
        <v>14</v>
      </c>
      <c r="N443" s="408">
        <v>7.0999999999999994E-2</v>
      </c>
      <c r="O443" s="408">
        <v>10</v>
      </c>
      <c r="P443" s="408">
        <v>25</v>
      </c>
      <c r="Q443" s="408">
        <v>0.4</v>
      </c>
      <c r="R443" s="408">
        <v>0.29499999999999998</v>
      </c>
      <c r="S443" s="408">
        <v>3</v>
      </c>
      <c r="T443" s="408">
        <v>3</v>
      </c>
      <c r="U443" s="408">
        <v>1</v>
      </c>
      <c r="V443" s="408">
        <v>2</v>
      </c>
      <c r="W443" s="408">
        <v>6</v>
      </c>
      <c r="X443" s="408">
        <v>8</v>
      </c>
      <c r="Y443" s="408">
        <v>23</v>
      </c>
      <c r="Z443" s="408">
        <v>4</v>
      </c>
      <c r="AA443" s="408">
        <v>1</v>
      </c>
      <c r="AB443" s="408">
        <v>11</v>
      </c>
      <c r="AC443" s="408">
        <v>14</v>
      </c>
      <c r="AD443" s="408">
        <v>26</v>
      </c>
    </row>
    <row r="444" spans="1:30">
      <c r="A444">
        <v>359</v>
      </c>
      <c r="B444" s="1" t="s">
        <v>121</v>
      </c>
      <c r="C444" s="1" t="s">
        <v>20</v>
      </c>
      <c r="D444" s="408">
        <v>25</v>
      </c>
      <c r="E444" s="5" t="s">
        <v>305</v>
      </c>
      <c r="F444" s="408">
        <v>39</v>
      </c>
      <c r="G444" s="408">
        <v>0</v>
      </c>
      <c r="H444" s="408">
        <v>478</v>
      </c>
      <c r="I444" s="408">
        <v>67</v>
      </c>
      <c r="J444" s="408">
        <v>147</v>
      </c>
      <c r="K444" s="408">
        <v>0.45600000000000002</v>
      </c>
      <c r="L444" s="408">
        <v>19</v>
      </c>
      <c r="M444" s="408">
        <v>46</v>
      </c>
      <c r="N444" s="408">
        <v>0.41299999999999998</v>
      </c>
      <c r="O444" s="408">
        <v>48</v>
      </c>
      <c r="P444" s="408">
        <v>101</v>
      </c>
      <c r="Q444" s="408">
        <v>0.47499999999999998</v>
      </c>
      <c r="R444" s="408">
        <v>0.52</v>
      </c>
      <c r="S444" s="408">
        <v>26</v>
      </c>
      <c r="T444" s="408">
        <v>33</v>
      </c>
      <c r="U444" s="408">
        <v>0.78800000000000003</v>
      </c>
      <c r="V444" s="408">
        <v>7</v>
      </c>
      <c r="W444" s="408">
        <v>40</v>
      </c>
      <c r="X444" s="408">
        <v>47</v>
      </c>
      <c r="Y444" s="408">
        <v>72</v>
      </c>
      <c r="Z444" s="408">
        <v>11</v>
      </c>
      <c r="AA444" s="408">
        <v>4</v>
      </c>
      <c r="AB444" s="408">
        <v>32</v>
      </c>
      <c r="AC444" s="408">
        <v>36</v>
      </c>
      <c r="AD444" s="408">
        <v>179</v>
      </c>
    </row>
    <row r="445" spans="1:30">
      <c r="A445">
        <v>360</v>
      </c>
      <c r="B445" s="1" t="s">
        <v>723</v>
      </c>
      <c r="C445" s="1" t="s">
        <v>38</v>
      </c>
      <c r="D445" s="408">
        <v>24</v>
      </c>
      <c r="E445" s="5" t="s">
        <v>305</v>
      </c>
      <c r="F445" s="408">
        <v>5</v>
      </c>
      <c r="G445" s="408">
        <v>0</v>
      </c>
      <c r="H445" s="408">
        <v>12</v>
      </c>
      <c r="I445" s="408">
        <v>2</v>
      </c>
      <c r="J445" s="408">
        <v>4</v>
      </c>
      <c r="K445" s="408">
        <v>0.5</v>
      </c>
      <c r="L445" s="408">
        <v>0</v>
      </c>
      <c r="M445" s="408">
        <v>1</v>
      </c>
      <c r="N445" s="408">
        <v>0</v>
      </c>
      <c r="O445" s="408">
        <v>2</v>
      </c>
      <c r="P445" s="408">
        <v>3</v>
      </c>
      <c r="Q445" s="408">
        <v>0.66700000000000004</v>
      </c>
      <c r="R445" s="408">
        <v>0.5</v>
      </c>
      <c r="S445" s="408">
        <v>0</v>
      </c>
      <c r="T445" s="408">
        <v>0</v>
      </c>
      <c r="U445" s="408"/>
      <c r="V445" s="408">
        <v>0</v>
      </c>
      <c r="W445" s="408">
        <v>1</v>
      </c>
      <c r="X445" s="408">
        <v>1</v>
      </c>
      <c r="Y445" s="408">
        <v>2</v>
      </c>
      <c r="Z445" s="408">
        <v>2</v>
      </c>
      <c r="AA445" s="408">
        <v>0</v>
      </c>
      <c r="AB445" s="408">
        <v>2</v>
      </c>
      <c r="AC445" s="408">
        <v>1</v>
      </c>
      <c r="AD445" s="408">
        <v>4</v>
      </c>
    </row>
    <row r="446" spans="1:30">
      <c r="A446">
        <v>361</v>
      </c>
      <c r="B446" s="1" t="s">
        <v>592</v>
      </c>
      <c r="C446" s="1" t="s">
        <v>83</v>
      </c>
      <c r="D446" s="408">
        <v>32</v>
      </c>
      <c r="E446" s="5" t="s">
        <v>21</v>
      </c>
      <c r="F446" s="408">
        <v>7</v>
      </c>
      <c r="G446" s="408">
        <v>0</v>
      </c>
      <c r="H446" s="408">
        <v>40</v>
      </c>
      <c r="I446" s="408">
        <v>5</v>
      </c>
      <c r="J446" s="408">
        <v>10</v>
      </c>
      <c r="K446" s="408">
        <v>0.5</v>
      </c>
      <c r="L446" s="408">
        <v>0</v>
      </c>
      <c r="M446" s="408">
        <v>0</v>
      </c>
      <c r="N446" s="408"/>
      <c r="O446" s="408">
        <v>5</v>
      </c>
      <c r="P446" s="408">
        <v>10</v>
      </c>
      <c r="Q446" s="408">
        <v>0.5</v>
      </c>
      <c r="R446" s="408">
        <v>0.5</v>
      </c>
      <c r="S446" s="408">
        <v>2</v>
      </c>
      <c r="T446" s="408">
        <v>4</v>
      </c>
      <c r="U446" s="408">
        <v>0.5</v>
      </c>
      <c r="V446" s="408">
        <v>6</v>
      </c>
      <c r="W446" s="408">
        <v>8</v>
      </c>
      <c r="X446" s="408">
        <v>14</v>
      </c>
      <c r="Y446" s="408">
        <v>4</v>
      </c>
      <c r="Z446" s="408">
        <v>2</v>
      </c>
      <c r="AA446" s="408">
        <v>2</v>
      </c>
      <c r="AB446" s="408">
        <v>4</v>
      </c>
      <c r="AC446" s="408">
        <v>5</v>
      </c>
      <c r="AD446" s="408">
        <v>12</v>
      </c>
    </row>
    <row r="447" spans="1:30">
      <c r="A447">
        <v>362</v>
      </c>
      <c r="B447" s="1" t="s">
        <v>107</v>
      </c>
      <c r="C447" s="1" t="s">
        <v>83</v>
      </c>
      <c r="D447" s="408">
        <v>23</v>
      </c>
      <c r="E447" s="5" t="s">
        <v>33</v>
      </c>
      <c r="F447" s="408">
        <v>25</v>
      </c>
      <c r="G447" s="408">
        <v>6</v>
      </c>
      <c r="H447" s="408">
        <v>362</v>
      </c>
      <c r="I447" s="408">
        <v>43</v>
      </c>
      <c r="J447" s="408">
        <v>87</v>
      </c>
      <c r="K447" s="408">
        <v>0.49399999999999999</v>
      </c>
      <c r="L447" s="408">
        <v>0</v>
      </c>
      <c r="M447" s="408">
        <v>1</v>
      </c>
      <c r="N447" s="408">
        <v>0</v>
      </c>
      <c r="O447" s="408">
        <v>43</v>
      </c>
      <c r="P447" s="408">
        <v>86</v>
      </c>
      <c r="Q447" s="408">
        <v>0.5</v>
      </c>
      <c r="R447" s="408">
        <v>0.49399999999999999</v>
      </c>
      <c r="S447" s="408">
        <v>20</v>
      </c>
      <c r="T447" s="408">
        <v>26</v>
      </c>
      <c r="U447" s="408">
        <v>0.76900000000000002</v>
      </c>
      <c r="V447" s="408">
        <v>40</v>
      </c>
      <c r="W447" s="408">
        <v>85</v>
      </c>
      <c r="X447" s="408">
        <v>125</v>
      </c>
      <c r="Y447" s="408">
        <v>13</v>
      </c>
      <c r="Z447" s="408">
        <v>23</v>
      </c>
      <c r="AA447" s="408">
        <v>17</v>
      </c>
      <c r="AB447" s="408">
        <v>20</v>
      </c>
      <c r="AC447" s="408">
        <v>51</v>
      </c>
      <c r="AD447" s="408">
        <v>106</v>
      </c>
    </row>
    <row r="448" spans="1:30">
      <c r="A448">
        <v>363</v>
      </c>
      <c r="B448" s="1" t="s">
        <v>90</v>
      </c>
      <c r="C448" s="1" t="s">
        <v>83</v>
      </c>
      <c r="D448" s="408">
        <v>25</v>
      </c>
      <c r="E448" s="5" t="s">
        <v>47</v>
      </c>
      <c r="F448" s="408">
        <v>42</v>
      </c>
      <c r="G448" s="408">
        <v>2</v>
      </c>
      <c r="H448" s="408">
        <v>347</v>
      </c>
      <c r="I448" s="408">
        <v>41</v>
      </c>
      <c r="J448" s="408">
        <v>67</v>
      </c>
      <c r="K448" s="408">
        <v>0.61199999999999999</v>
      </c>
      <c r="L448" s="408">
        <v>4</v>
      </c>
      <c r="M448" s="408">
        <v>16</v>
      </c>
      <c r="N448" s="408">
        <v>0.25</v>
      </c>
      <c r="O448" s="408">
        <v>37</v>
      </c>
      <c r="P448" s="408">
        <v>51</v>
      </c>
      <c r="Q448" s="408">
        <v>0.72499999999999998</v>
      </c>
      <c r="R448" s="408">
        <v>0.64200000000000002</v>
      </c>
      <c r="S448" s="408">
        <v>18</v>
      </c>
      <c r="T448" s="408">
        <v>24</v>
      </c>
      <c r="U448" s="408">
        <v>0.75</v>
      </c>
      <c r="V448" s="408">
        <v>15</v>
      </c>
      <c r="W448" s="408">
        <v>62</v>
      </c>
      <c r="X448" s="408">
        <v>77</v>
      </c>
      <c r="Y448" s="408">
        <v>17</v>
      </c>
      <c r="Z448" s="408">
        <v>19</v>
      </c>
      <c r="AA448" s="408">
        <v>34</v>
      </c>
      <c r="AB448" s="408">
        <v>14</v>
      </c>
      <c r="AC448" s="408">
        <v>44</v>
      </c>
      <c r="AD448" s="408">
        <v>104</v>
      </c>
    </row>
    <row r="449" spans="1:30">
      <c r="A449">
        <v>364</v>
      </c>
      <c r="B449" s="1" t="s">
        <v>385</v>
      </c>
      <c r="C449" s="1" t="s">
        <v>83</v>
      </c>
      <c r="D449" s="408">
        <v>39</v>
      </c>
      <c r="E449" s="5" t="s">
        <v>33</v>
      </c>
      <c r="F449" s="408">
        <v>69</v>
      </c>
      <c r="G449" s="408">
        <v>69</v>
      </c>
      <c r="H449" s="408">
        <v>1716</v>
      </c>
      <c r="I449" s="408">
        <v>317</v>
      </c>
      <c r="J449" s="408">
        <v>685</v>
      </c>
      <c r="K449" s="408">
        <v>0.46300000000000002</v>
      </c>
      <c r="L449" s="408">
        <v>125</v>
      </c>
      <c r="M449" s="408">
        <v>293</v>
      </c>
      <c r="N449" s="408">
        <v>0.42699999999999999</v>
      </c>
      <c r="O449" s="408">
        <v>192</v>
      </c>
      <c r="P449" s="408">
        <v>392</v>
      </c>
      <c r="Q449" s="408">
        <v>0.49</v>
      </c>
      <c r="R449" s="408">
        <v>0.55400000000000005</v>
      </c>
      <c r="S449" s="408">
        <v>93</v>
      </c>
      <c r="T449" s="408">
        <v>102</v>
      </c>
      <c r="U449" s="408">
        <v>0.91200000000000003</v>
      </c>
      <c r="V449" s="408">
        <v>22</v>
      </c>
      <c r="W449" s="408">
        <v>370</v>
      </c>
      <c r="X449" s="408">
        <v>392</v>
      </c>
      <c r="Y449" s="408">
        <v>109</v>
      </c>
      <c r="Z449" s="408">
        <v>40</v>
      </c>
      <c r="AA449" s="408">
        <v>39</v>
      </c>
      <c r="AB449" s="408">
        <v>47</v>
      </c>
      <c r="AC449" s="408">
        <v>130</v>
      </c>
      <c r="AD449" s="408">
        <v>852</v>
      </c>
    </row>
    <row r="450" spans="1:30">
      <c r="A450">
        <v>365</v>
      </c>
      <c r="B450" s="1" t="s">
        <v>487</v>
      </c>
      <c r="C450" s="1" t="s">
        <v>20</v>
      </c>
      <c r="D450" s="408">
        <v>19</v>
      </c>
      <c r="E450" s="5" t="s">
        <v>21</v>
      </c>
      <c r="F450" s="408">
        <v>68</v>
      </c>
      <c r="G450" s="408">
        <v>3</v>
      </c>
      <c r="H450" s="408">
        <v>1418</v>
      </c>
      <c r="I450" s="408">
        <v>146</v>
      </c>
      <c r="J450" s="408">
        <v>407</v>
      </c>
      <c r="K450" s="408">
        <v>0.35899999999999999</v>
      </c>
      <c r="L450" s="408">
        <v>40</v>
      </c>
      <c r="M450" s="408">
        <v>125</v>
      </c>
      <c r="N450" s="408">
        <v>0.32</v>
      </c>
      <c r="O450" s="408">
        <v>106</v>
      </c>
      <c r="P450" s="408">
        <v>282</v>
      </c>
      <c r="Q450" s="408">
        <v>0.376</v>
      </c>
      <c r="R450" s="408">
        <v>0.40799999999999997</v>
      </c>
      <c r="S450" s="408">
        <v>48</v>
      </c>
      <c r="T450" s="408">
        <v>67</v>
      </c>
      <c r="U450" s="408">
        <v>0.71599999999999997</v>
      </c>
      <c r="V450" s="408">
        <v>29</v>
      </c>
      <c r="W450" s="408">
        <v>116</v>
      </c>
      <c r="X450" s="408">
        <v>145</v>
      </c>
      <c r="Y450" s="408">
        <v>215</v>
      </c>
      <c r="Z450" s="408">
        <v>58</v>
      </c>
      <c r="AA450" s="408">
        <v>14</v>
      </c>
      <c r="AB450" s="408">
        <v>113</v>
      </c>
      <c r="AC450" s="408">
        <v>156</v>
      </c>
      <c r="AD450" s="408">
        <v>380</v>
      </c>
    </row>
    <row r="451" spans="1:30">
      <c r="A451">
        <v>366</v>
      </c>
      <c r="B451" s="1" t="s">
        <v>231</v>
      </c>
      <c r="C451" s="1" t="s">
        <v>83</v>
      </c>
      <c r="D451" s="408">
        <v>23</v>
      </c>
      <c r="E451" s="5" t="s">
        <v>96</v>
      </c>
      <c r="F451" s="408">
        <v>67</v>
      </c>
      <c r="G451" s="408">
        <v>67</v>
      </c>
      <c r="H451" s="408">
        <v>1744</v>
      </c>
      <c r="I451" s="408">
        <v>395</v>
      </c>
      <c r="J451" s="408">
        <v>811</v>
      </c>
      <c r="K451" s="408">
        <v>0.48699999999999999</v>
      </c>
      <c r="L451" s="408">
        <v>0</v>
      </c>
      <c r="M451" s="408">
        <v>7</v>
      </c>
      <c r="N451" s="408">
        <v>0</v>
      </c>
      <c r="O451" s="408">
        <v>395</v>
      </c>
      <c r="P451" s="408">
        <v>804</v>
      </c>
      <c r="Q451" s="408">
        <v>0.49099999999999999</v>
      </c>
      <c r="R451" s="408">
        <v>0.48699999999999999</v>
      </c>
      <c r="S451" s="408">
        <v>155</v>
      </c>
      <c r="T451" s="408">
        <v>240</v>
      </c>
      <c r="U451" s="408">
        <v>0.64600000000000002</v>
      </c>
      <c r="V451" s="408">
        <v>147</v>
      </c>
      <c r="W451" s="408">
        <v>429</v>
      </c>
      <c r="X451" s="408">
        <v>576</v>
      </c>
      <c r="Y451" s="408">
        <v>123</v>
      </c>
      <c r="Z451" s="408">
        <v>49</v>
      </c>
      <c r="AA451" s="408">
        <v>85</v>
      </c>
      <c r="AB451" s="408">
        <v>161</v>
      </c>
      <c r="AC451" s="408">
        <v>208</v>
      </c>
      <c r="AD451" s="408">
        <v>945</v>
      </c>
    </row>
    <row r="452" spans="1:30">
      <c r="A452">
        <v>367</v>
      </c>
      <c r="B452" s="1" t="s">
        <v>177</v>
      </c>
      <c r="C452" s="1" t="s">
        <v>26</v>
      </c>
      <c r="D452" s="408">
        <v>25</v>
      </c>
      <c r="E452" s="5" t="s">
        <v>43</v>
      </c>
      <c r="F452" s="408">
        <v>58</v>
      </c>
      <c r="G452" s="408">
        <v>12</v>
      </c>
      <c r="H452" s="408">
        <v>1313</v>
      </c>
      <c r="I452" s="408">
        <v>157</v>
      </c>
      <c r="J452" s="408">
        <v>299</v>
      </c>
      <c r="K452" s="408">
        <v>0.52500000000000002</v>
      </c>
      <c r="L452" s="408">
        <v>14</v>
      </c>
      <c r="M452" s="408">
        <v>35</v>
      </c>
      <c r="N452" s="408">
        <v>0.4</v>
      </c>
      <c r="O452" s="408">
        <v>143</v>
      </c>
      <c r="P452" s="408">
        <v>264</v>
      </c>
      <c r="Q452" s="408">
        <v>0.54200000000000004</v>
      </c>
      <c r="R452" s="408">
        <v>0.54800000000000004</v>
      </c>
      <c r="S452" s="408">
        <v>109</v>
      </c>
      <c r="T452" s="408">
        <v>173</v>
      </c>
      <c r="U452" s="408">
        <v>0.63</v>
      </c>
      <c r="V452" s="408">
        <v>67</v>
      </c>
      <c r="W452" s="408">
        <v>192</v>
      </c>
      <c r="X452" s="408">
        <v>259</v>
      </c>
      <c r="Y452" s="408">
        <v>77</v>
      </c>
      <c r="Z452" s="408">
        <v>48</v>
      </c>
      <c r="AA452" s="408">
        <v>27</v>
      </c>
      <c r="AB452" s="408">
        <v>57</v>
      </c>
      <c r="AC452" s="408">
        <v>123</v>
      </c>
      <c r="AD452" s="408">
        <v>437</v>
      </c>
    </row>
    <row r="453" spans="1:30">
      <c r="A453">
        <v>368</v>
      </c>
      <c r="B453" s="1" t="s">
        <v>123</v>
      </c>
      <c r="C453" s="1" t="s">
        <v>38</v>
      </c>
      <c r="D453" s="408">
        <v>24</v>
      </c>
      <c r="E453" s="5" t="s">
        <v>311</v>
      </c>
      <c r="F453" s="408">
        <v>36</v>
      </c>
      <c r="G453" s="408">
        <v>0</v>
      </c>
      <c r="H453" s="408">
        <v>379</v>
      </c>
      <c r="I453" s="408">
        <v>68</v>
      </c>
      <c r="J453" s="408">
        <v>171</v>
      </c>
      <c r="K453" s="408">
        <v>0.39800000000000002</v>
      </c>
      <c r="L453" s="408">
        <v>14</v>
      </c>
      <c r="M453" s="408">
        <v>43</v>
      </c>
      <c r="N453" s="408">
        <v>0.32600000000000001</v>
      </c>
      <c r="O453" s="408">
        <v>54</v>
      </c>
      <c r="P453" s="408">
        <v>128</v>
      </c>
      <c r="Q453" s="408">
        <v>0.42199999999999999</v>
      </c>
      <c r="R453" s="408">
        <v>0.439</v>
      </c>
      <c r="S453" s="408">
        <v>21</v>
      </c>
      <c r="T453" s="408">
        <v>25</v>
      </c>
      <c r="U453" s="408">
        <v>0.84</v>
      </c>
      <c r="V453" s="408">
        <v>29</v>
      </c>
      <c r="W453" s="408">
        <v>65</v>
      </c>
      <c r="X453" s="408">
        <v>94</v>
      </c>
      <c r="Y453" s="408">
        <v>14</v>
      </c>
      <c r="Z453" s="408">
        <v>8</v>
      </c>
      <c r="AA453" s="408">
        <v>6</v>
      </c>
      <c r="AB453" s="408">
        <v>15</v>
      </c>
      <c r="AC453" s="408">
        <v>45</v>
      </c>
      <c r="AD453" s="408">
        <v>171</v>
      </c>
    </row>
    <row r="454" spans="1:30">
      <c r="A454">
        <v>369</v>
      </c>
      <c r="B454" s="1" t="s">
        <v>512</v>
      </c>
      <c r="C454" s="1" t="s">
        <v>46</v>
      </c>
      <c r="D454" s="408">
        <v>24</v>
      </c>
      <c r="E454" s="5" t="s">
        <v>305</v>
      </c>
      <c r="F454" s="408">
        <v>57</v>
      </c>
      <c r="G454" s="408">
        <v>3</v>
      </c>
      <c r="H454" s="408">
        <v>895</v>
      </c>
      <c r="I454" s="408">
        <v>92</v>
      </c>
      <c r="J454" s="408">
        <v>231</v>
      </c>
      <c r="K454" s="408">
        <v>0.39800000000000002</v>
      </c>
      <c r="L454" s="408">
        <v>34</v>
      </c>
      <c r="M454" s="408">
        <v>97</v>
      </c>
      <c r="N454" s="408">
        <v>0.35099999999999998</v>
      </c>
      <c r="O454" s="408">
        <v>58</v>
      </c>
      <c r="P454" s="408">
        <v>134</v>
      </c>
      <c r="Q454" s="408">
        <v>0.433</v>
      </c>
      <c r="R454" s="408">
        <v>0.47199999999999998</v>
      </c>
      <c r="S454" s="408">
        <v>55</v>
      </c>
      <c r="T454" s="408">
        <v>68</v>
      </c>
      <c r="U454" s="408">
        <v>0.80900000000000005</v>
      </c>
      <c r="V454" s="408">
        <v>24</v>
      </c>
      <c r="W454" s="408">
        <v>162</v>
      </c>
      <c r="X454" s="408">
        <v>186</v>
      </c>
      <c r="Y454" s="408">
        <v>78</v>
      </c>
      <c r="Z454" s="408">
        <v>31</v>
      </c>
      <c r="AA454" s="408">
        <v>11</v>
      </c>
      <c r="AB454" s="408">
        <v>45</v>
      </c>
      <c r="AC454" s="408">
        <v>78</v>
      </c>
      <c r="AD454" s="408">
        <v>273</v>
      </c>
    </row>
    <row r="455" spans="1:30">
      <c r="A455">
        <v>370</v>
      </c>
      <c r="B455" s="1" t="s">
        <v>568</v>
      </c>
      <c r="C455" s="1" t="s">
        <v>83</v>
      </c>
      <c r="D455" s="408">
        <v>27</v>
      </c>
      <c r="E455" s="5" t="s">
        <v>21</v>
      </c>
      <c r="F455" s="408">
        <v>69</v>
      </c>
      <c r="G455" s="408">
        <v>4</v>
      </c>
      <c r="H455" s="408">
        <v>1198</v>
      </c>
      <c r="I455" s="408">
        <v>193</v>
      </c>
      <c r="J455" s="408">
        <v>326</v>
      </c>
      <c r="K455" s="408">
        <v>0.59199999999999997</v>
      </c>
      <c r="L455" s="408">
        <v>1</v>
      </c>
      <c r="M455" s="408">
        <v>11</v>
      </c>
      <c r="N455" s="408">
        <v>9.0999999999999998E-2</v>
      </c>
      <c r="O455" s="408">
        <v>192</v>
      </c>
      <c r="P455" s="408">
        <v>315</v>
      </c>
      <c r="Q455" s="408">
        <v>0.61</v>
      </c>
      <c r="R455" s="408">
        <v>0.59399999999999997</v>
      </c>
      <c r="S455" s="408">
        <v>88</v>
      </c>
      <c r="T455" s="408">
        <v>115</v>
      </c>
      <c r="U455" s="408">
        <v>0.76500000000000001</v>
      </c>
      <c r="V455" s="408">
        <v>95</v>
      </c>
      <c r="W455" s="408">
        <v>305</v>
      </c>
      <c r="X455" s="408">
        <v>400</v>
      </c>
      <c r="Y455" s="408">
        <v>139</v>
      </c>
      <c r="Z455" s="408">
        <v>34</v>
      </c>
      <c r="AA455" s="408">
        <v>83</v>
      </c>
      <c r="AB455" s="408">
        <v>90</v>
      </c>
      <c r="AC455" s="408">
        <v>173</v>
      </c>
      <c r="AD455" s="408">
        <v>475</v>
      </c>
    </row>
    <row r="456" spans="1:30">
      <c r="A456">
        <v>371</v>
      </c>
      <c r="B456" s="1" t="s">
        <v>488</v>
      </c>
      <c r="C456" s="1" t="s">
        <v>38</v>
      </c>
      <c r="D456" s="408">
        <v>23</v>
      </c>
      <c r="E456" s="5" t="s">
        <v>87</v>
      </c>
      <c r="F456" s="408">
        <v>61</v>
      </c>
      <c r="G456" s="408">
        <v>0</v>
      </c>
      <c r="H456" s="408">
        <v>876</v>
      </c>
      <c r="I456" s="408">
        <v>44</v>
      </c>
      <c r="J456" s="408">
        <v>142</v>
      </c>
      <c r="K456" s="408">
        <v>0.31</v>
      </c>
      <c r="L456" s="408">
        <v>31</v>
      </c>
      <c r="M456" s="408">
        <v>104</v>
      </c>
      <c r="N456" s="408">
        <v>0.29799999999999999</v>
      </c>
      <c r="O456" s="408">
        <v>13</v>
      </c>
      <c r="P456" s="408">
        <v>38</v>
      </c>
      <c r="Q456" s="408">
        <v>0.34200000000000003</v>
      </c>
      <c r="R456" s="408">
        <v>0.41899999999999998</v>
      </c>
      <c r="S456" s="408">
        <v>20</v>
      </c>
      <c r="T456" s="408">
        <v>32</v>
      </c>
      <c r="U456" s="408">
        <v>0.625</v>
      </c>
      <c r="V456" s="408">
        <v>30</v>
      </c>
      <c r="W456" s="408">
        <v>87</v>
      </c>
      <c r="X456" s="408">
        <v>117</v>
      </c>
      <c r="Y456" s="408">
        <v>16</v>
      </c>
      <c r="Z456" s="408">
        <v>17</v>
      </c>
      <c r="AA456" s="408">
        <v>2</v>
      </c>
      <c r="AB456" s="408">
        <v>18</v>
      </c>
      <c r="AC456" s="408">
        <v>74</v>
      </c>
      <c r="AD456" s="408">
        <v>139</v>
      </c>
    </row>
    <row r="457" spans="1:30">
      <c r="A457">
        <v>372</v>
      </c>
      <c r="B457" s="1" t="s">
        <v>838</v>
      </c>
      <c r="C457" s="1" t="s">
        <v>83</v>
      </c>
      <c r="D457" s="408">
        <v>35</v>
      </c>
      <c r="E457" s="5" t="s">
        <v>112</v>
      </c>
      <c r="F457" s="408">
        <v>16</v>
      </c>
      <c r="G457" s="408">
        <v>13</v>
      </c>
      <c r="H457" s="408">
        <v>262</v>
      </c>
      <c r="I457" s="408">
        <v>40</v>
      </c>
      <c r="J457" s="408">
        <v>74</v>
      </c>
      <c r="K457" s="408">
        <v>0.54100000000000004</v>
      </c>
      <c r="L457" s="408">
        <v>0</v>
      </c>
      <c r="M457" s="408">
        <v>0</v>
      </c>
      <c r="N457" s="408"/>
      <c r="O457" s="408">
        <v>40</v>
      </c>
      <c r="P457" s="408">
        <v>74</v>
      </c>
      <c r="Q457" s="408">
        <v>0.54100000000000004</v>
      </c>
      <c r="R457" s="408">
        <v>0.54100000000000004</v>
      </c>
      <c r="S457" s="408">
        <v>15</v>
      </c>
      <c r="T457" s="408">
        <v>19</v>
      </c>
      <c r="U457" s="408">
        <v>0.78900000000000003</v>
      </c>
      <c r="V457" s="408">
        <v>32</v>
      </c>
      <c r="W457" s="408">
        <v>54</v>
      </c>
      <c r="X457" s="408">
        <v>86</v>
      </c>
      <c r="Y457" s="408">
        <v>4</v>
      </c>
      <c r="Z457" s="408">
        <v>5</v>
      </c>
      <c r="AA457" s="408">
        <v>21</v>
      </c>
      <c r="AB457" s="408">
        <v>6</v>
      </c>
      <c r="AC457" s="408">
        <v>22</v>
      </c>
      <c r="AD457" s="408">
        <v>95</v>
      </c>
    </row>
    <row r="458" spans="1:30">
      <c r="A458">
        <v>373</v>
      </c>
      <c r="B458" s="1" t="s">
        <v>147</v>
      </c>
      <c r="C458" s="1" t="s">
        <v>83</v>
      </c>
      <c r="D458" s="408">
        <v>22</v>
      </c>
      <c r="E458" s="5" t="s">
        <v>357</v>
      </c>
      <c r="F458" s="408">
        <v>27</v>
      </c>
      <c r="G458" s="408">
        <v>0</v>
      </c>
      <c r="H458" s="408">
        <v>336</v>
      </c>
      <c r="I458" s="408">
        <v>70</v>
      </c>
      <c r="J458" s="408">
        <v>129</v>
      </c>
      <c r="K458" s="408">
        <v>0.54300000000000004</v>
      </c>
      <c r="L458" s="408">
        <v>0</v>
      </c>
      <c r="M458" s="408">
        <v>3</v>
      </c>
      <c r="N458" s="408">
        <v>0</v>
      </c>
      <c r="O458" s="408">
        <v>70</v>
      </c>
      <c r="P458" s="408">
        <v>126</v>
      </c>
      <c r="Q458" s="408">
        <v>0.55600000000000005</v>
      </c>
      <c r="R458" s="408">
        <v>0.54300000000000004</v>
      </c>
      <c r="S458" s="408">
        <v>21</v>
      </c>
      <c r="T458" s="408">
        <v>29</v>
      </c>
      <c r="U458" s="408">
        <v>0.72399999999999998</v>
      </c>
      <c r="V458" s="408">
        <v>20</v>
      </c>
      <c r="W458" s="408">
        <v>60</v>
      </c>
      <c r="X458" s="408">
        <v>80</v>
      </c>
      <c r="Y458" s="408">
        <v>12</v>
      </c>
      <c r="Z458" s="408">
        <v>3</v>
      </c>
      <c r="AA458" s="408">
        <v>17</v>
      </c>
      <c r="AB458" s="408">
        <v>21</v>
      </c>
      <c r="AC458" s="408">
        <v>51</v>
      </c>
      <c r="AD458" s="408">
        <v>161</v>
      </c>
    </row>
    <row r="459" spans="1:30">
      <c r="A459">
        <v>373</v>
      </c>
      <c r="B459" s="1" t="s">
        <v>147</v>
      </c>
      <c r="C459" s="1" t="s">
        <v>83</v>
      </c>
      <c r="D459" s="408">
        <v>22</v>
      </c>
      <c r="E459" s="5" t="s">
        <v>118</v>
      </c>
      <c r="F459" s="408">
        <v>2</v>
      </c>
      <c r="G459" s="408">
        <v>0</v>
      </c>
      <c r="H459" s="408">
        <v>25</v>
      </c>
      <c r="I459" s="408">
        <v>4</v>
      </c>
      <c r="J459" s="408">
        <v>9</v>
      </c>
      <c r="K459" s="408">
        <v>0.44400000000000001</v>
      </c>
      <c r="L459" s="408">
        <v>0</v>
      </c>
      <c r="M459" s="408">
        <v>0</v>
      </c>
      <c r="N459" s="408"/>
      <c r="O459" s="408">
        <v>4</v>
      </c>
      <c r="P459" s="408">
        <v>9</v>
      </c>
      <c r="Q459" s="408">
        <v>0.44400000000000001</v>
      </c>
      <c r="R459" s="408">
        <v>0.44400000000000001</v>
      </c>
      <c r="S459" s="408">
        <v>2</v>
      </c>
      <c r="T459" s="408">
        <v>4</v>
      </c>
      <c r="U459" s="408">
        <v>0.5</v>
      </c>
      <c r="V459" s="408">
        <v>4</v>
      </c>
      <c r="W459" s="408">
        <v>5</v>
      </c>
      <c r="X459" s="408">
        <v>9</v>
      </c>
      <c r="Y459" s="408">
        <v>1</v>
      </c>
      <c r="Z459" s="408">
        <v>0</v>
      </c>
      <c r="AA459" s="408">
        <v>2</v>
      </c>
      <c r="AB459" s="408">
        <v>3</v>
      </c>
      <c r="AC459" s="408">
        <v>7</v>
      </c>
      <c r="AD459" s="408">
        <v>10</v>
      </c>
    </row>
    <row r="460" spans="1:30">
      <c r="A460">
        <v>373</v>
      </c>
      <c r="B460" s="1" t="s">
        <v>147</v>
      </c>
      <c r="C460" s="1" t="s">
        <v>83</v>
      </c>
      <c r="D460" s="408">
        <v>22</v>
      </c>
      <c r="E460" s="5" t="s">
        <v>315</v>
      </c>
      <c r="F460" s="408">
        <v>25</v>
      </c>
      <c r="G460" s="408">
        <v>0</v>
      </c>
      <c r="H460" s="408">
        <v>311</v>
      </c>
      <c r="I460" s="408">
        <v>66</v>
      </c>
      <c r="J460" s="408">
        <v>120</v>
      </c>
      <c r="K460" s="408">
        <v>0.55000000000000004</v>
      </c>
      <c r="L460" s="408">
        <v>0</v>
      </c>
      <c r="M460" s="408">
        <v>3</v>
      </c>
      <c r="N460" s="408">
        <v>0</v>
      </c>
      <c r="O460" s="408">
        <v>66</v>
      </c>
      <c r="P460" s="408">
        <v>117</v>
      </c>
      <c r="Q460" s="408">
        <v>0.56399999999999995</v>
      </c>
      <c r="R460" s="408">
        <v>0.55000000000000004</v>
      </c>
      <c r="S460" s="408">
        <v>19</v>
      </c>
      <c r="T460" s="408">
        <v>25</v>
      </c>
      <c r="U460" s="408">
        <v>0.76</v>
      </c>
      <c r="V460" s="408">
        <v>16</v>
      </c>
      <c r="W460" s="408">
        <v>55</v>
      </c>
      <c r="X460" s="408">
        <v>71</v>
      </c>
      <c r="Y460" s="408">
        <v>11</v>
      </c>
      <c r="Z460" s="408">
        <v>3</v>
      </c>
      <c r="AA460" s="408">
        <v>15</v>
      </c>
      <c r="AB460" s="408">
        <v>18</v>
      </c>
      <c r="AC460" s="408">
        <v>44</v>
      </c>
      <c r="AD460" s="408">
        <v>151</v>
      </c>
    </row>
    <row r="461" spans="1:30">
      <c r="A461">
        <v>374</v>
      </c>
      <c r="B461" s="1" t="s">
        <v>323</v>
      </c>
      <c r="C461" s="1" t="s">
        <v>26</v>
      </c>
      <c r="D461" s="408">
        <v>25</v>
      </c>
      <c r="E461" s="5" t="s">
        <v>30</v>
      </c>
      <c r="F461" s="408">
        <v>65</v>
      </c>
      <c r="G461" s="408">
        <v>65</v>
      </c>
      <c r="H461" s="408">
        <v>2217</v>
      </c>
      <c r="I461" s="408">
        <v>559</v>
      </c>
      <c r="J461" s="408">
        <v>1186</v>
      </c>
      <c r="K461" s="408">
        <v>0.47099999999999997</v>
      </c>
      <c r="L461" s="408">
        <v>138</v>
      </c>
      <c r="M461" s="408">
        <v>377</v>
      </c>
      <c r="N461" s="408">
        <v>0.36599999999999999</v>
      </c>
      <c r="O461" s="408">
        <v>421</v>
      </c>
      <c r="P461" s="408">
        <v>809</v>
      </c>
      <c r="Q461" s="408">
        <v>0.52</v>
      </c>
      <c r="R461" s="408">
        <v>0.53</v>
      </c>
      <c r="S461" s="408">
        <v>261</v>
      </c>
      <c r="T461" s="408">
        <v>325</v>
      </c>
      <c r="U461" s="408">
        <v>0.80300000000000005</v>
      </c>
      <c r="V461" s="408">
        <v>41</v>
      </c>
      <c r="W461" s="408">
        <v>300</v>
      </c>
      <c r="X461" s="408">
        <v>341</v>
      </c>
      <c r="Y461" s="408">
        <v>270</v>
      </c>
      <c r="Z461" s="408">
        <v>147</v>
      </c>
      <c r="AA461" s="408">
        <v>49</v>
      </c>
      <c r="AB461" s="408">
        <v>192</v>
      </c>
      <c r="AC461" s="408">
        <v>150</v>
      </c>
      <c r="AD461" s="408">
        <v>1517</v>
      </c>
    </row>
    <row r="462" spans="1:30">
      <c r="A462">
        <v>375</v>
      </c>
      <c r="B462" s="1" t="s">
        <v>433</v>
      </c>
      <c r="C462" s="1" t="s">
        <v>38</v>
      </c>
      <c r="D462" s="408">
        <v>26</v>
      </c>
      <c r="E462" s="5" t="s">
        <v>50</v>
      </c>
      <c r="F462" s="408">
        <v>65</v>
      </c>
      <c r="G462" s="408">
        <v>22</v>
      </c>
      <c r="H462" s="408">
        <v>1536</v>
      </c>
      <c r="I462" s="408">
        <v>265</v>
      </c>
      <c r="J462" s="408">
        <v>536</v>
      </c>
      <c r="K462" s="408">
        <v>0.49399999999999999</v>
      </c>
      <c r="L462" s="408">
        <v>86</v>
      </c>
      <c r="M462" s="408">
        <v>234</v>
      </c>
      <c r="N462" s="408">
        <v>0.36799999999999999</v>
      </c>
      <c r="O462" s="408">
        <v>179</v>
      </c>
      <c r="P462" s="408">
        <v>302</v>
      </c>
      <c r="Q462" s="408">
        <v>0.59299999999999997</v>
      </c>
      <c r="R462" s="408">
        <v>0.57499999999999996</v>
      </c>
      <c r="S462" s="408">
        <v>113</v>
      </c>
      <c r="T462" s="408">
        <v>147</v>
      </c>
      <c r="U462" s="408">
        <v>0.76900000000000002</v>
      </c>
      <c r="V462" s="408">
        <v>77</v>
      </c>
      <c r="W462" s="408">
        <v>290</v>
      </c>
      <c r="X462" s="408">
        <v>367</v>
      </c>
      <c r="Y462" s="408">
        <v>166</v>
      </c>
      <c r="Z462" s="408">
        <v>52</v>
      </c>
      <c r="AA462" s="408">
        <v>34</v>
      </c>
      <c r="AB462" s="408">
        <v>128</v>
      </c>
      <c r="AC462" s="408">
        <v>186</v>
      </c>
      <c r="AD462" s="408">
        <v>729</v>
      </c>
    </row>
    <row r="463" spans="1:30">
      <c r="A463">
        <v>376</v>
      </c>
      <c r="B463" s="1" t="s">
        <v>478</v>
      </c>
      <c r="C463" s="1" t="s">
        <v>46</v>
      </c>
      <c r="D463" s="408">
        <v>22</v>
      </c>
      <c r="E463" s="5" t="s">
        <v>102</v>
      </c>
      <c r="F463" s="408">
        <v>54</v>
      </c>
      <c r="G463" s="408">
        <v>9</v>
      </c>
      <c r="H463" s="408">
        <v>569</v>
      </c>
      <c r="I463" s="408">
        <v>76</v>
      </c>
      <c r="J463" s="408">
        <v>149</v>
      </c>
      <c r="K463" s="408">
        <v>0.51</v>
      </c>
      <c r="L463" s="408">
        <v>25</v>
      </c>
      <c r="M463" s="408">
        <v>64</v>
      </c>
      <c r="N463" s="408">
        <v>0.39100000000000001</v>
      </c>
      <c r="O463" s="408">
        <v>51</v>
      </c>
      <c r="P463" s="408">
        <v>85</v>
      </c>
      <c r="Q463" s="408">
        <v>0.6</v>
      </c>
      <c r="R463" s="408">
        <v>0.59399999999999997</v>
      </c>
      <c r="S463" s="408">
        <v>19</v>
      </c>
      <c r="T463" s="408">
        <v>33</v>
      </c>
      <c r="U463" s="408">
        <v>0.57599999999999996</v>
      </c>
      <c r="V463" s="408">
        <v>14</v>
      </c>
      <c r="W463" s="408">
        <v>89</v>
      </c>
      <c r="X463" s="408">
        <v>103</v>
      </c>
      <c r="Y463" s="408">
        <v>27</v>
      </c>
      <c r="Z463" s="408">
        <v>18</v>
      </c>
      <c r="AA463" s="408">
        <v>3</v>
      </c>
      <c r="AB463" s="408">
        <v>27</v>
      </c>
      <c r="AC463" s="408">
        <v>70</v>
      </c>
      <c r="AD463" s="408">
        <v>196</v>
      </c>
    </row>
    <row r="464" spans="1:30">
      <c r="A464">
        <v>377</v>
      </c>
      <c r="B464" s="1" t="s">
        <v>389</v>
      </c>
      <c r="C464" s="1" t="s">
        <v>46</v>
      </c>
      <c r="D464" s="408">
        <v>22</v>
      </c>
      <c r="E464" s="5" t="s">
        <v>27</v>
      </c>
      <c r="F464" s="408">
        <v>69</v>
      </c>
      <c r="G464" s="408">
        <v>10</v>
      </c>
      <c r="H464" s="408">
        <v>1896</v>
      </c>
      <c r="I464" s="408">
        <v>271</v>
      </c>
      <c r="J464" s="408">
        <v>654</v>
      </c>
      <c r="K464" s="408">
        <v>0.41399999999999998</v>
      </c>
      <c r="L464" s="408">
        <v>110</v>
      </c>
      <c r="M464" s="408">
        <v>304</v>
      </c>
      <c r="N464" s="408">
        <v>0.36199999999999999</v>
      </c>
      <c r="O464" s="408">
        <v>161</v>
      </c>
      <c r="P464" s="408">
        <v>350</v>
      </c>
      <c r="Q464" s="408">
        <v>0.46</v>
      </c>
      <c r="R464" s="408">
        <v>0.498</v>
      </c>
      <c r="S464" s="408">
        <v>163</v>
      </c>
      <c r="T464" s="408">
        <v>193</v>
      </c>
      <c r="U464" s="408">
        <v>0.84499999999999997</v>
      </c>
      <c r="V464" s="408">
        <v>49</v>
      </c>
      <c r="W464" s="408">
        <v>262</v>
      </c>
      <c r="X464" s="408">
        <v>311</v>
      </c>
      <c r="Y464" s="408">
        <v>77</v>
      </c>
      <c r="Z464" s="408">
        <v>65</v>
      </c>
      <c r="AA464" s="408">
        <v>27</v>
      </c>
      <c r="AB464" s="408">
        <v>75</v>
      </c>
      <c r="AC464" s="408">
        <v>199</v>
      </c>
      <c r="AD464" s="408">
        <v>815</v>
      </c>
    </row>
    <row r="465" spans="1:30">
      <c r="A465">
        <v>378</v>
      </c>
      <c r="B465" s="1" t="s">
        <v>138</v>
      </c>
      <c r="C465" s="1" t="s">
        <v>83</v>
      </c>
      <c r="D465" s="408">
        <v>33</v>
      </c>
      <c r="E465" s="5" t="s">
        <v>73</v>
      </c>
      <c r="F465" s="408">
        <v>60</v>
      </c>
      <c r="G465" s="408">
        <v>52</v>
      </c>
      <c r="H465" s="408">
        <v>876</v>
      </c>
      <c r="I465" s="408">
        <v>138</v>
      </c>
      <c r="J465" s="408">
        <v>240</v>
      </c>
      <c r="K465" s="408">
        <v>0.57499999999999996</v>
      </c>
      <c r="L465" s="408">
        <v>0</v>
      </c>
      <c r="M465" s="408">
        <v>1</v>
      </c>
      <c r="N465" s="408">
        <v>0</v>
      </c>
      <c r="O465" s="408">
        <v>138</v>
      </c>
      <c r="P465" s="408">
        <v>239</v>
      </c>
      <c r="Q465" s="408">
        <v>0.57699999999999996</v>
      </c>
      <c r="R465" s="408">
        <v>0.57499999999999996</v>
      </c>
      <c r="S465" s="408">
        <v>70</v>
      </c>
      <c r="T465" s="408">
        <v>87</v>
      </c>
      <c r="U465" s="408">
        <v>0.80500000000000005</v>
      </c>
      <c r="V465" s="408">
        <v>79</v>
      </c>
      <c r="W465" s="408">
        <v>213</v>
      </c>
      <c r="X465" s="408">
        <v>292</v>
      </c>
      <c r="Y465" s="408">
        <v>101</v>
      </c>
      <c r="Z465" s="408">
        <v>35</v>
      </c>
      <c r="AA465" s="408">
        <v>13</v>
      </c>
      <c r="AB465" s="408">
        <v>61</v>
      </c>
      <c r="AC465" s="408">
        <v>112</v>
      </c>
      <c r="AD465" s="408">
        <v>346</v>
      </c>
    </row>
    <row r="466" spans="1:30">
      <c r="A466">
        <v>379</v>
      </c>
      <c r="B466" s="1" t="s">
        <v>651</v>
      </c>
      <c r="C466" s="1" t="s">
        <v>20</v>
      </c>
      <c r="D466" s="408">
        <v>24</v>
      </c>
      <c r="E466" s="5" t="s">
        <v>311</v>
      </c>
      <c r="F466" s="408">
        <v>1</v>
      </c>
      <c r="G466" s="408">
        <v>0</v>
      </c>
      <c r="H466" s="408">
        <v>3</v>
      </c>
      <c r="I466" s="408">
        <v>0</v>
      </c>
      <c r="J466" s="408">
        <v>2</v>
      </c>
      <c r="K466" s="408">
        <v>0</v>
      </c>
      <c r="L466" s="408">
        <v>0</v>
      </c>
      <c r="M466" s="408">
        <v>0</v>
      </c>
      <c r="N466" s="408"/>
      <c r="O466" s="408">
        <v>0</v>
      </c>
      <c r="P466" s="408">
        <v>2</v>
      </c>
      <c r="Q466" s="408">
        <v>0</v>
      </c>
      <c r="R466" s="408">
        <v>0</v>
      </c>
      <c r="S466" s="408">
        <v>0</v>
      </c>
      <c r="T466" s="408">
        <v>0</v>
      </c>
      <c r="U466" s="408"/>
      <c r="V466" s="408">
        <v>0</v>
      </c>
      <c r="W466" s="408">
        <v>2</v>
      </c>
      <c r="X466" s="408">
        <v>2</v>
      </c>
      <c r="Y466" s="408">
        <v>0</v>
      </c>
      <c r="Z466" s="408">
        <v>0</v>
      </c>
      <c r="AA466" s="408">
        <v>0</v>
      </c>
      <c r="AB466" s="408">
        <v>0</v>
      </c>
      <c r="AC466" s="408">
        <v>0</v>
      </c>
      <c r="AD466" s="408">
        <v>0</v>
      </c>
    </row>
    <row r="467" spans="1:30">
      <c r="A467">
        <v>380</v>
      </c>
      <c r="B467" s="1" t="s">
        <v>627</v>
      </c>
      <c r="C467" s="1" t="s">
        <v>83</v>
      </c>
      <c r="D467" s="408">
        <v>20</v>
      </c>
      <c r="E467" s="5" t="s">
        <v>100</v>
      </c>
      <c r="F467" s="408">
        <v>16</v>
      </c>
      <c r="G467" s="408">
        <v>0</v>
      </c>
      <c r="H467" s="408">
        <v>118</v>
      </c>
      <c r="I467" s="408">
        <v>17</v>
      </c>
      <c r="J467" s="408">
        <v>41</v>
      </c>
      <c r="K467" s="408">
        <v>0.41499999999999998</v>
      </c>
      <c r="L467" s="408">
        <v>0</v>
      </c>
      <c r="M467" s="408">
        <v>0</v>
      </c>
      <c r="N467" s="408"/>
      <c r="O467" s="408">
        <v>17</v>
      </c>
      <c r="P467" s="408">
        <v>41</v>
      </c>
      <c r="Q467" s="408">
        <v>0.41499999999999998</v>
      </c>
      <c r="R467" s="408">
        <v>0.41499999999999998</v>
      </c>
      <c r="S467" s="408">
        <v>0</v>
      </c>
      <c r="T467" s="408">
        <v>0</v>
      </c>
      <c r="U467" s="408"/>
      <c r="V467" s="408">
        <v>12</v>
      </c>
      <c r="W467" s="408">
        <v>24</v>
      </c>
      <c r="X467" s="408">
        <v>36</v>
      </c>
      <c r="Y467" s="408">
        <v>9</v>
      </c>
      <c r="Z467" s="408">
        <v>2</v>
      </c>
      <c r="AA467" s="408">
        <v>6</v>
      </c>
      <c r="AB467" s="408">
        <v>8</v>
      </c>
      <c r="AC467" s="408">
        <v>12</v>
      </c>
      <c r="AD467" s="408">
        <v>34</v>
      </c>
    </row>
    <row r="468" spans="1:30">
      <c r="A468">
        <v>381</v>
      </c>
      <c r="B468" s="1" t="s">
        <v>42</v>
      </c>
      <c r="C468" s="1" t="s">
        <v>38</v>
      </c>
      <c r="D468" s="408">
        <v>22</v>
      </c>
      <c r="E468" s="5" t="s">
        <v>41</v>
      </c>
      <c r="F468" s="408">
        <v>19</v>
      </c>
      <c r="G468" s="408">
        <v>0</v>
      </c>
      <c r="H468" s="408">
        <v>404</v>
      </c>
      <c r="I468" s="408">
        <v>86</v>
      </c>
      <c r="J468" s="408">
        <v>170</v>
      </c>
      <c r="K468" s="408">
        <v>0.50600000000000001</v>
      </c>
      <c r="L468" s="408">
        <v>17</v>
      </c>
      <c r="M468" s="408">
        <v>41</v>
      </c>
      <c r="N468" s="408">
        <v>0.41499999999999998</v>
      </c>
      <c r="O468" s="408">
        <v>69</v>
      </c>
      <c r="P468" s="408">
        <v>129</v>
      </c>
      <c r="Q468" s="408">
        <v>0.53500000000000003</v>
      </c>
      <c r="R468" s="408">
        <v>0.55600000000000005</v>
      </c>
      <c r="S468" s="408">
        <v>27</v>
      </c>
      <c r="T468" s="408">
        <v>36</v>
      </c>
      <c r="U468" s="408">
        <v>0.75</v>
      </c>
      <c r="V468" s="408">
        <v>20</v>
      </c>
      <c r="W468" s="408">
        <v>60</v>
      </c>
      <c r="X468" s="408">
        <v>80</v>
      </c>
      <c r="Y468" s="408">
        <v>29</v>
      </c>
      <c r="Z468" s="408">
        <v>11</v>
      </c>
      <c r="AA468" s="408">
        <v>6</v>
      </c>
      <c r="AB468" s="408">
        <v>25</v>
      </c>
      <c r="AC468" s="408">
        <v>25</v>
      </c>
      <c r="AD468" s="408">
        <v>216</v>
      </c>
    </row>
    <row r="469" spans="1:30">
      <c r="A469">
        <v>382</v>
      </c>
      <c r="B469" s="1" t="s">
        <v>189</v>
      </c>
      <c r="C469" s="1" t="s">
        <v>20</v>
      </c>
      <c r="D469" s="408">
        <v>35</v>
      </c>
      <c r="E469" s="5" t="s">
        <v>140</v>
      </c>
      <c r="F469" s="408">
        <v>44</v>
      </c>
      <c r="G469" s="408">
        <v>21</v>
      </c>
      <c r="H469" s="408">
        <v>891</v>
      </c>
      <c r="I469" s="408">
        <v>163</v>
      </c>
      <c r="J469" s="408">
        <v>340</v>
      </c>
      <c r="K469" s="408">
        <v>0.47899999999999998</v>
      </c>
      <c r="L469" s="408">
        <v>7</v>
      </c>
      <c r="M469" s="408">
        <v>30</v>
      </c>
      <c r="N469" s="408">
        <v>0.23300000000000001</v>
      </c>
      <c r="O469" s="408">
        <v>156</v>
      </c>
      <c r="P469" s="408">
        <v>310</v>
      </c>
      <c r="Q469" s="408">
        <v>0.503</v>
      </c>
      <c r="R469" s="408">
        <v>0.49</v>
      </c>
      <c r="S469" s="408">
        <v>45</v>
      </c>
      <c r="T469" s="408">
        <v>64</v>
      </c>
      <c r="U469" s="408">
        <v>0.70299999999999996</v>
      </c>
      <c r="V469" s="408">
        <v>5</v>
      </c>
      <c r="W469" s="408">
        <v>76</v>
      </c>
      <c r="X469" s="408">
        <v>81</v>
      </c>
      <c r="Y469" s="408">
        <v>173</v>
      </c>
      <c r="Z469" s="408">
        <v>26</v>
      </c>
      <c r="AA469" s="408">
        <v>1</v>
      </c>
      <c r="AB469" s="408">
        <v>59</v>
      </c>
      <c r="AC469" s="408">
        <v>37</v>
      </c>
      <c r="AD469" s="408">
        <v>378</v>
      </c>
    </row>
    <row r="470" spans="1:30">
      <c r="A470">
        <v>383</v>
      </c>
      <c r="B470" s="1" t="s">
        <v>404</v>
      </c>
      <c r="C470" s="1" t="s">
        <v>46</v>
      </c>
      <c r="D470" s="408">
        <v>29</v>
      </c>
      <c r="E470" s="5" t="s">
        <v>128</v>
      </c>
      <c r="F470" s="408">
        <v>33</v>
      </c>
      <c r="G470" s="408">
        <v>8</v>
      </c>
      <c r="H470" s="408">
        <v>638</v>
      </c>
      <c r="I470" s="408">
        <v>100</v>
      </c>
      <c r="J470" s="408">
        <v>213</v>
      </c>
      <c r="K470" s="408">
        <v>0.46899999999999997</v>
      </c>
      <c r="L470" s="408">
        <v>47</v>
      </c>
      <c r="M470" s="408">
        <v>112</v>
      </c>
      <c r="N470" s="408">
        <v>0.42</v>
      </c>
      <c r="O470" s="408">
        <v>53</v>
      </c>
      <c r="P470" s="408">
        <v>101</v>
      </c>
      <c r="Q470" s="408">
        <v>0.52500000000000002</v>
      </c>
      <c r="R470" s="408">
        <v>0.57999999999999996</v>
      </c>
      <c r="S470" s="408">
        <v>17</v>
      </c>
      <c r="T470" s="408">
        <v>27</v>
      </c>
      <c r="U470" s="408">
        <v>0.63</v>
      </c>
      <c r="V470" s="408">
        <v>13</v>
      </c>
      <c r="W470" s="408">
        <v>69</v>
      </c>
      <c r="X470" s="408">
        <v>82</v>
      </c>
      <c r="Y470" s="408">
        <v>62</v>
      </c>
      <c r="Z470" s="408">
        <v>17</v>
      </c>
      <c r="AA470" s="408">
        <v>11</v>
      </c>
      <c r="AB470" s="408">
        <v>35</v>
      </c>
      <c r="AC470" s="408">
        <v>49</v>
      </c>
      <c r="AD470" s="408">
        <v>264</v>
      </c>
    </row>
    <row r="471" spans="1:30">
      <c r="A471">
        <v>384</v>
      </c>
      <c r="B471" s="1" t="s">
        <v>484</v>
      </c>
      <c r="C471" s="1" t="s">
        <v>38</v>
      </c>
      <c r="D471" s="408">
        <v>28</v>
      </c>
      <c r="E471" s="5" t="s">
        <v>58</v>
      </c>
      <c r="F471" s="408">
        <v>72</v>
      </c>
      <c r="G471" s="408">
        <v>3</v>
      </c>
      <c r="H471" s="408">
        <v>1141</v>
      </c>
      <c r="I471" s="408">
        <v>92</v>
      </c>
      <c r="J471" s="408">
        <v>238</v>
      </c>
      <c r="K471" s="408">
        <v>0.38700000000000001</v>
      </c>
      <c r="L471" s="408">
        <v>56</v>
      </c>
      <c r="M471" s="408">
        <v>152</v>
      </c>
      <c r="N471" s="408">
        <v>0.36799999999999999</v>
      </c>
      <c r="O471" s="408">
        <v>36</v>
      </c>
      <c r="P471" s="408">
        <v>86</v>
      </c>
      <c r="Q471" s="408">
        <v>0.41899999999999998</v>
      </c>
      <c r="R471" s="408">
        <v>0.504</v>
      </c>
      <c r="S471" s="408">
        <v>35</v>
      </c>
      <c r="T471" s="408">
        <v>41</v>
      </c>
      <c r="U471" s="408">
        <v>0.85399999999999998</v>
      </c>
      <c r="V471" s="408">
        <v>28</v>
      </c>
      <c r="W471" s="408">
        <v>145</v>
      </c>
      <c r="X471" s="408">
        <v>173</v>
      </c>
      <c r="Y471" s="408">
        <v>51</v>
      </c>
      <c r="Z471" s="408">
        <v>41</v>
      </c>
      <c r="AA471" s="408">
        <v>21</v>
      </c>
      <c r="AB471" s="408">
        <v>32</v>
      </c>
      <c r="AC471" s="408">
        <v>76</v>
      </c>
      <c r="AD471" s="408">
        <v>275</v>
      </c>
    </row>
    <row r="472" spans="1:30">
      <c r="A472">
        <v>385</v>
      </c>
      <c r="B472" s="1" t="s">
        <v>529</v>
      </c>
      <c r="C472" s="1" t="s">
        <v>26</v>
      </c>
      <c r="D472" s="408">
        <v>26</v>
      </c>
      <c r="E472" s="5" t="s">
        <v>140</v>
      </c>
      <c r="F472" s="408">
        <v>58</v>
      </c>
      <c r="G472" s="408">
        <v>2</v>
      </c>
      <c r="H472" s="408">
        <v>538</v>
      </c>
      <c r="I472" s="408">
        <v>49</v>
      </c>
      <c r="J472" s="408">
        <v>116</v>
      </c>
      <c r="K472" s="408">
        <v>0.42199999999999999</v>
      </c>
      <c r="L472" s="408">
        <v>14</v>
      </c>
      <c r="M472" s="408">
        <v>51</v>
      </c>
      <c r="N472" s="408">
        <v>0.27500000000000002</v>
      </c>
      <c r="O472" s="408">
        <v>35</v>
      </c>
      <c r="P472" s="408">
        <v>65</v>
      </c>
      <c r="Q472" s="408">
        <v>0.53800000000000003</v>
      </c>
      <c r="R472" s="408">
        <v>0.48299999999999998</v>
      </c>
      <c r="S472" s="408">
        <v>21</v>
      </c>
      <c r="T472" s="408">
        <v>37</v>
      </c>
      <c r="U472" s="408">
        <v>0.56799999999999995</v>
      </c>
      <c r="V472" s="408">
        <v>6</v>
      </c>
      <c r="W472" s="408">
        <v>60</v>
      </c>
      <c r="X472" s="408">
        <v>66</v>
      </c>
      <c r="Y472" s="408">
        <v>36</v>
      </c>
      <c r="Z472" s="408">
        <v>25</v>
      </c>
      <c r="AA472" s="408">
        <v>7</v>
      </c>
      <c r="AB472" s="408">
        <v>26</v>
      </c>
      <c r="AC472" s="408">
        <v>54</v>
      </c>
      <c r="AD472" s="408">
        <v>133</v>
      </c>
    </row>
    <row r="473" spans="1:30">
      <c r="A473">
        <v>386</v>
      </c>
      <c r="B473" s="1" t="s">
        <v>240</v>
      </c>
      <c r="C473" s="1" t="s">
        <v>20</v>
      </c>
      <c r="D473" s="408">
        <v>32</v>
      </c>
      <c r="E473" s="5" t="s">
        <v>92</v>
      </c>
      <c r="F473" s="408">
        <v>52</v>
      </c>
      <c r="G473" s="408">
        <v>52</v>
      </c>
      <c r="H473" s="408">
        <v>1661</v>
      </c>
      <c r="I473" s="408">
        <v>328</v>
      </c>
      <c r="J473" s="408">
        <v>711</v>
      </c>
      <c r="K473" s="408">
        <v>0.46100000000000002</v>
      </c>
      <c r="L473" s="408">
        <v>125</v>
      </c>
      <c r="M473" s="408">
        <v>328</v>
      </c>
      <c r="N473" s="408">
        <v>0.38100000000000001</v>
      </c>
      <c r="O473" s="408">
        <v>203</v>
      </c>
      <c r="P473" s="408">
        <v>383</v>
      </c>
      <c r="Q473" s="408">
        <v>0.53</v>
      </c>
      <c r="R473" s="408">
        <v>0.54900000000000004</v>
      </c>
      <c r="S473" s="408">
        <v>191</v>
      </c>
      <c r="T473" s="408">
        <v>208</v>
      </c>
      <c r="U473" s="408">
        <v>0.91800000000000004</v>
      </c>
      <c r="V473" s="408">
        <v>33</v>
      </c>
      <c r="W473" s="408">
        <v>255</v>
      </c>
      <c r="X473" s="408">
        <v>288</v>
      </c>
      <c r="Y473" s="408">
        <v>415</v>
      </c>
      <c r="Z473" s="408">
        <v>90</v>
      </c>
      <c r="AA473" s="408">
        <v>14</v>
      </c>
      <c r="AB473" s="408">
        <v>119</v>
      </c>
      <c r="AC473" s="408">
        <v>127</v>
      </c>
      <c r="AD473" s="408">
        <v>972</v>
      </c>
    </row>
    <row r="474" spans="1:30">
      <c r="A474">
        <v>387</v>
      </c>
      <c r="B474" s="1" t="s">
        <v>378</v>
      </c>
      <c r="C474" s="1" t="s">
        <v>38</v>
      </c>
      <c r="D474" s="408">
        <v>26</v>
      </c>
      <c r="E474" s="5" t="s">
        <v>75</v>
      </c>
      <c r="F474" s="408">
        <v>5</v>
      </c>
      <c r="G474" s="408">
        <v>0</v>
      </c>
      <c r="H474" s="408">
        <v>43</v>
      </c>
      <c r="I474" s="408">
        <v>7</v>
      </c>
      <c r="J474" s="408">
        <v>10</v>
      </c>
      <c r="K474" s="408">
        <v>0.7</v>
      </c>
      <c r="L474" s="408">
        <v>2</v>
      </c>
      <c r="M474" s="408">
        <v>3</v>
      </c>
      <c r="N474" s="408">
        <v>0.66700000000000004</v>
      </c>
      <c r="O474" s="408">
        <v>5</v>
      </c>
      <c r="P474" s="408">
        <v>7</v>
      </c>
      <c r="Q474" s="408">
        <v>0.71399999999999997</v>
      </c>
      <c r="R474" s="408">
        <v>0.8</v>
      </c>
      <c r="S474" s="408">
        <v>5</v>
      </c>
      <c r="T474" s="408">
        <v>6</v>
      </c>
      <c r="U474" s="408">
        <v>0.83299999999999996</v>
      </c>
      <c r="V474" s="408">
        <v>2</v>
      </c>
      <c r="W474" s="408">
        <v>7</v>
      </c>
      <c r="X474" s="408">
        <v>9</v>
      </c>
      <c r="Y474" s="408">
        <v>0</v>
      </c>
      <c r="Z474" s="408">
        <v>2</v>
      </c>
      <c r="AA474" s="408">
        <v>0</v>
      </c>
      <c r="AB474" s="408">
        <v>2</v>
      </c>
      <c r="AC474" s="408">
        <v>6</v>
      </c>
      <c r="AD474" s="408">
        <v>21</v>
      </c>
    </row>
    <row r="475" spans="1:30">
      <c r="A475">
        <v>388</v>
      </c>
      <c r="B475" s="1" t="s">
        <v>771</v>
      </c>
      <c r="C475" s="1" t="s">
        <v>20</v>
      </c>
      <c r="D475" s="408">
        <v>23</v>
      </c>
      <c r="E475" s="5" t="s">
        <v>43</v>
      </c>
      <c r="F475" s="408">
        <v>13</v>
      </c>
      <c r="G475" s="408">
        <v>2</v>
      </c>
      <c r="H475" s="408">
        <v>271</v>
      </c>
      <c r="I475" s="408">
        <v>43</v>
      </c>
      <c r="J475" s="408">
        <v>106</v>
      </c>
      <c r="K475" s="408">
        <v>0.40600000000000003</v>
      </c>
      <c r="L475" s="408">
        <v>15</v>
      </c>
      <c r="M475" s="408">
        <v>44</v>
      </c>
      <c r="N475" s="408">
        <v>0.34100000000000003</v>
      </c>
      <c r="O475" s="408">
        <v>28</v>
      </c>
      <c r="P475" s="408">
        <v>62</v>
      </c>
      <c r="Q475" s="408">
        <v>0.45200000000000001</v>
      </c>
      <c r="R475" s="408">
        <v>0.47599999999999998</v>
      </c>
      <c r="S475" s="408">
        <v>5</v>
      </c>
      <c r="T475" s="408">
        <v>7</v>
      </c>
      <c r="U475" s="408">
        <v>0.71399999999999997</v>
      </c>
      <c r="V475" s="408">
        <v>8</v>
      </c>
      <c r="W475" s="408">
        <v>23</v>
      </c>
      <c r="X475" s="408">
        <v>31</v>
      </c>
      <c r="Y475" s="408">
        <v>51</v>
      </c>
      <c r="Z475" s="408">
        <v>15</v>
      </c>
      <c r="AA475" s="408">
        <v>6</v>
      </c>
      <c r="AB475" s="408">
        <v>15</v>
      </c>
      <c r="AC475" s="408">
        <v>19</v>
      </c>
      <c r="AD475" s="408">
        <v>106</v>
      </c>
    </row>
    <row r="476" spans="1:30">
      <c r="A476">
        <v>389</v>
      </c>
      <c r="B476" s="1" t="s">
        <v>219</v>
      </c>
      <c r="C476" s="1" t="s">
        <v>20</v>
      </c>
      <c r="D476" s="408">
        <v>23</v>
      </c>
      <c r="E476" s="5" t="s">
        <v>357</v>
      </c>
      <c r="F476" s="408">
        <v>59</v>
      </c>
      <c r="G476" s="408">
        <v>59</v>
      </c>
      <c r="H476" s="408">
        <v>1716</v>
      </c>
      <c r="I476" s="408">
        <v>319</v>
      </c>
      <c r="J476" s="408">
        <v>636</v>
      </c>
      <c r="K476" s="408">
        <v>0.502</v>
      </c>
      <c r="L476" s="408">
        <v>30</v>
      </c>
      <c r="M476" s="408">
        <v>88</v>
      </c>
      <c r="N476" s="408">
        <v>0.34100000000000003</v>
      </c>
      <c r="O476" s="408">
        <v>289</v>
      </c>
      <c r="P476" s="408">
        <v>548</v>
      </c>
      <c r="Q476" s="408">
        <v>0.52700000000000002</v>
      </c>
      <c r="R476" s="408">
        <v>0.52500000000000002</v>
      </c>
      <c r="S476" s="408">
        <v>107</v>
      </c>
      <c r="T476" s="408">
        <v>162</v>
      </c>
      <c r="U476" s="408">
        <v>0.66</v>
      </c>
      <c r="V476" s="408">
        <v>62</v>
      </c>
      <c r="W476" s="408">
        <v>201</v>
      </c>
      <c r="X476" s="408">
        <v>263</v>
      </c>
      <c r="Y476" s="408">
        <v>375</v>
      </c>
      <c r="Z476" s="408">
        <v>79</v>
      </c>
      <c r="AA476" s="408">
        <v>21</v>
      </c>
      <c r="AB476" s="408">
        <v>161</v>
      </c>
      <c r="AC476" s="408">
        <v>139</v>
      </c>
      <c r="AD476" s="408">
        <v>775</v>
      </c>
    </row>
    <row r="477" spans="1:30">
      <c r="A477">
        <v>389</v>
      </c>
      <c r="B477" s="1" t="s">
        <v>219</v>
      </c>
      <c r="C477" s="1" t="s">
        <v>20</v>
      </c>
      <c r="D477" s="408">
        <v>23</v>
      </c>
      <c r="E477" s="5" t="s">
        <v>75</v>
      </c>
      <c r="F477" s="408">
        <v>44</v>
      </c>
      <c r="G477" s="408">
        <v>44</v>
      </c>
      <c r="H477" s="408">
        <v>1257</v>
      </c>
      <c r="I477" s="408">
        <v>238</v>
      </c>
      <c r="J477" s="408">
        <v>458</v>
      </c>
      <c r="K477" s="408">
        <v>0.52</v>
      </c>
      <c r="L477" s="408">
        <v>25</v>
      </c>
      <c r="M477" s="408">
        <v>67</v>
      </c>
      <c r="N477" s="408">
        <v>0.373</v>
      </c>
      <c r="O477" s="408">
        <v>213</v>
      </c>
      <c r="P477" s="408">
        <v>391</v>
      </c>
      <c r="Q477" s="408">
        <v>0.54500000000000004</v>
      </c>
      <c r="R477" s="408">
        <v>0.54700000000000004</v>
      </c>
      <c r="S477" s="408">
        <v>72</v>
      </c>
      <c r="T477" s="408">
        <v>114</v>
      </c>
      <c r="U477" s="408">
        <v>0.63200000000000001</v>
      </c>
      <c r="V477" s="408">
        <v>47</v>
      </c>
      <c r="W477" s="408">
        <v>127</v>
      </c>
      <c r="X477" s="408">
        <v>174</v>
      </c>
      <c r="Y477" s="408">
        <v>275</v>
      </c>
      <c r="Z477" s="408">
        <v>64</v>
      </c>
      <c r="AA477" s="408">
        <v>16</v>
      </c>
      <c r="AB477" s="408">
        <v>114</v>
      </c>
      <c r="AC477" s="408">
        <v>97</v>
      </c>
      <c r="AD477" s="408">
        <v>573</v>
      </c>
    </row>
    <row r="478" spans="1:30">
      <c r="A478">
        <v>389</v>
      </c>
      <c r="B478" s="1" t="s">
        <v>219</v>
      </c>
      <c r="C478" s="1" t="s">
        <v>20</v>
      </c>
      <c r="D478" s="408">
        <v>23</v>
      </c>
      <c r="E478" s="5" t="s">
        <v>313</v>
      </c>
      <c r="F478" s="408">
        <v>15</v>
      </c>
      <c r="G478" s="408">
        <v>15</v>
      </c>
      <c r="H478" s="408">
        <v>459</v>
      </c>
      <c r="I478" s="408">
        <v>81</v>
      </c>
      <c r="J478" s="408">
        <v>178</v>
      </c>
      <c r="K478" s="408">
        <v>0.45500000000000002</v>
      </c>
      <c r="L478" s="408">
        <v>5</v>
      </c>
      <c r="M478" s="408">
        <v>21</v>
      </c>
      <c r="N478" s="408">
        <v>0.23799999999999999</v>
      </c>
      <c r="O478" s="408">
        <v>76</v>
      </c>
      <c r="P478" s="408">
        <v>157</v>
      </c>
      <c r="Q478" s="408">
        <v>0.48399999999999999</v>
      </c>
      <c r="R478" s="408">
        <v>0.46899999999999997</v>
      </c>
      <c r="S478" s="408">
        <v>35</v>
      </c>
      <c r="T478" s="408">
        <v>48</v>
      </c>
      <c r="U478" s="408">
        <v>0.72899999999999998</v>
      </c>
      <c r="V478" s="408">
        <v>15</v>
      </c>
      <c r="W478" s="408">
        <v>74</v>
      </c>
      <c r="X478" s="408">
        <v>89</v>
      </c>
      <c r="Y478" s="408">
        <v>100</v>
      </c>
      <c r="Z478" s="408">
        <v>15</v>
      </c>
      <c r="AA478" s="408">
        <v>5</v>
      </c>
      <c r="AB478" s="408">
        <v>47</v>
      </c>
      <c r="AC478" s="408">
        <v>42</v>
      </c>
      <c r="AD478" s="408">
        <v>202</v>
      </c>
    </row>
    <row r="479" spans="1:30">
      <c r="A479">
        <v>390</v>
      </c>
      <c r="B479" s="1" t="s">
        <v>546</v>
      </c>
      <c r="C479" s="1" t="s">
        <v>20</v>
      </c>
      <c r="D479" s="408">
        <v>25</v>
      </c>
      <c r="E479" s="5" t="s">
        <v>357</v>
      </c>
      <c r="F479" s="408">
        <v>18</v>
      </c>
      <c r="G479" s="408">
        <v>6</v>
      </c>
      <c r="H479" s="408">
        <v>146</v>
      </c>
      <c r="I479" s="408">
        <v>18</v>
      </c>
      <c r="J479" s="408">
        <v>47</v>
      </c>
      <c r="K479" s="408">
        <v>0.38300000000000001</v>
      </c>
      <c r="L479" s="408">
        <v>2</v>
      </c>
      <c r="M479" s="408">
        <v>15</v>
      </c>
      <c r="N479" s="408">
        <v>0.13300000000000001</v>
      </c>
      <c r="O479" s="408">
        <v>16</v>
      </c>
      <c r="P479" s="408">
        <v>32</v>
      </c>
      <c r="Q479" s="408">
        <v>0.5</v>
      </c>
      <c r="R479" s="408">
        <v>0.40400000000000003</v>
      </c>
      <c r="S479" s="408">
        <v>2</v>
      </c>
      <c r="T479" s="408">
        <v>3</v>
      </c>
      <c r="U479" s="408">
        <v>0.66700000000000004</v>
      </c>
      <c r="V479" s="408">
        <v>8</v>
      </c>
      <c r="W479" s="408">
        <v>15</v>
      </c>
      <c r="X479" s="408">
        <v>23</v>
      </c>
      <c r="Y479" s="408">
        <v>13</v>
      </c>
      <c r="Z479" s="408">
        <v>3</v>
      </c>
      <c r="AA479" s="408">
        <v>3</v>
      </c>
      <c r="AB479" s="408">
        <v>3</v>
      </c>
      <c r="AC479" s="408">
        <v>23</v>
      </c>
      <c r="AD479" s="408">
        <v>40</v>
      </c>
    </row>
    <row r="480" spans="1:30">
      <c r="A480">
        <v>390</v>
      </c>
      <c r="B480" s="1" t="s">
        <v>546</v>
      </c>
      <c r="C480" s="1" t="s">
        <v>20</v>
      </c>
      <c r="D480" s="408">
        <v>25</v>
      </c>
      <c r="E480" s="5" t="s">
        <v>41</v>
      </c>
      <c r="F480" s="408">
        <v>12</v>
      </c>
      <c r="G480" s="408">
        <v>6</v>
      </c>
      <c r="H480" s="408">
        <v>106</v>
      </c>
      <c r="I480" s="408">
        <v>13</v>
      </c>
      <c r="J480" s="408">
        <v>33</v>
      </c>
      <c r="K480" s="408">
        <v>0.39400000000000002</v>
      </c>
      <c r="L480" s="408">
        <v>2</v>
      </c>
      <c r="M480" s="408">
        <v>12</v>
      </c>
      <c r="N480" s="408">
        <v>0.16700000000000001</v>
      </c>
      <c r="O480" s="408">
        <v>11</v>
      </c>
      <c r="P480" s="408">
        <v>21</v>
      </c>
      <c r="Q480" s="408">
        <v>0.52400000000000002</v>
      </c>
      <c r="R480" s="408">
        <v>0.42399999999999999</v>
      </c>
      <c r="S480" s="408">
        <v>2</v>
      </c>
      <c r="T480" s="408">
        <v>3</v>
      </c>
      <c r="U480" s="408">
        <v>0.66700000000000004</v>
      </c>
      <c r="V480" s="408">
        <v>4</v>
      </c>
      <c r="W480" s="408">
        <v>13</v>
      </c>
      <c r="X480" s="408">
        <v>17</v>
      </c>
      <c r="Y480" s="408">
        <v>9</v>
      </c>
      <c r="Z480" s="408">
        <v>3</v>
      </c>
      <c r="AA480" s="408">
        <v>1</v>
      </c>
      <c r="AB480" s="408">
        <v>3</v>
      </c>
      <c r="AC480" s="408">
        <v>17</v>
      </c>
      <c r="AD480" s="408">
        <v>30</v>
      </c>
    </row>
    <row r="481" spans="1:30">
      <c r="A481">
        <v>390</v>
      </c>
      <c r="B481" s="1" t="s">
        <v>546</v>
      </c>
      <c r="C481" s="1" t="s">
        <v>20</v>
      </c>
      <c r="D481" s="408">
        <v>25</v>
      </c>
      <c r="E481" s="5" t="s">
        <v>78</v>
      </c>
      <c r="F481" s="408">
        <v>6</v>
      </c>
      <c r="G481" s="408">
        <v>0</v>
      </c>
      <c r="H481" s="408">
        <v>40</v>
      </c>
      <c r="I481" s="408">
        <v>5</v>
      </c>
      <c r="J481" s="408">
        <v>14</v>
      </c>
      <c r="K481" s="408">
        <v>0.35699999999999998</v>
      </c>
      <c r="L481" s="408">
        <v>0</v>
      </c>
      <c r="M481" s="408">
        <v>3</v>
      </c>
      <c r="N481" s="408">
        <v>0</v>
      </c>
      <c r="O481" s="408">
        <v>5</v>
      </c>
      <c r="P481" s="408">
        <v>11</v>
      </c>
      <c r="Q481" s="408">
        <v>0.45500000000000002</v>
      </c>
      <c r="R481" s="408">
        <v>0.35699999999999998</v>
      </c>
      <c r="S481" s="408">
        <v>0</v>
      </c>
      <c r="T481" s="408">
        <v>0</v>
      </c>
      <c r="U481" s="408"/>
      <c r="V481" s="408">
        <v>4</v>
      </c>
      <c r="W481" s="408">
        <v>2</v>
      </c>
      <c r="X481" s="408">
        <v>6</v>
      </c>
      <c r="Y481" s="408">
        <v>4</v>
      </c>
      <c r="Z481" s="408">
        <v>0</v>
      </c>
      <c r="AA481" s="408">
        <v>2</v>
      </c>
      <c r="AB481" s="408">
        <v>0</v>
      </c>
      <c r="AC481" s="408">
        <v>6</v>
      </c>
      <c r="AD481" s="408">
        <v>10</v>
      </c>
    </row>
    <row r="482" spans="1:30">
      <c r="A482">
        <v>391</v>
      </c>
      <c r="B482" s="1" t="s">
        <v>638</v>
      </c>
      <c r="C482" s="1" t="s">
        <v>20</v>
      </c>
      <c r="D482" s="408">
        <v>23</v>
      </c>
      <c r="E482" s="5" t="s">
        <v>102</v>
      </c>
      <c r="F482" s="408">
        <v>9</v>
      </c>
      <c r="G482" s="408">
        <v>0</v>
      </c>
      <c r="H482" s="408">
        <v>25</v>
      </c>
      <c r="I482" s="408">
        <v>1</v>
      </c>
      <c r="J482" s="408">
        <v>3</v>
      </c>
      <c r="K482" s="408">
        <v>0.33300000000000002</v>
      </c>
      <c r="L482" s="408">
        <v>0</v>
      </c>
      <c r="M482" s="408">
        <v>1</v>
      </c>
      <c r="N482" s="408">
        <v>0</v>
      </c>
      <c r="O482" s="408">
        <v>1</v>
      </c>
      <c r="P482" s="408">
        <v>2</v>
      </c>
      <c r="Q482" s="408">
        <v>0.5</v>
      </c>
      <c r="R482" s="408">
        <v>0.33300000000000002</v>
      </c>
      <c r="S482" s="408">
        <v>0</v>
      </c>
      <c r="T482" s="408">
        <v>0</v>
      </c>
      <c r="U482" s="408"/>
      <c r="V482" s="408">
        <v>0</v>
      </c>
      <c r="W482" s="408">
        <v>1</v>
      </c>
      <c r="X482" s="408">
        <v>1</v>
      </c>
      <c r="Y482" s="408">
        <v>5</v>
      </c>
      <c r="Z482" s="408">
        <v>0</v>
      </c>
      <c r="AA482" s="408">
        <v>0</v>
      </c>
      <c r="AB482" s="408">
        <v>1</v>
      </c>
      <c r="AC482" s="408">
        <v>3</v>
      </c>
      <c r="AD482" s="408">
        <v>2</v>
      </c>
    </row>
    <row r="483" spans="1:30">
      <c r="A483">
        <v>392</v>
      </c>
      <c r="B483" s="1" t="s">
        <v>641</v>
      </c>
      <c r="C483" s="1" t="s">
        <v>38</v>
      </c>
      <c r="D483" s="408">
        <v>22</v>
      </c>
      <c r="E483" s="5" t="s">
        <v>313</v>
      </c>
      <c r="F483" s="408">
        <v>12</v>
      </c>
      <c r="G483" s="408">
        <v>0</v>
      </c>
      <c r="H483" s="408">
        <v>98</v>
      </c>
      <c r="I483" s="408">
        <v>8</v>
      </c>
      <c r="J483" s="408">
        <v>32</v>
      </c>
      <c r="K483" s="408">
        <v>0.25</v>
      </c>
      <c r="L483" s="408">
        <v>5</v>
      </c>
      <c r="M483" s="408">
        <v>27</v>
      </c>
      <c r="N483" s="408">
        <v>0.185</v>
      </c>
      <c r="O483" s="408">
        <v>3</v>
      </c>
      <c r="P483" s="408">
        <v>5</v>
      </c>
      <c r="Q483" s="408">
        <v>0.6</v>
      </c>
      <c r="R483" s="408">
        <v>0.32800000000000001</v>
      </c>
      <c r="S483" s="408">
        <v>3</v>
      </c>
      <c r="T483" s="408">
        <v>3</v>
      </c>
      <c r="U483" s="408">
        <v>1</v>
      </c>
      <c r="V483" s="408">
        <v>4</v>
      </c>
      <c r="W483" s="408">
        <v>16</v>
      </c>
      <c r="X483" s="408">
        <v>20</v>
      </c>
      <c r="Y483" s="408">
        <v>8</v>
      </c>
      <c r="Z483" s="408">
        <v>0</v>
      </c>
      <c r="AA483" s="408">
        <v>2</v>
      </c>
      <c r="AB483" s="408">
        <v>1</v>
      </c>
      <c r="AC483" s="408">
        <v>3</v>
      </c>
      <c r="AD483" s="408">
        <v>24</v>
      </c>
    </row>
    <row r="484" spans="1:30">
      <c r="A484">
        <v>393</v>
      </c>
      <c r="B484" s="1" t="s">
        <v>724</v>
      </c>
      <c r="C484" s="1" t="s">
        <v>83</v>
      </c>
      <c r="D484" s="408">
        <v>25</v>
      </c>
      <c r="E484" s="5" t="s">
        <v>41</v>
      </c>
      <c r="F484" s="408">
        <v>7</v>
      </c>
      <c r="G484" s="408">
        <v>0</v>
      </c>
      <c r="H484" s="408">
        <v>45</v>
      </c>
      <c r="I484" s="408">
        <v>1</v>
      </c>
      <c r="J484" s="408">
        <v>3</v>
      </c>
      <c r="K484" s="408">
        <v>0.33300000000000002</v>
      </c>
      <c r="L484" s="408">
        <v>0</v>
      </c>
      <c r="M484" s="408">
        <v>0</v>
      </c>
      <c r="N484" s="408"/>
      <c r="O484" s="408">
        <v>1</v>
      </c>
      <c r="P484" s="408">
        <v>3</v>
      </c>
      <c r="Q484" s="408">
        <v>0.33300000000000002</v>
      </c>
      <c r="R484" s="408">
        <v>0.33300000000000002</v>
      </c>
      <c r="S484" s="408">
        <v>12</v>
      </c>
      <c r="T484" s="408">
        <v>16</v>
      </c>
      <c r="U484" s="408">
        <v>0.75</v>
      </c>
      <c r="V484" s="408">
        <v>4</v>
      </c>
      <c r="W484" s="408">
        <v>12</v>
      </c>
      <c r="X484" s="408">
        <v>16</v>
      </c>
      <c r="Y484" s="408">
        <v>2</v>
      </c>
      <c r="Z484" s="408">
        <v>0</v>
      </c>
      <c r="AA484" s="408">
        <v>1</v>
      </c>
      <c r="AB484" s="408">
        <v>3</v>
      </c>
      <c r="AC484" s="408">
        <v>8</v>
      </c>
      <c r="AD484" s="408">
        <v>14</v>
      </c>
    </row>
    <row r="485" spans="1:30">
      <c r="A485">
        <v>394</v>
      </c>
      <c r="B485" s="1" t="s">
        <v>621</v>
      </c>
      <c r="C485" s="1" t="s">
        <v>83</v>
      </c>
      <c r="D485" s="408">
        <v>27</v>
      </c>
      <c r="E485" s="5" t="s">
        <v>61</v>
      </c>
      <c r="F485" s="408">
        <v>63</v>
      </c>
      <c r="G485" s="408">
        <v>26</v>
      </c>
      <c r="H485" s="408">
        <v>1283</v>
      </c>
      <c r="I485" s="408">
        <v>196</v>
      </c>
      <c r="J485" s="408">
        <v>332</v>
      </c>
      <c r="K485" s="408">
        <v>0.59</v>
      </c>
      <c r="L485" s="408">
        <v>0</v>
      </c>
      <c r="M485" s="408">
        <v>1</v>
      </c>
      <c r="N485" s="408">
        <v>0</v>
      </c>
      <c r="O485" s="408">
        <v>196</v>
      </c>
      <c r="P485" s="408">
        <v>331</v>
      </c>
      <c r="Q485" s="408">
        <v>0.59199999999999997</v>
      </c>
      <c r="R485" s="408">
        <v>0.59</v>
      </c>
      <c r="S485" s="408">
        <v>70</v>
      </c>
      <c r="T485" s="408">
        <v>159</v>
      </c>
      <c r="U485" s="408">
        <v>0.44</v>
      </c>
      <c r="V485" s="408">
        <v>118</v>
      </c>
      <c r="W485" s="408">
        <v>244</v>
      </c>
      <c r="X485" s="408">
        <v>362</v>
      </c>
      <c r="Y485" s="408">
        <v>127</v>
      </c>
      <c r="Z485" s="408">
        <v>45</v>
      </c>
      <c r="AA485" s="408">
        <v>69</v>
      </c>
      <c r="AB485" s="408">
        <v>92</v>
      </c>
      <c r="AC485" s="408">
        <v>156</v>
      </c>
      <c r="AD485" s="408">
        <v>462</v>
      </c>
    </row>
    <row r="486" spans="1:30">
      <c r="A486">
        <v>395</v>
      </c>
      <c r="B486" s="1" t="s">
        <v>619</v>
      </c>
      <c r="C486" s="1" t="s">
        <v>83</v>
      </c>
      <c r="D486" s="408">
        <v>29</v>
      </c>
      <c r="E486" s="5" t="s">
        <v>149</v>
      </c>
      <c r="F486" s="408">
        <v>46</v>
      </c>
      <c r="G486" s="408">
        <v>34</v>
      </c>
      <c r="H486" s="408">
        <v>765</v>
      </c>
      <c r="I486" s="408">
        <v>90</v>
      </c>
      <c r="J486" s="408">
        <v>155</v>
      </c>
      <c r="K486" s="408">
        <v>0.58099999999999996</v>
      </c>
      <c r="L486" s="408">
        <v>0</v>
      </c>
      <c r="M486" s="408">
        <v>0</v>
      </c>
      <c r="N486" s="408"/>
      <c r="O486" s="408">
        <v>90</v>
      </c>
      <c r="P486" s="408">
        <v>155</v>
      </c>
      <c r="Q486" s="408">
        <v>0.58099999999999996</v>
      </c>
      <c r="R486" s="408">
        <v>0.58099999999999996</v>
      </c>
      <c r="S486" s="408">
        <v>22</v>
      </c>
      <c r="T486" s="408">
        <v>48</v>
      </c>
      <c r="U486" s="408">
        <v>0.45800000000000002</v>
      </c>
      <c r="V486" s="408">
        <v>62</v>
      </c>
      <c r="W486" s="408">
        <v>122</v>
      </c>
      <c r="X486" s="408">
        <v>184</v>
      </c>
      <c r="Y486" s="408">
        <v>38</v>
      </c>
      <c r="Z486" s="408">
        <v>16</v>
      </c>
      <c r="AA486" s="408">
        <v>28</v>
      </c>
      <c r="AB486" s="408">
        <v>54</v>
      </c>
      <c r="AC486" s="408">
        <v>68</v>
      </c>
      <c r="AD486" s="408">
        <v>202</v>
      </c>
    </row>
    <row r="487" spans="1:30">
      <c r="A487">
        <v>396</v>
      </c>
      <c r="B487" s="1" t="s">
        <v>583</v>
      </c>
      <c r="C487" s="1" t="s">
        <v>83</v>
      </c>
      <c r="D487" s="408">
        <v>22</v>
      </c>
      <c r="E487" s="5" t="s">
        <v>47</v>
      </c>
      <c r="F487" s="408">
        <v>70</v>
      </c>
      <c r="G487" s="408">
        <v>0</v>
      </c>
      <c r="H487" s="408">
        <v>1286</v>
      </c>
      <c r="I487" s="408">
        <v>206</v>
      </c>
      <c r="J487" s="408">
        <v>320</v>
      </c>
      <c r="K487" s="408">
        <v>0.64400000000000002</v>
      </c>
      <c r="L487" s="408">
        <v>1</v>
      </c>
      <c r="M487" s="408">
        <v>2</v>
      </c>
      <c r="N487" s="408">
        <v>0.5</v>
      </c>
      <c r="O487" s="408">
        <v>205</v>
      </c>
      <c r="P487" s="408">
        <v>318</v>
      </c>
      <c r="Q487" s="408">
        <v>0.64500000000000002</v>
      </c>
      <c r="R487" s="408">
        <v>0.64500000000000002</v>
      </c>
      <c r="S487" s="408">
        <v>53</v>
      </c>
      <c r="T487" s="408">
        <v>88</v>
      </c>
      <c r="U487" s="408">
        <v>0.60199999999999998</v>
      </c>
      <c r="V487" s="408">
        <v>138</v>
      </c>
      <c r="W487" s="408">
        <v>188</v>
      </c>
      <c r="X487" s="408">
        <v>326</v>
      </c>
      <c r="Y487" s="408">
        <v>50</v>
      </c>
      <c r="Z487" s="408">
        <v>30</v>
      </c>
      <c r="AA487" s="408">
        <v>91</v>
      </c>
      <c r="AB487" s="408">
        <v>69</v>
      </c>
      <c r="AC487" s="408">
        <v>188</v>
      </c>
      <c r="AD487" s="408">
        <v>466</v>
      </c>
    </row>
    <row r="488" spans="1:30">
      <c r="A488">
        <v>397</v>
      </c>
      <c r="B488" s="1" t="s">
        <v>66</v>
      </c>
      <c r="C488" s="1" t="s">
        <v>46</v>
      </c>
      <c r="D488" s="408">
        <v>29</v>
      </c>
      <c r="E488" s="5" t="s">
        <v>43</v>
      </c>
      <c r="F488" s="408">
        <v>23</v>
      </c>
      <c r="G488" s="408">
        <v>1</v>
      </c>
      <c r="H488" s="408">
        <v>196</v>
      </c>
      <c r="I488" s="408">
        <v>14</v>
      </c>
      <c r="J488" s="408">
        <v>49</v>
      </c>
      <c r="K488" s="408">
        <v>0.28599999999999998</v>
      </c>
      <c r="L488" s="408">
        <v>3</v>
      </c>
      <c r="M488" s="408">
        <v>22</v>
      </c>
      <c r="N488" s="408">
        <v>0.13600000000000001</v>
      </c>
      <c r="O488" s="408">
        <v>11</v>
      </c>
      <c r="P488" s="408">
        <v>27</v>
      </c>
      <c r="Q488" s="408">
        <v>0.40699999999999997</v>
      </c>
      <c r="R488" s="408">
        <v>0.316</v>
      </c>
      <c r="S488" s="408">
        <v>14</v>
      </c>
      <c r="T488" s="408">
        <v>17</v>
      </c>
      <c r="U488" s="408">
        <v>0.82399999999999995</v>
      </c>
      <c r="V488" s="408">
        <v>8</v>
      </c>
      <c r="W488" s="408">
        <v>19</v>
      </c>
      <c r="X488" s="408">
        <v>27</v>
      </c>
      <c r="Y488" s="408">
        <v>9</v>
      </c>
      <c r="Z488" s="408">
        <v>8</v>
      </c>
      <c r="AA488" s="408">
        <v>2</v>
      </c>
      <c r="AB488" s="408">
        <v>11</v>
      </c>
      <c r="AC488" s="408">
        <v>24</v>
      </c>
      <c r="AD488" s="408">
        <v>45</v>
      </c>
    </row>
    <row r="489" spans="1:30">
      <c r="A489">
        <v>398</v>
      </c>
      <c r="B489" s="1" t="s">
        <v>386</v>
      </c>
      <c r="C489" s="1" t="s">
        <v>46</v>
      </c>
      <c r="D489" s="408">
        <v>24</v>
      </c>
      <c r="E489" s="5" t="s">
        <v>27</v>
      </c>
      <c r="F489" s="408">
        <v>66</v>
      </c>
      <c r="G489" s="408">
        <v>66</v>
      </c>
      <c r="H489" s="408">
        <v>2122</v>
      </c>
      <c r="I489" s="408">
        <v>384</v>
      </c>
      <c r="J489" s="408">
        <v>770</v>
      </c>
      <c r="K489" s="408">
        <v>0.499</v>
      </c>
      <c r="L489" s="408">
        <v>114</v>
      </c>
      <c r="M489" s="408">
        <v>268</v>
      </c>
      <c r="N489" s="408">
        <v>0.42499999999999999</v>
      </c>
      <c r="O489" s="408">
        <v>270</v>
      </c>
      <c r="P489" s="408">
        <v>502</v>
      </c>
      <c r="Q489" s="408">
        <v>0.53800000000000003</v>
      </c>
      <c r="R489" s="408">
        <v>0.57299999999999995</v>
      </c>
      <c r="S489" s="408">
        <v>98</v>
      </c>
      <c r="T489" s="408">
        <v>117</v>
      </c>
      <c r="U489" s="408">
        <v>0.83799999999999997</v>
      </c>
      <c r="V489" s="408">
        <v>87</v>
      </c>
      <c r="W489" s="408">
        <v>342</v>
      </c>
      <c r="X489" s="408">
        <v>429</v>
      </c>
      <c r="Y489" s="408">
        <v>135</v>
      </c>
      <c r="Z489" s="408">
        <v>105</v>
      </c>
      <c r="AA489" s="408">
        <v>32</v>
      </c>
      <c r="AB489" s="408">
        <v>61</v>
      </c>
      <c r="AC489" s="408">
        <v>134</v>
      </c>
      <c r="AD489" s="408">
        <v>980</v>
      </c>
    </row>
    <row r="490" spans="1:30">
      <c r="A490">
        <v>399</v>
      </c>
      <c r="B490" s="1" t="s">
        <v>447</v>
      </c>
      <c r="C490" s="1" t="s">
        <v>38</v>
      </c>
      <c r="D490" s="408">
        <v>22</v>
      </c>
      <c r="E490" s="5" t="s">
        <v>43</v>
      </c>
      <c r="F490" s="408">
        <v>61</v>
      </c>
      <c r="G490" s="408">
        <v>3</v>
      </c>
      <c r="H490" s="408">
        <v>1363</v>
      </c>
      <c r="I490" s="408">
        <v>316</v>
      </c>
      <c r="J490" s="408">
        <v>673</v>
      </c>
      <c r="K490" s="408">
        <v>0.47</v>
      </c>
      <c r="L490" s="408">
        <v>66</v>
      </c>
      <c r="M490" s="408">
        <v>188</v>
      </c>
      <c r="N490" s="408">
        <v>0.35099999999999998</v>
      </c>
      <c r="O490" s="408">
        <v>250</v>
      </c>
      <c r="P490" s="408">
        <v>485</v>
      </c>
      <c r="Q490" s="408">
        <v>0.51500000000000001</v>
      </c>
      <c r="R490" s="408">
        <v>0.51900000000000002</v>
      </c>
      <c r="S490" s="408">
        <v>111</v>
      </c>
      <c r="T490" s="408">
        <v>142</v>
      </c>
      <c r="U490" s="408">
        <v>0.78200000000000003</v>
      </c>
      <c r="V490" s="408">
        <v>137</v>
      </c>
      <c r="W490" s="408">
        <v>273</v>
      </c>
      <c r="X490" s="408">
        <v>410</v>
      </c>
      <c r="Y490" s="408">
        <v>109</v>
      </c>
      <c r="Z490" s="408">
        <v>41</v>
      </c>
      <c r="AA490" s="408">
        <v>15</v>
      </c>
      <c r="AB490" s="408">
        <v>78</v>
      </c>
      <c r="AC490" s="408">
        <v>105</v>
      </c>
      <c r="AD490" s="408">
        <v>809</v>
      </c>
    </row>
    <row r="491" spans="1:30">
      <c r="A491">
        <v>400</v>
      </c>
      <c r="B491" s="1" t="s">
        <v>360</v>
      </c>
      <c r="C491" s="1" t="s">
        <v>38</v>
      </c>
      <c r="D491" s="408">
        <v>22</v>
      </c>
      <c r="E491" s="5" t="s">
        <v>21</v>
      </c>
      <c r="F491" s="408">
        <v>48</v>
      </c>
      <c r="G491" s="408">
        <v>48</v>
      </c>
      <c r="H491" s="408">
        <v>1553</v>
      </c>
      <c r="I491" s="408">
        <v>390</v>
      </c>
      <c r="J491" s="408">
        <v>889</v>
      </c>
      <c r="K491" s="408">
        <v>0.439</v>
      </c>
      <c r="L491" s="408">
        <v>90</v>
      </c>
      <c r="M491" s="408">
        <v>229</v>
      </c>
      <c r="N491" s="408">
        <v>0.39300000000000002</v>
      </c>
      <c r="O491" s="408">
        <v>300</v>
      </c>
      <c r="P491" s="408">
        <v>660</v>
      </c>
      <c r="Q491" s="408">
        <v>0.45500000000000002</v>
      </c>
      <c r="R491" s="408">
        <v>0.48899999999999999</v>
      </c>
      <c r="S491" s="408">
        <v>218</v>
      </c>
      <c r="T491" s="408">
        <v>275</v>
      </c>
      <c r="U491" s="408">
        <v>0.79300000000000004</v>
      </c>
      <c r="V491" s="408">
        <v>62</v>
      </c>
      <c r="W491" s="408">
        <v>254</v>
      </c>
      <c r="X491" s="408">
        <v>316</v>
      </c>
      <c r="Y491" s="408">
        <v>57</v>
      </c>
      <c r="Z491" s="408">
        <v>36</v>
      </c>
      <c r="AA491" s="408">
        <v>115</v>
      </c>
      <c r="AB491" s="408">
        <v>93</v>
      </c>
      <c r="AC491" s="408">
        <v>141</v>
      </c>
      <c r="AD491" s="408">
        <v>1088</v>
      </c>
    </row>
    <row r="492" spans="1:30">
      <c r="A492">
        <v>401</v>
      </c>
      <c r="B492" s="1" t="s">
        <v>526</v>
      </c>
      <c r="C492" s="1" t="s">
        <v>83</v>
      </c>
      <c r="D492" s="408">
        <v>26</v>
      </c>
      <c r="E492" s="5" t="s">
        <v>33</v>
      </c>
      <c r="F492" s="408">
        <v>69</v>
      </c>
      <c r="G492" s="408">
        <v>15</v>
      </c>
      <c r="H492" s="408">
        <v>1443</v>
      </c>
      <c r="I492" s="408">
        <v>227</v>
      </c>
      <c r="J492" s="408">
        <v>374</v>
      </c>
      <c r="K492" s="408">
        <v>0.60699999999999998</v>
      </c>
      <c r="L492" s="408">
        <v>19</v>
      </c>
      <c r="M492" s="408">
        <v>58</v>
      </c>
      <c r="N492" s="408">
        <v>0.32800000000000001</v>
      </c>
      <c r="O492" s="408">
        <v>208</v>
      </c>
      <c r="P492" s="408">
        <v>316</v>
      </c>
      <c r="Q492" s="408">
        <v>0.65800000000000003</v>
      </c>
      <c r="R492" s="408">
        <v>0.63200000000000001</v>
      </c>
      <c r="S492" s="408">
        <v>114</v>
      </c>
      <c r="T492" s="408">
        <v>160</v>
      </c>
      <c r="U492" s="408">
        <v>0.71299999999999997</v>
      </c>
      <c r="V492" s="408">
        <v>119</v>
      </c>
      <c r="W492" s="408">
        <v>265</v>
      </c>
      <c r="X492" s="408">
        <v>384</v>
      </c>
      <c r="Y492" s="408">
        <v>71</v>
      </c>
      <c r="Z492" s="408">
        <v>58</v>
      </c>
      <c r="AA492" s="408">
        <v>26</v>
      </c>
      <c r="AB492" s="408">
        <v>50</v>
      </c>
      <c r="AC492" s="408">
        <v>161</v>
      </c>
      <c r="AD492" s="408">
        <v>587</v>
      </c>
    </row>
    <row r="493" spans="1:30">
      <c r="A493">
        <v>402</v>
      </c>
      <c r="B493" s="1" t="s">
        <v>422</v>
      </c>
      <c r="C493" s="1" t="s">
        <v>26</v>
      </c>
      <c r="D493" s="408">
        <v>24</v>
      </c>
      <c r="E493" s="5" t="s">
        <v>47</v>
      </c>
      <c r="F493" s="408">
        <v>59</v>
      </c>
      <c r="G493" s="408">
        <v>17</v>
      </c>
      <c r="H493" s="408">
        <v>945</v>
      </c>
      <c r="I493" s="408">
        <v>132</v>
      </c>
      <c r="J493" s="408">
        <v>329</v>
      </c>
      <c r="K493" s="408">
        <v>0.40100000000000002</v>
      </c>
      <c r="L493" s="408">
        <v>46</v>
      </c>
      <c r="M493" s="408">
        <v>157</v>
      </c>
      <c r="N493" s="408">
        <v>0.29299999999999998</v>
      </c>
      <c r="O493" s="408">
        <v>86</v>
      </c>
      <c r="P493" s="408">
        <v>172</v>
      </c>
      <c r="Q493" s="408">
        <v>0.5</v>
      </c>
      <c r="R493" s="408">
        <v>0.47099999999999997</v>
      </c>
      <c r="S493" s="408">
        <v>32</v>
      </c>
      <c r="T493" s="408">
        <v>39</v>
      </c>
      <c r="U493" s="408">
        <v>0.82099999999999995</v>
      </c>
      <c r="V493" s="408">
        <v>11</v>
      </c>
      <c r="W493" s="408">
        <v>90</v>
      </c>
      <c r="X493" s="408">
        <v>101</v>
      </c>
      <c r="Y493" s="408">
        <v>80</v>
      </c>
      <c r="Z493" s="408">
        <v>33</v>
      </c>
      <c r="AA493" s="408">
        <v>14</v>
      </c>
      <c r="AB493" s="408">
        <v>57</v>
      </c>
      <c r="AC493" s="408">
        <v>103</v>
      </c>
      <c r="AD493" s="408">
        <v>342</v>
      </c>
    </row>
    <row r="494" spans="1:30">
      <c r="A494">
        <v>403</v>
      </c>
      <c r="B494" s="1" t="s">
        <v>634</v>
      </c>
      <c r="C494" s="1" t="s">
        <v>38</v>
      </c>
      <c r="D494" s="408">
        <v>24</v>
      </c>
      <c r="E494" s="5" t="s">
        <v>30</v>
      </c>
      <c r="F494" s="408">
        <v>24</v>
      </c>
      <c r="G494" s="408">
        <v>0</v>
      </c>
      <c r="H494" s="408">
        <v>101</v>
      </c>
      <c r="I494" s="408">
        <v>11</v>
      </c>
      <c r="J494" s="408">
        <v>25</v>
      </c>
      <c r="K494" s="408">
        <v>0.44</v>
      </c>
      <c r="L494" s="408">
        <v>4</v>
      </c>
      <c r="M494" s="408">
        <v>11</v>
      </c>
      <c r="N494" s="408">
        <v>0.36399999999999999</v>
      </c>
      <c r="O494" s="408">
        <v>7</v>
      </c>
      <c r="P494" s="408">
        <v>14</v>
      </c>
      <c r="Q494" s="408">
        <v>0.5</v>
      </c>
      <c r="R494" s="408">
        <v>0.52</v>
      </c>
      <c r="S494" s="408">
        <v>0</v>
      </c>
      <c r="T494" s="408">
        <v>0</v>
      </c>
      <c r="U494" s="408"/>
      <c r="V494" s="408">
        <v>7</v>
      </c>
      <c r="W494" s="408">
        <v>10</v>
      </c>
      <c r="X494" s="408">
        <v>17</v>
      </c>
      <c r="Y494" s="408">
        <v>2</v>
      </c>
      <c r="Z494" s="408">
        <v>3</v>
      </c>
      <c r="AA494" s="408">
        <v>1</v>
      </c>
      <c r="AB494" s="408">
        <v>2</v>
      </c>
      <c r="AC494" s="408">
        <v>16</v>
      </c>
      <c r="AD494" s="408">
        <v>26</v>
      </c>
    </row>
    <row r="495" spans="1:30">
      <c r="A495">
        <v>404</v>
      </c>
      <c r="B495" s="1" t="s">
        <v>633</v>
      </c>
      <c r="C495" s="1" t="s">
        <v>20</v>
      </c>
      <c r="D495" s="408">
        <v>28</v>
      </c>
      <c r="E495" s="5" t="s">
        <v>118</v>
      </c>
      <c r="F495" s="408">
        <v>3</v>
      </c>
      <c r="G495" s="408">
        <v>0</v>
      </c>
      <c r="H495" s="408">
        <v>6</v>
      </c>
      <c r="I495" s="408">
        <v>1</v>
      </c>
      <c r="J495" s="408">
        <v>2</v>
      </c>
      <c r="K495" s="408">
        <v>0.5</v>
      </c>
      <c r="L495" s="408">
        <v>0</v>
      </c>
      <c r="M495" s="408">
        <v>1</v>
      </c>
      <c r="N495" s="408">
        <v>0</v>
      </c>
      <c r="O495" s="408">
        <v>1</v>
      </c>
      <c r="P495" s="408">
        <v>1</v>
      </c>
      <c r="Q495" s="408">
        <v>1</v>
      </c>
      <c r="R495" s="408">
        <v>0.5</v>
      </c>
      <c r="S495" s="408">
        <v>0</v>
      </c>
      <c r="T495" s="408">
        <v>0</v>
      </c>
      <c r="U495" s="408"/>
      <c r="V495" s="408">
        <v>0</v>
      </c>
      <c r="W495" s="408">
        <v>0</v>
      </c>
      <c r="X495" s="408">
        <v>0</v>
      </c>
      <c r="Y495" s="408">
        <v>0</v>
      </c>
      <c r="Z495" s="408">
        <v>0</v>
      </c>
      <c r="AA495" s="408">
        <v>0</v>
      </c>
      <c r="AB495" s="408">
        <v>1</v>
      </c>
      <c r="AC495" s="408">
        <v>0</v>
      </c>
      <c r="AD495" s="408">
        <v>2</v>
      </c>
    </row>
    <row r="496" spans="1:30">
      <c r="A496">
        <v>405</v>
      </c>
      <c r="B496" s="1" t="s">
        <v>1163</v>
      </c>
      <c r="C496" s="1" t="s">
        <v>26</v>
      </c>
      <c r="D496" s="408">
        <v>23</v>
      </c>
      <c r="E496" s="5" t="s">
        <v>75</v>
      </c>
      <c r="F496" s="408">
        <v>5</v>
      </c>
      <c r="G496" s="408">
        <v>0</v>
      </c>
      <c r="H496" s="408">
        <v>57</v>
      </c>
      <c r="I496" s="408">
        <v>6</v>
      </c>
      <c r="J496" s="408">
        <v>16</v>
      </c>
      <c r="K496" s="408">
        <v>0.375</v>
      </c>
      <c r="L496" s="408">
        <v>2</v>
      </c>
      <c r="M496" s="408">
        <v>10</v>
      </c>
      <c r="N496" s="408">
        <v>0.2</v>
      </c>
      <c r="O496" s="408">
        <v>4</v>
      </c>
      <c r="P496" s="408">
        <v>6</v>
      </c>
      <c r="Q496" s="408">
        <v>0.66700000000000004</v>
      </c>
      <c r="R496" s="408">
        <v>0.438</v>
      </c>
      <c r="S496" s="408">
        <v>5</v>
      </c>
      <c r="T496" s="408">
        <v>5</v>
      </c>
      <c r="U496" s="408">
        <v>1</v>
      </c>
      <c r="V496" s="408">
        <v>0</v>
      </c>
      <c r="W496" s="408">
        <v>3</v>
      </c>
      <c r="X496" s="408">
        <v>3</v>
      </c>
      <c r="Y496" s="408">
        <v>1</v>
      </c>
      <c r="Z496" s="408">
        <v>1</v>
      </c>
      <c r="AA496" s="408">
        <v>2</v>
      </c>
      <c r="AB496" s="408">
        <v>5</v>
      </c>
      <c r="AC496" s="408">
        <v>6</v>
      </c>
      <c r="AD496" s="408">
        <v>19</v>
      </c>
    </row>
    <row r="497" spans="1:30">
      <c r="A497">
        <v>406</v>
      </c>
      <c r="B497" s="1" t="s">
        <v>521</v>
      </c>
      <c r="C497" s="1" t="s">
        <v>83</v>
      </c>
      <c r="D497" s="408">
        <v>22</v>
      </c>
      <c r="E497" s="5" t="s">
        <v>92</v>
      </c>
      <c r="F497" s="408">
        <v>14</v>
      </c>
      <c r="G497" s="408">
        <v>0</v>
      </c>
      <c r="H497" s="408">
        <v>75</v>
      </c>
      <c r="I497" s="408">
        <v>4</v>
      </c>
      <c r="J497" s="408">
        <v>24</v>
      </c>
      <c r="K497" s="408">
        <v>0.16700000000000001</v>
      </c>
      <c r="L497" s="408">
        <v>2</v>
      </c>
      <c r="M497" s="408">
        <v>15</v>
      </c>
      <c r="N497" s="408">
        <v>0.13300000000000001</v>
      </c>
      <c r="O497" s="408">
        <v>2</v>
      </c>
      <c r="P497" s="408">
        <v>9</v>
      </c>
      <c r="Q497" s="408">
        <v>0.222</v>
      </c>
      <c r="R497" s="408">
        <v>0.20799999999999999</v>
      </c>
      <c r="S497" s="408">
        <v>7</v>
      </c>
      <c r="T497" s="408">
        <v>10</v>
      </c>
      <c r="U497" s="408">
        <v>0.7</v>
      </c>
      <c r="V497" s="408">
        <v>2</v>
      </c>
      <c r="W497" s="408">
        <v>11</v>
      </c>
      <c r="X497" s="408">
        <v>13</v>
      </c>
      <c r="Y497" s="408">
        <v>1</v>
      </c>
      <c r="Z497" s="408">
        <v>2</v>
      </c>
      <c r="AA497" s="408">
        <v>6</v>
      </c>
      <c r="AB497" s="408">
        <v>5</v>
      </c>
      <c r="AC497" s="408">
        <v>12</v>
      </c>
      <c r="AD497" s="408">
        <v>17</v>
      </c>
    </row>
    <row r="498" spans="1:30">
      <c r="A498">
        <v>407</v>
      </c>
      <c r="B498" s="1" t="s">
        <v>630</v>
      </c>
      <c r="C498" s="1" t="s">
        <v>38</v>
      </c>
      <c r="D498" s="408">
        <v>20</v>
      </c>
      <c r="E498" s="5" t="s">
        <v>128</v>
      </c>
      <c r="F498" s="408">
        <v>28</v>
      </c>
      <c r="G498" s="408">
        <v>1</v>
      </c>
      <c r="H498" s="408">
        <v>331</v>
      </c>
      <c r="I498" s="408">
        <v>56</v>
      </c>
      <c r="J498" s="408">
        <v>94</v>
      </c>
      <c r="K498" s="408">
        <v>0.59599999999999997</v>
      </c>
      <c r="L498" s="408">
        <v>0</v>
      </c>
      <c r="M498" s="408">
        <v>0</v>
      </c>
      <c r="N498" s="408"/>
      <c r="O498" s="408">
        <v>56</v>
      </c>
      <c r="P498" s="408">
        <v>94</v>
      </c>
      <c r="Q498" s="408">
        <v>0.59599999999999997</v>
      </c>
      <c r="R498" s="408">
        <v>0.59599999999999997</v>
      </c>
      <c r="S498" s="408">
        <v>17</v>
      </c>
      <c r="T498" s="408">
        <v>22</v>
      </c>
      <c r="U498" s="408">
        <v>0.77300000000000002</v>
      </c>
      <c r="V498" s="408">
        <v>35</v>
      </c>
      <c r="W498" s="408">
        <v>61</v>
      </c>
      <c r="X498" s="408">
        <v>96</v>
      </c>
      <c r="Y498" s="408">
        <v>22</v>
      </c>
      <c r="Z498" s="408">
        <v>8</v>
      </c>
      <c r="AA498" s="408">
        <v>6</v>
      </c>
      <c r="AB498" s="408">
        <v>26</v>
      </c>
      <c r="AC498" s="408">
        <v>36</v>
      </c>
      <c r="AD498" s="408">
        <v>129</v>
      </c>
    </row>
    <row r="499" spans="1:30">
      <c r="A499">
        <v>408</v>
      </c>
      <c r="B499" s="1" t="s">
        <v>221</v>
      </c>
      <c r="C499" s="1" t="s">
        <v>83</v>
      </c>
      <c r="D499" s="408">
        <v>23</v>
      </c>
      <c r="E499" s="5" t="s">
        <v>78</v>
      </c>
      <c r="F499" s="408">
        <v>70</v>
      </c>
      <c r="G499" s="408">
        <v>37</v>
      </c>
      <c r="H499" s="408">
        <v>1836</v>
      </c>
      <c r="I499" s="408">
        <v>435</v>
      </c>
      <c r="J499" s="408">
        <v>768</v>
      </c>
      <c r="K499" s="408">
        <v>0.56599999999999995</v>
      </c>
      <c r="L499" s="408">
        <v>9</v>
      </c>
      <c r="M499" s="408">
        <v>42</v>
      </c>
      <c r="N499" s="408">
        <v>0.214</v>
      </c>
      <c r="O499" s="408">
        <v>426</v>
      </c>
      <c r="P499" s="408">
        <v>726</v>
      </c>
      <c r="Q499" s="408">
        <v>0.58699999999999997</v>
      </c>
      <c r="R499" s="408">
        <v>0.57199999999999995</v>
      </c>
      <c r="S499" s="408">
        <v>237</v>
      </c>
      <c r="T499" s="408">
        <v>338</v>
      </c>
      <c r="U499" s="408">
        <v>0.70099999999999996</v>
      </c>
      <c r="V499" s="408">
        <v>155</v>
      </c>
      <c r="W499" s="408">
        <v>395</v>
      </c>
      <c r="X499" s="408">
        <v>550</v>
      </c>
      <c r="Y499" s="408">
        <v>177</v>
      </c>
      <c r="Z499" s="408">
        <v>38</v>
      </c>
      <c r="AA499" s="408">
        <v>42</v>
      </c>
      <c r="AB499" s="408">
        <v>175</v>
      </c>
      <c r="AC499" s="408">
        <v>233</v>
      </c>
      <c r="AD499" s="408">
        <v>1116</v>
      </c>
    </row>
    <row r="500" spans="1:30">
      <c r="A500">
        <v>409</v>
      </c>
      <c r="B500" s="1" t="s">
        <v>469</v>
      </c>
      <c r="C500" s="1" t="s">
        <v>38</v>
      </c>
      <c r="D500" s="408">
        <v>36</v>
      </c>
      <c r="E500" s="5" t="s">
        <v>100</v>
      </c>
      <c r="F500" s="408">
        <v>59</v>
      </c>
      <c r="G500" s="408">
        <v>57</v>
      </c>
      <c r="H500" s="408">
        <v>1508</v>
      </c>
      <c r="I500" s="408">
        <v>361</v>
      </c>
      <c r="J500" s="408">
        <v>763</v>
      </c>
      <c r="K500" s="408">
        <v>0.47299999999999998</v>
      </c>
      <c r="L500" s="408">
        <v>51</v>
      </c>
      <c r="M500" s="408">
        <v>147</v>
      </c>
      <c r="N500" s="408">
        <v>0.34699999999999998</v>
      </c>
      <c r="O500" s="408">
        <v>310</v>
      </c>
      <c r="P500" s="408">
        <v>616</v>
      </c>
      <c r="Q500" s="408">
        <v>0.503</v>
      </c>
      <c r="R500" s="408">
        <v>0.50700000000000001</v>
      </c>
      <c r="S500" s="408">
        <v>84</v>
      </c>
      <c r="T500" s="408">
        <v>107</v>
      </c>
      <c r="U500" s="408">
        <v>0.78500000000000003</v>
      </c>
      <c r="V500" s="408">
        <v>97</v>
      </c>
      <c r="W500" s="408">
        <v>300</v>
      </c>
      <c r="X500" s="408">
        <v>397</v>
      </c>
      <c r="Y500" s="408">
        <v>127</v>
      </c>
      <c r="Z500" s="408">
        <v>42</v>
      </c>
      <c r="AA500" s="408">
        <v>10</v>
      </c>
      <c r="AB500" s="408">
        <v>116</v>
      </c>
      <c r="AC500" s="408">
        <v>119</v>
      </c>
      <c r="AD500" s="408">
        <v>857</v>
      </c>
    </row>
    <row r="501" spans="1:30">
      <c r="A501">
        <v>410</v>
      </c>
      <c r="B501" s="1" t="s">
        <v>1091</v>
      </c>
      <c r="C501" s="1" t="s">
        <v>26</v>
      </c>
      <c r="D501" s="408">
        <v>23</v>
      </c>
      <c r="E501" s="5" t="s">
        <v>128</v>
      </c>
      <c r="F501" s="408">
        <v>5</v>
      </c>
      <c r="G501" s="408">
        <v>0</v>
      </c>
      <c r="H501" s="408">
        <v>118</v>
      </c>
      <c r="I501" s="408">
        <v>12</v>
      </c>
      <c r="J501" s="408">
        <v>42</v>
      </c>
      <c r="K501" s="408">
        <v>0.28599999999999998</v>
      </c>
      <c r="L501" s="408">
        <v>1</v>
      </c>
      <c r="M501" s="408">
        <v>14</v>
      </c>
      <c r="N501" s="408">
        <v>7.0999999999999994E-2</v>
      </c>
      <c r="O501" s="408">
        <v>11</v>
      </c>
      <c r="P501" s="408">
        <v>28</v>
      </c>
      <c r="Q501" s="408">
        <v>0.39300000000000002</v>
      </c>
      <c r="R501" s="408">
        <v>0.29799999999999999</v>
      </c>
      <c r="S501" s="408">
        <v>4</v>
      </c>
      <c r="T501" s="408">
        <v>9</v>
      </c>
      <c r="U501" s="408">
        <v>0.44400000000000001</v>
      </c>
      <c r="V501" s="408">
        <v>0</v>
      </c>
      <c r="W501" s="408">
        <v>5</v>
      </c>
      <c r="X501" s="408">
        <v>5</v>
      </c>
      <c r="Y501" s="408">
        <v>18</v>
      </c>
      <c r="Z501" s="408">
        <v>6</v>
      </c>
      <c r="AA501" s="408">
        <v>3</v>
      </c>
      <c r="AB501" s="408">
        <v>11</v>
      </c>
      <c r="AC501" s="408">
        <v>18</v>
      </c>
      <c r="AD501" s="408">
        <v>29</v>
      </c>
    </row>
    <row r="502" spans="1:30">
      <c r="A502">
        <v>411</v>
      </c>
      <c r="B502" s="1" t="s">
        <v>238</v>
      </c>
      <c r="C502" s="1" t="s">
        <v>26</v>
      </c>
      <c r="D502" s="408">
        <v>33</v>
      </c>
      <c r="E502" s="5" t="s">
        <v>118</v>
      </c>
      <c r="F502" s="408">
        <v>58</v>
      </c>
      <c r="G502" s="408">
        <v>58</v>
      </c>
      <c r="H502" s="408">
        <v>1800</v>
      </c>
      <c r="I502" s="408">
        <v>322</v>
      </c>
      <c r="J502" s="408">
        <v>716</v>
      </c>
      <c r="K502" s="408">
        <v>0.45</v>
      </c>
      <c r="L502" s="408">
        <v>156</v>
      </c>
      <c r="M502" s="408">
        <v>379</v>
      </c>
      <c r="N502" s="408">
        <v>0.41199999999999998</v>
      </c>
      <c r="O502" s="408">
        <v>166</v>
      </c>
      <c r="P502" s="408">
        <v>337</v>
      </c>
      <c r="Q502" s="408">
        <v>0.49299999999999999</v>
      </c>
      <c r="R502" s="408">
        <v>0.55900000000000005</v>
      </c>
      <c r="S502" s="408">
        <v>166</v>
      </c>
      <c r="T502" s="408">
        <v>183</v>
      </c>
      <c r="U502" s="408">
        <v>0.90700000000000003</v>
      </c>
      <c r="V502" s="408">
        <v>9</v>
      </c>
      <c r="W502" s="408">
        <v>142</v>
      </c>
      <c r="X502" s="408">
        <v>151</v>
      </c>
      <c r="Y502" s="408">
        <v>176</v>
      </c>
      <c r="Z502" s="408">
        <v>32</v>
      </c>
      <c r="AA502" s="408">
        <v>5</v>
      </c>
      <c r="AB502" s="408">
        <v>87</v>
      </c>
      <c r="AC502" s="408">
        <v>111</v>
      </c>
      <c r="AD502" s="408">
        <v>966</v>
      </c>
    </row>
    <row r="503" spans="1:30">
      <c r="A503">
        <v>412</v>
      </c>
      <c r="B503" s="1" t="s">
        <v>673</v>
      </c>
      <c r="C503" s="1" t="s">
        <v>26</v>
      </c>
      <c r="D503" s="408">
        <v>22</v>
      </c>
      <c r="E503" s="5" t="s">
        <v>313</v>
      </c>
      <c r="F503" s="408">
        <v>12</v>
      </c>
      <c r="G503" s="408">
        <v>0</v>
      </c>
      <c r="H503" s="408">
        <v>111</v>
      </c>
      <c r="I503" s="408">
        <v>12</v>
      </c>
      <c r="J503" s="408">
        <v>37</v>
      </c>
      <c r="K503" s="408">
        <v>0.32400000000000001</v>
      </c>
      <c r="L503" s="408">
        <v>6</v>
      </c>
      <c r="M503" s="408">
        <v>16</v>
      </c>
      <c r="N503" s="408">
        <v>0.375</v>
      </c>
      <c r="O503" s="408">
        <v>6</v>
      </c>
      <c r="P503" s="408">
        <v>21</v>
      </c>
      <c r="Q503" s="408">
        <v>0.28599999999999998</v>
      </c>
      <c r="R503" s="408">
        <v>0.40500000000000003</v>
      </c>
      <c r="S503" s="408">
        <v>3</v>
      </c>
      <c r="T503" s="408">
        <v>4</v>
      </c>
      <c r="U503" s="408">
        <v>0.75</v>
      </c>
      <c r="V503" s="408">
        <v>1</v>
      </c>
      <c r="W503" s="408">
        <v>18</v>
      </c>
      <c r="X503" s="408">
        <v>19</v>
      </c>
      <c r="Y503" s="408">
        <v>7</v>
      </c>
      <c r="Z503" s="408">
        <v>3</v>
      </c>
      <c r="AA503" s="408">
        <v>1</v>
      </c>
      <c r="AB503" s="408">
        <v>3</v>
      </c>
      <c r="AC503" s="408">
        <v>9</v>
      </c>
      <c r="AD503" s="408">
        <v>33</v>
      </c>
    </row>
    <row r="504" spans="1:30">
      <c r="A504">
        <v>413</v>
      </c>
      <c r="B504" s="1" t="s">
        <v>134</v>
      </c>
      <c r="C504" s="1" t="s">
        <v>83</v>
      </c>
      <c r="D504" s="408">
        <v>27</v>
      </c>
      <c r="E504" s="5" t="s">
        <v>357</v>
      </c>
      <c r="F504" s="408">
        <v>42</v>
      </c>
      <c r="G504" s="408">
        <v>5</v>
      </c>
      <c r="H504" s="408">
        <v>428</v>
      </c>
      <c r="I504" s="408">
        <v>81</v>
      </c>
      <c r="J504" s="408">
        <v>121</v>
      </c>
      <c r="K504" s="408">
        <v>0.66900000000000004</v>
      </c>
      <c r="L504" s="408">
        <v>1</v>
      </c>
      <c r="M504" s="408">
        <v>2</v>
      </c>
      <c r="N504" s="408">
        <v>0.5</v>
      </c>
      <c r="O504" s="408">
        <v>80</v>
      </c>
      <c r="P504" s="408">
        <v>119</v>
      </c>
      <c r="Q504" s="408">
        <v>0.67200000000000004</v>
      </c>
      <c r="R504" s="408">
        <v>0.67400000000000004</v>
      </c>
      <c r="S504" s="408">
        <v>32</v>
      </c>
      <c r="T504" s="408">
        <v>55</v>
      </c>
      <c r="U504" s="408">
        <v>0.58199999999999996</v>
      </c>
      <c r="V504" s="408">
        <v>35</v>
      </c>
      <c r="W504" s="408">
        <v>86</v>
      </c>
      <c r="X504" s="408">
        <v>121</v>
      </c>
      <c r="Y504" s="408">
        <v>10</v>
      </c>
      <c r="Z504" s="408">
        <v>9</v>
      </c>
      <c r="AA504" s="408">
        <v>22</v>
      </c>
      <c r="AB504" s="408">
        <v>19</v>
      </c>
      <c r="AC504" s="408">
        <v>56</v>
      </c>
      <c r="AD504" s="408">
        <v>195</v>
      </c>
    </row>
    <row r="505" spans="1:30">
      <c r="A505">
        <v>413</v>
      </c>
      <c r="B505" s="1" t="s">
        <v>134</v>
      </c>
      <c r="C505" s="1" t="s">
        <v>83</v>
      </c>
      <c r="D505" s="408">
        <v>27</v>
      </c>
      <c r="E505" s="5" t="s">
        <v>64</v>
      </c>
      <c r="F505" s="408">
        <v>39</v>
      </c>
      <c r="G505" s="408">
        <v>5</v>
      </c>
      <c r="H505" s="408">
        <v>419</v>
      </c>
      <c r="I505" s="408">
        <v>80</v>
      </c>
      <c r="J505" s="408">
        <v>120</v>
      </c>
      <c r="K505" s="408">
        <v>0.66700000000000004</v>
      </c>
      <c r="L505" s="408">
        <v>1</v>
      </c>
      <c r="M505" s="408">
        <v>2</v>
      </c>
      <c r="N505" s="408">
        <v>0.5</v>
      </c>
      <c r="O505" s="408">
        <v>79</v>
      </c>
      <c r="P505" s="408">
        <v>118</v>
      </c>
      <c r="Q505" s="408">
        <v>0.66900000000000004</v>
      </c>
      <c r="R505" s="408">
        <v>0.67100000000000004</v>
      </c>
      <c r="S505" s="408">
        <v>32</v>
      </c>
      <c r="T505" s="408">
        <v>55</v>
      </c>
      <c r="U505" s="408">
        <v>0.58199999999999996</v>
      </c>
      <c r="V505" s="408">
        <v>35</v>
      </c>
      <c r="W505" s="408">
        <v>85</v>
      </c>
      <c r="X505" s="408">
        <v>120</v>
      </c>
      <c r="Y505" s="408">
        <v>9</v>
      </c>
      <c r="Z505" s="408">
        <v>9</v>
      </c>
      <c r="AA505" s="408">
        <v>22</v>
      </c>
      <c r="AB505" s="408">
        <v>19</v>
      </c>
      <c r="AC505" s="408">
        <v>53</v>
      </c>
      <c r="AD505" s="408">
        <v>193</v>
      </c>
    </row>
    <row r="506" spans="1:30">
      <c r="A506">
        <v>413</v>
      </c>
      <c r="B506" s="1" t="s">
        <v>134</v>
      </c>
      <c r="C506" s="1" t="s">
        <v>83</v>
      </c>
      <c r="D506" s="408">
        <v>27</v>
      </c>
      <c r="E506" s="5" t="s">
        <v>157</v>
      </c>
      <c r="F506" s="408">
        <v>3</v>
      </c>
      <c r="G506" s="408">
        <v>0</v>
      </c>
      <c r="H506" s="408">
        <v>9</v>
      </c>
      <c r="I506" s="408">
        <v>1</v>
      </c>
      <c r="J506" s="408">
        <v>1</v>
      </c>
      <c r="K506" s="408">
        <v>1</v>
      </c>
      <c r="L506" s="408">
        <v>0</v>
      </c>
      <c r="M506" s="408">
        <v>0</v>
      </c>
      <c r="N506" s="408"/>
      <c r="O506" s="408">
        <v>1</v>
      </c>
      <c r="P506" s="408">
        <v>1</v>
      </c>
      <c r="Q506" s="408">
        <v>1</v>
      </c>
      <c r="R506" s="408">
        <v>1</v>
      </c>
      <c r="S506" s="408">
        <v>0</v>
      </c>
      <c r="T506" s="408">
        <v>0</v>
      </c>
      <c r="U506" s="408"/>
      <c r="V506" s="408">
        <v>0</v>
      </c>
      <c r="W506" s="408">
        <v>1</v>
      </c>
      <c r="X506" s="408">
        <v>1</v>
      </c>
      <c r="Y506" s="408">
        <v>1</v>
      </c>
      <c r="Z506" s="408">
        <v>0</v>
      </c>
      <c r="AA506" s="408">
        <v>0</v>
      </c>
      <c r="AB506" s="408">
        <v>0</v>
      </c>
      <c r="AC506" s="408">
        <v>3</v>
      </c>
      <c r="AD506" s="408">
        <v>2</v>
      </c>
    </row>
    <row r="507" spans="1:30">
      <c r="A507">
        <v>414</v>
      </c>
      <c r="B507" s="1" t="s">
        <v>364</v>
      </c>
      <c r="C507" s="1" t="s">
        <v>46</v>
      </c>
      <c r="D507" s="408">
        <v>24</v>
      </c>
      <c r="E507" s="5" t="s">
        <v>50</v>
      </c>
      <c r="F507" s="408">
        <v>70</v>
      </c>
      <c r="G507" s="408">
        <v>70</v>
      </c>
      <c r="H507" s="408">
        <v>2335</v>
      </c>
      <c r="I507" s="408">
        <v>348</v>
      </c>
      <c r="J507" s="408">
        <v>767</v>
      </c>
      <c r="K507" s="408">
        <v>0.45400000000000001</v>
      </c>
      <c r="L507" s="408">
        <v>118</v>
      </c>
      <c r="M507" s="408">
        <v>302</v>
      </c>
      <c r="N507" s="408">
        <v>0.39100000000000001</v>
      </c>
      <c r="O507" s="408">
        <v>230</v>
      </c>
      <c r="P507" s="408">
        <v>465</v>
      </c>
      <c r="Q507" s="408">
        <v>0.495</v>
      </c>
      <c r="R507" s="408">
        <v>0.53100000000000003</v>
      </c>
      <c r="S507" s="408">
        <v>101</v>
      </c>
      <c r="T507" s="408">
        <v>122</v>
      </c>
      <c r="U507" s="408">
        <v>0.82799999999999996</v>
      </c>
      <c r="V507" s="408">
        <v>62</v>
      </c>
      <c r="W507" s="408">
        <v>177</v>
      </c>
      <c r="X507" s="408">
        <v>239</v>
      </c>
      <c r="Y507" s="408">
        <v>196</v>
      </c>
      <c r="Z507" s="408">
        <v>105</v>
      </c>
      <c r="AA507" s="408">
        <v>63</v>
      </c>
      <c r="AB507" s="408">
        <v>129</v>
      </c>
      <c r="AC507" s="408">
        <v>181</v>
      </c>
      <c r="AD507" s="408">
        <v>915</v>
      </c>
    </row>
    <row r="508" spans="1:30">
      <c r="A508">
        <v>415</v>
      </c>
      <c r="B508" s="1" t="s">
        <v>500</v>
      </c>
      <c r="C508" s="1" t="s">
        <v>26</v>
      </c>
      <c r="D508" s="408">
        <v>22</v>
      </c>
      <c r="E508" s="5" t="s">
        <v>357</v>
      </c>
      <c r="F508" s="408">
        <v>26</v>
      </c>
      <c r="G508" s="408">
        <v>4</v>
      </c>
      <c r="H508" s="408">
        <v>324</v>
      </c>
      <c r="I508" s="408">
        <v>30</v>
      </c>
      <c r="J508" s="408">
        <v>90</v>
      </c>
      <c r="K508" s="408">
        <v>0.33300000000000002</v>
      </c>
      <c r="L508" s="408">
        <v>12</v>
      </c>
      <c r="M508" s="408">
        <v>40</v>
      </c>
      <c r="N508" s="408">
        <v>0.3</v>
      </c>
      <c r="O508" s="408">
        <v>18</v>
      </c>
      <c r="P508" s="408">
        <v>50</v>
      </c>
      <c r="Q508" s="408">
        <v>0.36</v>
      </c>
      <c r="R508" s="408">
        <v>0.4</v>
      </c>
      <c r="S508" s="408">
        <v>17</v>
      </c>
      <c r="T508" s="408">
        <v>22</v>
      </c>
      <c r="U508" s="408">
        <v>0.77300000000000002</v>
      </c>
      <c r="V508" s="408">
        <v>5</v>
      </c>
      <c r="W508" s="408">
        <v>29</v>
      </c>
      <c r="X508" s="408">
        <v>34</v>
      </c>
      <c r="Y508" s="408">
        <v>13</v>
      </c>
      <c r="Z508" s="408">
        <v>10</v>
      </c>
      <c r="AA508" s="408">
        <v>1</v>
      </c>
      <c r="AB508" s="408">
        <v>10</v>
      </c>
      <c r="AC508" s="408">
        <v>27</v>
      </c>
      <c r="AD508" s="408">
        <v>89</v>
      </c>
    </row>
    <row r="509" spans="1:30">
      <c r="A509">
        <v>415</v>
      </c>
      <c r="B509" s="1" t="s">
        <v>500</v>
      </c>
      <c r="C509" s="1" t="s">
        <v>26</v>
      </c>
      <c r="D509" s="408">
        <v>22</v>
      </c>
      <c r="E509" s="5" t="s">
        <v>100</v>
      </c>
      <c r="F509" s="408">
        <v>25</v>
      </c>
      <c r="G509" s="408">
        <v>4</v>
      </c>
      <c r="H509" s="408">
        <v>319</v>
      </c>
      <c r="I509" s="408">
        <v>29</v>
      </c>
      <c r="J509" s="408">
        <v>88</v>
      </c>
      <c r="K509" s="408">
        <v>0.33</v>
      </c>
      <c r="L509" s="408">
        <v>12</v>
      </c>
      <c r="M509" s="408">
        <v>39</v>
      </c>
      <c r="N509" s="408">
        <v>0.308</v>
      </c>
      <c r="O509" s="408">
        <v>17</v>
      </c>
      <c r="P509" s="408">
        <v>49</v>
      </c>
      <c r="Q509" s="408">
        <v>0.34699999999999998</v>
      </c>
      <c r="R509" s="408">
        <v>0.39800000000000002</v>
      </c>
      <c r="S509" s="408">
        <v>17</v>
      </c>
      <c r="T509" s="408">
        <v>22</v>
      </c>
      <c r="U509" s="408">
        <v>0.77300000000000002</v>
      </c>
      <c r="V509" s="408">
        <v>5</v>
      </c>
      <c r="W509" s="408">
        <v>28</v>
      </c>
      <c r="X509" s="408">
        <v>33</v>
      </c>
      <c r="Y509" s="408">
        <v>13</v>
      </c>
      <c r="Z509" s="408">
        <v>10</v>
      </c>
      <c r="AA509" s="408">
        <v>1</v>
      </c>
      <c r="AB509" s="408">
        <v>10</v>
      </c>
      <c r="AC509" s="408">
        <v>27</v>
      </c>
      <c r="AD509" s="408">
        <v>87</v>
      </c>
    </row>
    <row r="510" spans="1:30">
      <c r="A510">
        <v>415</v>
      </c>
      <c r="B510" s="1" t="s">
        <v>500</v>
      </c>
      <c r="C510" s="1" t="s">
        <v>26</v>
      </c>
      <c r="D510" s="408">
        <v>22</v>
      </c>
      <c r="E510" s="5" t="s">
        <v>47</v>
      </c>
      <c r="F510" s="408">
        <v>1</v>
      </c>
      <c r="G510" s="408">
        <v>0</v>
      </c>
      <c r="H510" s="408">
        <v>5</v>
      </c>
      <c r="I510" s="408">
        <v>1</v>
      </c>
      <c r="J510" s="408">
        <v>2</v>
      </c>
      <c r="K510" s="408">
        <v>0.5</v>
      </c>
      <c r="L510" s="408">
        <v>0</v>
      </c>
      <c r="M510" s="408">
        <v>1</v>
      </c>
      <c r="N510" s="408">
        <v>0</v>
      </c>
      <c r="O510" s="408">
        <v>1</v>
      </c>
      <c r="P510" s="408">
        <v>1</v>
      </c>
      <c r="Q510" s="408">
        <v>1</v>
      </c>
      <c r="R510" s="408">
        <v>0.5</v>
      </c>
      <c r="S510" s="408">
        <v>0</v>
      </c>
      <c r="T510" s="408">
        <v>0</v>
      </c>
      <c r="U510" s="408"/>
      <c r="V510" s="408">
        <v>0</v>
      </c>
      <c r="W510" s="408">
        <v>1</v>
      </c>
      <c r="X510" s="408">
        <v>1</v>
      </c>
      <c r="Y510" s="408">
        <v>0</v>
      </c>
      <c r="Z510" s="408">
        <v>0</v>
      </c>
      <c r="AA510" s="408">
        <v>0</v>
      </c>
      <c r="AB510" s="408">
        <v>0</v>
      </c>
      <c r="AC510" s="408">
        <v>0</v>
      </c>
      <c r="AD510" s="408">
        <v>2</v>
      </c>
    </row>
    <row r="511" spans="1:30">
      <c r="A511">
        <v>416</v>
      </c>
      <c r="B511" s="1" t="s">
        <v>324</v>
      </c>
      <c r="C511" s="1" t="s">
        <v>26</v>
      </c>
      <c r="D511" s="408">
        <v>25</v>
      </c>
      <c r="E511" s="5" t="s">
        <v>64</v>
      </c>
      <c r="F511" s="408">
        <v>49</v>
      </c>
      <c r="G511" s="408">
        <v>47</v>
      </c>
      <c r="H511" s="408">
        <v>1647</v>
      </c>
      <c r="I511" s="408">
        <v>286</v>
      </c>
      <c r="J511" s="408">
        <v>655</v>
      </c>
      <c r="K511" s="408">
        <v>0.437</v>
      </c>
      <c r="L511" s="408">
        <v>113</v>
      </c>
      <c r="M511" s="408">
        <v>294</v>
      </c>
      <c r="N511" s="408">
        <v>0.38400000000000001</v>
      </c>
      <c r="O511" s="408">
        <v>173</v>
      </c>
      <c r="P511" s="408">
        <v>361</v>
      </c>
      <c r="Q511" s="408">
        <v>0.47899999999999998</v>
      </c>
      <c r="R511" s="408">
        <v>0.52300000000000002</v>
      </c>
      <c r="S511" s="408">
        <v>81</v>
      </c>
      <c r="T511" s="408">
        <v>125</v>
      </c>
      <c r="U511" s="408">
        <v>0.64800000000000002</v>
      </c>
      <c r="V511" s="408">
        <v>22</v>
      </c>
      <c r="W511" s="408">
        <v>104</v>
      </c>
      <c r="X511" s="408">
        <v>126</v>
      </c>
      <c r="Y511" s="408">
        <v>183</v>
      </c>
      <c r="Z511" s="408">
        <v>56</v>
      </c>
      <c r="AA511" s="408">
        <v>13</v>
      </c>
      <c r="AB511" s="408">
        <v>89</v>
      </c>
      <c r="AC511" s="408">
        <v>124</v>
      </c>
      <c r="AD511" s="408">
        <v>766</v>
      </c>
    </row>
    <row r="512" spans="1:30">
      <c r="A512">
        <v>417</v>
      </c>
      <c r="B512" s="1" t="s">
        <v>531</v>
      </c>
      <c r="C512" s="1" t="s">
        <v>26</v>
      </c>
      <c r="D512" s="408">
        <v>26</v>
      </c>
      <c r="E512" s="5" t="s">
        <v>58</v>
      </c>
      <c r="F512" s="408">
        <v>39</v>
      </c>
      <c r="G512" s="408">
        <v>39</v>
      </c>
      <c r="H512" s="408">
        <v>1037</v>
      </c>
      <c r="I512" s="408">
        <v>87</v>
      </c>
      <c r="J512" s="408">
        <v>162</v>
      </c>
      <c r="K512" s="408">
        <v>0.53700000000000003</v>
      </c>
      <c r="L512" s="408">
        <v>8</v>
      </c>
      <c r="M512" s="408">
        <v>36</v>
      </c>
      <c r="N512" s="408">
        <v>0.222</v>
      </c>
      <c r="O512" s="408">
        <v>79</v>
      </c>
      <c r="P512" s="408">
        <v>126</v>
      </c>
      <c r="Q512" s="408">
        <v>0.627</v>
      </c>
      <c r="R512" s="408">
        <v>0.56200000000000006</v>
      </c>
      <c r="S512" s="408">
        <v>12</v>
      </c>
      <c r="T512" s="408">
        <v>38</v>
      </c>
      <c r="U512" s="408">
        <v>0.316</v>
      </c>
      <c r="V512" s="408">
        <v>75</v>
      </c>
      <c r="W512" s="408">
        <v>110</v>
      </c>
      <c r="X512" s="408">
        <v>185</v>
      </c>
      <c r="Y512" s="408">
        <v>46</v>
      </c>
      <c r="Z512" s="408">
        <v>45</v>
      </c>
      <c r="AA512" s="408">
        <v>35</v>
      </c>
      <c r="AB512" s="408">
        <v>30</v>
      </c>
      <c r="AC512" s="408">
        <v>89</v>
      </c>
      <c r="AD512" s="408">
        <v>194</v>
      </c>
    </row>
    <row r="513" spans="1:30">
      <c r="A513">
        <v>418</v>
      </c>
      <c r="B513" s="1" t="s">
        <v>712</v>
      </c>
      <c r="C513" s="1" t="s">
        <v>46</v>
      </c>
      <c r="D513" s="408">
        <v>24</v>
      </c>
      <c r="E513" s="5" t="s">
        <v>30</v>
      </c>
      <c r="F513" s="408">
        <v>12</v>
      </c>
      <c r="G513" s="408">
        <v>0</v>
      </c>
      <c r="H513" s="408">
        <v>165</v>
      </c>
      <c r="I513" s="408">
        <v>15</v>
      </c>
      <c r="J513" s="408">
        <v>40</v>
      </c>
      <c r="K513" s="408">
        <v>0.375</v>
      </c>
      <c r="L513" s="408">
        <v>2</v>
      </c>
      <c r="M513" s="408">
        <v>12</v>
      </c>
      <c r="N513" s="408">
        <v>0.16700000000000001</v>
      </c>
      <c r="O513" s="408">
        <v>13</v>
      </c>
      <c r="P513" s="408">
        <v>28</v>
      </c>
      <c r="Q513" s="408">
        <v>0.46400000000000002</v>
      </c>
      <c r="R513" s="408">
        <v>0.4</v>
      </c>
      <c r="S513" s="408">
        <v>4</v>
      </c>
      <c r="T513" s="408">
        <v>5</v>
      </c>
      <c r="U513" s="408">
        <v>0.8</v>
      </c>
      <c r="V513" s="408">
        <v>5</v>
      </c>
      <c r="W513" s="408">
        <v>8</v>
      </c>
      <c r="X513" s="408">
        <v>13</v>
      </c>
      <c r="Y513" s="408">
        <v>11</v>
      </c>
      <c r="Z513" s="408">
        <v>6</v>
      </c>
      <c r="AA513" s="408">
        <v>1</v>
      </c>
      <c r="AB513" s="408">
        <v>2</v>
      </c>
      <c r="AC513" s="408">
        <v>10</v>
      </c>
      <c r="AD513" s="408">
        <v>36</v>
      </c>
    </row>
    <row r="514" spans="1:30">
      <c r="A514">
        <v>419</v>
      </c>
      <c r="B514" s="1" t="s">
        <v>171</v>
      </c>
      <c r="C514" s="1" t="s">
        <v>20</v>
      </c>
      <c r="D514" s="408">
        <v>31</v>
      </c>
      <c r="E514" s="5" t="s">
        <v>112</v>
      </c>
      <c r="F514" s="408">
        <v>55</v>
      </c>
      <c r="G514" s="408">
        <v>53</v>
      </c>
      <c r="H514" s="408">
        <v>1415</v>
      </c>
      <c r="I514" s="408">
        <v>183</v>
      </c>
      <c r="J514" s="408">
        <v>400</v>
      </c>
      <c r="K514" s="408">
        <v>0.45800000000000002</v>
      </c>
      <c r="L514" s="408">
        <v>43</v>
      </c>
      <c r="M514" s="408">
        <v>123</v>
      </c>
      <c r="N514" s="408">
        <v>0.35</v>
      </c>
      <c r="O514" s="408">
        <v>140</v>
      </c>
      <c r="P514" s="408">
        <v>277</v>
      </c>
      <c r="Q514" s="408">
        <v>0.505</v>
      </c>
      <c r="R514" s="408">
        <v>0.51100000000000001</v>
      </c>
      <c r="S514" s="408">
        <v>21</v>
      </c>
      <c r="T514" s="408">
        <v>36</v>
      </c>
      <c r="U514" s="408">
        <v>0.58299999999999996</v>
      </c>
      <c r="V514" s="408">
        <v>28</v>
      </c>
      <c r="W514" s="408">
        <v>186</v>
      </c>
      <c r="X514" s="408">
        <v>214</v>
      </c>
      <c r="Y514" s="408">
        <v>429</v>
      </c>
      <c r="Z514" s="408">
        <v>54</v>
      </c>
      <c r="AA514" s="408">
        <v>10</v>
      </c>
      <c r="AB514" s="408">
        <v>118</v>
      </c>
      <c r="AC514" s="408">
        <v>98</v>
      </c>
      <c r="AD514" s="408">
        <v>430</v>
      </c>
    </row>
    <row r="515" spans="1:30">
      <c r="A515">
        <v>420</v>
      </c>
      <c r="B515" s="1" t="s">
        <v>226</v>
      </c>
      <c r="C515" s="1" t="s">
        <v>20</v>
      </c>
      <c r="D515" s="408">
        <v>29</v>
      </c>
      <c r="E515" s="5" t="s">
        <v>357</v>
      </c>
      <c r="F515" s="408">
        <v>20</v>
      </c>
      <c r="G515" s="408">
        <v>7</v>
      </c>
      <c r="H515" s="408">
        <v>360</v>
      </c>
      <c r="I515" s="408">
        <v>69</v>
      </c>
      <c r="J515" s="408">
        <v>159</v>
      </c>
      <c r="K515" s="408">
        <v>0.434</v>
      </c>
      <c r="L515" s="408">
        <v>6</v>
      </c>
      <c r="M515" s="408">
        <v>27</v>
      </c>
      <c r="N515" s="408">
        <v>0.222</v>
      </c>
      <c r="O515" s="408">
        <v>63</v>
      </c>
      <c r="P515" s="408">
        <v>132</v>
      </c>
      <c r="Q515" s="408">
        <v>0.47699999999999998</v>
      </c>
      <c r="R515" s="408">
        <v>0.45300000000000001</v>
      </c>
      <c r="S515" s="408">
        <v>37</v>
      </c>
      <c r="T515" s="408">
        <v>43</v>
      </c>
      <c r="U515" s="408">
        <v>0.86</v>
      </c>
      <c r="V515" s="408">
        <v>13</v>
      </c>
      <c r="W515" s="408">
        <v>20</v>
      </c>
      <c r="X515" s="408">
        <v>33</v>
      </c>
      <c r="Y515" s="408">
        <v>33</v>
      </c>
      <c r="Z515" s="408">
        <v>5</v>
      </c>
      <c r="AA515" s="408">
        <v>4</v>
      </c>
      <c r="AB515" s="408">
        <v>31</v>
      </c>
      <c r="AC515" s="408">
        <v>14</v>
      </c>
      <c r="AD515" s="408">
        <v>181</v>
      </c>
    </row>
    <row r="516" spans="1:30">
      <c r="A516">
        <v>420</v>
      </c>
      <c r="B516" s="1" t="s">
        <v>226</v>
      </c>
      <c r="C516" s="1" t="s">
        <v>20</v>
      </c>
      <c r="D516" s="408">
        <v>29</v>
      </c>
      <c r="E516" s="5" t="s">
        <v>102</v>
      </c>
      <c r="F516" s="408">
        <v>16</v>
      </c>
      <c r="G516" s="408">
        <v>7</v>
      </c>
      <c r="H516" s="408">
        <v>308</v>
      </c>
      <c r="I516" s="408">
        <v>58</v>
      </c>
      <c r="J516" s="408">
        <v>132</v>
      </c>
      <c r="K516" s="408">
        <v>0.439</v>
      </c>
      <c r="L516" s="408">
        <v>6</v>
      </c>
      <c r="M516" s="408">
        <v>24</v>
      </c>
      <c r="N516" s="408">
        <v>0.25</v>
      </c>
      <c r="O516" s="408">
        <v>52</v>
      </c>
      <c r="P516" s="408">
        <v>108</v>
      </c>
      <c r="Q516" s="408">
        <v>0.48099999999999998</v>
      </c>
      <c r="R516" s="408">
        <v>0.46200000000000002</v>
      </c>
      <c r="S516" s="408">
        <v>35</v>
      </c>
      <c r="T516" s="408">
        <v>41</v>
      </c>
      <c r="U516" s="408">
        <v>0.85399999999999998</v>
      </c>
      <c r="V516" s="408">
        <v>10</v>
      </c>
      <c r="W516" s="408">
        <v>19</v>
      </c>
      <c r="X516" s="408">
        <v>29</v>
      </c>
      <c r="Y516" s="408">
        <v>26</v>
      </c>
      <c r="Z516" s="408">
        <v>3</v>
      </c>
      <c r="AA516" s="408">
        <v>4</v>
      </c>
      <c r="AB516" s="408">
        <v>28</v>
      </c>
      <c r="AC516" s="408">
        <v>14</v>
      </c>
      <c r="AD516" s="408">
        <v>157</v>
      </c>
    </row>
    <row r="517" spans="1:30">
      <c r="A517">
        <v>420</v>
      </c>
      <c r="B517" s="1" t="s">
        <v>226</v>
      </c>
      <c r="C517" s="1" t="s">
        <v>20</v>
      </c>
      <c r="D517" s="408">
        <v>29</v>
      </c>
      <c r="E517" s="5" t="s">
        <v>56</v>
      </c>
      <c r="F517" s="408">
        <v>4</v>
      </c>
      <c r="G517" s="408">
        <v>0</v>
      </c>
      <c r="H517" s="408">
        <v>52</v>
      </c>
      <c r="I517" s="408">
        <v>11</v>
      </c>
      <c r="J517" s="408">
        <v>27</v>
      </c>
      <c r="K517" s="408">
        <v>0.40699999999999997</v>
      </c>
      <c r="L517" s="408">
        <v>0</v>
      </c>
      <c r="M517" s="408">
        <v>3</v>
      </c>
      <c r="N517" s="408">
        <v>0</v>
      </c>
      <c r="O517" s="408">
        <v>11</v>
      </c>
      <c r="P517" s="408">
        <v>24</v>
      </c>
      <c r="Q517" s="408">
        <v>0.45800000000000002</v>
      </c>
      <c r="R517" s="408">
        <v>0.40699999999999997</v>
      </c>
      <c r="S517" s="408">
        <v>2</v>
      </c>
      <c r="T517" s="408">
        <v>2</v>
      </c>
      <c r="U517" s="408">
        <v>1</v>
      </c>
      <c r="V517" s="408">
        <v>3</v>
      </c>
      <c r="W517" s="408">
        <v>1</v>
      </c>
      <c r="X517" s="408">
        <v>4</v>
      </c>
      <c r="Y517" s="408">
        <v>7</v>
      </c>
      <c r="Z517" s="408">
        <v>2</v>
      </c>
      <c r="AA517" s="408">
        <v>0</v>
      </c>
      <c r="AB517" s="408">
        <v>3</v>
      </c>
      <c r="AC517" s="408">
        <v>0</v>
      </c>
      <c r="AD517" s="408">
        <v>24</v>
      </c>
    </row>
    <row r="518" spans="1:30">
      <c r="A518">
        <v>421</v>
      </c>
      <c r="B518" s="1" t="s">
        <v>392</v>
      </c>
      <c r="C518" s="1" t="s">
        <v>26</v>
      </c>
      <c r="D518" s="408">
        <v>26</v>
      </c>
      <c r="E518" s="5" t="s">
        <v>75</v>
      </c>
      <c r="F518" s="408">
        <v>22</v>
      </c>
      <c r="G518" s="408">
        <v>20</v>
      </c>
      <c r="H518" s="408">
        <v>576</v>
      </c>
      <c r="I518" s="408">
        <v>72</v>
      </c>
      <c r="J518" s="408">
        <v>177</v>
      </c>
      <c r="K518" s="408">
        <v>0.40699999999999997</v>
      </c>
      <c r="L518" s="408">
        <v>28</v>
      </c>
      <c r="M518" s="408">
        <v>85</v>
      </c>
      <c r="N518" s="408">
        <v>0.32900000000000001</v>
      </c>
      <c r="O518" s="408">
        <v>44</v>
      </c>
      <c r="P518" s="408">
        <v>92</v>
      </c>
      <c r="Q518" s="408">
        <v>0.47799999999999998</v>
      </c>
      <c r="R518" s="408">
        <v>0.48599999999999999</v>
      </c>
      <c r="S518" s="408">
        <v>26</v>
      </c>
      <c r="T518" s="408">
        <v>35</v>
      </c>
      <c r="U518" s="408">
        <v>0.74299999999999999</v>
      </c>
      <c r="V518" s="408">
        <v>10</v>
      </c>
      <c r="W518" s="408">
        <v>60</v>
      </c>
      <c r="X518" s="408">
        <v>70</v>
      </c>
      <c r="Y518" s="408">
        <v>35</v>
      </c>
      <c r="Z518" s="408">
        <v>27</v>
      </c>
      <c r="AA518" s="408">
        <v>9</v>
      </c>
      <c r="AB518" s="408">
        <v>25</v>
      </c>
      <c r="AC518" s="408">
        <v>44</v>
      </c>
      <c r="AD518" s="408">
        <v>198</v>
      </c>
    </row>
    <row r="519" spans="1:30">
      <c r="A519">
        <v>422</v>
      </c>
      <c r="B519" s="1" t="s">
        <v>374</v>
      </c>
      <c r="C519" s="1" t="s">
        <v>20</v>
      </c>
      <c r="D519" s="408">
        <v>23</v>
      </c>
      <c r="E519" s="5" t="s">
        <v>87</v>
      </c>
      <c r="F519" s="408">
        <v>70</v>
      </c>
      <c r="G519" s="408">
        <v>6</v>
      </c>
      <c r="H519" s="408">
        <v>1750</v>
      </c>
      <c r="I519" s="408">
        <v>269</v>
      </c>
      <c r="J519" s="408">
        <v>669</v>
      </c>
      <c r="K519" s="408">
        <v>0.40200000000000002</v>
      </c>
      <c r="L519" s="408">
        <v>127</v>
      </c>
      <c r="M519" s="408">
        <v>333</v>
      </c>
      <c r="N519" s="408">
        <v>0.38100000000000001</v>
      </c>
      <c r="O519" s="408">
        <v>142</v>
      </c>
      <c r="P519" s="408">
        <v>336</v>
      </c>
      <c r="Q519" s="408">
        <v>0.42299999999999999</v>
      </c>
      <c r="R519" s="408">
        <v>0.497</v>
      </c>
      <c r="S519" s="408">
        <v>95</v>
      </c>
      <c r="T519" s="408">
        <v>126</v>
      </c>
      <c r="U519" s="408">
        <v>0.754</v>
      </c>
      <c r="V519" s="408">
        <v>55</v>
      </c>
      <c r="W519" s="408">
        <v>261</v>
      </c>
      <c r="X519" s="408">
        <v>316</v>
      </c>
      <c r="Y519" s="408">
        <v>186</v>
      </c>
      <c r="Z519" s="408">
        <v>68</v>
      </c>
      <c r="AA519" s="408">
        <v>15</v>
      </c>
      <c r="AB519" s="408">
        <v>65</v>
      </c>
      <c r="AC519" s="408">
        <v>107</v>
      </c>
      <c r="AD519" s="408">
        <v>760</v>
      </c>
    </row>
    <row r="520" spans="1:30">
      <c r="A520">
        <v>423</v>
      </c>
      <c r="B520" s="1" t="s">
        <v>405</v>
      </c>
      <c r="C520" s="1" t="s">
        <v>20</v>
      </c>
      <c r="D520" s="408">
        <v>27</v>
      </c>
      <c r="E520" s="5" t="s">
        <v>305</v>
      </c>
      <c r="F520" s="408">
        <v>66</v>
      </c>
      <c r="G520" s="408">
        <v>66</v>
      </c>
      <c r="H520" s="408">
        <v>1953</v>
      </c>
      <c r="I520" s="408">
        <v>282</v>
      </c>
      <c r="J520" s="408">
        <v>702</v>
      </c>
      <c r="K520" s="408">
        <v>0.40200000000000002</v>
      </c>
      <c r="L520" s="408">
        <v>71</v>
      </c>
      <c r="M520" s="408">
        <v>223</v>
      </c>
      <c r="N520" s="408">
        <v>0.318</v>
      </c>
      <c r="O520" s="408">
        <v>211</v>
      </c>
      <c r="P520" s="408">
        <v>479</v>
      </c>
      <c r="Q520" s="408">
        <v>0.441</v>
      </c>
      <c r="R520" s="408">
        <v>0.45200000000000001</v>
      </c>
      <c r="S520" s="408">
        <v>181</v>
      </c>
      <c r="T520" s="408">
        <v>214</v>
      </c>
      <c r="U520" s="408">
        <v>0.84599999999999997</v>
      </c>
      <c r="V520" s="408">
        <v>37</v>
      </c>
      <c r="W520" s="408">
        <v>264</v>
      </c>
      <c r="X520" s="408">
        <v>301</v>
      </c>
      <c r="Y520" s="408">
        <v>360</v>
      </c>
      <c r="Z520" s="408">
        <v>101</v>
      </c>
      <c r="AA520" s="408">
        <v>8</v>
      </c>
      <c r="AB520" s="408">
        <v>182</v>
      </c>
      <c r="AC520" s="408">
        <v>180</v>
      </c>
      <c r="AD520" s="408">
        <v>816</v>
      </c>
    </row>
    <row r="521" spans="1:30">
      <c r="A521">
        <v>424</v>
      </c>
      <c r="B521" s="1" t="s">
        <v>349</v>
      </c>
      <c r="C521" s="1" t="s">
        <v>20</v>
      </c>
      <c r="D521" s="408">
        <v>21</v>
      </c>
      <c r="E521" s="5" t="s">
        <v>315</v>
      </c>
      <c r="F521" s="408">
        <v>37</v>
      </c>
      <c r="G521" s="408">
        <v>24</v>
      </c>
      <c r="H521" s="408">
        <v>955</v>
      </c>
      <c r="I521" s="408">
        <v>220</v>
      </c>
      <c r="J521" s="408">
        <v>528</v>
      </c>
      <c r="K521" s="408">
        <v>0.41699999999999998</v>
      </c>
      <c r="L521" s="408">
        <v>66</v>
      </c>
      <c r="M521" s="408">
        <v>205</v>
      </c>
      <c r="N521" s="408">
        <v>0.32200000000000001</v>
      </c>
      <c r="O521" s="408">
        <v>154</v>
      </c>
      <c r="P521" s="408">
        <v>323</v>
      </c>
      <c r="Q521" s="408">
        <v>0.47699999999999998</v>
      </c>
      <c r="R521" s="408">
        <v>0.47899999999999998</v>
      </c>
      <c r="S521" s="408">
        <v>87</v>
      </c>
      <c r="T521" s="408">
        <v>115</v>
      </c>
      <c r="U521" s="408">
        <v>0.75700000000000001</v>
      </c>
      <c r="V521" s="408">
        <v>25</v>
      </c>
      <c r="W521" s="408">
        <v>119</v>
      </c>
      <c r="X521" s="408">
        <v>144</v>
      </c>
      <c r="Y521" s="408">
        <v>180</v>
      </c>
      <c r="Z521" s="408">
        <v>27</v>
      </c>
      <c r="AA521" s="408">
        <v>12</v>
      </c>
      <c r="AB521" s="408">
        <v>114</v>
      </c>
      <c r="AC521" s="408">
        <v>75</v>
      </c>
      <c r="AD521" s="408">
        <v>593</v>
      </c>
    </row>
    <row r="522" spans="1:30">
      <c r="A522">
        <v>425</v>
      </c>
      <c r="B522" s="1" t="s">
        <v>555</v>
      </c>
      <c r="C522" s="1" t="s">
        <v>83</v>
      </c>
      <c r="D522" s="408">
        <v>21</v>
      </c>
      <c r="E522" s="5" t="s">
        <v>30</v>
      </c>
      <c r="F522" s="408">
        <v>66</v>
      </c>
      <c r="G522" s="408">
        <v>19</v>
      </c>
      <c r="H522" s="408">
        <v>1629</v>
      </c>
      <c r="I522" s="408">
        <v>303</v>
      </c>
      <c r="J522" s="408">
        <v>585</v>
      </c>
      <c r="K522" s="408">
        <v>0.51800000000000002</v>
      </c>
      <c r="L522" s="408">
        <v>12</v>
      </c>
      <c r="M522" s="408">
        <v>33</v>
      </c>
      <c r="N522" s="408">
        <v>0.36399999999999999</v>
      </c>
      <c r="O522" s="408">
        <v>291</v>
      </c>
      <c r="P522" s="408">
        <v>552</v>
      </c>
      <c r="Q522" s="408">
        <v>0.52700000000000002</v>
      </c>
      <c r="R522" s="408">
        <v>0.52800000000000002</v>
      </c>
      <c r="S522" s="408">
        <v>151</v>
      </c>
      <c r="T522" s="408">
        <v>205</v>
      </c>
      <c r="U522" s="408">
        <v>0.73699999999999999</v>
      </c>
      <c r="V522" s="408">
        <v>152</v>
      </c>
      <c r="W522" s="408">
        <v>369</v>
      </c>
      <c r="X522" s="408">
        <v>521</v>
      </c>
      <c r="Y522" s="408">
        <v>135</v>
      </c>
      <c r="Z522" s="408">
        <v>33</v>
      </c>
      <c r="AA522" s="408">
        <v>28</v>
      </c>
      <c r="AB522" s="408">
        <v>126</v>
      </c>
      <c r="AC522" s="408">
        <v>194</v>
      </c>
      <c r="AD522" s="408">
        <v>769</v>
      </c>
    </row>
    <row r="523" spans="1:30">
      <c r="A523">
        <v>426</v>
      </c>
      <c r="B523" s="1" t="s">
        <v>553</v>
      </c>
      <c r="C523" s="1" t="s">
        <v>46</v>
      </c>
      <c r="D523" s="408">
        <v>24</v>
      </c>
      <c r="E523" s="5" t="s">
        <v>100</v>
      </c>
      <c r="F523" s="408">
        <v>15</v>
      </c>
      <c r="G523" s="408">
        <v>3</v>
      </c>
      <c r="H523" s="408">
        <v>227</v>
      </c>
      <c r="I523" s="408">
        <v>29</v>
      </c>
      <c r="J523" s="408">
        <v>44</v>
      </c>
      <c r="K523" s="408">
        <v>0.65900000000000003</v>
      </c>
      <c r="L523" s="408">
        <v>5</v>
      </c>
      <c r="M523" s="408">
        <v>7</v>
      </c>
      <c r="N523" s="408">
        <v>0.71399999999999997</v>
      </c>
      <c r="O523" s="408">
        <v>24</v>
      </c>
      <c r="P523" s="408">
        <v>37</v>
      </c>
      <c r="Q523" s="408">
        <v>0.64900000000000002</v>
      </c>
      <c r="R523" s="408">
        <v>0.71599999999999997</v>
      </c>
      <c r="S523" s="408">
        <v>5</v>
      </c>
      <c r="T523" s="408">
        <v>8</v>
      </c>
      <c r="U523" s="408">
        <v>0.625</v>
      </c>
      <c r="V523" s="408">
        <v>13</v>
      </c>
      <c r="W523" s="408">
        <v>41</v>
      </c>
      <c r="X523" s="408">
        <v>54</v>
      </c>
      <c r="Y523" s="408">
        <v>7</v>
      </c>
      <c r="Z523" s="408">
        <v>6</v>
      </c>
      <c r="AA523" s="408">
        <v>13</v>
      </c>
      <c r="AB523" s="408">
        <v>6</v>
      </c>
      <c r="AC523" s="408">
        <v>37</v>
      </c>
      <c r="AD523" s="408">
        <v>68</v>
      </c>
    </row>
    <row r="524" spans="1:30">
      <c r="A524">
        <v>427</v>
      </c>
      <c r="B524" s="1" t="s">
        <v>352</v>
      </c>
      <c r="C524" s="1" t="s">
        <v>38</v>
      </c>
      <c r="D524" s="408">
        <v>23</v>
      </c>
      <c r="E524" s="5" t="s">
        <v>118</v>
      </c>
      <c r="F524" s="408">
        <v>68</v>
      </c>
      <c r="G524" s="408">
        <v>63</v>
      </c>
      <c r="H524" s="408">
        <v>2073</v>
      </c>
      <c r="I524" s="408">
        <v>356</v>
      </c>
      <c r="J524" s="408">
        <v>783</v>
      </c>
      <c r="K524" s="408">
        <v>0.45500000000000002</v>
      </c>
      <c r="L524" s="408">
        <v>138</v>
      </c>
      <c r="M524" s="408">
        <v>348</v>
      </c>
      <c r="N524" s="408">
        <v>0.39700000000000002</v>
      </c>
      <c r="O524" s="408">
        <v>218</v>
      </c>
      <c r="P524" s="408">
        <v>435</v>
      </c>
      <c r="Q524" s="408">
        <v>0.501</v>
      </c>
      <c r="R524" s="408">
        <v>0.54300000000000004</v>
      </c>
      <c r="S524" s="408">
        <v>160</v>
      </c>
      <c r="T524" s="408">
        <v>183</v>
      </c>
      <c r="U524" s="408">
        <v>0.874</v>
      </c>
      <c r="V524" s="408">
        <v>141</v>
      </c>
      <c r="W524" s="408">
        <v>326</v>
      </c>
      <c r="X524" s="408">
        <v>467</v>
      </c>
      <c r="Y524" s="408">
        <v>178</v>
      </c>
      <c r="Z524" s="408">
        <v>45</v>
      </c>
      <c r="AA524" s="408">
        <v>19</v>
      </c>
      <c r="AB524" s="408">
        <v>133</v>
      </c>
      <c r="AC524" s="408">
        <v>144</v>
      </c>
      <c r="AD524" s="408">
        <v>1010</v>
      </c>
    </row>
    <row r="525" spans="1:30">
      <c r="A525">
        <v>428</v>
      </c>
      <c r="B525" s="1" t="s">
        <v>530</v>
      </c>
      <c r="C525" s="1" t="s">
        <v>26</v>
      </c>
      <c r="D525" s="408">
        <v>26</v>
      </c>
      <c r="E525" s="5" t="s">
        <v>27</v>
      </c>
      <c r="F525" s="408">
        <v>61</v>
      </c>
      <c r="G525" s="408">
        <v>22</v>
      </c>
      <c r="H525" s="408">
        <v>1297</v>
      </c>
      <c r="I525" s="408">
        <v>163</v>
      </c>
      <c r="J525" s="408">
        <v>305</v>
      </c>
      <c r="K525" s="408">
        <v>0.53400000000000003</v>
      </c>
      <c r="L525" s="408">
        <v>39</v>
      </c>
      <c r="M525" s="408">
        <v>85</v>
      </c>
      <c r="N525" s="408">
        <v>0.45900000000000002</v>
      </c>
      <c r="O525" s="408">
        <v>124</v>
      </c>
      <c r="P525" s="408">
        <v>220</v>
      </c>
      <c r="Q525" s="408">
        <v>0.56399999999999995</v>
      </c>
      <c r="R525" s="408">
        <v>0.59799999999999998</v>
      </c>
      <c r="S525" s="408">
        <v>69</v>
      </c>
      <c r="T525" s="408">
        <v>90</v>
      </c>
      <c r="U525" s="408">
        <v>0.76700000000000002</v>
      </c>
      <c r="V525" s="408">
        <v>53</v>
      </c>
      <c r="W525" s="408">
        <v>119</v>
      </c>
      <c r="X525" s="408">
        <v>172</v>
      </c>
      <c r="Y525" s="408">
        <v>227</v>
      </c>
      <c r="Z525" s="408">
        <v>44</v>
      </c>
      <c r="AA525" s="408">
        <v>11</v>
      </c>
      <c r="AB525" s="408">
        <v>63</v>
      </c>
      <c r="AC525" s="408">
        <v>104</v>
      </c>
      <c r="AD525" s="408">
        <v>434</v>
      </c>
    </row>
    <row r="526" spans="1:30">
      <c r="A526">
        <v>429</v>
      </c>
      <c r="B526" s="1" t="s">
        <v>399</v>
      </c>
      <c r="C526" s="1" t="s">
        <v>20</v>
      </c>
      <c r="D526" s="408">
        <v>24</v>
      </c>
      <c r="E526" s="5" t="s">
        <v>149</v>
      </c>
      <c r="F526" s="408">
        <v>65</v>
      </c>
      <c r="G526" s="408">
        <v>65</v>
      </c>
      <c r="H526" s="408">
        <v>2015</v>
      </c>
      <c r="I526" s="408">
        <v>476</v>
      </c>
      <c r="J526" s="408">
        <v>1101</v>
      </c>
      <c r="K526" s="408">
        <v>0.432</v>
      </c>
      <c r="L526" s="408">
        <v>73</v>
      </c>
      <c r="M526" s="408">
        <v>251</v>
      </c>
      <c r="N526" s="408">
        <v>0.29099999999999998</v>
      </c>
      <c r="O526" s="408">
        <v>403</v>
      </c>
      <c r="P526" s="408">
        <v>850</v>
      </c>
      <c r="Q526" s="408">
        <v>0.47399999999999998</v>
      </c>
      <c r="R526" s="408">
        <v>0.46500000000000002</v>
      </c>
      <c r="S526" s="408">
        <v>219</v>
      </c>
      <c r="T526" s="408">
        <v>253</v>
      </c>
      <c r="U526" s="408">
        <v>0.86599999999999999</v>
      </c>
      <c r="V526" s="408">
        <v>43</v>
      </c>
      <c r="W526" s="408">
        <v>157</v>
      </c>
      <c r="X526" s="408">
        <v>200</v>
      </c>
      <c r="Y526" s="408">
        <v>403</v>
      </c>
      <c r="Z526" s="408">
        <v>71</v>
      </c>
      <c r="AA526" s="408">
        <v>6</v>
      </c>
      <c r="AB526" s="408">
        <v>177</v>
      </c>
      <c r="AC526" s="408">
        <v>143</v>
      </c>
      <c r="AD526" s="408">
        <v>1244</v>
      </c>
    </row>
    <row r="527" spans="1:30">
      <c r="A527">
        <v>430</v>
      </c>
      <c r="B527" s="1" t="s">
        <v>463</v>
      </c>
      <c r="C527" s="1" t="s">
        <v>38</v>
      </c>
      <c r="D527" s="408">
        <v>29</v>
      </c>
      <c r="E527" s="5" t="s">
        <v>27</v>
      </c>
      <c r="F527" s="408">
        <v>65</v>
      </c>
      <c r="G527" s="408">
        <v>1</v>
      </c>
      <c r="H527" s="408">
        <v>1174</v>
      </c>
      <c r="I527" s="408">
        <v>232</v>
      </c>
      <c r="J527" s="408">
        <v>431</v>
      </c>
      <c r="K527" s="408">
        <v>0.53800000000000003</v>
      </c>
      <c r="L527" s="408">
        <v>55</v>
      </c>
      <c r="M527" s="408">
        <v>135</v>
      </c>
      <c r="N527" s="408">
        <v>0.40699999999999997</v>
      </c>
      <c r="O527" s="408">
        <v>177</v>
      </c>
      <c r="P527" s="408">
        <v>296</v>
      </c>
      <c r="Q527" s="408">
        <v>0.59799999999999998</v>
      </c>
      <c r="R527" s="408">
        <v>0.60199999999999998</v>
      </c>
      <c r="S527" s="408">
        <v>42</v>
      </c>
      <c r="T527" s="408">
        <v>63</v>
      </c>
      <c r="U527" s="408">
        <v>0.66700000000000004</v>
      </c>
      <c r="V527" s="408">
        <v>39</v>
      </c>
      <c r="W527" s="408">
        <v>160</v>
      </c>
      <c r="X527" s="408">
        <v>199</v>
      </c>
      <c r="Y527" s="408">
        <v>62</v>
      </c>
      <c r="Z527" s="408">
        <v>22</v>
      </c>
      <c r="AA527" s="408">
        <v>10</v>
      </c>
      <c r="AB527" s="408">
        <v>70</v>
      </c>
      <c r="AC527" s="408">
        <v>127</v>
      </c>
      <c r="AD527" s="408">
        <v>561</v>
      </c>
    </row>
    <row r="528" spans="1:30">
      <c r="A528">
        <v>431</v>
      </c>
      <c r="B528" s="1" t="s">
        <v>468</v>
      </c>
      <c r="C528" s="1" t="s">
        <v>46</v>
      </c>
      <c r="D528" s="408">
        <v>33</v>
      </c>
      <c r="E528" s="5" t="s">
        <v>305</v>
      </c>
      <c r="F528" s="408">
        <v>38</v>
      </c>
      <c r="G528" s="408">
        <v>6</v>
      </c>
      <c r="H528" s="408">
        <v>806</v>
      </c>
      <c r="I528" s="408">
        <v>118</v>
      </c>
      <c r="J528" s="408">
        <v>240</v>
      </c>
      <c r="K528" s="408">
        <v>0.49199999999999999</v>
      </c>
      <c r="L528" s="408">
        <v>32</v>
      </c>
      <c r="M528" s="408">
        <v>84</v>
      </c>
      <c r="N528" s="408">
        <v>0.38100000000000001</v>
      </c>
      <c r="O528" s="408">
        <v>86</v>
      </c>
      <c r="P528" s="408">
        <v>156</v>
      </c>
      <c r="Q528" s="408">
        <v>0.55100000000000005</v>
      </c>
      <c r="R528" s="408">
        <v>0.55800000000000005</v>
      </c>
      <c r="S528" s="408">
        <v>44</v>
      </c>
      <c r="T528" s="408">
        <v>54</v>
      </c>
      <c r="U528" s="408">
        <v>0.81499999999999995</v>
      </c>
      <c r="V528" s="408">
        <v>29</v>
      </c>
      <c r="W528" s="408">
        <v>132</v>
      </c>
      <c r="X528" s="408">
        <v>161</v>
      </c>
      <c r="Y528" s="408">
        <v>33</v>
      </c>
      <c r="Z528" s="408">
        <v>52</v>
      </c>
      <c r="AA528" s="408">
        <v>12</v>
      </c>
      <c r="AB528" s="408">
        <v>30</v>
      </c>
      <c r="AC528" s="408">
        <v>59</v>
      </c>
      <c r="AD528" s="408">
        <v>312</v>
      </c>
    </row>
    <row r="529" spans="1:30">
      <c r="A529">
        <v>432</v>
      </c>
      <c r="B529" s="1" t="s">
        <v>465</v>
      </c>
      <c r="C529" s="1" t="s">
        <v>26</v>
      </c>
      <c r="D529" s="408">
        <v>23</v>
      </c>
      <c r="E529" s="5" t="s">
        <v>128</v>
      </c>
      <c r="F529" s="408">
        <v>28</v>
      </c>
      <c r="G529" s="408">
        <v>8</v>
      </c>
      <c r="H529" s="408">
        <v>526</v>
      </c>
      <c r="I529" s="408">
        <v>80</v>
      </c>
      <c r="J529" s="408">
        <v>195</v>
      </c>
      <c r="K529" s="408">
        <v>0.41</v>
      </c>
      <c r="L529" s="408">
        <v>36</v>
      </c>
      <c r="M529" s="408">
        <v>94</v>
      </c>
      <c r="N529" s="408">
        <v>0.38300000000000001</v>
      </c>
      <c r="O529" s="408">
        <v>44</v>
      </c>
      <c r="P529" s="408">
        <v>101</v>
      </c>
      <c r="Q529" s="408">
        <v>0.436</v>
      </c>
      <c r="R529" s="408">
        <v>0.503</v>
      </c>
      <c r="S529" s="408">
        <v>29</v>
      </c>
      <c r="T529" s="408">
        <v>40</v>
      </c>
      <c r="U529" s="408">
        <v>0.72499999999999998</v>
      </c>
      <c r="V529" s="408">
        <v>13</v>
      </c>
      <c r="W529" s="408">
        <v>33</v>
      </c>
      <c r="X529" s="408">
        <v>46</v>
      </c>
      <c r="Y529" s="408">
        <v>49</v>
      </c>
      <c r="Z529" s="408">
        <v>13</v>
      </c>
      <c r="AA529" s="408">
        <v>3</v>
      </c>
      <c r="AB529" s="408">
        <v>43</v>
      </c>
      <c r="AC529" s="408">
        <v>47</v>
      </c>
      <c r="AD529" s="408">
        <v>225</v>
      </c>
    </row>
    <row r="530" spans="1:30">
      <c r="A530">
        <v>433</v>
      </c>
      <c r="B530" s="1" t="s">
        <v>544</v>
      </c>
      <c r="C530" s="1" t="s">
        <v>20</v>
      </c>
      <c r="D530" s="408">
        <v>31</v>
      </c>
      <c r="E530" s="5" t="s">
        <v>357</v>
      </c>
      <c r="F530" s="408">
        <v>19</v>
      </c>
      <c r="G530" s="408">
        <v>3</v>
      </c>
      <c r="H530" s="408">
        <v>278</v>
      </c>
      <c r="I530" s="408">
        <v>29</v>
      </c>
      <c r="J530" s="408">
        <v>88</v>
      </c>
      <c r="K530" s="408">
        <v>0.33</v>
      </c>
      <c r="L530" s="408">
        <v>6</v>
      </c>
      <c r="M530" s="408">
        <v>18</v>
      </c>
      <c r="N530" s="408">
        <v>0.33300000000000002</v>
      </c>
      <c r="O530" s="408">
        <v>23</v>
      </c>
      <c r="P530" s="408">
        <v>70</v>
      </c>
      <c r="Q530" s="408">
        <v>0.32900000000000001</v>
      </c>
      <c r="R530" s="408">
        <v>0.36399999999999999</v>
      </c>
      <c r="S530" s="408">
        <v>26</v>
      </c>
      <c r="T530" s="408">
        <v>34</v>
      </c>
      <c r="U530" s="408">
        <v>0.76500000000000001</v>
      </c>
      <c r="V530" s="408">
        <v>3</v>
      </c>
      <c r="W530" s="408">
        <v>22</v>
      </c>
      <c r="X530" s="408">
        <v>25</v>
      </c>
      <c r="Y530" s="408">
        <v>47</v>
      </c>
      <c r="Z530" s="408">
        <v>9</v>
      </c>
      <c r="AA530" s="408">
        <v>2</v>
      </c>
      <c r="AB530" s="408">
        <v>22</v>
      </c>
      <c r="AC530" s="408">
        <v>25</v>
      </c>
      <c r="AD530" s="408">
        <v>90</v>
      </c>
    </row>
    <row r="531" spans="1:30">
      <c r="A531">
        <v>433</v>
      </c>
      <c r="B531" s="1" t="s">
        <v>544</v>
      </c>
      <c r="C531" s="1" t="s">
        <v>20</v>
      </c>
      <c r="D531" s="408">
        <v>31</v>
      </c>
      <c r="E531" s="5" t="s">
        <v>21</v>
      </c>
      <c r="F531" s="408">
        <v>13</v>
      </c>
      <c r="G531" s="408">
        <v>3</v>
      </c>
      <c r="H531" s="408">
        <v>167</v>
      </c>
      <c r="I531" s="408">
        <v>17</v>
      </c>
      <c r="J531" s="408">
        <v>53</v>
      </c>
      <c r="K531" s="408">
        <v>0.32100000000000001</v>
      </c>
      <c r="L531" s="408">
        <v>2</v>
      </c>
      <c r="M531" s="408">
        <v>11</v>
      </c>
      <c r="N531" s="408">
        <v>0.182</v>
      </c>
      <c r="O531" s="408">
        <v>15</v>
      </c>
      <c r="P531" s="408">
        <v>42</v>
      </c>
      <c r="Q531" s="408">
        <v>0.35699999999999998</v>
      </c>
      <c r="R531" s="408">
        <v>0.34</v>
      </c>
      <c r="S531" s="408">
        <v>12</v>
      </c>
      <c r="T531" s="408">
        <v>15</v>
      </c>
      <c r="U531" s="408">
        <v>0.8</v>
      </c>
      <c r="V531" s="408">
        <v>1</v>
      </c>
      <c r="W531" s="408">
        <v>17</v>
      </c>
      <c r="X531" s="408">
        <v>18</v>
      </c>
      <c r="Y531" s="408">
        <v>27</v>
      </c>
      <c r="Z531" s="408">
        <v>7</v>
      </c>
      <c r="AA531" s="408">
        <v>1</v>
      </c>
      <c r="AB531" s="408">
        <v>15</v>
      </c>
      <c r="AC531" s="408">
        <v>14</v>
      </c>
      <c r="AD531" s="408">
        <v>48</v>
      </c>
    </row>
    <row r="532" spans="1:30">
      <c r="A532">
        <v>433</v>
      </c>
      <c r="B532" s="1" t="s">
        <v>544</v>
      </c>
      <c r="C532" s="1" t="s">
        <v>20</v>
      </c>
      <c r="D532" s="408">
        <v>31</v>
      </c>
      <c r="E532" s="5" t="s">
        <v>27</v>
      </c>
      <c r="F532" s="408">
        <v>6</v>
      </c>
      <c r="G532" s="408">
        <v>0</v>
      </c>
      <c r="H532" s="408">
        <v>111</v>
      </c>
      <c r="I532" s="408">
        <v>12</v>
      </c>
      <c r="J532" s="408">
        <v>35</v>
      </c>
      <c r="K532" s="408">
        <v>0.34300000000000003</v>
      </c>
      <c r="L532" s="408">
        <v>4</v>
      </c>
      <c r="M532" s="408">
        <v>7</v>
      </c>
      <c r="N532" s="408">
        <v>0.57099999999999995</v>
      </c>
      <c r="O532" s="408">
        <v>8</v>
      </c>
      <c r="P532" s="408">
        <v>28</v>
      </c>
      <c r="Q532" s="408">
        <v>0.28599999999999998</v>
      </c>
      <c r="R532" s="408">
        <v>0.4</v>
      </c>
      <c r="S532" s="408">
        <v>14</v>
      </c>
      <c r="T532" s="408">
        <v>19</v>
      </c>
      <c r="U532" s="408">
        <v>0.73699999999999999</v>
      </c>
      <c r="V532" s="408">
        <v>2</v>
      </c>
      <c r="W532" s="408">
        <v>5</v>
      </c>
      <c r="X532" s="408">
        <v>7</v>
      </c>
      <c r="Y532" s="408">
        <v>20</v>
      </c>
      <c r="Z532" s="408">
        <v>2</v>
      </c>
      <c r="AA532" s="408">
        <v>1</v>
      </c>
      <c r="AB532" s="408">
        <v>7</v>
      </c>
      <c r="AC532" s="408">
        <v>11</v>
      </c>
      <c r="AD532" s="408">
        <v>42</v>
      </c>
    </row>
    <row r="533" spans="1:30">
      <c r="A533">
        <v>434</v>
      </c>
      <c r="B533" s="1" t="s">
        <v>486</v>
      </c>
      <c r="C533" s="1" t="s">
        <v>26</v>
      </c>
      <c r="D533" s="408">
        <v>27</v>
      </c>
      <c r="E533" s="5" t="s">
        <v>102</v>
      </c>
      <c r="F533" s="408">
        <v>14</v>
      </c>
      <c r="G533" s="408">
        <v>6</v>
      </c>
      <c r="H533" s="408">
        <v>276</v>
      </c>
      <c r="I533" s="408">
        <v>22</v>
      </c>
      <c r="J533" s="408">
        <v>58</v>
      </c>
      <c r="K533" s="408">
        <v>0.379</v>
      </c>
      <c r="L533" s="408">
        <v>7</v>
      </c>
      <c r="M533" s="408">
        <v>26</v>
      </c>
      <c r="N533" s="408">
        <v>0.26900000000000002</v>
      </c>
      <c r="O533" s="408">
        <v>15</v>
      </c>
      <c r="P533" s="408">
        <v>32</v>
      </c>
      <c r="Q533" s="408">
        <v>0.46899999999999997</v>
      </c>
      <c r="R533" s="408">
        <v>0.44</v>
      </c>
      <c r="S533" s="408">
        <v>11</v>
      </c>
      <c r="T533" s="408">
        <v>15</v>
      </c>
      <c r="U533" s="408">
        <v>0.73299999999999998</v>
      </c>
      <c r="V533" s="408">
        <v>7</v>
      </c>
      <c r="W533" s="408">
        <v>34</v>
      </c>
      <c r="X533" s="408">
        <v>41</v>
      </c>
      <c r="Y533" s="408">
        <v>17</v>
      </c>
      <c r="Z533" s="408">
        <v>9</v>
      </c>
      <c r="AA533" s="408">
        <v>4</v>
      </c>
      <c r="AB533" s="408">
        <v>17</v>
      </c>
      <c r="AC533" s="408">
        <v>22</v>
      </c>
      <c r="AD533" s="408">
        <v>62</v>
      </c>
    </row>
    <row r="534" spans="1:30">
      <c r="A534">
        <v>435</v>
      </c>
      <c r="B534" s="1" t="s">
        <v>483</v>
      </c>
      <c r="C534" s="1" t="s">
        <v>38</v>
      </c>
      <c r="D534" s="408">
        <v>23</v>
      </c>
      <c r="E534" s="5" t="s">
        <v>47</v>
      </c>
      <c r="F534" s="408">
        <v>69</v>
      </c>
      <c r="G534" s="408">
        <v>4</v>
      </c>
      <c r="H534" s="408">
        <v>1407</v>
      </c>
      <c r="I534" s="408">
        <v>213</v>
      </c>
      <c r="J534" s="408">
        <v>414</v>
      </c>
      <c r="K534" s="408">
        <v>0.51400000000000001</v>
      </c>
      <c r="L534" s="408">
        <v>21</v>
      </c>
      <c r="M534" s="408">
        <v>114</v>
      </c>
      <c r="N534" s="408">
        <v>0.184</v>
      </c>
      <c r="O534" s="408">
        <v>192</v>
      </c>
      <c r="P534" s="408">
        <v>300</v>
      </c>
      <c r="Q534" s="408">
        <v>0.64</v>
      </c>
      <c r="R534" s="408">
        <v>0.54</v>
      </c>
      <c r="S534" s="408">
        <v>48</v>
      </c>
      <c r="T534" s="408">
        <v>74</v>
      </c>
      <c r="U534" s="408">
        <v>0.64900000000000002</v>
      </c>
      <c r="V534" s="408">
        <v>72</v>
      </c>
      <c r="W534" s="408">
        <v>237</v>
      </c>
      <c r="X534" s="408">
        <v>309</v>
      </c>
      <c r="Y534" s="408">
        <v>130</v>
      </c>
      <c r="Z534" s="408">
        <v>56</v>
      </c>
      <c r="AA534" s="408">
        <v>36</v>
      </c>
      <c r="AB534" s="408">
        <v>56</v>
      </c>
      <c r="AC534" s="408">
        <v>135</v>
      </c>
      <c r="AD534" s="408">
        <v>495</v>
      </c>
    </row>
    <row r="535" spans="1:30">
      <c r="A535">
        <v>436</v>
      </c>
      <c r="B535" s="1" t="s">
        <v>559</v>
      </c>
      <c r="C535" s="1" t="s">
        <v>20</v>
      </c>
      <c r="D535" s="408">
        <v>21</v>
      </c>
      <c r="E535" s="5" t="s">
        <v>118</v>
      </c>
      <c r="F535" s="408">
        <v>68</v>
      </c>
      <c r="G535" s="408">
        <v>68</v>
      </c>
      <c r="H535" s="408">
        <v>2349</v>
      </c>
      <c r="I535" s="408">
        <v>466</v>
      </c>
      <c r="J535" s="408">
        <v>871</v>
      </c>
      <c r="K535" s="408">
        <v>0.53500000000000003</v>
      </c>
      <c r="L535" s="408">
        <v>0</v>
      </c>
      <c r="M535" s="408">
        <v>10</v>
      </c>
      <c r="N535" s="408">
        <v>0</v>
      </c>
      <c r="O535" s="408">
        <v>466</v>
      </c>
      <c r="P535" s="408">
        <v>861</v>
      </c>
      <c r="Q535" s="408">
        <v>0.54100000000000004</v>
      </c>
      <c r="R535" s="408">
        <v>0.53500000000000003</v>
      </c>
      <c r="S535" s="408">
        <v>168</v>
      </c>
      <c r="T535" s="408">
        <v>294</v>
      </c>
      <c r="U535" s="408">
        <v>0.57099999999999995</v>
      </c>
      <c r="V535" s="408">
        <v>124</v>
      </c>
      <c r="W535" s="408">
        <v>408</v>
      </c>
      <c r="X535" s="408">
        <v>532</v>
      </c>
      <c r="Y535" s="408">
        <v>534</v>
      </c>
      <c r="Z535" s="408">
        <v>117</v>
      </c>
      <c r="AA535" s="408">
        <v>58</v>
      </c>
      <c r="AB535" s="408">
        <v>237</v>
      </c>
      <c r="AC535" s="408">
        <v>180</v>
      </c>
      <c r="AD535" s="408">
        <v>1100</v>
      </c>
    </row>
    <row r="536" spans="1:30">
      <c r="A536">
        <v>437</v>
      </c>
      <c r="B536" s="1" t="s">
        <v>435</v>
      </c>
      <c r="C536" s="1" t="s">
        <v>26</v>
      </c>
      <c r="D536" s="408">
        <v>28</v>
      </c>
      <c r="E536" s="5" t="s">
        <v>75</v>
      </c>
      <c r="F536" s="408">
        <v>69</v>
      </c>
      <c r="G536" s="408">
        <v>50</v>
      </c>
      <c r="H536" s="408">
        <v>2029</v>
      </c>
      <c r="I536" s="408">
        <v>354</v>
      </c>
      <c r="J536" s="408">
        <v>761</v>
      </c>
      <c r="K536" s="408">
        <v>0.46500000000000002</v>
      </c>
      <c r="L536" s="408">
        <v>69</v>
      </c>
      <c r="M536" s="408">
        <v>204</v>
      </c>
      <c r="N536" s="408">
        <v>0.33800000000000002</v>
      </c>
      <c r="O536" s="408">
        <v>285</v>
      </c>
      <c r="P536" s="408">
        <v>557</v>
      </c>
      <c r="Q536" s="408">
        <v>0.51200000000000001</v>
      </c>
      <c r="R536" s="408">
        <v>0.51100000000000001</v>
      </c>
      <c r="S536" s="408">
        <v>185</v>
      </c>
      <c r="T536" s="408">
        <v>241</v>
      </c>
      <c r="U536" s="408">
        <v>0.76800000000000002</v>
      </c>
      <c r="V536" s="408">
        <v>61</v>
      </c>
      <c r="W536" s="408">
        <v>178</v>
      </c>
      <c r="X536" s="408">
        <v>239</v>
      </c>
      <c r="Y536" s="408">
        <v>171</v>
      </c>
      <c r="Z536" s="408">
        <v>58</v>
      </c>
      <c r="AA536" s="408">
        <v>16</v>
      </c>
      <c r="AB536" s="408">
        <v>146</v>
      </c>
      <c r="AC536" s="408">
        <v>175</v>
      </c>
      <c r="AD536" s="408">
        <v>962</v>
      </c>
    </row>
    <row r="537" spans="1:30">
      <c r="A537">
        <v>438</v>
      </c>
      <c r="B537" s="1" t="s">
        <v>532</v>
      </c>
      <c r="C537" s="1" t="s">
        <v>20</v>
      </c>
      <c r="D537" s="408">
        <v>20</v>
      </c>
      <c r="E537" s="5" t="s">
        <v>128</v>
      </c>
      <c r="F537" s="408">
        <v>21</v>
      </c>
      <c r="G537" s="408">
        <v>5</v>
      </c>
      <c r="H537" s="408">
        <v>382</v>
      </c>
      <c r="I537" s="408">
        <v>49</v>
      </c>
      <c r="J537" s="408">
        <v>116</v>
      </c>
      <c r="K537" s="408">
        <v>0.42199999999999999</v>
      </c>
      <c r="L537" s="408">
        <v>5</v>
      </c>
      <c r="M537" s="408">
        <v>19</v>
      </c>
      <c r="N537" s="408">
        <v>0.26300000000000001</v>
      </c>
      <c r="O537" s="408">
        <v>44</v>
      </c>
      <c r="P537" s="408">
        <v>97</v>
      </c>
      <c r="Q537" s="408">
        <v>0.45400000000000001</v>
      </c>
      <c r="R537" s="408">
        <v>0.44400000000000001</v>
      </c>
      <c r="S537" s="408">
        <v>12</v>
      </c>
      <c r="T537" s="408">
        <v>12</v>
      </c>
      <c r="U537" s="408">
        <v>1</v>
      </c>
      <c r="V537" s="408">
        <v>10</v>
      </c>
      <c r="W537" s="408">
        <v>27</v>
      </c>
      <c r="X537" s="408">
        <v>37</v>
      </c>
      <c r="Y537" s="408">
        <v>35</v>
      </c>
      <c r="Z537" s="408">
        <v>14</v>
      </c>
      <c r="AA537" s="408">
        <v>5</v>
      </c>
      <c r="AB537" s="408">
        <v>24</v>
      </c>
      <c r="AC537" s="408">
        <v>42</v>
      </c>
      <c r="AD537" s="408">
        <v>115</v>
      </c>
    </row>
    <row r="538" spans="1:30">
      <c r="A538">
        <v>439</v>
      </c>
      <c r="B538" s="1" t="s">
        <v>607</v>
      </c>
      <c r="C538" s="1" t="s">
        <v>46</v>
      </c>
      <c r="D538" s="408">
        <v>29</v>
      </c>
      <c r="E538" s="5" t="s">
        <v>58</v>
      </c>
      <c r="F538" s="408">
        <v>12</v>
      </c>
      <c r="G538" s="408">
        <v>0</v>
      </c>
      <c r="H538" s="408">
        <v>59</v>
      </c>
      <c r="I538" s="408">
        <v>7</v>
      </c>
      <c r="J538" s="408">
        <v>21</v>
      </c>
      <c r="K538" s="408">
        <v>0.33300000000000002</v>
      </c>
      <c r="L538" s="408">
        <v>2</v>
      </c>
      <c r="M538" s="408">
        <v>5</v>
      </c>
      <c r="N538" s="408">
        <v>0.4</v>
      </c>
      <c r="O538" s="408">
        <v>5</v>
      </c>
      <c r="P538" s="408">
        <v>16</v>
      </c>
      <c r="Q538" s="408">
        <v>0.313</v>
      </c>
      <c r="R538" s="408">
        <v>0.38100000000000001</v>
      </c>
      <c r="S538" s="408">
        <v>7</v>
      </c>
      <c r="T538" s="408">
        <v>13</v>
      </c>
      <c r="U538" s="408">
        <v>0.53800000000000003</v>
      </c>
      <c r="V538" s="408">
        <v>1</v>
      </c>
      <c r="W538" s="408">
        <v>9</v>
      </c>
      <c r="X538" s="408">
        <v>10</v>
      </c>
      <c r="Y538" s="408">
        <v>2</v>
      </c>
      <c r="Z538" s="408">
        <v>1</v>
      </c>
      <c r="AA538" s="408">
        <v>0</v>
      </c>
      <c r="AB538" s="408">
        <v>3</v>
      </c>
      <c r="AC538" s="408">
        <v>4</v>
      </c>
      <c r="AD538" s="408">
        <v>23</v>
      </c>
    </row>
    <row r="539" spans="1:30">
      <c r="A539">
        <v>440</v>
      </c>
      <c r="B539" s="1" t="s">
        <v>198</v>
      </c>
      <c r="C539" s="1" t="s">
        <v>26</v>
      </c>
      <c r="D539" s="408">
        <v>23</v>
      </c>
      <c r="E539" s="5" t="s">
        <v>87</v>
      </c>
      <c r="F539" s="408">
        <v>54</v>
      </c>
      <c r="G539" s="408">
        <v>11</v>
      </c>
      <c r="H539" s="408">
        <v>1614</v>
      </c>
      <c r="I539" s="408">
        <v>189</v>
      </c>
      <c r="J539" s="408">
        <v>515</v>
      </c>
      <c r="K539" s="408">
        <v>0.36699999999999999</v>
      </c>
      <c r="L539" s="408">
        <v>75</v>
      </c>
      <c r="M539" s="408">
        <v>249</v>
      </c>
      <c r="N539" s="408">
        <v>0.30099999999999999</v>
      </c>
      <c r="O539" s="408">
        <v>114</v>
      </c>
      <c r="P539" s="408">
        <v>266</v>
      </c>
      <c r="Q539" s="408">
        <v>0.42899999999999999</v>
      </c>
      <c r="R539" s="408">
        <v>0.44</v>
      </c>
      <c r="S539" s="408">
        <v>97</v>
      </c>
      <c r="T539" s="408">
        <v>133</v>
      </c>
      <c r="U539" s="408">
        <v>0.72899999999999998</v>
      </c>
      <c r="V539" s="408">
        <v>43</v>
      </c>
      <c r="W539" s="408">
        <v>146</v>
      </c>
      <c r="X539" s="408">
        <v>189</v>
      </c>
      <c r="Y539" s="408">
        <v>259</v>
      </c>
      <c r="Z539" s="408">
        <v>71</v>
      </c>
      <c r="AA539" s="408">
        <v>23</v>
      </c>
      <c r="AB539" s="408">
        <v>129</v>
      </c>
      <c r="AC539" s="408">
        <v>133</v>
      </c>
      <c r="AD539" s="408">
        <v>550</v>
      </c>
    </row>
    <row r="540" spans="1:30">
      <c r="A540">
        <v>441</v>
      </c>
      <c r="B540" s="1" t="s">
        <v>367</v>
      </c>
      <c r="C540" s="1" t="s">
        <v>20</v>
      </c>
      <c r="D540" s="408">
        <v>20</v>
      </c>
      <c r="E540" s="5" t="s">
        <v>33</v>
      </c>
      <c r="F540" s="408">
        <v>61</v>
      </c>
      <c r="G540" s="408">
        <v>61</v>
      </c>
      <c r="H540" s="408">
        <v>1811</v>
      </c>
      <c r="I540" s="408">
        <v>352</v>
      </c>
      <c r="J540" s="408">
        <v>902</v>
      </c>
      <c r="K540" s="408">
        <v>0.39</v>
      </c>
      <c r="L540" s="408">
        <v>91</v>
      </c>
      <c r="M540" s="408">
        <v>298</v>
      </c>
      <c r="N540" s="408">
        <v>0.30499999999999999</v>
      </c>
      <c r="O540" s="408">
        <v>261</v>
      </c>
      <c r="P540" s="408">
        <v>604</v>
      </c>
      <c r="Q540" s="408">
        <v>0.432</v>
      </c>
      <c r="R540" s="408">
        <v>0.441</v>
      </c>
      <c r="S540" s="408">
        <v>123</v>
      </c>
      <c r="T540" s="408">
        <v>176</v>
      </c>
      <c r="U540" s="408">
        <v>0.69899999999999995</v>
      </c>
      <c r="V540" s="408">
        <v>42</v>
      </c>
      <c r="W540" s="408">
        <v>190</v>
      </c>
      <c r="X540" s="408">
        <v>232</v>
      </c>
      <c r="Y540" s="408">
        <v>298</v>
      </c>
      <c r="Z540" s="408">
        <v>63</v>
      </c>
      <c r="AA540" s="408">
        <v>16</v>
      </c>
      <c r="AB540" s="408">
        <v>170</v>
      </c>
      <c r="AC540" s="408">
        <v>131</v>
      </c>
      <c r="AD540" s="408">
        <v>918</v>
      </c>
    </row>
    <row r="541" spans="1:30">
      <c r="A541">
        <v>442</v>
      </c>
      <c r="B541" s="1" t="s">
        <v>551</v>
      </c>
      <c r="C541" s="1" t="s">
        <v>20</v>
      </c>
      <c r="D541" s="408">
        <v>29</v>
      </c>
      <c r="E541" s="5" t="s">
        <v>157</v>
      </c>
      <c r="F541" s="408">
        <v>70</v>
      </c>
      <c r="G541" s="408">
        <v>35</v>
      </c>
      <c r="H541" s="408">
        <v>1772</v>
      </c>
      <c r="I541" s="408">
        <v>325</v>
      </c>
      <c r="J541" s="408">
        <v>681</v>
      </c>
      <c r="K541" s="408">
        <v>0.47699999999999998</v>
      </c>
      <c r="L541" s="408">
        <v>19</v>
      </c>
      <c r="M541" s="408">
        <v>60</v>
      </c>
      <c r="N541" s="408">
        <v>0.317</v>
      </c>
      <c r="O541" s="408">
        <v>306</v>
      </c>
      <c r="P541" s="408">
        <v>621</v>
      </c>
      <c r="Q541" s="408">
        <v>0.49299999999999999</v>
      </c>
      <c r="R541" s="408">
        <v>0.49099999999999999</v>
      </c>
      <c r="S541" s="408">
        <v>77</v>
      </c>
      <c r="T541" s="408">
        <v>111</v>
      </c>
      <c r="U541" s="408">
        <v>0.69399999999999995</v>
      </c>
      <c r="V541" s="408">
        <v>24</v>
      </c>
      <c r="W541" s="408">
        <v>169</v>
      </c>
      <c r="X541" s="408">
        <v>193</v>
      </c>
      <c r="Y541" s="408">
        <v>305</v>
      </c>
      <c r="Z541" s="408">
        <v>55</v>
      </c>
      <c r="AA541" s="408">
        <v>16</v>
      </c>
      <c r="AB541" s="408">
        <v>94</v>
      </c>
      <c r="AC541" s="408">
        <v>125</v>
      </c>
      <c r="AD541" s="408">
        <v>746</v>
      </c>
    </row>
    <row r="542" spans="1:30">
      <c r="A542">
        <v>443</v>
      </c>
      <c r="B542" s="1" t="s">
        <v>351</v>
      </c>
      <c r="C542" s="1" t="s">
        <v>26</v>
      </c>
      <c r="D542" s="408">
        <v>32</v>
      </c>
      <c r="E542" s="5" t="s">
        <v>102</v>
      </c>
      <c r="F542" s="408">
        <v>68</v>
      </c>
      <c r="G542" s="408">
        <v>61</v>
      </c>
      <c r="H542" s="408">
        <v>1959</v>
      </c>
      <c r="I542" s="408">
        <v>201</v>
      </c>
      <c r="J542" s="408">
        <v>517</v>
      </c>
      <c r="K542" s="408">
        <v>0.38900000000000001</v>
      </c>
      <c r="L542" s="408">
        <v>126</v>
      </c>
      <c r="M542" s="408">
        <v>345</v>
      </c>
      <c r="N542" s="408">
        <v>0.36499999999999999</v>
      </c>
      <c r="O542" s="408">
        <v>75</v>
      </c>
      <c r="P542" s="408">
        <v>172</v>
      </c>
      <c r="Q542" s="408">
        <v>0.436</v>
      </c>
      <c r="R542" s="408">
        <v>0.51100000000000001</v>
      </c>
      <c r="S542" s="408">
        <v>33</v>
      </c>
      <c r="T542" s="408">
        <v>48</v>
      </c>
      <c r="U542" s="408">
        <v>0.68799999999999994</v>
      </c>
      <c r="V542" s="408">
        <v>26</v>
      </c>
      <c r="W542" s="408">
        <v>173</v>
      </c>
      <c r="X542" s="408">
        <v>199</v>
      </c>
      <c r="Y542" s="408">
        <v>127</v>
      </c>
      <c r="Z542" s="408">
        <v>61</v>
      </c>
      <c r="AA542" s="408">
        <v>10</v>
      </c>
      <c r="AB542" s="408">
        <v>69</v>
      </c>
      <c r="AC542" s="408">
        <v>146</v>
      </c>
      <c r="AD542" s="408">
        <v>561</v>
      </c>
    </row>
    <row r="543" spans="1:30">
      <c r="A543">
        <v>444</v>
      </c>
      <c r="B543" s="1" t="s">
        <v>291</v>
      </c>
      <c r="C543" s="1" t="s">
        <v>83</v>
      </c>
      <c r="D543" s="408">
        <v>31</v>
      </c>
      <c r="E543" s="5" t="s">
        <v>27</v>
      </c>
      <c r="F543" s="408">
        <v>27</v>
      </c>
      <c r="G543" s="408">
        <v>2</v>
      </c>
      <c r="H543" s="408">
        <v>241</v>
      </c>
      <c r="I543" s="408">
        <v>37</v>
      </c>
      <c r="J543" s="408">
        <v>98</v>
      </c>
      <c r="K543" s="408">
        <v>0.378</v>
      </c>
      <c r="L543" s="408">
        <v>3</v>
      </c>
      <c r="M543" s="408">
        <v>26</v>
      </c>
      <c r="N543" s="408">
        <v>0.115</v>
      </c>
      <c r="O543" s="408">
        <v>34</v>
      </c>
      <c r="P543" s="408">
        <v>72</v>
      </c>
      <c r="Q543" s="408">
        <v>0.47199999999999998</v>
      </c>
      <c r="R543" s="408">
        <v>0.39300000000000002</v>
      </c>
      <c r="S543" s="408">
        <v>15</v>
      </c>
      <c r="T543" s="408">
        <v>17</v>
      </c>
      <c r="U543" s="408">
        <v>0.88200000000000001</v>
      </c>
      <c r="V543" s="408">
        <v>17</v>
      </c>
      <c r="W543" s="408">
        <v>27</v>
      </c>
      <c r="X543" s="408">
        <v>44</v>
      </c>
      <c r="Y543" s="408">
        <v>13</v>
      </c>
      <c r="Z543" s="408">
        <v>3</v>
      </c>
      <c r="AA543" s="408">
        <v>11</v>
      </c>
      <c r="AB543" s="408">
        <v>14</v>
      </c>
      <c r="AC543" s="408">
        <v>40</v>
      </c>
      <c r="AD543" s="408">
        <v>92</v>
      </c>
    </row>
    <row r="544" spans="1:30">
      <c r="A544">
        <v>445</v>
      </c>
      <c r="B544" s="1" t="s">
        <v>636</v>
      </c>
      <c r="C544" s="1" t="s">
        <v>38</v>
      </c>
      <c r="D544" s="408">
        <v>32</v>
      </c>
      <c r="E544" s="5" t="s">
        <v>112</v>
      </c>
      <c r="F544" s="408">
        <v>3</v>
      </c>
      <c r="G544" s="408">
        <v>0</v>
      </c>
      <c r="H544" s="408">
        <v>12</v>
      </c>
      <c r="I544" s="408">
        <v>1</v>
      </c>
      <c r="J544" s="408">
        <v>4</v>
      </c>
      <c r="K544" s="408">
        <v>0.25</v>
      </c>
      <c r="L544" s="408">
        <v>0</v>
      </c>
      <c r="M544" s="408">
        <v>0</v>
      </c>
      <c r="N544" s="408"/>
      <c r="O544" s="408">
        <v>1</v>
      </c>
      <c r="P544" s="408">
        <v>4</v>
      </c>
      <c r="Q544" s="408">
        <v>0.25</v>
      </c>
      <c r="R544" s="408">
        <v>0.25</v>
      </c>
      <c r="S544" s="408">
        <v>0</v>
      </c>
      <c r="T544" s="408">
        <v>0</v>
      </c>
      <c r="U544" s="408"/>
      <c r="V544" s="408">
        <v>3</v>
      </c>
      <c r="W544" s="408">
        <v>1</v>
      </c>
      <c r="X544" s="408">
        <v>4</v>
      </c>
      <c r="Y544" s="408">
        <v>0</v>
      </c>
      <c r="Z544" s="408">
        <v>0</v>
      </c>
      <c r="AA544" s="408">
        <v>0</v>
      </c>
      <c r="AB544" s="408">
        <v>0</v>
      </c>
      <c r="AC544" s="408">
        <v>3</v>
      </c>
      <c r="AD544" s="408">
        <v>2</v>
      </c>
    </row>
    <row r="545" spans="1:30">
      <c r="A545">
        <v>446</v>
      </c>
      <c r="B545" s="1" t="s">
        <v>401</v>
      </c>
      <c r="C545" s="1" t="s">
        <v>26</v>
      </c>
      <c r="D545" s="408">
        <v>26</v>
      </c>
      <c r="E545" s="5" t="s">
        <v>41</v>
      </c>
      <c r="F545" s="408">
        <v>63</v>
      </c>
      <c r="G545" s="408">
        <v>51</v>
      </c>
      <c r="H545" s="408">
        <v>1797</v>
      </c>
      <c r="I545" s="408">
        <v>160</v>
      </c>
      <c r="J545" s="408">
        <v>366</v>
      </c>
      <c r="K545" s="408">
        <v>0.437</v>
      </c>
      <c r="L545" s="408">
        <v>94</v>
      </c>
      <c r="M545" s="408">
        <v>230</v>
      </c>
      <c r="N545" s="408">
        <v>0.40899999999999997</v>
      </c>
      <c r="O545" s="408">
        <v>66</v>
      </c>
      <c r="P545" s="408">
        <v>136</v>
      </c>
      <c r="Q545" s="408">
        <v>0.48499999999999999</v>
      </c>
      <c r="R545" s="408">
        <v>0.56599999999999995</v>
      </c>
      <c r="S545" s="408">
        <v>35</v>
      </c>
      <c r="T545" s="408">
        <v>44</v>
      </c>
      <c r="U545" s="408">
        <v>0.79500000000000004</v>
      </c>
      <c r="V545" s="408">
        <v>9</v>
      </c>
      <c r="W545" s="408">
        <v>115</v>
      </c>
      <c r="X545" s="408">
        <v>124</v>
      </c>
      <c r="Y545" s="408">
        <v>85</v>
      </c>
      <c r="Z545" s="408">
        <v>43</v>
      </c>
      <c r="AA545" s="408">
        <v>22</v>
      </c>
      <c r="AB545" s="408">
        <v>34</v>
      </c>
      <c r="AC545" s="408">
        <v>99</v>
      </c>
      <c r="AD545" s="408">
        <v>449</v>
      </c>
    </row>
    <row r="546" spans="1:30">
      <c r="A546">
        <v>447</v>
      </c>
      <c r="B546" s="1" t="s">
        <v>168</v>
      </c>
      <c r="C546" s="1" t="s">
        <v>83</v>
      </c>
      <c r="D546" s="408">
        <v>30</v>
      </c>
      <c r="E546" s="5" t="s">
        <v>75</v>
      </c>
      <c r="F546" s="408">
        <v>49</v>
      </c>
      <c r="G546" s="408">
        <v>3</v>
      </c>
      <c r="H546" s="408">
        <v>640</v>
      </c>
      <c r="I546" s="408">
        <v>129</v>
      </c>
      <c r="J546" s="408">
        <v>329</v>
      </c>
      <c r="K546" s="408">
        <v>0.39200000000000002</v>
      </c>
      <c r="L546" s="408">
        <v>82</v>
      </c>
      <c r="M546" s="408">
        <v>222</v>
      </c>
      <c r="N546" s="408">
        <v>0.36899999999999999</v>
      </c>
      <c r="O546" s="408">
        <v>47</v>
      </c>
      <c r="P546" s="408">
        <v>107</v>
      </c>
      <c r="Q546" s="408">
        <v>0.439</v>
      </c>
      <c r="R546" s="408">
        <v>0.51700000000000002</v>
      </c>
      <c r="S546" s="408">
        <v>38</v>
      </c>
      <c r="T546" s="408">
        <v>50</v>
      </c>
      <c r="U546" s="408">
        <v>0.76</v>
      </c>
      <c r="V546" s="408">
        <v>20</v>
      </c>
      <c r="W546" s="408">
        <v>109</v>
      </c>
      <c r="X546" s="408">
        <v>129</v>
      </c>
      <c r="Y546" s="408">
        <v>37</v>
      </c>
      <c r="Z546" s="408">
        <v>6</v>
      </c>
      <c r="AA546" s="408">
        <v>22</v>
      </c>
      <c r="AB546" s="408">
        <v>36</v>
      </c>
      <c r="AC546" s="408">
        <v>100</v>
      </c>
      <c r="AD546" s="408">
        <v>378</v>
      </c>
    </row>
    <row r="547" spans="1:30">
      <c r="A547">
        <v>448</v>
      </c>
      <c r="B547" s="1" t="s">
        <v>111</v>
      </c>
      <c r="C547" s="1" t="s">
        <v>26</v>
      </c>
      <c r="D547" s="408">
        <v>24</v>
      </c>
      <c r="E547" s="5" t="s">
        <v>357</v>
      </c>
      <c r="F547" s="408">
        <v>35</v>
      </c>
      <c r="G547" s="408">
        <v>0</v>
      </c>
      <c r="H547" s="408">
        <v>428</v>
      </c>
      <c r="I547" s="408">
        <v>46</v>
      </c>
      <c r="J547" s="408">
        <v>120</v>
      </c>
      <c r="K547" s="408">
        <v>0.38300000000000001</v>
      </c>
      <c r="L547" s="408">
        <v>33</v>
      </c>
      <c r="M547" s="408">
        <v>81</v>
      </c>
      <c r="N547" s="408">
        <v>0.40699999999999997</v>
      </c>
      <c r="O547" s="408">
        <v>13</v>
      </c>
      <c r="P547" s="408">
        <v>39</v>
      </c>
      <c r="Q547" s="408">
        <v>0.33300000000000002</v>
      </c>
      <c r="R547" s="408">
        <v>0.52100000000000002</v>
      </c>
      <c r="S547" s="408">
        <v>17</v>
      </c>
      <c r="T547" s="408">
        <v>22</v>
      </c>
      <c r="U547" s="408">
        <v>0.77300000000000002</v>
      </c>
      <c r="V547" s="408">
        <v>3</v>
      </c>
      <c r="W547" s="408">
        <v>49</v>
      </c>
      <c r="X547" s="408">
        <v>52</v>
      </c>
      <c r="Y547" s="408">
        <v>29</v>
      </c>
      <c r="Z547" s="408">
        <v>8</v>
      </c>
      <c r="AA547" s="408">
        <v>3</v>
      </c>
      <c r="AB547" s="408">
        <v>21</v>
      </c>
      <c r="AC547" s="408">
        <v>18</v>
      </c>
      <c r="AD547" s="408">
        <v>142</v>
      </c>
    </row>
    <row r="548" spans="1:30">
      <c r="A548">
        <v>448</v>
      </c>
      <c r="B548" s="1" t="s">
        <v>111</v>
      </c>
      <c r="C548" s="1" t="s">
        <v>26</v>
      </c>
      <c r="D548" s="408">
        <v>24</v>
      </c>
      <c r="E548" s="5" t="s">
        <v>118</v>
      </c>
      <c r="F548" s="408">
        <v>6</v>
      </c>
      <c r="G548" s="408">
        <v>0</v>
      </c>
      <c r="H548" s="408">
        <v>45</v>
      </c>
      <c r="I548" s="408">
        <v>1</v>
      </c>
      <c r="J548" s="408">
        <v>4</v>
      </c>
      <c r="K548" s="408">
        <v>0.25</v>
      </c>
      <c r="L548" s="408">
        <v>0</v>
      </c>
      <c r="M548" s="408">
        <v>1</v>
      </c>
      <c r="N548" s="408">
        <v>0</v>
      </c>
      <c r="O548" s="408">
        <v>1</v>
      </c>
      <c r="P548" s="408">
        <v>3</v>
      </c>
      <c r="Q548" s="408">
        <v>0.33300000000000002</v>
      </c>
      <c r="R548" s="408">
        <v>0.25</v>
      </c>
      <c r="S548" s="408">
        <v>2</v>
      </c>
      <c r="T548" s="408">
        <v>2</v>
      </c>
      <c r="U548" s="408">
        <v>1</v>
      </c>
      <c r="V548" s="408">
        <v>0</v>
      </c>
      <c r="W548" s="408">
        <v>1</v>
      </c>
      <c r="X548" s="408">
        <v>1</v>
      </c>
      <c r="Y548" s="408">
        <v>1</v>
      </c>
      <c r="Z548" s="408">
        <v>4</v>
      </c>
      <c r="AA548" s="408">
        <v>0</v>
      </c>
      <c r="AB548" s="408">
        <v>4</v>
      </c>
      <c r="AC548" s="408">
        <v>3</v>
      </c>
      <c r="AD548" s="408">
        <v>4</v>
      </c>
    </row>
    <row r="549" spans="1:30">
      <c r="A549">
        <v>448</v>
      </c>
      <c r="B549" s="1" t="s">
        <v>111</v>
      </c>
      <c r="C549" s="1" t="s">
        <v>26</v>
      </c>
      <c r="D549" s="408">
        <v>24</v>
      </c>
      <c r="E549" s="5" t="s">
        <v>315</v>
      </c>
      <c r="F549" s="408">
        <v>29</v>
      </c>
      <c r="G549" s="408">
        <v>0</v>
      </c>
      <c r="H549" s="408">
        <v>383</v>
      </c>
      <c r="I549" s="408">
        <v>45</v>
      </c>
      <c r="J549" s="408">
        <v>116</v>
      </c>
      <c r="K549" s="408">
        <v>0.38800000000000001</v>
      </c>
      <c r="L549" s="408">
        <v>33</v>
      </c>
      <c r="M549" s="408">
        <v>80</v>
      </c>
      <c r="N549" s="408">
        <v>0.41299999999999998</v>
      </c>
      <c r="O549" s="408">
        <v>12</v>
      </c>
      <c r="P549" s="408">
        <v>36</v>
      </c>
      <c r="Q549" s="408">
        <v>0.33300000000000002</v>
      </c>
      <c r="R549" s="408">
        <v>0.53</v>
      </c>
      <c r="S549" s="408">
        <v>15</v>
      </c>
      <c r="T549" s="408">
        <v>20</v>
      </c>
      <c r="U549" s="408">
        <v>0.75</v>
      </c>
      <c r="V549" s="408">
        <v>3</v>
      </c>
      <c r="W549" s="408">
        <v>48</v>
      </c>
      <c r="X549" s="408">
        <v>51</v>
      </c>
      <c r="Y549" s="408">
        <v>28</v>
      </c>
      <c r="Z549" s="408">
        <v>4</v>
      </c>
      <c r="AA549" s="408">
        <v>3</v>
      </c>
      <c r="AB549" s="408">
        <v>17</v>
      </c>
      <c r="AC549" s="408">
        <v>15</v>
      </c>
      <c r="AD549" s="408">
        <v>138</v>
      </c>
    </row>
    <row r="550" spans="1:30">
      <c r="A550">
        <v>449</v>
      </c>
      <c r="B550" s="1" t="s">
        <v>458</v>
      </c>
      <c r="C550" s="1" t="s">
        <v>26</v>
      </c>
      <c r="D550" s="408">
        <v>27</v>
      </c>
      <c r="E550" s="5" t="s">
        <v>30</v>
      </c>
      <c r="F550" s="408">
        <v>71</v>
      </c>
      <c r="G550" s="408">
        <v>6</v>
      </c>
      <c r="H550" s="408">
        <v>1618</v>
      </c>
      <c r="I550" s="408">
        <v>269</v>
      </c>
      <c r="J550" s="408">
        <v>614</v>
      </c>
      <c r="K550" s="408">
        <v>0.438</v>
      </c>
      <c r="L550" s="408">
        <v>60</v>
      </c>
      <c r="M550" s="408">
        <v>193</v>
      </c>
      <c r="N550" s="408">
        <v>0.311</v>
      </c>
      <c r="O550" s="408">
        <v>209</v>
      </c>
      <c r="P550" s="408">
        <v>421</v>
      </c>
      <c r="Q550" s="408">
        <v>0.496</v>
      </c>
      <c r="R550" s="408">
        <v>0.48699999999999999</v>
      </c>
      <c r="S550" s="408">
        <v>76</v>
      </c>
      <c r="T550" s="408">
        <v>112</v>
      </c>
      <c r="U550" s="408">
        <v>0.67900000000000005</v>
      </c>
      <c r="V550" s="408">
        <v>53</v>
      </c>
      <c r="W550" s="408">
        <v>312</v>
      </c>
      <c r="X550" s="408">
        <v>365</v>
      </c>
      <c r="Y550" s="408">
        <v>207</v>
      </c>
      <c r="Z550" s="408">
        <v>40</v>
      </c>
      <c r="AA550" s="408">
        <v>13</v>
      </c>
      <c r="AB550" s="408">
        <v>120</v>
      </c>
      <c r="AC550" s="408">
        <v>156</v>
      </c>
      <c r="AD550" s="408">
        <v>674</v>
      </c>
    </row>
    <row r="551" spans="1:30">
      <c r="A551">
        <v>450</v>
      </c>
      <c r="B551" s="1" t="s">
        <v>54</v>
      </c>
      <c r="C551" s="1" t="s">
        <v>26</v>
      </c>
      <c r="D551" s="408">
        <v>29</v>
      </c>
      <c r="E551" s="5" t="s">
        <v>311</v>
      </c>
      <c r="F551" s="408">
        <v>16</v>
      </c>
      <c r="G551" s="408">
        <v>0</v>
      </c>
      <c r="H551" s="408">
        <v>60</v>
      </c>
      <c r="I551" s="408">
        <v>2</v>
      </c>
      <c r="J551" s="408">
        <v>4</v>
      </c>
      <c r="K551" s="408">
        <v>0.5</v>
      </c>
      <c r="L551" s="408">
        <v>2</v>
      </c>
      <c r="M551" s="408">
        <v>4</v>
      </c>
      <c r="N551" s="408">
        <v>0.5</v>
      </c>
      <c r="O551" s="408">
        <v>0</v>
      </c>
      <c r="P551" s="408">
        <v>0</v>
      </c>
      <c r="Q551" s="408"/>
      <c r="R551" s="408">
        <v>0.75</v>
      </c>
      <c r="S551" s="408">
        <v>1</v>
      </c>
      <c r="T551" s="408">
        <v>2</v>
      </c>
      <c r="U551" s="408">
        <v>0.5</v>
      </c>
      <c r="V551" s="408">
        <v>0</v>
      </c>
      <c r="W551" s="408">
        <v>16</v>
      </c>
      <c r="X551" s="408">
        <v>16</v>
      </c>
      <c r="Y551" s="408">
        <v>12</v>
      </c>
      <c r="Z551" s="408">
        <v>2</v>
      </c>
      <c r="AA551" s="408">
        <v>1</v>
      </c>
      <c r="AB551" s="408">
        <v>4</v>
      </c>
      <c r="AC551" s="408">
        <v>9</v>
      </c>
      <c r="AD551" s="408">
        <v>7</v>
      </c>
    </row>
    <row r="552" spans="1:30">
      <c r="A552">
        <v>451</v>
      </c>
      <c r="B552" s="1" t="s">
        <v>565</v>
      </c>
      <c r="C552" s="1" t="s">
        <v>38</v>
      </c>
      <c r="D552" s="408">
        <v>20</v>
      </c>
      <c r="E552" s="5" t="s">
        <v>96</v>
      </c>
      <c r="F552" s="408">
        <v>21</v>
      </c>
      <c r="G552" s="408">
        <v>3</v>
      </c>
      <c r="H552" s="408">
        <v>148</v>
      </c>
      <c r="I552" s="408">
        <v>17</v>
      </c>
      <c r="J552" s="408">
        <v>46</v>
      </c>
      <c r="K552" s="408">
        <v>0.37</v>
      </c>
      <c r="L552" s="408">
        <v>1</v>
      </c>
      <c r="M552" s="408">
        <v>6</v>
      </c>
      <c r="N552" s="408">
        <v>0.16700000000000001</v>
      </c>
      <c r="O552" s="408">
        <v>16</v>
      </c>
      <c r="P552" s="408">
        <v>40</v>
      </c>
      <c r="Q552" s="408">
        <v>0.4</v>
      </c>
      <c r="R552" s="408">
        <v>0.38</v>
      </c>
      <c r="S552" s="408">
        <v>8</v>
      </c>
      <c r="T552" s="408">
        <v>13</v>
      </c>
      <c r="U552" s="408">
        <v>0.61499999999999999</v>
      </c>
      <c r="V552" s="408">
        <v>14</v>
      </c>
      <c r="W552" s="408">
        <v>24</v>
      </c>
      <c r="X552" s="408">
        <v>38</v>
      </c>
      <c r="Y552" s="408">
        <v>10</v>
      </c>
      <c r="Z552" s="408">
        <v>5</v>
      </c>
      <c r="AA552" s="408">
        <v>3</v>
      </c>
      <c r="AB552" s="408">
        <v>13</v>
      </c>
      <c r="AC552" s="408">
        <v>28</v>
      </c>
      <c r="AD552" s="408">
        <v>43</v>
      </c>
    </row>
    <row r="553" spans="1:30">
      <c r="A553">
        <v>452</v>
      </c>
      <c r="B553" s="1" t="s">
        <v>431</v>
      </c>
      <c r="C553" s="1" t="s">
        <v>46</v>
      </c>
      <c r="D553" s="408">
        <v>19</v>
      </c>
      <c r="E553" s="5" t="s">
        <v>87</v>
      </c>
      <c r="F553" s="408">
        <v>70</v>
      </c>
      <c r="G553" s="408">
        <v>70</v>
      </c>
      <c r="H553" s="408">
        <v>2130</v>
      </c>
      <c r="I553" s="408">
        <v>334</v>
      </c>
      <c r="J553" s="408">
        <v>707</v>
      </c>
      <c r="K553" s="408">
        <v>0.47199999999999998</v>
      </c>
      <c r="L553" s="408">
        <v>90</v>
      </c>
      <c r="M553" s="408">
        <v>211</v>
      </c>
      <c r="N553" s="408">
        <v>0.42699999999999999</v>
      </c>
      <c r="O553" s="408">
        <v>244</v>
      </c>
      <c r="P553" s="408">
        <v>496</v>
      </c>
      <c r="Q553" s="408">
        <v>0.49199999999999999</v>
      </c>
      <c r="R553" s="408">
        <v>0.53600000000000003</v>
      </c>
      <c r="S553" s="408">
        <v>184</v>
      </c>
      <c r="T553" s="408">
        <v>225</v>
      </c>
      <c r="U553" s="408">
        <v>0.81799999999999995</v>
      </c>
      <c r="V553" s="408">
        <v>44</v>
      </c>
      <c r="W553" s="408">
        <v>307</v>
      </c>
      <c r="X553" s="408">
        <v>351</v>
      </c>
      <c r="Y553" s="408">
        <v>103</v>
      </c>
      <c r="Z553" s="408">
        <v>62</v>
      </c>
      <c r="AA553" s="408">
        <v>54</v>
      </c>
      <c r="AB553" s="408">
        <v>94</v>
      </c>
      <c r="AC553" s="408">
        <v>149</v>
      </c>
      <c r="AD553" s="408">
        <v>942</v>
      </c>
    </row>
    <row r="554" spans="1:30">
      <c r="A554">
        <v>453</v>
      </c>
      <c r="B554" s="1" t="s">
        <v>543</v>
      </c>
      <c r="C554" s="1" t="s">
        <v>20</v>
      </c>
      <c r="D554" s="408">
        <v>23</v>
      </c>
      <c r="E554" s="5" t="s">
        <v>149</v>
      </c>
      <c r="F554" s="408">
        <v>55</v>
      </c>
      <c r="G554" s="408">
        <v>1</v>
      </c>
      <c r="H554" s="408">
        <v>844</v>
      </c>
      <c r="I554" s="408">
        <v>108</v>
      </c>
      <c r="J554" s="408">
        <v>254</v>
      </c>
      <c r="K554" s="408">
        <v>0.42499999999999999</v>
      </c>
      <c r="L554" s="408">
        <v>13</v>
      </c>
      <c r="M554" s="408">
        <v>50</v>
      </c>
      <c r="N554" s="408">
        <v>0.26</v>
      </c>
      <c r="O554" s="408">
        <v>95</v>
      </c>
      <c r="P554" s="408">
        <v>204</v>
      </c>
      <c r="Q554" s="408">
        <v>0.46600000000000003</v>
      </c>
      <c r="R554" s="408">
        <v>0.45100000000000001</v>
      </c>
      <c r="S554" s="408">
        <v>74</v>
      </c>
      <c r="T554" s="408">
        <v>108</v>
      </c>
      <c r="U554" s="408">
        <v>0.68500000000000005</v>
      </c>
      <c r="V554" s="408">
        <v>16</v>
      </c>
      <c r="W554" s="408">
        <v>56</v>
      </c>
      <c r="X554" s="408">
        <v>72</v>
      </c>
      <c r="Y554" s="408">
        <v>146</v>
      </c>
      <c r="Z554" s="408">
        <v>25</v>
      </c>
      <c r="AA554" s="408">
        <v>10</v>
      </c>
      <c r="AB554" s="408">
        <v>55</v>
      </c>
      <c r="AC554" s="408">
        <v>88</v>
      </c>
      <c r="AD554" s="408">
        <v>303</v>
      </c>
    </row>
    <row r="555" spans="1:30">
      <c r="A555">
        <v>454</v>
      </c>
      <c r="B555" s="1" t="s">
        <v>12</v>
      </c>
      <c r="C555" s="1" t="s">
        <v>20</v>
      </c>
      <c r="D555" s="408">
        <v>29</v>
      </c>
      <c r="E555" s="5" t="s">
        <v>56</v>
      </c>
      <c r="F555" s="408">
        <v>60</v>
      </c>
      <c r="G555" s="408">
        <v>60</v>
      </c>
      <c r="H555" s="408">
        <v>1983</v>
      </c>
      <c r="I555" s="408">
        <v>298</v>
      </c>
      <c r="J555" s="408">
        <v>667</v>
      </c>
      <c r="K555" s="408">
        <v>0.44700000000000001</v>
      </c>
      <c r="L555" s="408">
        <v>72</v>
      </c>
      <c r="M555" s="408">
        <v>190</v>
      </c>
      <c r="N555" s="408">
        <v>0.379</v>
      </c>
      <c r="O555" s="408">
        <v>226</v>
      </c>
      <c r="P555" s="408">
        <v>477</v>
      </c>
      <c r="Q555" s="408">
        <v>0.47399999999999998</v>
      </c>
      <c r="R555" s="408">
        <v>0.501</v>
      </c>
      <c r="S555" s="408">
        <v>162</v>
      </c>
      <c r="T555" s="408">
        <v>196</v>
      </c>
      <c r="U555" s="408">
        <v>0.82699999999999996</v>
      </c>
      <c r="V555" s="408">
        <v>23</v>
      </c>
      <c r="W555" s="408">
        <v>163</v>
      </c>
      <c r="X555" s="408">
        <v>186</v>
      </c>
      <c r="Y555" s="408">
        <v>422</v>
      </c>
      <c r="Z555" s="408">
        <v>92</v>
      </c>
      <c r="AA555" s="408">
        <v>20</v>
      </c>
      <c r="AB555" s="408">
        <v>153</v>
      </c>
      <c r="AC555" s="408">
        <v>145</v>
      </c>
      <c r="AD555" s="408">
        <v>830</v>
      </c>
    </row>
    <row r="556" spans="1:30">
      <c r="A556">
        <v>455</v>
      </c>
      <c r="B556" s="1" t="s">
        <v>370</v>
      </c>
      <c r="C556" s="1" t="s">
        <v>38</v>
      </c>
      <c r="D556" s="408">
        <v>32</v>
      </c>
      <c r="E556" s="5" t="s">
        <v>41</v>
      </c>
      <c r="F556" s="408">
        <v>10</v>
      </c>
      <c r="G556" s="408">
        <v>0</v>
      </c>
      <c r="H556" s="408">
        <v>159</v>
      </c>
      <c r="I556" s="408">
        <v>25</v>
      </c>
      <c r="J556" s="408">
        <v>57</v>
      </c>
      <c r="K556" s="408">
        <v>0.439</v>
      </c>
      <c r="L556" s="408">
        <v>21</v>
      </c>
      <c r="M556" s="408">
        <v>45</v>
      </c>
      <c r="N556" s="408">
        <v>0.46700000000000003</v>
      </c>
      <c r="O556" s="408">
        <v>4</v>
      </c>
      <c r="P556" s="408">
        <v>12</v>
      </c>
      <c r="Q556" s="408">
        <v>0.33300000000000002</v>
      </c>
      <c r="R556" s="408">
        <v>0.623</v>
      </c>
      <c r="S556" s="408">
        <v>0</v>
      </c>
      <c r="T556" s="408">
        <v>0</v>
      </c>
      <c r="U556" s="408"/>
      <c r="V556" s="408">
        <v>3</v>
      </c>
      <c r="W556" s="408">
        <v>20</v>
      </c>
      <c r="X556" s="408">
        <v>23</v>
      </c>
      <c r="Y556" s="408">
        <v>10</v>
      </c>
      <c r="Z556" s="408">
        <v>4</v>
      </c>
      <c r="AA556" s="408">
        <v>1</v>
      </c>
      <c r="AB556" s="408">
        <v>7</v>
      </c>
      <c r="AC556" s="408">
        <v>14</v>
      </c>
      <c r="AD556" s="408">
        <v>71</v>
      </c>
    </row>
    <row r="557" spans="1:30">
      <c r="A557">
        <v>456</v>
      </c>
      <c r="B557" s="1" t="s">
        <v>403</v>
      </c>
      <c r="C557" s="1" t="s">
        <v>26</v>
      </c>
      <c r="D557" s="408">
        <v>31</v>
      </c>
      <c r="E557" s="5" t="s">
        <v>100</v>
      </c>
      <c r="F557" s="408">
        <v>65</v>
      </c>
      <c r="G557" s="408">
        <v>35</v>
      </c>
      <c r="H557" s="408">
        <v>1615</v>
      </c>
      <c r="I557" s="408">
        <v>199</v>
      </c>
      <c r="J557" s="408">
        <v>476</v>
      </c>
      <c r="K557" s="408">
        <v>0.41799999999999998</v>
      </c>
      <c r="L557" s="408">
        <v>89</v>
      </c>
      <c r="M557" s="408">
        <v>227</v>
      </c>
      <c r="N557" s="408">
        <v>0.39200000000000002</v>
      </c>
      <c r="O557" s="408">
        <v>110</v>
      </c>
      <c r="P557" s="408">
        <v>249</v>
      </c>
      <c r="Q557" s="408">
        <v>0.442</v>
      </c>
      <c r="R557" s="408">
        <v>0.51200000000000001</v>
      </c>
      <c r="S557" s="408">
        <v>60</v>
      </c>
      <c r="T557" s="408">
        <v>78</v>
      </c>
      <c r="U557" s="408">
        <v>0.76900000000000002</v>
      </c>
      <c r="V557" s="408">
        <v>22</v>
      </c>
      <c r="W557" s="408">
        <v>130</v>
      </c>
      <c r="X557" s="408">
        <v>152</v>
      </c>
      <c r="Y557" s="408">
        <v>124</v>
      </c>
      <c r="Z557" s="408">
        <v>57</v>
      </c>
      <c r="AA557" s="408">
        <v>27</v>
      </c>
      <c r="AB557" s="408">
        <v>79</v>
      </c>
      <c r="AC557" s="408">
        <v>135</v>
      </c>
      <c r="AD557" s="408">
        <v>547</v>
      </c>
    </row>
    <row r="558" spans="1:30">
      <c r="A558">
        <v>457</v>
      </c>
      <c r="B558" s="1" t="s">
        <v>342</v>
      </c>
      <c r="C558" s="1" t="s">
        <v>20</v>
      </c>
      <c r="D558" s="408">
        <v>30</v>
      </c>
      <c r="E558" s="5" t="s">
        <v>64</v>
      </c>
      <c r="F558" s="408">
        <v>40</v>
      </c>
      <c r="G558" s="408">
        <v>31</v>
      </c>
      <c r="H558" s="408">
        <v>1004</v>
      </c>
      <c r="I558" s="408">
        <v>130</v>
      </c>
      <c r="J558" s="408">
        <v>317</v>
      </c>
      <c r="K558" s="408">
        <v>0.41</v>
      </c>
      <c r="L558" s="408">
        <v>75</v>
      </c>
      <c r="M558" s="408">
        <v>205</v>
      </c>
      <c r="N558" s="408">
        <v>0.36599999999999999</v>
      </c>
      <c r="O558" s="408">
        <v>55</v>
      </c>
      <c r="P558" s="408">
        <v>112</v>
      </c>
      <c r="Q558" s="408">
        <v>0.49099999999999999</v>
      </c>
      <c r="R558" s="408">
        <v>0.52800000000000002</v>
      </c>
      <c r="S558" s="408">
        <v>31</v>
      </c>
      <c r="T558" s="408">
        <v>36</v>
      </c>
      <c r="U558" s="408">
        <v>0.86099999999999999</v>
      </c>
      <c r="V558" s="408">
        <v>16</v>
      </c>
      <c r="W558" s="408">
        <v>99</v>
      </c>
      <c r="X558" s="408">
        <v>115</v>
      </c>
      <c r="Y558" s="408">
        <v>195</v>
      </c>
      <c r="Z558" s="408">
        <v>22</v>
      </c>
      <c r="AA558" s="408">
        <v>4</v>
      </c>
      <c r="AB558" s="408">
        <v>88</v>
      </c>
      <c r="AC558" s="408">
        <v>93</v>
      </c>
      <c r="AD558" s="408">
        <v>366</v>
      </c>
    </row>
    <row r="559" spans="1:30">
      <c r="A559">
        <v>458</v>
      </c>
      <c r="B559" s="1" t="s">
        <v>57</v>
      </c>
      <c r="C559" s="1" t="s">
        <v>26</v>
      </c>
      <c r="D559" s="408">
        <v>40</v>
      </c>
      <c r="E559" s="5" t="s">
        <v>41</v>
      </c>
      <c r="F559" s="408">
        <v>39</v>
      </c>
      <c r="G559" s="408">
        <v>1</v>
      </c>
      <c r="H559" s="408">
        <v>555</v>
      </c>
      <c r="I559" s="408">
        <v>40</v>
      </c>
      <c r="J559" s="408">
        <v>105</v>
      </c>
      <c r="K559" s="408">
        <v>0.38100000000000001</v>
      </c>
      <c r="L559" s="408">
        <v>26</v>
      </c>
      <c r="M559" s="408">
        <v>76</v>
      </c>
      <c r="N559" s="408">
        <v>0.34200000000000003</v>
      </c>
      <c r="O559" s="408">
        <v>14</v>
      </c>
      <c r="P559" s="408">
        <v>29</v>
      </c>
      <c r="Q559" s="408">
        <v>0.48299999999999998</v>
      </c>
      <c r="R559" s="408">
        <v>0.505</v>
      </c>
      <c r="S559" s="408">
        <v>6</v>
      </c>
      <c r="T559" s="408">
        <v>6</v>
      </c>
      <c r="U559" s="408">
        <v>1</v>
      </c>
      <c r="V559" s="408">
        <v>2</v>
      </c>
      <c r="W559" s="408">
        <v>34</v>
      </c>
      <c r="X559" s="408">
        <v>36</v>
      </c>
      <c r="Y559" s="408">
        <v>41</v>
      </c>
      <c r="Z559" s="408">
        <v>25</v>
      </c>
      <c r="AA559" s="408">
        <v>11</v>
      </c>
      <c r="AB559" s="408">
        <v>19</v>
      </c>
      <c r="AC559" s="408">
        <v>38</v>
      </c>
      <c r="AD559" s="408">
        <v>112</v>
      </c>
    </row>
    <row r="560" spans="1:30">
      <c r="A560">
        <v>459</v>
      </c>
      <c r="B560" s="1" t="s">
        <v>545</v>
      </c>
      <c r="C560" s="1" t="s">
        <v>83</v>
      </c>
      <c r="D560" s="408">
        <v>25</v>
      </c>
      <c r="E560" s="5" t="s">
        <v>87</v>
      </c>
      <c r="F560" s="408">
        <v>63</v>
      </c>
      <c r="G560" s="408">
        <v>3</v>
      </c>
      <c r="H560" s="408">
        <v>936</v>
      </c>
      <c r="I560" s="408">
        <v>126</v>
      </c>
      <c r="J560" s="408">
        <v>233</v>
      </c>
      <c r="K560" s="408">
        <v>0.54100000000000004</v>
      </c>
      <c r="L560" s="408">
        <v>18</v>
      </c>
      <c r="M560" s="408">
        <v>58</v>
      </c>
      <c r="N560" s="408">
        <v>0.31</v>
      </c>
      <c r="O560" s="408">
        <v>108</v>
      </c>
      <c r="P560" s="408">
        <v>175</v>
      </c>
      <c r="Q560" s="408">
        <v>0.61699999999999999</v>
      </c>
      <c r="R560" s="408">
        <v>0.57899999999999996</v>
      </c>
      <c r="S560" s="408">
        <v>61</v>
      </c>
      <c r="T560" s="408">
        <v>81</v>
      </c>
      <c r="U560" s="408">
        <v>0.753</v>
      </c>
      <c r="V560" s="408">
        <v>90</v>
      </c>
      <c r="W560" s="408">
        <v>184</v>
      </c>
      <c r="X560" s="408">
        <v>274</v>
      </c>
      <c r="Y560" s="408">
        <v>56</v>
      </c>
      <c r="Z560" s="408">
        <v>30</v>
      </c>
      <c r="AA560" s="408">
        <v>48</v>
      </c>
      <c r="AB560" s="408">
        <v>56</v>
      </c>
      <c r="AC560" s="408">
        <v>157</v>
      </c>
      <c r="AD560" s="408">
        <v>331</v>
      </c>
    </row>
    <row r="561" spans="1:30">
      <c r="A561">
        <v>460</v>
      </c>
      <c r="B561" s="1" t="s">
        <v>196</v>
      </c>
      <c r="C561" s="1" t="s">
        <v>20</v>
      </c>
      <c r="D561" s="408">
        <v>28</v>
      </c>
      <c r="E561" s="5" t="s">
        <v>357</v>
      </c>
      <c r="F561" s="408">
        <v>31</v>
      </c>
      <c r="G561" s="408">
        <v>15</v>
      </c>
      <c r="H561" s="408">
        <v>836</v>
      </c>
      <c r="I561" s="408">
        <v>151</v>
      </c>
      <c r="J561" s="408">
        <v>409</v>
      </c>
      <c r="K561" s="408">
        <v>0.36899999999999999</v>
      </c>
      <c r="L561" s="408">
        <v>54</v>
      </c>
      <c r="M561" s="408">
        <v>184</v>
      </c>
      <c r="N561" s="408">
        <v>0.29299999999999998</v>
      </c>
      <c r="O561" s="408">
        <v>97</v>
      </c>
      <c r="P561" s="408">
        <v>225</v>
      </c>
      <c r="Q561" s="408">
        <v>0.43099999999999999</v>
      </c>
      <c r="R561" s="408">
        <v>0.435</v>
      </c>
      <c r="S561" s="408">
        <v>115</v>
      </c>
      <c r="T561" s="408">
        <v>129</v>
      </c>
      <c r="U561" s="408">
        <v>0.89100000000000001</v>
      </c>
      <c r="V561" s="408">
        <v>17</v>
      </c>
      <c r="W561" s="408">
        <v>49</v>
      </c>
      <c r="X561" s="408">
        <v>66</v>
      </c>
      <c r="Y561" s="408">
        <v>151</v>
      </c>
      <c r="Z561" s="408">
        <v>15</v>
      </c>
      <c r="AA561" s="408">
        <v>3</v>
      </c>
      <c r="AB561" s="408">
        <v>89</v>
      </c>
      <c r="AC561" s="408">
        <v>55</v>
      </c>
      <c r="AD561" s="408">
        <v>471</v>
      </c>
    </row>
    <row r="562" spans="1:30">
      <c r="A562">
        <v>460</v>
      </c>
      <c r="B562" s="1" t="s">
        <v>196</v>
      </c>
      <c r="C562" s="1" t="s">
        <v>20</v>
      </c>
      <c r="D562" s="408">
        <v>28</v>
      </c>
      <c r="E562" s="5" t="s">
        <v>102</v>
      </c>
      <c r="F562" s="408">
        <v>15</v>
      </c>
      <c r="G562" s="408">
        <v>14</v>
      </c>
      <c r="H562" s="408">
        <v>406</v>
      </c>
      <c r="I562" s="408">
        <v>70</v>
      </c>
      <c r="J562" s="408">
        <v>194</v>
      </c>
      <c r="K562" s="408">
        <v>0.36099999999999999</v>
      </c>
      <c r="L562" s="408">
        <v>22</v>
      </c>
      <c r="M562" s="408">
        <v>87</v>
      </c>
      <c r="N562" s="408">
        <v>0.253</v>
      </c>
      <c r="O562" s="408">
        <v>48</v>
      </c>
      <c r="P562" s="408">
        <v>107</v>
      </c>
      <c r="Q562" s="408">
        <v>0.44900000000000001</v>
      </c>
      <c r="R562" s="408">
        <v>0.41799999999999998</v>
      </c>
      <c r="S562" s="408">
        <v>59</v>
      </c>
      <c r="T562" s="408">
        <v>68</v>
      </c>
      <c r="U562" s="408">
        <v>0.86799999999999999</v>
      </c>
      <c r="V562" s="408">
        <v>7</v>
      </c>
      <c r="W562" s="408">
        <v>24</v>
      </c>
      <c r="X562" s="408">
        <v>31</v>
      </c>
      <c r="Y562" s="408">
        <v>68</v>
      </c>
      <c r="Z562" s="408">
        <v>9</v>
      </c>
      <c r="AA562" s="408">
        <v>2</v>
      </c>
      <c r="AB562" s="408">
        <v>41</v>
      </c>
      <c r="AC562" s="408">
        <v>25</v>
      </c>
      <c r="AD562" s="408">
        <v>221</v>
      </c>
    </row>
    <row r="563" spans="1:30">
      <c r="A563">
        <v>460</v>
      </c>
      <c r="B563" s="1" t="s">
        <v>196</v>
      </c>
      <c r="C563" s="1" t="s">
        <v>20</v>
      </c>
      <c r="D563" s="408">
        <v>28</v>
      </c>
      <c r="E563" s="5" t="s">
        <v>78</v>
      </c>
      <c r="F563" s="408">
        <v>16</v>
      </c>
      <c r="G563" s="408">
        <v>1</v>
      </c>
      <c r="H563" s="408">
        <v>430</v>
      </c>
      <c r="I563" s="408">
        <v>81</v>
      </c>
      <c r="J563" s="408">
        <v>215</v>
      </c>
      <c r="K563" s="408">
        <v>0.377</v>
      </c>
      <c r="L563" s="408">
        <v>32</v>
      </c>
      <c r="M563" s="408">
        <v>97</v>
      </c>
      <c r="N563" s="408">
        <v>0.33</v>
      </c>
      <c r="O563" s="408">
        <v>49</v>
      </c>
      <c r="P563" s="408">
        <v>118</v>
      </c>
      <c r="Q563" s="408">
        <v>0.41499999999999998</v>
      </c>
      <c r="R563" s="408">
        <v>0.45100000000000001</v>
      </c>
      <c r="S563" s="408">
        <v>56</v>
      </c>
      <c r="T563" s="408">
        <v>61</v>
      </c>
      <c r="U563" s="408">
        <v>0.91800000000000004</v>
      </c>
      <c r="V563" s="408">
        <v>10</v>
      </c>
      <c r="W563" s="408">
        <v>25</v>
      </c>
      <c r="X563" s="408">
        <v>35</v>
      </c>
      <c r="Y563" s="408">
        <v>83</v>
      </c>
      <c r="Z563" s="408">
        <v>6</v>
      </c>
      <c r="AA563" s="408">
        <v>1</v>
      </c>
      <c r="AB563" s="408">
        <v>48</v>
      </c>
      <c r="AC563" s="408">
        <v>30</v>
      </c>
      <c r="AD563" s="408">
        <v>250</v>
      </c>
    </row>
    <row r="564" spans="1:30">
      <c r="A564">
        <v>461</v>
      </c>
      <c r="B564" s="1" t="s">
        <v>507</v>
      </c>
      <c r="C564" s="1" t="s">
        <v>38</v>
      </c>
      <c r="D564" s="408">
        <v>29</v>
      </c>
      <c r="E564" s="5" t="s">
        <v>21</v>
      </c>
      <c r="F564" s="408">
        <v>65</v>
      </c>
      <c r="G564" s="408">
        <v>26</v>
      </c>
      <c r="H564" s="408">
        <v>1204</v>
      </c>
      <c r="I564" s="408">
        <v>89</v>
      </c>
      <c r="J564" s="408">
        <v>229</v>
      </c>
      <c r="K564" s="408">
        <v>0.38900000000000001</v>
      </c>
      <c r="L564" s="408">
        <v>43</v>
      </c>
      <c r="M564" s="408">
        <v>109</v>
      </c>
      <c r="N564" s="408">
        <v>0.39400000000000002</v>
      </c>
      <c r="O564" s="408">
        <v>46</v>
      </c>
      <c r="P564" s="408">
        <v>120</v>
      </c>
      <c r="Q564" s="408">
        <v>0.38300000000000001</v>
      </c>
      <c r="R564" s="408">
        <v>0.48299999999999998</v>
      </c>
      <c r="S564" s="408">
        <v>40</v>
      </c>
      <c r="T564" s="408">
        <v>47</v>
      </c>
      <c r="U564" s="408">
        <v>0.85099999999999998</v>
      </c>
      <c r="V564" s="408">
        <v>39</v>
      </c>
      <c r="W564" s="408">
        <v>114</v>
      </c>
      <c r="X564" s="408">
        <v>153</v>
      </c>
      <c r="Y564" s="408">
        <v>40</v>
      </c>
      <c r="Z564" s="408">
        <v>28</v>
      </c>
      <c r="AA564" s="408">
        <v>14</v>
      </c>
      <c r="AB564" s="408">
        <v>36</v>
      </c>
      <c r="AC564" s="408">
        <v>115</v>
      </c>
      <c r="AD564" s="408">
        <v>261</v>
      </c>
    </row>
    <row r="565" spans="1:30">
      <c r="A565">
        <v>462</v>
      </c>
      <c r="B565" s="1" t="s">
        <v>293</v>
      </c>
      <c r="C565" s="1" t="s">
        <v>26</v>
      </c>
      <c r="D565" s="408">
        <v>27</v>
      </c>
      <c r="E565" s="5" t="s">
        <v>73</v>
      </c>
      <c r="F565" s="408">
        <v>66</v>
      </c>
      <c r="G565" s="408">
        <v>66</v>
      </c>
      <c r="H565" s="408">
        <v>2268</v>
      </c>
      <c r="I565" s="408">
        <v>510</v>
      </c>
      <c r="J565" s="408">
        <v>1041</v>
      </c>
      <c r="K565" s="408">
        <v>0.49</v>
      </c>
      <c r="L565" s="408">
        <v>206</v>
      </c>
      <c r="M565" s="408">
        <v>465</v>
      </c>
      <c r="N565" s="408">
        <v>0.443</v>
      </c>
      <c r="O565" s="408">
        <v>304</v>
      </c>
      <c r="P565" s="408">
        <v>576</v>
      </c>
      <c r="Q565" s="408">
        <v>0.52800000000000002</v>
      </c>
      <c r="R565" s="408">
        <v>0.58899999999999997</v>
      </c>
      <c r="S565" s="408">
        <v>76</v>
      </c>
      <c r="T565" s="408">
        <v>91</v>
      </c>
      <c r="U565" s="408">
        <v>0.83499999999999996</v>
      </c>
      <c r="V565" s="408">
        <v>26</v>
      </c>
      <c r="W565" s="408">
        <v>228</v>
      </c>
      <c r="X565" s="408">
        <v>254</v>
      </c>
      <c r="Y565" s="408">
        <v>175</v>
      </c>
      <c r="Z565" s="408">
        <v>46</v>
      </c>
      <c r="AA565" s="408">
        <v>34</v>
      </c>
      <c r="AB565" s="408">
        <v>114</v>
      </c>
      <c r="AC565" s="408">
        <v>108</v>
      </c>
      <c r="AD565" s="408">
        <v>1302</v>
      </c>
    </row>
    <row r="566" spans="1:30">
      <c r="A566">
        <v>463</v>
      </c>
      <c r="B566" s="1" t="s">
        <v>609</v>
      </c>
      <c r="C566" s="1" t="s">
        <v>83</v>
      </c>
      <c r="D566" s="408">
        <v>26</v>
      </c>
      <c r="E566" s="5" t="s">
        <v>102</v>
      </c>
      <c r="F566" s="408">
        <v>42</v>
      </c>
      <c r="G566" s="408">
        <v>21</v>
      </c>
      <c r="H566" s="408">
        <v>898</v>
      </c>
      <c r="I566" s="408">
        <v>114</v>
      </c>
      <c r="J566" s="408">
        <v>194</v>
      </c>
      <c r="K566" s="408">
        <v>0.58799999999999997</v>
      </c>
      <c r="L566" s="408">
        <v>0</v>
      </c>
      <c r="M566" s="408">
        <v>0</v>
      </c>
      <c r="N566" s="408"/>
      <c r="O566" s="408">
        <v>114</v>
      </c>
      <c r="P566" s="408">
        <v>194</v>
      </c>
      <c r="Q566" s="408">
        <v>0.58799999999999997</v>
      </c>
      <c r="R566" s="408">
        <v>0.58799999999999997</v>
      </c>
      <c r="S566" s="408">
        <v>36</v>
      </c>
      <c r="T566" s="408">
        <v>66</v>
      </c>
      <c r="U566" s="408">
        <v>0.54500000000000004</v>
      </c>
      <c r="V566" s="408">
        <v>96</v>
      </c>
      <c r="W566" s="408">
        <v>178</v>
      </c>
      <c r="X566" s="408">
        <v>274</v>
      </c>
      <c r="Y566" s="408">
        <v>26</v>
      </c>
      <c r="Z566" s="408">
        <v>15</v>
      </c>
      <c r="AA566" s="408">
        <v>16</v>
      </c>
      <c r="AB566" s="408">
        <v>30</v>
      </c>
      <c r="AC566" s="408">
        <v>88</v>
      </c>
      <c r="AD566" s="408">
        <v>264</v>
      </c>
    </row>
    <row r="567" spans="1:30">
      <c r="A567">
        <v>464</v>
      </c>
      <c r="B567" s="1" t="s">
        <v>542</v>
      </c>
      <c r="C567" s="1" t="s">
        <v>26</v>
      </c>
      <c r="D567" s="408">
        <v>23</v>
      </c>
      <c r="E567" s="5" t="s">
        <v>64</v>
      </c>
      <c r="F567" s="408">
        <v>60</v>
      </c>
      <c r="G567" s="408">
        <v>14</v>
      </c>
      <c r="H567" s="408">
        <v>898</v>
      </c>
      <c r="I567" s="408">
        <v>76</v>
      </c>
      <c r="J567" s="408">
        <v>175</v>
      </c>
      <c r="K567" s="408">
        <v>0.434</v>
      </c>
      <c r="L567" s="408">
        <v>18</v>
      </c>
      <c r="M567" s="408">
        <v>51</v>
      </c>
      <c r="N567" s="408">
        <v>0.35299999999999998</v>
      </c>
      <c r="O567" s="408">
        <v>58</v>
      </c>
      <c r="P567" s="408">
        <v>124</v>
      </c>
      <c r="Q567" s="408">
        <v>0.46800000000000003</v>
      </c>
      <c r="R567" s="408">
        <v>0.48599999999999999</v>
      </c>
      <c r="S567" s="408">
        <v>45</v>
      </c>
      <c r="T567" s="408">
        <v>65</v>
      </c>
      <c r="U567" s="408">
        <v>0.69199999999999995</v>
      </c>
      <c r="V567" s="408">
        <v>21</v>
      </c>
      <c r="W567" s="408">
        <v>78</v>
      </c>
      <c r="X567" s="408">
        <v>99</v>
      </c>
      <c r="Y567" s="408">
        <v>43</v>
      </c>
      <c r="Z567" s="408">
        <v>38</v>
      </c>
      <c r="AA567" s="408">
        <v>21</v>
      </c>
      <c r="AB567" s="408">
        <v>37</v>
      </c>
      <c r="AC567" s="408">
        <v>98</v>
      </c>
      <c r="AD567" s="408">
        <v>215</v>
      </c>
    </row>
    <row r="568" spans="1:30">
      <c r="A568">
        <v>465</v>
      </c>
      <c r="B568" s="1" t="s">
        <v>158</v>
      </c>
      <c r="C568" s="1" t="s">
        <v>38</v>
      </c>
      <c r="D568" s="408">
        <v>32</v>
      </c>
      <c r="E568" s="5" t="s">
        <v>157</v>
      </c>
      <c r="F568" s="408">
        <v>67</v>
      </c>
      <c r="G568" s="408">
        <v>6</v>
      </c>
      <c r="H568" s="408">
        <v>1390</v>
      </c>
      <c r="I568" s="408">
        <v>161</v>
      </c>
      <c r="J568" s="408">
        <v>369</v>
      </c>
      <c r="K568" s="408">
        <v>0.436</v>
      </c>
      <c r="L568" s="408">
        <v>119</v>
      </c>
      <c r="M568" s="408">
        <v>289</v>
      </c>
      <c r="N568" s="408">
        <v>0.41199999999999998</v>
      </c>
      <c r="O568" s="408">
        <v>42</v>
      </c>
      <c r="P568" s="408">
        <v>80</v>
      </c>
      <c r="Q568" s="408">
        <v>0.52500000000000002</v>
      </c>
      <c r="R568" s="408">
        <v>0.59799999999999998</v>
      </c>
      <c r="S568" s="408">
        <v>80</v>
      </c>
      <c r="T568" s="408">
        <v>100</v>
      </c>
      <c r="U568" s="408">
        <v>0.8</v>
      </c>
      <c r="V568" s="408">
        <v>38</v>
      </c>
      <c r="W568" s="408">
        <v>147</v>
      </c>
      <c r="X568" s="408">
        <v>185</v>
      </c>
      <c r="Y568" s="408">
        <v>73</v>
      </c>
      <c r="Z568" s="408">
        <v>24</v>
      </c>
      <c r="AA568" s="408">
        <v>15</v>
      </c>
      <c r="AB568" s="408">
        <v>51</v>
      </c>
      <c r="AC568" s="408">
        <v>117</v>
      </c>
      <c r="AD568" s="408">
        <v>521</v>
      </c>
    </row>
    <row r="569" spans="1:30">
      <c r="A569">
        <v>466</v>
      </c>
      <c r="B569" s="1" t="s">
        <v>6</v>
      </c>
      <c r="C569" s="1" t="s">
        <v>83</v>
      </c>
      <c r="D569" s="408">
        <v>22</v>
      </c>
      <c r="E569" s="5" t="s">
        <v>56</v>
      </c>
      <c r="F569" s="408">
        <v>71</v>
      </c>
      <c r="G569" s="408">
        <v>71</v>
      </c>
      <c r="H569" s="408">
        <v>2505</v>
      </c>
      <c r="I569" s="408">
        <v>540</v>
      </c>
      <c r="J569" s="408">
        <v>983</v>
      </c>
      <c r="K569" s="408">
        <v>0.54900000000000004</v>
      </c>
      <c r="L569" s="408">
        <v>101</v>
      </c>
      <c r="M569" s="408">
        <v>237</v>
      </c>
      <c r="N569" s="408">
        <v>0.42599999999999999</v>
      </c>
      <c r="O569" s="408">
        <v>439</v>
      </c>
      <c r="P569" s="408">
        <v>746</v>
      </c>
      <c r="Q569" s="408">
        <v>0.58799999999999997</v>
      </c>
      <c r="R569" s="408">
        <v>0.60099999999999998</v>
      </c>
      <c r="S569" s="408">
        <v>291</v>
      </c>
      <c r="T569" s="408">
        <v>340</v>
      </c>
      <c r="U569" s="408">
        <v>0.85599999999999998</v>
      </c>
      <c r="V569" s="408">
        <v>209</v>
      </c>
      <c r="W569" s="408">
        <v>660</v>
      </c>
      <c r="X569" s="408">
        <v>869</v>
      </c>
      <c r="Y569" s="408">
        <v>167</v>
      </c>
      <c r="Z569" s="408">
        <v>56</v>
      </c>
      <c r="AA569" s="408">
        <v>102</v>
      </c>
      <c r="AB569" s="408">
        <v>141</v>
      </c>
      <c r="AC569" s="408">
        <v>240</v>
      </c>
      <c r="AD569" s="408">
        <v>1472</v>
      </c>
    </row>
    <row r="570" spans="1:30">
      <c r="A570">
        <v>467</v>
      </c>
      <c r="B570" s="1" t="s">
        <v>420</v>
      </c>
      <c r="C570" s="1" t="s">
        <v>46</v>
      </c>
      <c r="D570" s="408">
        <v>32</v>
      </c>
      <c r="E570" s="5" t="s">
        <v>92</v>
      </c>
      <c r="F570" s="408">
        <v>70</v>
      </c>
      <c r="G570" s="408">
        <v>22</v>
      </c>
      <c r="H570" s="408">
        <v>1936</v>
      </c>
      <c r="I570" s="408">
        <v>139</v>
      </c>
      <c r="J570" s="408">
        <v>358</v>
      </c>
      <c r="K570" s="408">
        <v>0.38800000000000001</v>
      </c>
      <c r="L570" s="408">
        <v>91</v>
      </c>
      <c r="M570" s="408">
        <v>245</v>
      </c>
      <c r="N570" s="408">
        <v>0.371</v>
      </c>
      <c r="O570" s="408">
        <v>48</v>
      </c>
      <c r="P570" s="408">
        <v>113</v>
      </c>
      <c r="Q570" s="408">
        <v>0.42499999999999999</v>
      </c>
      <c r="R570" s="408">
        <v>0.51500000000000001</v>
      </c>
      <c r="S570" s="408">
        <v>42</v>
      </c>
      <c r="T570" s="408">
        <v>58</v>
      </c>
      <c r="U570" s="408">
        <v>0.72399999999999998</v>
      </c>
      <c r="V570" s="408">
        <v>78</v>
      </c>
      <c r="W570" s="408">
        <v>312</v>
      </c>
      <c r="X570" s="408">
        <v>390</v>
      </c>
      <c r="Y570" s="408">
        <v>64</v>
      </c>
      <c r="Z570" s="408">
        <v>72</v>
      </c>
      <c r="AA570" s="408">
        <v>19</v>
      </c>
      <c r="AB570" s="408">
        <v>62</v>
      </c>
      <c r="AC570" s="408">
        <v>184</v>
      </c>
      <c r="AD570" s="408">
        <v>411</v>
      </c>
    </row>
    <row r="571" spans="1:30">
      <c r="A571">
        <v>468</v>
      </c>
      <c r="B571" s="1" t="s">
        <v>505</v>
      </c>
      <c r="C571" s="1" t="s">
        <v>46</v>
      </c>
      <c r="D571" s="408">
        <v>29</v>
      </c>
      <c r="E571" s="5" t="s">
        <v>96</v>
      </c>
      <c r="F571" s="408">
        <v>67</v>
      </c>
      <c r="G571" s="408">
        <v>31</v>
      </c>
      <c r="H571" s="408">
        <v>1709</v>
      </c>
      <c r="I571" s="408">
        <v>215</v>
      </c>
      <c r="J571" s="408">
        <v>483</v>
      </c>
      <c r="K571" s="408">
        <v>0.44500000000000001</v>
      </c>
      <c r="L571" s="408">
        <v>33</v>
      </c>
      <c r="M571" s="408">
        <v>102</v>
      </c>
      <c r="N571" s="408">
        <v>0.32400000000000001</v>
      </c>
      <c r="O571" s="408">
        <v>182</v>
      </c>
      <c r="P571" s="408">
        <v>381</v>
      </c>
      <c r="Q571" s="408">
        <v>0.47799999999999998</v>
      </c>
      <c r="R571" s="408">
        <v>0.47899999999999998</v>
      </c>
      <c r="S571" s="408">
        <v>80</v>
      </c>
      <c r="T571" s="408">
        <v>94</v>
      </c>
      <c r="U571" s="408">
        <v>0.85099999999999998</v>
      </c>
      <c r="V571" s="408">
        <v>25</v>
      </c>
      <c r="W571" s="408">
        <v>191</v>
      </c>
      <c r="X571" s="408">
        <v>216</v>
      </c>
      <c r="Y571" s="408">
        <v>151</v>
      </c>
      <c r="Z571" s="408">
        <v>38</v>
      </c>
      <c r="AA571" s="408">
        <v>23</v>
      </c>
      <c r="AB571" s="408">
        <v>88</v>
      </c>
      <c r="AC571" s="408">
        <v>133</v>
      </c>
      <c r="AD571" s="408">
        <v>543</v>
      </c>
    </row>
    <row r="572" spans="1:30">
      <c r="A572">
        <v>469</v>
      </c>
      <c r="B572" s="1" t="s">
        <v>448</v>
      </c>
      <c r="C572" s="1" t="s">
        <v>83</v>
      </c>
      <c r="D572" s="408">
        <v>21</v>
      </c>
      <c r="E572" s="5" t="s">
        <v>30</v>
      </c>
      <c r="F572" s="408">
        <v>54</v>
      </c>
      <c r="G572" s="408">
        <v>51</v>
      </c>
      <c r="H572" s="408">
        <v>1532</v>
      </c>
      <c r="I572" s="408">
        <v>276</v>
      </c>
      <c r="J572" s="408">
        <v>545</v>
      </c>
      <c r="K572" s="408">
        <v>0.50600000000000001</v>
      </c>
      <c r="L572" s="408">
        <v>52</v>
      </c>
      <c r="M572" s="408">
        <v>135</v>
      </c>
      <c r="N572" s="408">
        <v>0.38500000000000001</v>
      </c>
      <c r="O572" s="408">
        <v>224</v>
      </c>
      <c r="P572" s="408">
        <v>410</v>
      </c>
      <c r="Q572" s="408">
        <v>0.54600000000000004</v>
      </c>
      <c r="R572" s="408">
        <v>0.55400000000000005</v>
      </c>
      <c r="S572" s="408">
        <v>138</v>
      </c>
      <c r="T572" s="408">
        <v>180</v>
      </c>
      <c r="U572" s="408">
        <v>0.76700000000000002</v>
      </c>
      <c r="V572" s="408">
        <v>82</v>
      </c>
      <c r="W572" s="408">
        <v>288</v>
      </c>
      <c r="X572" s="408">
        <v>370</v>
      </c>
      <c r="Y572" s="408">
        <v>74</v>
      </c>
      <c r="Z572" s="408">
        <v>29</v>
      </c>
      <c r="AA572" s="408">
        <v>104</v>
      </c>
      <c r="AB572" s="408">
        <v>81</v>
      </c>
      <c r="AC572" s="408">
        <v>156</v>
      </c>
      <c r="AD572" s="408">
        <v>742</v>
      </c>
    </row>
    <row r="573" spans="1:30">
      <c r="A573">
        <v>470</v>
      </c>
      <c r="B573" s="1" t="s">
        <v>584</v>
      </c>
      <c r="C573" s="1" t="s">
        <v>83</v>
      </c>
      <c r="D573" s="408">
        <v>30</v>
      </c>
      <c r="E573" s="5" t="s">
        <v>305</v>
      </c>
      <c r="F573" s="408">
        <v>56</v>
      </c>
      <c r="G573" s="408">
        <v>3</v>
      </c>
      <c r="H573" s="408">
        <v>763</v>
      </c>
      <c r="I573" s="408">
        <v>58</v>
      </c>
      <c r="J573" s="408">
        <v>112</v>
      </c>
      <c r="K573" s="408">
        <v>0.51800000000000002</v>
      </c>
      <c r="L573" s="408">
        <v>0</v>
      </c>
      <c r="M573" s="408">
        <v>0</v>
      </c>
      <c r="N573" s="408"/>
      <c r="O573" s="408">
        <v>58</v>
      </c>
      <c r="P573" s="408">
        <v>112</v>
      </c>
      <c r="Q573" s="408">
        <v>0.51800000000000002</v>
      </c>
      <c r="R573" s="408">
        <v>0.51800000000000002</v>
      </c>
      <c r="S573" s="408">
        <v>41</v>
      </c>
      <c r="T573" s="408">
        <v>54</v>
      </c>
      <c r="U573" s="408">
        <v>0.75900000000000001</v>
      </c>
      <c r="V573" s="408">
        <v>64</v>
      </c>
      <c r="W573" s="408">
        <v>77</v>
      </c>
      <c r="X573" s="408">
        <v>141</v>
      </c>
      <c r="Y573" s="408">
        <v>51</v>
      </c>
      <c r="Z573" s="408">
        <v>41</v>
      </c>
      <c r="AA573" s="408">
        <v>67</v>
      </c>
      <c r="AB573" s="408">
        <v>19</v>
      </c>
      <c r="AC573" s="408">
        <v>98</v>
      </c>
      <c r="AD573" s="408">
        <v>157</v>
      </c>
    </row>
    <row r="574" spans="1:30">
      <c r="A574">
        <v>471</v>
      </c>
      <c r="B574" s="1" t="s">
        <v>489</v>
      </c>
      <c r="C574" s="1" t="s">
        <v>20</v>
      </c>
      <c r="D574" s="408">
        <v>22</v>
      </c>
      <c r="E574" s="5" t="s">
        <v>313</v>
      </c>
      <c r="F574" s="408">
        <v>60</v>
      </c>
      <c r="G574" s="408">
        <v>37</v>
      </c>
      <c r="H574" s="408">
        <v>1315</v>
      </c>
      <c r="I574" s="408">
        <v>155</v>
      </c>
      <c r="J574" s="408">
        <v>416</v>
      </c>
      <c r="K574" s="408">
        <v>0.373</v>
      </c>
      <c r="L574" s="408">
        <v>29</v>
      </c>
      <c r="M574" s="408">
        <v>108</v>
      </c>
      <c r="N574" s="408">
        <v>0.26900000000000002</v>
      </c>
      <c r="O574" s="408">
        <v>126</v>
      </c>
      <c r="P574" s="408">
        <v>308</v>
      </c>
      <c r="Q574" s="408">
        <v>0.40899999999999997</v>
      </c>
      <c r="R574" s="408">
        <v>0.40699999999999997</v>
      </c>
      <c r="S574" s="408">
        <v>60</v>
      </c>
      <c r="T574" s="408">
        <v>74</v>
      </c>
      <c r="U574" s="408">
        <v>0.81100000000000005</v>
      </c>
      <c r="V574" s="408">
        <v>16</v>
      </c>
      <c r="W574" s="408">
        <v>77</v>
      </c>
      <c r="X574" s="408">
        <v>93</v>
      </c>
      <c r="Y574" s="408">
        <v>233</v>
      </c>
      <c r="Z574" s="408">
        <v>59</v>
      </c>
      <c r="AA574" s="408">
        <v>4</v>
      </c>
      <c r="AB574" s="408">
        <v>95</v>
      </c>
      <c r="AC574" s="408">
        <v>102</v>
      </c>
      <c r="AD574" s="408">
        <v>399</v>
      </c>
    </row>
    <row r="575" spans="1:30">
      <c r="A575">
        <v>472</v>
      </c>
      <c r="B575" s="1" t="s">
        <v>554</v>
      </c>
      <c r="C575" s="1" t="s">
        <v>83</v>
      </c>
      <c r="D575" s="408">
        <v>25</v>
      </c>
      <c r="E575" s="5" t="s">
        <v>47</v>
      </c>
      <c r="F575" s="408">
        <v>66</v>
      </c>
      <c r="G575" s="408">
        <v>66</v>
      </c>
      <c r="H575" s="408">
        <v>1492</v>
      </c>
      <c r="I575" s="408">
        <v>324</v>
      </c>
      <c r="J575" s="408">
        <v>575</v>
      </c>
      <c r="K575" s="408">
        <v>0.56299999999999994</v>
      </c>
      <c r="L575" s="408">
        <v>26</v>
      </c>
      <c r="M575" s="408">
        <v>58</v>
      </c>
      <c r="N575" s="408">
        <v>0.44800000000000001</v>
      </c>
      <c r="O575" s="408">
        <v>298</v>
      </c>
      <c r="P575" s="408">
        <v>517</v>
      </c>
      <c r="Q575" s="408">
        <v>0.57599999999999996</v>
      </c>
      <c r="R575" s="408">
        <v>0.58599999999999997</v>
      </c>
      <c r="S575" s="408">
        <v>149</v>
      </c>
      <c r="T575" s="408">
        <v>183</v>
      </c>
      <c r="U575" s="408">
        <v>0.81399999999999995</v>
      </c>
      <c r="V575" s="408">
        <v>158</v>
      </c>
      <c r="W575" s="408">
        <v>406</v>
      </c>
      <c r="X575" s="408">
        <v>564</v>
      </c>
      <c r="Y575" s="408">
        <v>73</v>
      </c>
      <c r="Z575" s="408">
        <v>27</v>
      </c>
      <c r="AA575" s="408">
        <v>57</v>
      </c>
      <c r="AB575" s="408">
        <v>100</v>
      </c>
      <c r="AC575" s="408">
        <v>172</v>
      </c>
      <c r="AD575" s="408">
        <v>823</v>
      </c>
    </row>
    <row r="576" spans="1:30">
      <c r="A576">
        <v>473</v>
      </c>
      <c r="B576" s="1" t="s">
        <v>361</v>
      </c>
      <c r="C576" s="1" t="s">
        <v>26</v>
      </c>
      <c r="D576" s="408">
        <v>24</v>
      </c>
      <c r="E576" s="5" t="s">
        <v>43</v>
      </c>
      <c r="F576" s="408">
        <v>70</v>
      </c>
      <c r="G576" s="408">
        <v>34</v>
      </c>
      <c r="H576" s="408">
        <v>1921</v>
      </c>
      <c r="I576" s="408">
        <v>272</v>
      </c>
      <c r="J576" s="408">
        <v>650</v>
      </c>
      <c r="K576" s="408">
        <v>0.41799999999999998</v>
      </c>
      <c r="L576" s="408">
        <v>128</v>
      </c>
      <c r="M576" s="408">
        <v>331</v>
      </c>
      <c r="N576" s="408">
        <v>0.38700000000000001</v>
      </c>
      <c r="O576" s="408">
        <v>144</v>
      </c>
      <c r="P576" s="408">
        <v>319</v>
      </c>
      <c r="Q576" s="408">
        <v>0.45100000000000001</v>
      </c>
      <c r="R576" s="408">
        <v>0.51700000000000002</v>
      </c>
      <c r="S576" s="408">
        <v>36</v>
      </c>
      <c r="T576" s="408">
        <v>45</v>
      </c>
      <c r="U576" s="408">
        <v>0.8</v>
      </c>
      <c r="V576" s="408">
        <v>46</v>
      </c>
      <c r="W576" s="408">
        <v>328</v>
      </c>
      <c r="X576" s="408">
        <v>374</v>
      </c>
      <c r="Y576" s="408">
        <v>225</v>
      </c>
      <c r="Z576" s="408">
        <v>52</v>
      </c>
      <c r="AA576" s="408">
        <v>10</v>
      </c>
      <c r="AB576" s="408">
        <v>82</v>
      </c>
      <c r="AC576" s="408">
        <v>169</v>
      </c>
      <c r="AD576" s="408">
        <v>708</v>
      </c>
    </row>
    <row r="577" spans="1:30">
      <c r="A577">
        <v>474</v>
      </c>
      <c r="B577" s="1" t="s">
        <v>162</v>
      </c>
      <c r="C577" s="1" t="s">
        <v>20</v>
      </c>
      <c r="D577" s="408">
        <v>23</v>
      </c>
      <c r="E577" s="5" t="s">
        <v>47</v>
      </c>
      <c r="F577" s="408">
        <v>66</v>
      </c>
      <c r="G577" s="408">
        <v>0</v>
      </c>
      <c r="H577" s="408">
        <v>1306</v>
      </c>
      <c r="I577" s="408">
        <v>194</v>
      </c>
      <c r="J577" s="408">
        <v>464</v>
      </c>
      <c r="K577" s="408">
        <v>0.41799999999999998</v>
      </c>
      <c r="L577" s="408">
        <v>84</v>
      </c>
      <c r="M577" s="408">
        <v>213</v>
      </c>
      <c r="N577" s="408">
        <v>0.39400000000000002</v>
      </c>
      <c r="O577" s="408">
        <v>110</v>
      </c>
      <c r="P577" s="408">
        <v>251</v>
      </c>
      <c r="Q577" s="408">
        <v>0.438</v>
      </c>
      <c r="R577" s="408">
        <v>0.50900000000000001</v>
      </c>
      <c r="S577" s="408">
        <v>77</v>
      </c>
      <c r="T577" s="408">
        <v>90</v>
      </c>
      <c r="U577" s="408">
        <v>0.85599999999999998</v>
      </c>
      <c r="V577" s="408">
        <v>23</v>
      </c>
      <c r="W577" s="408">
        <v>144</v>
      </c>
      <c r="X577" s="408">
        <v>167</v>
      </c>
      <c r="Y577" s="408">
        <v>209</v>
      </c>
      <c r="Z577" s="408">
        <v>61</v>
      </c>
      <c r="AA577" s="408">
        <v>17</v>
      </c>
      <c r="AB577" s="408">
        <v>67</v>
      </c>
      <c r="AC577" s="408">
        <v>114</v>
      </c>
      <c r="AD577" s="408">
        <v>549</v>
      </c>
    </row>
    <row r="578" spans="1:30">
      <c r="A578">
        <v>475</v>
      </c>
      <c r="B578" s="1" t="s">
        <v>85</v>
      </c>
      <c r="C578" s="1" t="s">
        <v>26</v>
      </c>
      <c r="D578" s="408">
        <v>21</v>
      </c>
      <c r="E578" s="5" t="s">
        <v>357</v>
      </c>
      <c r="F578" s="408">
        <v>28</v>
      </c>
      <c r="G578" s="408">
        <v>0</v>
      </c>
      <c r="H578" s="408">
        <v>212</v>
      </c>
      <c r="I578" s="408">
        <v>23</v>
      </c>
      <c r="J578" s="408">
        <v>56</v>
      </c>
      <c r="K578" s="408">
        <v>0.41099999999999998</v>
      </c>
      <c r="L578" s="408">
        <v>14</v>
      </c>
      <c r="M578" s="408">
        <v>37</v>
      </c>
      <c r="N578" s="408">
        <v>0.378</v>
      </c>
      <c r="O578" s="408">
        <v>9</v>
      </c>
      <c r="P578" s="408">
        <v>19</v>
      </c>
      <c r="Q578" s="408">
        <v>0.47399999999999998</v>
      </c>
      <c r="R578" s="408">
        <v>0.53600000000000003</v>
      </c>
      <c r="S578" s="408">
        <v>4</v>
      </c>
      <c r="T578" s="408">
        <v>6</v>
      </c>
      <c r="U578" s="408">
        <v>0.66700000000000004</v>
      </c>
      <c r="V578" s="408">
        <v>3</v>
      </c>
      <c r="W578" s="408">
        <v>18</v>
      </c>
      <c r="X578" s="408">
        <v>21</v>
      </c>
      <c r="Y578" s="408">
        <v>13</v>
      </c>
      <c r="Z578" s="408">
        <v>5</v>
      </c>
      <c r="AA578" s="408">
        <v>3</v>
      </c>
      <c r="AB578" s="408">
        <v>6</v>
      </c>
      <c r="AC578" s="408">
        <v>15</v>
      </c>
      <c r="AD578" s="408">
        <v>64</v>
      </c>
    </row>
    <row r="579" spans="1:30">
      <c r="A579">
        <v>475</v>
      </c>
      <c r="B579" s="1" t="s">
        <v>85</v>
      </c>
      <c r="C579" s="1" t="s">
        <v>26</v>
      </c>
      <c r="D579" s="408">
        <v>21</v>
      </c>
      <c r="E579" s="5" t="s">
        <v>41</v>
      </c>
      <c r="F579" s="408">
        <v>22</v>
      </c>
      <c r="G579" s="408">
        <v>0</v>
      </c>
      <c r="H579" s="408">
        <v>173</v>
      </c>
      <c r="I579" s="408">
        <v>21</v>
      </c>
      <c r="J579" s="408">
        <v>50</v>
      </c>
      <c r="K579" s="408">
        <v>0.42</v>
      </c>
      <c r="L579" s="408">
        <v>13</v>
      </c>
      <c r="M579" s="408">
        <v>35</v>
      </c>
      <c r="N579" s="408">
        <v>0.371</v>
      </c>
      <c r="O579" s="408">
        <v>8</v>
      </c>
      <c r="P579" s="408">
        <v>15</v>
      </c>
      <c r="Q579" s="408">
        <v>0.53300000000000003</v>
      </c>
      <c r="R579" s="408">
        <v>0.55000000000000004</v>
      </c>
      <c r="S579" s="408">
        <v>4</v>
      </c>
      <c r="T579" s="408">
        <v>6</v>
      </c>
      <c r="U579" s="408">
        <v>0.66700000000000004</v>
      </c>
      <c r="V579" s="408">
        <v>2</v>
      </c>
      <c r="W579" s="408">
        <v>15</v>
      </c>
      <c r="X579" s="408">
        <v>17</v>
      </c>
      <c r="Y579" s="408">
        <v>12</v>
      </c>
      <c r="Z579" s="408">
        <v>4</v>
      </c>
      <c r="AA579" s="408">
        <v>3</v>
      </c>
      <c r="AB579" s="408">
        <v>4</v>
      </c>
      <c r="AC579" s="408">
        <v>12</v>
      </c>
      <c r="AD579" s="408">
        <v>59</v>
      </c>
    </row>
    <row r="580" spans="1:30">
      <c r="A580">
        <v>475</v>
      </c>
      <c r="B580" s="1" t="s">
        <v>85</v>
      </c>
      <c r="C580" s="1" t="s">
        <v>26</v>
      </c>
      <c r="D580" s="408">
        <v>21</v>
      </c>
      <c r="E580" s="5" t="s">
        <v>315</v>
      </c>
      <c r="F580" s="408">
        <v>1</v>
      </c>
      <c r="G580" s="408">
        <v>0</v>
      </c>
      <c r="H580" s="408">
        <v>4</v>
      </c>
      <c r="I580" s="408">
        <v>0</v>
      </c>
      <c r="J580" s="408">
        <v>0</v>
      </c>
      <c r="K580" s="408"/>
      <c r="L580" s="408">
        <v>0</v>
      </c>
      <c r="M580" s="408">
        <v>0</v>
      </c>
      <c r="N580" s="408"/>
      <c r="O580" s="408">
        <v>0</v>
      </c>
      <c r="P580" s="408">
        <v>0</v>
      </c>
      <c r="Q580" s="408"/>
      <c r="R580" s="408"/>
      <c r="S580" s="408">
        <v>0</v>
      </c>
      <c r="T580" s="408">
        <v>0</v>
      </c>
      <c r="U580" s="408"/>
      <c r="V580" s="408">
        <v>0</v>
      </c>
      <c r="W580" s="408">
        <v>0</v>
      </c>
      <c r="X580" s="408">
        <v>0</v>
      </c>
      <c r="Y580" s="408">
        <v>1</v>
      </c>
      <c r="Z580" s="408">
        <v>0</v>
      </c>
      <c r="AA580" s="408">
        <v>0</v>
      </c>
      <c r="AB580" s="408">
        <v>0</v>
      </c>
      <c r="AC580" s="408">
        <v>1</v>
      </c>
      <c r="AD580" s="408">
        <v>0</v>
      </c>
    </row>
    <row r="581" spans="1:30">
      <c r="A581">
        <v>475</v>
      </c>
      <c r="B581" s="1" t="s">
        <v>85</v>
      </c>
      <c r="C581" s="1" t="s">
        <v>26</v>
      </c>
      <c r="D581" s="408">
        <v>21</v>
      </c>
      <c r="E581" s="5" t="s">
        <v>75</v>
      </c>
      <c r="F581" s="408">
        <v>5</v>
      </c>
      <c r="G581" s="408">
        <v>0</v>
      </c>
      <c r="H581" s="408">
        <v>35</v>
      </c>
      <c r="I581" s="408">
        <v>2</v>
      </c>
      <c r="J581" s="408">
        <v>6</v>
      </c>
      <c r="K581" s="408">
        <v>0.33300000000000002</v>
      </c>
      <c r="L581" s="408">
        <v>1</v>
      </c>
      <c r="M581" s="408">
        <v>2</v>
      </c>
      <c r="N581" s="408">
        <v>0.5</v>
      </c>
      <c r="O581" s="408">
        <v>1</v>
      </c>
      <c r="P581" s="408">
        <v>4</v>
      </c>
      <c r="Q581" s="408">
        <v>0.25</v>
      </c>
      <c r="R581" s="408">
        <v>0.41699999999999998</v>
      </c>
      <c r="S581" s="408">
        <v>0</v>
      </c>
      <c r="T581" s="408">
        <v>0</v>
      </c>
      <c r="U581" s="408"/>
      <c r="V581" s="408">
        <v>1</v>
      </c>
      <c r="W581" s="408">
        <v>3</v>
      </c>
      <c r="X581" s="408">
        <v>4</v>
      </c>
      <c r="Y581" s="408">
        <v>0</v>
      </c>
      <c r="Z581" s="408">
        <v>1</v>
      </c>
      <c r="AA581" s="408">
        <v>0</v>
      </c>
      <c r="AB581" s="408">
        <v>2</v>
      </c>
      <c r="AC581" s="408">
        <v>2</v>
      </c>
      <c r="AD581" s="408">
        <v>5</v>
      </c>
    </row>
    <row r="582" spans="1:30">
      <c r="A582">
        <v>476</v>
      </c>
      <c r="B582" s="1" t="s">
        <v>97</v>
      </c>
      <c r="C582" s="1" t="s">
        <v>38</v>
      </c>
      <c r="D582" s="408">
        <v>22</v>
      </c>
      <c r="E582" s="5" t="s">
        <v>357</v>
      </c>
      <c r="F582" s="408">
        <v>46</v>
      </c>
      <c r="G582" s="408">
        <v>14</v>
      </c>
      <c r="H582" s="408">
        <v>699</v>
      </c>
      <c r="I582" s="408">
        <v>78</v>
      </c>
      <c r="J582" s="408">
        <v>175</v>
      </c>
      <c r="K582" s="408">
        <v>0.44600000000000001</v>
      </c>
      <c r="L582" s="408">
        <v>12</v>
      </c>
      <c r="M582" s="408">
        <v>41</v>
      </c>
      <c r="N582" s="408">
        <v>0.29299999999999998</v>
      </c>
      <c r="O582" s="408">
        <v>66</v>
      </c>
      <c r="P582" s="408">
        <v>134</v>
      </c>
      <c r="Q582" s="408">
        <v>0.49299999999999999</v>
      </c>
      <c r="R582" s="408">
        <v>0.48</v>
      </c>
      <c r="S582" s="408">
        <v>31</v>
      </c>
      <c r="T582" s="408">
        <v>47</v>
      </c>
      <c r="U582" s="408">
        <v>0.66</v>
      </c>
      <c r="V582" s="408">
        <v>54</v>
      </c>
      <c r="W582" s="408">
        <v>194</v>
      </c>
      <c r="X582" s="408">
        <v>248</v>
      </c>
      <c r="Y582" s="408">
        <v>26</v>
      </c>
      <c r="Z582" s="408">
        <v>10</v>
      </c>
      <c r="AA582" s="408">
        <v>14</v>
      </c>
      <c r="AB582" s="408">
        <v>21</v>
      </c>
      <c r="AC582" s="408">
        <v>55</v>
      </c>
      <c r="AD582" s="408">
        <v>199</v>
      </c>
    </row>
    <row r="583" spans="1:30">
      <c r="A583">
        <v>476</v>
      </c>
      <c r="B583" s="1" t="s">
        <v>97</v>
      </c>
      <c r="C583" s="1" t="s">
        <v>38</v>
      </c>
      <c r="D583" s="408">
        <v>22</v>
      </c>
      <c r="E583" s="5" t="s">
        <v>96</v>
      </c>
      <c r="F583" s="408">
        <v>33</v>
      </c>
      <c r="G583" s="408">
        <v>12</v>
      </c>
      <c r="H583" s="408">
        <v>476</v>
      </c>
      <c r="I583" s="408">
        <v>47</v>
      </c>
      <c r="J583" s="408">
        <v>96</v>
      </c>
      <c r="K583" s="408">
        <v>0.49</v>
      </c>
      <c r="L583" s="408">
        <v>2</v>
      </c>
      <c r="M583" s="408">
        <v>6</v>
      </c>
      <c r="N583" s="408">
        <v>0.33300000000000002</v>
      </c>
      <c r="O583" s="408">
        <v>45</v>
      </c>
      <c r="P583" s="408">
        <v>90</v>
      </c>
      <c r="Q583" s="408">
        <v>0.5</v>
      </c>
      <c r="R583" s="408">
        <v>0.5</v>
      </c>
      <c r="S583" s="408">
        <v>23</v>
      </c>
      <c r="T583" s="408">
        <v>31</v>
      </c>
      <c r="U583" s="408">
        <v>0.74199999999999999</v>
      </c>
      <c r="V583" s="408">
        <v>35</v>
      </c>
      <c r="W583" s="408">
        <v>132</v>
      </c>
      <c r="X583" s="408">
        <v>167</v>
      </c>
      <c r="Y583" s="408">
        <v>13</v>
      </c>
      <c r="Z583" s="408">
        <v>6</v>
      </c>
      <c r="AA583" s="408">
        <v>11</v>
      </c>
      <c r="AB583" s="408">
        <v>15</v>
      </c>
      <c r="AC583" s="408">
        <v>42</v>
      </c>
      <c r="AD583" s="408">
        <v>119</v>
      </c>
    </row>
    <row r="584" spans="1:30">
      <c r="A584">
        <v>476</v>
      </c>
      <c r="B584" s="1" t="s">
        <v>97</v>
      </c>
      <c r="C584" s="1" t="s">
        <v>38</v>
      </c>
      <c r="D584" s="408">
        <v>22</v>
      </c>
      <c r="E584" s="5" t="s">
        <v>43</v>
      </c>
      <c r="F584" s="408">
        <v>13</v>
      </c>
      <c r="G584" s="408">
        <v>2</v>
      </c>
      <c r="H584" s="408">
        <v>223</v>
      </c>
      <c r="I584" s="408">
        <v>31</v>
      </c>
      <c r="J584" s="408">
        <v>79</v>
      </c>
      <c r="K584" s="408">
        <v>0.39200000000000002</v>
      </c>
      <c r="L584" s="408">
        <v>10</v>
      </c>
      <c r="M584" s="408">
        <v>35</v>
      </c>
      <c r="N584" s="408">
        <v>0.28599999999999998</v>
      </c>
      <c r="O584" s="408">
        <v>21</v>
      </c>
      <c r="P584" s="408">
        <v>44</v>
      </c>
      <c r="Q584" s="408">
        <v>0.47699999999999998</v>
      </c>
      <c r="R584" s="408">
        <v>0.45600000000000002</v>
      </c>
      <c r="S584" s="408">
        <v>8</v>
      </c>
      <c r="T584" s="408">
        <v>16</v>
      </c>
      <c r="U584" s="408">
        <v>0.5</v>
      </c>
      <c r="V584" s="408">
        <v>19</v>
      </c>
      <c r="W584" s="408">
        <v>62</v>
      </c>
      <c r="X584" s="408">
        <v>81</v>
      </c>
      <c r="Y584" s="408">
        <v>13</v>
      </c>
      <c r="Z584" s="408">
        <v>4</v>
      </c>
      <c r="AA584" s="408">
        <v>3</v>
      </c>
      <c r="AB584" s="408">
        <v>6</v>
      </c>
      <c r="AC584" s="408">
        <v>13</v>
      </c>
      <c r="AD584" s="408">
        <v>80</v>
      </c>
    </row>
    <row r="585" spans="1:30">
      <c r="A585">
        <v>477</v>
      </c>
      <c r="B585" s="1" t="s">
        <v>381</v>
      </c>
      <c r="C585" s="1" t="s">
        <v>83</v>
      </c>
      <c r="D585" s="408">
        <v>27</v>
      </c>
      <c r="E585" s="5" t="s">
        <v>75</v>
      </c>
      <c r="F585" s="408">
        <v>47</v>
      </c>
      <c r="G585" s="408">
        <v>47</v>
      </c>
      <c r="H585" s="408">
        <v>1416</v>
      </c>
      <c r="I585" s="408">
        <v>341</v>
      </c>
      <c r="J585" s="408">
        <v>690</v>
      </c>
      <c r="K585" s="408">
        <v>0.49399999999999999</v>
      </c>
      <c r="L585" s="408">
        <v>61</v>
      </c>
      <c r="M585" s="408">
        <v>182</v>
      </c>
      <c r="N585" s="408">
        <v>0.33500000000000002</v>
      </c>
      <c r="O585" s="408">
        <v>280</v>
      </c>
      <c r="P585" s="408">
        <v>508</v>
      </c>
      <c r="Q585" s="408">
        <v>0.55100000000000005</v>
      </c>
      <c r="R585" s="408">
        <v>0.53800000000000003</v>
      </c>
      <c r="S585" s="408">
        <v>64</v>
      </c>
      <c r="T585" s="408">
        <v>80</v>
      </c>
      <c r="U585" s="408">
        <v>0.8</v>
      </c>
      <c r="V585" s="408">
        <v>79</v>
      </c>
      <c r="W585" s="408">
        <v>344</v>
      </c>
      <c r="X585" s="408">
        <v>423</v>
      </c>
      <c r="Y585" s="408">
        <v>156</v>
      </c>
      <c r="Z585" s="408">
        <v>45</v>
      </c>
      <c r="AA585" s="408">
        <v>52</v>
      </c>
      <c r="AB585" s="408">
        <v>96</v>
      </c>
      <c r="AC585" s="408">
        <v>122</v>
      </c>
      <c r="AD585" s="408">
        <v>807</v>
      </c>
    </row>
    <row r="586" spans="1:30">
      <c r="A586">
        <v>478</v>
      </c>
      <c r="B586" s="1" t="s">
        <v>210</v>
      </c>
      <c r="C586" s="1" t="s">
        <v>26</v>
      </c>
      <c r="D586" s="408">
        <v>36</v>
      </c>
      <c r="E586" s="5" t="s">
        <v>357</v>
      </c>
      <c r="F586" s="408">
        <v>58</v>
      </c>
      <c r="G586" s="408">
        <v>3</v>
      </c>
      <c r="H586" s="408">
        <v>1342</v>
      </c>
      <c r="I586" s="408">
        <v>263</v>
      </c>
      <c r="J586" s="408">
        <v>584</v>
      </c>
      <c r="K586" s="408">
        <v>0.45</v>
      </c>
      <c r="L586" s="408">
        <v>29</v>
      </c>
      <c r="M586" s="408">
        <v>97</v>
      </c>
      <c r="N586" s="408">
        <v>0.29899999999999999</v>
      </c>
      <c r="O586" s="408">
        <v>234</v>
      </c>
      <c r="P586" s="408">
        <v>487</v>
      </c>
      <c r="Q586" s="408">
        <v>0.48</v>
      </c>
      <c r="R586" s="408">
        <v>0.47499999999999998</v>
      </c>
      <c r="S586" s="408">
        <v>122</v>
      </c>
      <c r="T586" s="408">
        <v>170</v>
      </c>
      <c r="U586" s="408">
        <v>0.71799999999999997</v>
      </c>
      <c r="V586" s="408">
        <v>48</v>
      </c>
      <c r="W586" s="408">
        <v>179</v>
      </c>
      <c r="X586" s="408">
        <v>227</v>
      </c>
      <c r="Y586" s="408">
        <v>194</v>
      </c>
      <c r="Z586" s="408">
        <v>52</v>
      </c>
      <c r="AA586" s="408">
        <v>37</v>
      </c>
      <c r="AB586" s="408">
        <v>120</v>
      </c>
      <c r="AC586" s="408">
        <v>112</v>
      </c>
      <c r="AD586" s="408">
        <v>677</v>
      </c>
    </row>
    <row r="587" spans="1:30">
      <c r="A587">
        <v>478</v>
      </c>
      <c r="B587" s="1" t="s">
        <v>210</v>
      </c>
      <c r="C587" s="1" t="s">
        <v>26</v>
      </c>
      <c r="D587" s="408">
        <v>36</v>
      </c>
      <c r="E587" s="5" t="s">
        <v>102</v>
      </c>
      <c r="F587" s="408">
        <v>46</v>
      </c>
      <c r="G587" s="408">
        <v>3</v>
      </c>
      <c r="H587" s="408">
        <v>1069</v>
      </c>
      <c r="I587" s="408">
        <v>198</v>
      </c>
      <c r="J587" s="408">
        <v>435</v>
      </c>
      <c r="K587" s="408">
        <v>0.45500000000000002</v>
      </c>
      <c r="L587" s="408">
        <v>23</v>
      </c>
      <c r="M587" s="408">
        <v>70</v>
      </c>
      <c r="N587" s="408">
        <v>0.32900000000000001</v>
      </c>
      <c r="O587" s="408">
        <v>175</v>
      </c>
      <c r="P587" s="408">
        <v>365</v>
      </c>
      <c r="Q587" s="408">
        <v>0.47899999999999998</v>
      </c>
      <c r="R587" s="408">
        <v>0.48199999999999998</v>
      </c>
      <c r="S587" s="408">
        <v>94</v>
      </c>
      <c r="T587" s="408">
        <v>134</v>
      </c>
      <c r="U587" s="408">
        <v>0.70099999999999996</v>
      </c>
      <c r="V587" s="408">
        <v>39</v>
      </c>
      <c r="W587" s="408">
        <v>142</v>
      </c>
      <c r="X587" s="408">
        <v>181</v>
      </c>
      <c r="Y587" s="408">
        <v>163</v>
      </c>
      <c r="Z587" s="408">
        <v>42</v>
      </c>
      <c r="AA587" s="408">
        <v>32</v>
      </c>
      <c r="AB587" s="408">
        <v>92</v>
      </c>
      <c r="AC587" s="408">
        <v>84</v>
      </c>
      <c r="AD587" s="408">
        <v>513</v>
      </c>
    </row>
    <row r="588" spans="1:30">
      <c r="A588">
        <v>478</v>
      </c>
      <c r="B588" s="1" t="s">
        <v>210</v>
      </c>
      <c r="C588" s="1" t="s">
        <v>26</v>
      </c>
      <c r="D588" s="408">
        <v>36</v>
      </c>
      <c r="E588" s="5" t="s">
        <v>50</v>
      </c>
      <c r="F588" s="408">
        <v>12</v>
      </c>
      <c r="G588" s="408">
        <v>0</v>
      </c>
      <c r="H588" s="408">
        <v>273</v>
      </c>
      <c r="I588" s="408">
        <v>65</v>
      </c>
      <c r="J588" s="408">
        <v>149</v>
      </c>
      <c r="K588" s="408">
        <v>0.436</v>
      </c>
      <c r="L588" s="408">
        <v>6</v>
      </c>
      <c r="M588" s="408">
        <v>27</v>
      </c>
      <c r="N588" s="408">
        <v>0.222</v>
      </c>
      <c r="O588" s="408">
        <v>59</v>
      </c>
      <c r="P588" s="408">
        <v>122</v>
      </c>
      <c r="Q588" s="408">
        <v>0.48399999999999999</v>
      </c>
      <c r="R588" s="408">
        <v>0.45600000000000002</v>
      </c>
      <c r="S588" s="408">
        <v>28</v>
      </c>
      <c r="T588" s="408">
        <v>36</v>
      </c>
      <c r="U588" s="408">
        <v>0.77800000000000002</v>
      </c>
      <c r="V588" s="408">
        <v>9</v>
      </c>
      <c r="W588" s="408">
        <v>37</v>
      </c>
      <c r="X588" s="408">
        <v>46</v>
      </c>
      <c r="Y588" s="408">
        <v>31</v>
      </c>
      <c r="Z588" s="408">
        <v>10</v>
      </c>
      <c r="AA588" s="408">
        <v>5</v>
      </c>
      <c r="AB588" s="408">
        <v>28</v>
      </c>
      <c r="AC588" s="408">
        <v>28</v>
      </c>
      <c r="AD588" s="408">
        <v>164</v>
      </c>
    </row>
    <row r="589" spans="1:30">
      <c r="A589">
        <v>479</v>
      </c>
      <c r="B589" s="1" t="s">
        <v>336</v>
      </c>
      <c r="C589" s="1" t="s">
        <v>26</v>
      </c>
      <c r="D589" s="408">
        <v>26</v>
      </c>
      <c r="E589" s="5" t="s">
        <v>50</v>
      </c>
      <c r="F589" s="408">
        <v>30</v>
      </c>
      <c r="G589" s="408">
        <v>30</v>
      </c>
      <c r="H589" s="408">
        <v>918</v>
      </c>
      <c r="I589" s="408">
        <v>163</v>
      </c>
      <c r="J589" s="408">
        <v>410</v>
      </c>
      <c r="K589" s="408">
        <v>0.39800000000000002</v>
      </c>
      <c r="L589" s="408">
        <v>52</v>
      </c>
      <c r="M589" s="408">
        <v>170</v>
      </c>
      <c r="N589" s="408">
        <v>0.30599999999999999</v>
      </c>
      <c r="O589" s="408">
        <v>111</v>
      </c>
      <c r="P589" s="408">
        <v>240</v>
      </c>
      <c r="Q589" s="408">
        <v>0.46300000000000002</v>
      </c>
      <c r="R589" s="408">
        <v>0.46100000000000002</v>
      </c>
      <c r="S589" s="408">
        <v>51</v>
      </c>
      <c r="T589" s="408">
        <v>69</v>
      </c>
      <c r="U589" s="408">
        <v>0.73899999999999999</v>
      </c>
      <c r="V589" s="408">
        <v>8</v>
      </c>
      <c r="W589" s="408">
        <v>69</v>
      </c>
      <c r="X589" s="408">
        <v>77</v>
      </c>
      <c r="Y589" s="408">
        <v>113</v>
      </c>
      <c r="Z589" s="408">
        <v>23</v>
      </c>
      <c r="AA589" s="408">
        <v>9</v>
      </c>
      <c r="AB589" s="408">
        <v>70</v>
      </c>
      <c r="AC589" s="408">
        <v>61</v>
      </c>
      <c r="AD589" s="408">
        <v>429</v>
      </c>
    </row>
    <row r="590" spans="1:30">
      <c r="A590">
        <v>480</v>
      </c>
      <c r="B590" s="1" t="s">
        <v>310</v>
      </c>
      <c r="C590" s="1" t="s">
        <v>20</v>
      </c>
      <c r="D590" s="408">
        <v>27</v>
      </c>
      <c r="E590" s="5" t="s">
        <v>311</v>
      </c>
      <c r="F590" s="408">
        <v>69</v>
      </c>
      <c r="G590" s="408">
        <v>69</v>
      </c>
      <c r="H590" s="408">
        <v>2403</v>
      </c>
      <c r="I590" s="408">
        <v>520</v>
      </c>
      <c r="J590" s="408">
        <v>1208</v>
      </c>
      <c r="K590" s="408">
        <v>0.43</v>
      </c>
      <c r="L590" s="408">
        <v>203</v>
      </c>
      <c r="M590" s="408">
        <v>524</v>
      </c>
      <c r="N590" s="408">
        <v>0.38700000000000001</v>
      </c>
      <c r="O590" s="408">
        <v>317</v>
      </c>
      <c r="P590" s="408">
        <v>684</v>
      </c>
      <c r="Q590" s="408">
        <v>0.46300000000000002</v>
      </c>
      <c r="R590" s="408">
        <v>0.51400000000000001</v>
      </c>
      <c r="S590" s="408">
        <v>315</v>
      </c>
      <c r="T590" s="408">
        <v>371</v>
      </c>
      <c r="U590" s="408">
        <v>0.84899999999999998</v>
      </c>
      <c r="V590" s="408">
        <v>27</v>
      </c>
      <c r="W590" s="408">
        <v>196</v>
      </c>
      <c r="X590" s="408">
        <v>223</v>
      </c>
      <c r="Y590" s="408">
        <v>397</v>
      </c>
      <c r="Z590" s="408">
        <v>83</v>
      </c>
      <c r="AA590" s="408">
        <v>22</v>
      </c>
      <c r="AB590" s="408">
        <v>151</v>
      </c>
      <c r="AC590" s="408">
        <v>92</v>
      </c>
      <c r="AD590" s="408">
        <v>1558</v>
      </c>
    </row>
    <row r="591" spans="1:30">
      <c r="A591">
        <v>481</v>
      </c>
      <c r="B591" s="1" t="s">
        <v>387</v>
      </c>
      <c r="C591" s="1" t="s">
        <v>20</v>
      </c>
      <c r="D591" s="408">
        <v>27</v>
      </c>
      <c r="E591" s="5" t="s">
        <v>27</v>
      </c>
      <c r="F591" s="408">
        <v>37</v>
      </c>
      <c r="G591" s="408">
        <v>37</v>
      </c>
      <c r="H591" s="408">
        <v>1269</v>
      </c>
      <c r="I591" s="408">
        <v>252</v>
      </c>
      <c r="J591" s="408">
        <v>604</v>
      </c>
      <c r="K591" s="408">
        <v>0.41699999999999998</v>
      </c>
      <c r="L591" s="408">
        <v>53</v>
      </c>
      <c r="M591" s="408">
        <v>148</v>
      </c>
      <c r="N591" s="408">
        <v>0.35799999999999998</v>
      </c>
      <c r="O591" s="408">
        <v>199</v>
      </c>
      <c r="P591" s="408">
        <v>456</v>
      </c>
      <c r="Q591" s="408">
        <v>0.436</v>
      </c>
      <c r="R591" s="408">
        <v>0.46100000000000002</v>
      </c>
      <c r="S591" s="408">
        <v>159</v>
      </c>
      <c r="T591" s="408">
        <v>221</v>
      </c>
      <c r="U591" s="408">
        <v>0.71899999999999997</v>
      </c>
      <c r="V591" s="408">
        <v>20</v>
      </c>
      <c r="W591" s="408">
        <v>112</v>
      </c>
      <c r="X591" s="408">
        <v>132</v>
      </c>
      <c r="Y591" s="408">
        <v>343</v>
      </c>
      <c r="Z591" s="408">
        <v>49</v>
      </c>
      <c r="AA591" s="408">
        <v>42</v>
      </c>
      <c r="AB591" s="408">
        <v>133</v>
      </c>
      <c r="AC591" s="408">
        <v>69</v>
      </c>
      <c r="AD591" s="408">
        <v>716</v>
      </c>
    </row>
    <row r="592" spans="1:30">
      <c r="A592">
        <v>482</v>
      </c>
      <c r="B592" s="1" t="s">
        <v>509</v>
      </c>
      <c r="C592" s="1" t="s">
        <v>20</v>
      </c>
      <c r="D592" s="408">
        <v>23</v>
      </c>
      <c r="E592" s="5" t="s">
        <v>64</v>
      </c>
      <c r="F592" s="408">
        <v>21</v>
      </c>
      <c r="G592" s="408">
        <v>12</v>
      </c>
      <c r="H592" s="408">
        <v>581</v>
      </c>
      <c r="I592" s="408">
        <v>77</v>
      </c>
      <c r="J592" s="408">
        <v>167</v>
      </c>
      <c r="K592" s="408">
        <v>0.46100000000000002</v>
      </c>
      <c r="L592" s="408">
        <v>8</v>
      </c>
      <c r="M592" s="408">
        <v>26</v>
      </c>
      <c r="N592" s="408">
        <v>0.308</v>
      </c>
      <c r="O592" s="408">
        <v>69</v>
      </c>
      <c r="P592" s="408">
        <v>141</v>
      </c>
      <c r="Q592" s="408">
        <v>0.48899999999999999</v>
      </c>
      <c r="R592" s="408">
        <v>0.48499999999999999</v>
      </c>
      <c r="S592" s="408">
        <v>50</v>
      </c>
      <c r="T592" s="408">
        <v>64</v>
      </c>
      <c r="U592" s="408">
        <v>0.78100000000000003</v>
      </c>
      <c r="V592" s="408">
        <v>14</v>
      </c>
      <c r="W592" s="408">
        <v>57</v>
      </c>
      <c r="X592" s="408">
        <v>71</v>
      </c>
      <c r="Y592" s="408">
        <v>53</v>
      </c>
      <c r="Z592" s="408">
        <v>18</v>
      </c>
      <c r="AA592" s="408">
        <v>9</v>
      </c>
      <c r="AB592" s="408">
        <v>25</v>
      </c>
      <c r="AC592" s="408">
        <v>58</v>
      </c>
      <c r="AD592" s="408">
        <v>212</v>
      </c>
    </row>
    <row r="593" spans="1:30">
      <c r="A593">
        <v>483</v>
      </c>
      <c r="B593" s="1" t="s">
        <v>365</v>
      </c>
      <c r="C593" s="1" t="s">
        <v>46</v>
      </c>
      <c r="D593" s="408">
        <v>23</v>
      </c>
      <c r="E593" s="5" t="s">
        <v>149</v>
      </c>
      <c r="F593" s="408">
        <v>70</v>
      </c>
      <c r="G593" s="408">
        <v>70</v>
      </c>
      <c r="H593" s="408">
        <v>2111</v>
      </c>
      <c r="I593" s="408">
        <v>338</v>
      </c>
      <c r="J593" s="408">
        <v>800</v>
      </c>
      <c r="K593" s="408">
        <v>0.42299999999999999</v>
      </c>
      <c r="L593" s="408">
        <v>146</v>
      </c>
      <c r="M593" s="408">
        <v>376</v>
      </c>
      <c r="N593" s="408">
        <v>0.38800000000000001</v>
      </c>
      <c r="O593" s="408">
        <v>192</v>
      </c>
      <c r="P593" s="408">
        <v>424</v>
      </c>
      <c r="Q593" s="408">
        <v>0.45300000000000001</v>
      </c>
      <c r="R593" s="408">
        <v>0.51400000000000001</v>
      </c>
      <c r="S593" s="408">
        <v>124</v>
      </c>
      <c r="T593" s="408">
        <v>148</v>
      </c>
      <c r="U593" s="408">
        <v>0.83799999999999997</v>
      </c>
      <c r="V593" s="408">
        <v>45</v>
      </c>
      <c r="W593" s="408">
        <v>297</v>
      </c>
      <c r="X593" s="408">
        <v>342</v>
      </c>
      <c r="Y593" s="408">
        <v>166</v>
      </c>
      <c r="Z593" s="408">
        <v>69</v>
      </c>
      <c r="AA593" s="408">
        <v>39</v>
      </c>
      <c r="AB593" s="408">
        <v>158</v>
      </c>
      <c r="AC593" s="408">
        <v>142</v>
      </c>
      <c r="AD593" s="408">
        <v>946</v>
      </c>
    </row>
    <row r="594" spans="1:30">
      <c r="A594">
        <v>484</v>
      </c>
      <c r="B594" s="1" t="s">
        <v>302</v>
      </c>
      <c r="C594" s="1" t="s">
        <v>20</v>
      </c>
      <c r="D594" s="408">
        <v>22</v>
      </c>
      <c r="E594" s="5" t="s">
        <v>50</v>
      </c>
      <c r="F594" s="408">
        <v>14</v>
      </c>
      <c r="G594" s="408">
        <v>0</v>
      </c>
      <c r="H594" s="408">
        <v>137</v>
      </c>
      <c r="I594" s="408">
        <v>8</v>
      </c>
      <c r="J594" s="408">
        <v>24</v>
      </c>
      <c r="K594" s="408">
        <v>0.33300000000000002</v>
      </c>
      <c r="L594" s="408">
        <v>7</v>
      </c>
      <c r="M594" s="408">
        <v>17</v>
      </c>
      <c r="N594" s="408">
        <v>0.41199999999999998</v>
      </c>
      <c r="O594" s="408">
        <v>1</v>
      </c>
      <c r="P594" s="408">
        <v>7</v>
      </c>
      <c r="Q594" s="408">
        <v>0.14299999999999999</v>
      </c>
      <c r="R594" s="408">
        <v>0.47899999999999998</v>
      </c>
      <c r="S594" s="408">
        <v>4</v>
      </c>
      <c r="T594" s="408">
        <v>4</v>
      </c>
      <c r="U594" s="408">
        <v>1</v>
      </c>
      <c r="V594" s="408">
        <v>1</v>
      </c>
      <c r="W594" s="408">
        <v>11</v>
      </c>
      <c r="X594" s="408">
        <v>12</v>
      </c>
      <c r="Y594" s="408">
        <v>15</v>
      </c>
      <c r="Z594" s="408">
        <v>5</v>
      </c>
      <c r="AA594" s="408">
        <v>3</v>
      </c>
      <c r="AB594" s="408">
        <v>2</v>
      </c>
      <c r="AC594" s="408">
        <v>6</v>
      </c>
      <c r="AD594" s="408">
        <v>27</v>
      </c>
    </row>
    <row r="595" spans="1:30">
      <c r="A595">
        <v>485</v>
      </c>
      <c r="B595" s="1" t="s">
        <v>1203</v>
      </c>
      <c r="C595" s="1" t="s">
        <v>38</v>
      </c>
      <c r="D595" s="408">
        <v>24</v>
      </c>
      <c r="E595" s="5" t="s">
        <v>33</v>
      </c>
      <c r="F595" s="408">
        <v>3</v>
      </c>
      <c r="G595" s="408">
        <v>0</v>
      </c>
      <c r="H595" s="408">
        <v>27</v>
      </c>
      <c r="I595" s="408">
        <v>7</v>
      </c>
      <c r="J595" s="408">
        <v>12</v>
      </c>
      <c r="K595" s="408">
        <v>0.58299999999999996</v>
      </c>
      <c r="L595" s="408">
        <v>0</v>
      </c>
      <c r="M595" s="408">
        <v>0</v>
      </c>
      <c r="N595" s="408"/>
      <c r="O595" s="408">
        <v>7</v>
      </c>
      <c r="P595" s="408">
        <v>12</v>
      </c>
      <c r="Q595" s="408">
        <v>0.58299999999999996</v>
      </c>
      <c r="R595" s="408">
        <v>0.58299999999999996</v>
      </c>
      <c r="S595" s="408">
        <v>3</v>
      </c>
      <c r="T595" s="408">
        <v>5</v>
      </c>
      <c r="U595" s="408">
        <v>0.6</v>
      </c>
      <c r="V595" s="408">
        <v>4</v>
      </c>
      <c r="W595" s="408">
        <v>5</v>
      </c>
      <c r="X595" s="408">
        <v>9</v>
      </c>
      <c r="Y595" s="408">
        <v>0</v>
      </c>
      <c r="Z595" s="408">
        <v>0</v>
      </c>
      <c r="AA595" s="408">
        <v>0</v>
      </c>
      <c r="AB595" s="408">
        <v>1</v>
      </c>
      <c r="AC595" s="408">
        <v>2</v>
      </c>
      <c r="AD595" s="408">
        <v>17</v>
      </c>
    </row>
    <row r="596" spans="1:30">
      <c r="A596">
        <v>486</v>
      </c>
      <c r="B596" s="1" t="s">
        <v>508</v>
      </c>
      <c r="C596" s="1" t="s">
        <v>46</v>
      </c>
      <c r="D596" s="408">
        <v>24</v>
      </c>
      <c r="E596" s="5" t="s">
        <v>313</v>
      </c>
      <c r="F596" s="408">
        <v>65</v>
      </c>
      <c r="G596" s="408">
        <v>65</v>
      </c>
      <c r="H596" s="408">
        <v>2142</v>
      </c>
      <c r="I596" s="408">
        <v>529</v>
      </c>
      <c r="J596" s="408">
        <v>1063</v>
      </c>
      <c r="K596" s="408">
        <v>0.498</v>
      </c>
      <c r="L596" s="408">
        <v>20</v>
      </c>
      <c r="M596" s="408">
        <v>90</v>
      </c>
      <c r="N596" s="408">
        <v>0.222</v>
      </c>
      <c r="O596" s="408">
        <v>509</v>
      </c>
      <c r="P596" s="408">
        <v>973</v>
      </c>
      <c r="Q596" s="408">
        <v>0.52300000000000002</v>
      </c>
      <c r="R596" s="408">
        <v>0.50700000000000001</v>
      </c>
      <c r="S596" s="408">
        <v>193</v>
      </c>
      <c r="T596" s="408">
        <v>255</v>
      </c>
      <c r="U596" s="408">
        <v>0.75700000000000001</v>
      </c>
      <c r="V596" s="408">
        <v>125</v>
      </c>
      <c r="W596" s="408">
        <v>208</v>
      </c>
      <c r="X596" s="408">
        <v>333</v>
      </c>
      <c r="Y596" s="408">
        <v>85</v>
      </c>
      <c r="Z596" s="408">
        <v>65</v>
      </c>
      <c r="AA596" s="408">
        <v>41</v>
      </c>
      <c r="AB596" s="408">
        <v>85</v>
      </c>
      <c r="AC596" s="408">
        <v>149</v>
      </c>
      <c r="AD596" s="408">
        <v>1271</v>
      </c>
    </row>
    <row r="597" spans="1:30">
      <c r="A597">
        <v>487</v>
      </c>
      <c r="B597" s="1" t="s">
        <v>1087</v>
      </c>
      <c r="C597" s="1" t="s">
        <v>46</v>
      </c>
      <c r="D597" s="408">
        <v>27</v>
      </c>
      <c r="E597" s="5" t="s">
        <v>78</v>
      </c>
      <c r="F597" s="408">
        <v>9</v>
      </c>
      <c r="G597" s="408">
        <v>0</v>
      </c>
      <c r="H597" s="408">
        <v>107</v>
      </c>
      <c r="I597" s="408">
        <v>14</v>
      </c>
      <c r="J597" s="408">
        <v>37</v>
      </c>
      <c r="K597" s="408">
        <v>0.378</v>
      </c>
      <c r="L597" s="408">
        <v>10</v>
      </c>
      <c r="M597" s="408">
        <v>26</v>
      </c>
      <c r="N597" s="408">
        <v>0.38500000000000001</v>
      </c>
      <c r="O597" s="408">
        <v>4</v>
      </c>
      <c r="P597" s="408">
        <v>11</v>
      </c>
      <c r="Q597" s="408">
        <v>0.36399999999999999</v>
      </c>
      <c r="R597" s="408">
        <v>0.51400000000000001</v>
      </c>
      <c r="S597" s="408">
        <v>4</v>
      </c>
      <c r="T597" s="408">
        <v>4</v>
      </c>
      <c r="U597" s="408">
        <v>1</v>
      </c>
      <c r="V597" s="408">
        <v>0</v>
      </c>
      <c r="W597" s="408">
        <v>20</v>
      </c>
      <c r="X597" s="408">
        <v>20</v>
      </c>
      <c r="Y597" s="408">
        <v>1</v>
      </c>
      <c r="Z597" s="408">
        <v>0</v>
      </c>
      <c r="AA597" s="408">
        <v>4</v>
      </c>
      <c r="AB597" s="408">
        <v>3</v>
      </c>
      <c r="AC597" s="408">
        <v>18</v>
      </c>
      <c r="AD597" s="408">
        <v>42</v>
      </c>
    </row>
    <row r="598" spans="1:30">
      <c r="A598">
        <v>488</v>
      </c>
      <c r="B598" s="1" t="s">
        <v>818</v>
      </c>
      <c r="C598" s="1" t="s">
        <v>46</v>
      </c>
      <c r="D598" s="408">
        <v>24</v>
      </c>
      <c r="E598" s="5" t="s">
        <v>315</v>
      </c>
      <c r="F598" s="408">
        <v>9</v>
      </c>
      <c r="G598" s="408">
        <v>0</v>
      </c>
      <c r="H598" s="408">
        <v>108</v>
      </c>
      <c r="I598" s="408">
        <v>5</v>
      </c>
      <c r="J598" s="408">
        <v>21</v>
      </c>
      <c r="K598" s="408">
        <v>0.23799999999999999</v>
      </c>
      <c r="L598" s="408">
        <v>4</v>
      </c>
      <c r="M598" s="408">
        <v>17</v>
      </c>
      <c r="N598" s="408">
        <v>0.23499999999999999</v>
      </c>
      <c r="O598" s="408">
        <v>1</v>
      </c>
      <c r="P598" s="408">
        <v>4</v>
      </c>
      <c r="Q598" s="408">
        <v>0.25</v>
      </c>
      <c r="R598" s="408">
        <v>0.33300000000000002</v>
      </c>
      <c r="S598" s="408">
        <v>0</v>
      </c>
      <c r="T598" s="408">
        <v>0</v>
      </c>
      <c r="U598" s="408"/>
      <c r="V598" s="408">
        <v>7</v>
      </c>
      <c r="W598" s="408">
        <v>15</v>
      </c>
      <c r="X598" s="408">
        <v>22</v>
      </c>
      <c r="Y598" s="408">
        <v>4</v>
      </c>
      <c r="Z598" s="408">
        <v>1</v>
      </c>
      <c r="AA598" s="408">
        <v>0</v>
      </c>
      <c r="AB598" s="408">
        <v>3</v>
      </c>
      <c r="AC598" s="408">
        <v>10</v>
      </c>
      <c r="AD598" s="408">
        <v>14</v>
      </c>
    </row>
    <row r="599" spans="1:30">
      <c r="A599">
        <v>489</v>
      </c>
      <c r="B599" s="1" t="s">
        <v>290</v>
      </c>
      <c r="C599" s="1" t="s">
        <v>20</v>
      </c>
      <c r="D599" s="408">
        <v>25</v>
      </c>
      <c r="E599" s="5" t="s">
        <v>357</v>
      </c>
      <c r="F599" s="408">
        <v>16</v>
      </c>
      <c r="G599" s="408">
        <v>0</v>
      </c>
      <c r="H599" s="408">
        <v>193</v>
      </c>
      <c r="I599" s="408">
        <v>18</v>
      </c>
      <c r="J599" s="408">
        <v>37</v>
      </c>
      <c r="K599" s="408">
        <v>0.48599999999999999</v>
      </c>
      <c r="L599" s="408">
        <v>4</v>
      </c>
      <c r="M599" s="408">
        <v>11</v>
      </c>
      <c r="N599" s="408">
        <v>0.36399999999999999</v>
      </c>
      <c r="O599" s="408">
        <v>14</v>
      </c>
      <c r="P599" s="408">
        <v>26</v>
      </c>
      <c r="Q599" s="408">
        <v>0.53800000000000003</v>
      </c>
      <c r="R599" s="408">
        <v>0.54100000000000004</v>
      </c>
      <c r="S599" s="408">
        <v>6</v>
      </c>
      <c r="T599" s="408">
        <v>8</v>
      </c>
      <c r="U599" s="408">
        <v>0.75</v>
      </c>
      <c r="V599" s="408">
        <v>7</v>
      </c>
      <c r="W599" s="408">
        <v>26</v>
      </c>
      <c r="X599" s="408">
        <v>33</v>
      </c>
      <c r="Y599" s="408">
        <v>17</v>
      </c>
      <c r="Z599" s="408">
        <v>15</v>
      </c>
      <c r="AA599" s="408">
        <v>4</v>
      </c>
      <c r="AB599" s="408">
        <v>11</v>
      </c>
      <c r="AC599" s="408">
        <v>24</v>
      </c>
      <c r="AD599" s="408">
        <v>46</v>
      </c>
    </row>
    <row r="600" spans="1:30">
      <c r="A600">
        <v>489</v>
      </c>
      <c r="B600" s="1" t="s">
        <v>290</v>
      </c>
      <c r="C600" s="1" t="s">
        <v>20</v>
      </c>
      <c r="D600" s="408">
        <v>25</v>
      </c>
      <c r="E600" s="5" t="s">
        <v>92</v>
      </c>
      <c r="F600" s="408">
        <v>13</v>
      </c>
      <c r="G600" s="408">
        <v>0</v>
      </c>
      <c r="H600" s="408">
        <v>118</v>
      </c>
      <c r="I600" s="408">
        <v>9</v>
      </c>
      <c r="J600" s="408">
        <v>22</v>
      </c>
      <c r="K600" s="408">
        <v>0.40899999999999997</v>
      </c>
      <c r="L600" s="408">
        <v>4</v>
      </c>
      <c r="M600" s="408">
        <v>9</v>
      </c>
      <c r="N600" s="408">
        <v>0.44400000000000001</v>
      </c>
      <c r="O600" s="408">
        <v>5</v>
      </c>
      <c r="P600" s="408">
        <v>13</v>
      </c>
      <c r="Q600" s="408">
        <v>0.38500000000000001</v>
      </c>
      <c r="R600" s="408">
        <v>0.5</v>
      </c>
      <c r="S600" s="408">
        <v>4</v>
      </c>
      <c r="T600" s="408">
        <v>4</v>
      </c>
      <c r="U600" s="408">
        <v>1</v>
      </c>
      <c r="V600" s="408">
        <v>3</v>
      </c>
      <c r="W600" s="408">
        <v>15</v>
      </c>
      <c r="X600" s="408">
        <v>18</v>
      </c>
      <c r="Y600" s="408">
        <v>13</v>
      </c>
      <c r="Z600" s="408">
        <v>10</v>
      </c>
      <c r="AA600" s="408">
        <v>3</v>
      </c>
      <c r="AB600" s="408">
        <v>7</v>
      </c>
      <c r="AC600" s="408">
        <v>18</v>
      </c>
      <c r="AD600" s="408">
        <v>26</v>
      </c>
    </row>
    <row r="601" spans="1:30">
      <c r="A601">
        <v>489</v>
      </c>
      <c r="B601" s="1" t="s">
        <v>290</v>
      </c>
      <c r="C601" s="1" t="s">
        <v>20</v>
      </c>
      <c r="D601" s="408">
        <v>25</v>
      </c>
      <c r="E601" s="5" t="s">
        <v>128</v>
      </c>
      <c r="F601" s="408">
        <v>3</v>
      </c>
      <c r="G601" s="408">
        <v>0</v>
      </c>
      <c r="H601" s="408">
        <v>75</v>
      </c>
      <c r="I601" s="408">
        <v>9</v>
      </c>
      <c r="J601" s="408">
        <v>15</v>
      </c>
      <c r="K601" s="408">
        <v>0.6</v>
      </c>
      <c r="L601" s="408">
        <v>0</v>
      </c>
      <c r="M601" s="408">
        <v>2</v>
      </c>
      <c r="N601" s="408">
        <v>0</v>
      </c>
      <c r="O601" s="408">
        <v>9</v>
      </c>
      <c r="P601" s="408">
        <v>13</v>
      </c>
      <c r="Q601" s="408">
        <v>0.69199999999999995</v>
      </c>
      <c r="R601" s="408">
        <v>0.6</v>
      </c>
      <c r="S601" s="408">
        <v>2</v>
      </c>
      <c r="T601" s="408">
        <v>4</v>
      </c>
      <c r="U601" s="408">
        <v>0.5</v>
      </c>
      <c r="V601" s="408">
        <v>4</v>
      </c>
      <c r="W601" s="408">
        <v>11</v>
      </c>
      <c r="X601" s="408">
        <v>15</v>
      </c>
      <c r="Y601" s="408">
        <v>4</v>
      </c>
      <c r="Z601" s="408">
        <v>5</v>
      </c>
      <c r="AA601" s="408">
        <v>1</v>
      </c>
      <c r="AB601" s="408">
        <v>4</v>
      </c>
      <c r="AC601" s="408">
        <v>6</v>
      </c>
      <c r="AD601" s="408">
        <v>20</v>
      </c>
    </row>
    <row r="602" spans="1:30">
      <c r="A602">
        <v>490</v>
      </c>
      <c r="B602" s="1" t="s">
        <v>167</v>
      </c>
      <c r="C602" s="1" t="s">
        <v>83</v>
      </c>
      <c r="D602" s="408">
        <v>37</v>
      </c>
      <c r="E602" s="5" t="s">
        <v>73</v>
      </c>
      <c r="F602" s="408">
        <v>62</v>
      </c>
      <c r="G602" s="408">
        <v>0</v>
      </c>
      <c r="H602" s="408">
        <v>851</v>
      </c>
      <c r="I602" s="408">
        <v>190</v>
      </c>
      <c r="J602" s="408">
        <v>320</v>
      </c>
      <c r="K602" s="408">
        <v>0.59399999999999997</v>
      </c>
      <c r="L602" s="408">
        <v>3</v>
      </c>
      <c r="M602" s="408">
        <v>8</v>
      </c>
      <c r="N602" s="408">
        <v>0.375</v>
      </c>
      <c r="O602" s="408">
        <v>187</v>
      </c>
      <c r="P602" s="408">
        <v>312</v>
      </c>
      <c r="Q602" s="408">
        <v>0.59899999999999998</v>
      </c>
      <c r="R602" s="408">
        <v>0.59799999999999998</v>
      </c>
      <c r="S602" s="408">
        <v>51</v>
      </c>
      <c r="T602" s="408">
        <v>68</v>
      </c>
      <c r="U602" s="408">
        <v>0.75</v>
      </c>
      <c r="V602" s="408">
        <v>57</v>
      </c>
      <c r="W602" s="408">
        <v>153</v>
      </c>
      <c r="X602" s="408">
        <v>210</v>
      </c>
      <c r="Y602" s="408">
        <v>117</v>
      </c>
      <c r="Z602" s="408">
        <v>39</v>
      </c>
      <c r="AA602" s="408">
        <v>67</v>
      </c>
      <c r="AB602" s="408">
        <v>72</v>
      </c>
      <c r="AC602" s="408">
        <v>104</v>
      </c>
      <c r="AD602" s="408">
        <v>434</v>
      </c>
    </row>
    <row r="603" spans="1:30">
      <c r="A603">
        <v>491</v>
      </c>
      <c r="B603" s="1" t="s">
        <v>366</v>
      </c>
      <c r="C603" s="1" t="s">
        <v>20</v>
      </c>
      <c r="D603" s="408">
        <v>29</v>
      </c>
      <c r="E603" s="5" t="s">
        <v>58</v>
      </c>
      <c r="F603" s="408">
        <v>70</v>
      </c>
      <c r="G603" s="408">
        <v>70</v>
      </c>
      <c r="H603" s="408">
        <v>2533</v>
      </c>
      <c r="I603" s="408">
        <v>667</v>
      </c>
      <c r="J603" s="408">
        <v>1479</v>
      </c>
      <c r="K603" s="408">
        <v>0.45100000000000001</v>
      </c>
      <c r="L603" s="408">
        <v>82</v>
      </c>
      <c r="M603" s="408">
        <v>286</v>
      </c>
      <c r="N603" s="408">
        <v>0.28699999999999998</v>
      </c>
      <c r="O603" s="408">
        <v>585</v>
      </c>
      <c r="P603" s="408">
        <v>1193</v>
      </c>
      <c r="Q603" s="408">
        <v>0.49</v>
      </c>
      <c r="R603" s="408">
        <v>0.47899999999999998</v>
      </c>
      <c r="S603" s="408">
        <v>358</v>
      </c>
      <c r="T603" s="408">
        <v>486</v>
      </c>
      <c r="U603" s="408">
        <v>0.73699999999999999</v>
      </c>
      <c r="V603" s="408">
        <v>128</v>
      </c>
      <c r="W603" s="408">
        <v>551</v>
      </c>
      <c r="X603" s="408">
        <v>679</v>
      </c>
      <c r="Y603" s="408">
        <v>717</v>
      </c>
      <c r="Z603" s="408">
        <v>125</v>
      </c>
      <c r="AA603" s="408">
        <v>17</v>
      </c>
      <c r="AB603" s="408">
        <v>331</v>
      </c>
      <c r="AC603" s="408">
        <v>166</v>
      </c>
      <c r="AD603" s="408">
        <v>1774</v>
      </c>
    </row>
    <row r="604" spans="1:30">
      <c r="A604">
        <v>492</v>
      </c>
      <c r="B604" s="1" t="s">
        <v>995</v>
      </c>
      <c r="C604" s="1" t="s">
        <v>46</v>
      </c>
      <c r="D604" s="408">
        <v>24</v>
      </c>
      <c r="E604" s="5" t="s">
        <v>149</v>
      </c>
      <c r="F604" s="408">
        <v>8</v>
      </c>
      <c r="G604" s="408">
        <v>0</v>
      </c>
      <c r="H604" s="408">
        <v>110</v>
      </c>
      <c r="I604" s="408">
        <v>17</v>
      </c>
      <c r="J604" s="408">
        <v>40</v>
      </c>
      <c r="K604" s="408">
        <v>0.42499999999999999</v>
      </c>
      <c r="L604" s="408">
        <v>10</v>
      </c>
      <c r="M604" s="408">
        <v>26</v>
      </c>
      <c r="N604" s="408">
        <v>0.38500000000000001</v>
      </c>
      <c r="O604" s="408">
        <v>7</v>
      </c>
      <c r="P604" s="408">
        <v>14</v>
      </c>
      <c r="Q604" s="408">
        <v>0.5</v>
      </c>
      <c r="R604" s="408">
        <v>0.55000000000000004</v>
      </c>
      <c r="S604" s="408">
        <v>1</v>
      </c>
      <c r="T604" s="408">
        <v>2</v>
      </c>
      <c r="U604" s="408">
        <v>0.5</v>
      </c>
      <c r="V604" s="408">
        <v>3</v>
      </c>
      <c r="W604" s="408">
        <v>9</v>
      </c>
      <c r="X604" s="408">
        <v>12</v>
      </c>
      <c r="Y604" s="408">
        <v>1</v>
      </c>
      <c r="Z604" s="408">
        <v>2</v>
      </c>
      <c r="AA604" s="408">
        <v>0</v>
      </c>
      <c r="AB604" s="408">
        <v>2</v>
      </c>
      <c r="AC604" s="408">
        <v>8</v>
      </c>
      <c r="AD604" s="408">
        <v>45</v>
      </c>
    </row>
    <row r="605" spans="1:30">
      <c r="A605">
        <v>493</v>
      </c>
      <c r="B605" s="1" t="s">
        <v>572</v>
      </c>
      <c r="C605" s="1" t="s">
        <v>20</v>
      </c>
      <c r="D605" s="408">
        <v>23</v>
      </c>
      <c r="E605" s="5" t="s">
        <v>140</v>
      </c>
      <c r="F605" s="408">
        <v>17</v>
      </c>
      <c r="G605" s="408">
        <v>0</v>
      </c>
      <c r="H605" s="408">
        <v>139</v>
      </c>
      <c r="I605" s="408">
        <v>16</v>
      </c>
      <c r="J605" s="408">
        <v>33</v>
      </c>
      <c r="K605" s="408">
        <v>0.48499999999999999</v>
      </c>
      <c r="L605" s="408">
        <v>8</v>
      </c>
      <c r="M605" s="408">
        <v>13</v>
      </c>
      <c r="N605" s="408">
        <v>0.61499999999999999</v>
      </c>
      <c r="O605" s="408">
        <v>8</v>
      </c>
      <c r="P605" s="408">
        <v>20</v>
      </c>
      <c r="Q605" s="408">
        <v>0.4</v>
      </c>
      <c r="R605" s="408">
        <v>0.60599999999999998</v>
      </c>
      <c r="S605" s="408">
        <v>14</v>
      </c>
      <c r="T605" s="408">
        <v>20</v>
      </c>
      <c r="U605" s="408">
        <v>0.7</v>
      </c>
      <c r="V605" s="408">
        <v>5</v>
      </c>
      <c r="W605" s="408">
        <v>21</v>
      </c>
      <c r="X605" s="408">
        <v>26</v>
      </c>
      <c r="Y605" s="408">
        <v>9</v>
      </c>
      <c r="Z605" s="408">
        <v>4</v>
      </c>
      <c r="AA605" s="408">
        <v>3</v>
      </c>
      <c r="AB605" s="408">
        <v>6</v>
      </c>
      <c r="AC605" s="408">
        <v>8</v>
      </c>
      <c r="AD605" s="408">
        <v>54</v>
      </c>
    </row>
    <row r="606" spans="1:30">
      <c r="A606">
        <v>494</v>
      </c>
      <c r="B606" s="1" t="s">
        <v>77</v>
      </c>
      <c r="C606" s="1" t="s">
        <v>38</v>
      </c>
      <c r="D606" s="408">
        <v>25</v>
      </c>
      <c r="E606" s="5" t="s">
        <v>50</v>
      </c>
      <c r="F606" s="408">
        <v>6</v>
      </c>
      <c r="G606" s="408">
        <v>4</v>
      </c>
      <c r="H606" s="408">
        <v>80</v>
      </c>
      <c r="I606" s="408">
        <v>7</v>
      </c>
      <c r="J606" s="408">
        <v>16</v>
      </c>
      <c r="K606" s="408">
        <v>0.438</v>
      </c>
      <c r="L606" s="408">
        <v>4</v>
      </c>
      <c r="M606" s="408">
        <v>11</v>
      </c>
      <c r="N606" s="408">
        <v>0.36399999999999999</v>
      </c>
      <c r="O606" s="408">
        <v>3</v>
      </c>
      <c r="P606" s="408">
        <v>5</v>
      </c>
      <c r="Q606" s="408">
        <v>0.6</v>
      </c>
      <c r="R606" s="408">
        <v>0.56299999999999994</v>
      </c>
      <c r="S606" s="408">
        <v>2</v>
      </c>
      <c r="T606" s="408">
        <v>3</v>
      </c>
      <c r="U606" s="408">
        <v>0.66700000000000004</v>
      </c>
      <c r="V606" s="408">
        <v>3</v>
      </c>
      <c r="W606" s="408">
        <v>8</v>
      </c>
      <c r="X606" s="408">
        <v>11</v>
      </c>
      <c r="Y606" s="408">
        <v>2</v>
      </c>
      <c r="Z606" s="408">
        <v>1</v>
      </c>
      <c r="AA606" s="408">
        <v>1</v>
      </c>
      <c r="AB606" s="408">
        <v>1</v>
      </c>
      <c r="AC606" s="408">
        <v>6</v>
      </c>
      <c r="AD606" s="408">
        <v>20</v>
      </c>
    </row>
    <row r="607" spans="1:30">
      <c r="A607">
        <v>495</v>
      </c>
      <c r="B607" s="1" t="s">
        <v>524</v>
      </c>
      <c r="C607" s="1" t="s">
        <v>20</v>
      </c>
      <c r="D607" s="408">
        <v>22</v>
      </c>
      <c r="E607" s="5" t="s">
        <v>315</v>
      </c>
      <c r="F607" s="408">
        <v>16</v>
      </c>
      <c r="G607" s="408">
        <v>0</v>
      </c>
      <c r="H607" s="408">
        <v>180</v>
      </c>
      <c r="I607" s="408">
        <v>40</v>
      </c>
      <c r="J607" s="408">
        <v>86</v>
      </c>
      <c r="K607" s="408">
        <v>0.46500000000000002</v>
      </c>
      <c r="L607" s="408">
        <v>7</v>
      </c>
      <c r="M607" s="408">
        <v>18</v>
      </c>
      <c r="N607" s="408">
        <v>0.38900000000000001</v>
      </c>
      <c r="O607" s="408">
        <v>33</v>
      </c>
      <c r="P607" s="408">
        <v>68</v>
      </c>
      <c r="Q607" s="408">
        <v>0.48499999999999999</v>
      </c>
      <c r="R607" s="408">
        <v>0.50600000000000001</v>
      </c>
      <c r="S607" s="408">
        <v>13</v>
      </c>
      <c r="T607" s="408">
        <v>19</v>
      </c>
      <c r="U607" s="408">
        <v>0.68400000000000005</v>
      </c>
      <c r="V607" s="408">
        <v>4</v>
      </c>
      <c r="W607" s="408">
        <v>22</v>
      </c>
      <c r="X607" s="408">
        <v>26</v>
      </c>
      <c r="Y607" s="408">
        <v>20</v>
      </c>
      <c r="Z607" s="408">
        <v>8</v>
      </c>
      <c r="AA607" s="408">
        <v>2</v>
      </c>
      <c r="AB607" s="408">
        <v>24</v>
      </c>
      <c r="AC607" s="408">
        <v>23</v>
      </c>
      <c r="AD607" s="408">
        <v>100</v>
      </c>
    </row>
    <row r="608" spans="1:30">
      <c r="A608">
        <v>496</v>
      </c>
      <c r="B608" s="1" t="s">
        <v>574</v>
      </c>
      <c r="C608" s="1" t="s">
        <v>83</v>
      </c>
      <c r="D608" s="408">
        <v>28</v>
      </c>
      <c r="E608" s="5" t="s">
        <v>50</v>
      </c>
      <c r="F608" s="408">
        <v>47</v>
      </c>
      <c r="G608" s="408">
        <v>47</v>
      </c>
      <c r="H608" s="408">
        <v>1215</v>
      </c>
      <c r="I608" s="408">
        <v>276</v>
      </c>
      <c r="J608" s="408">
        <v>502</v>
      </c>
      <c r="K608" s="408">
        <v>0.55000000000000004</v>
      </c>
      <c r="L608" s="408">
        <v>2</v>
      </c>
      <c r="M608" s="408">
        <v>2</v>
      </c>
      <c r="N608" s="408">
        <v>1</v>
      </c>
      <c r="O608" s="408">
        <v>274</v>
      </c>
      <c r="P608" s="408">
        <v>500</v>
      </c>
      <c r="Q608" s="408">
        <v>0.54800000000000004</v>
      </c>
      <c r="R608" s="408">
        <v>0.55200000000000005</v>
      </c>
      <c r="S608" s="408">
        <v>116</v>
      </c>
      <c r="T608" s="408">
        <v>168</v>
      </c>
      <c r="U608" s="408">
        <v>0.69</v>
      </c>
      <c r="V608" s="408">
        <v>151</v>
      </c>
      <c r="W608" s="408">
        <v>403</v>
      </c>
      <c r="X608" s="408">
        <v>554</v>
      </c>
      <c r="Y608" s="408">
        <v>45</v>
      </c>
      <c r="Z608" s="408">
        <v>35</v>
      </c>
      <c r="AA608" s="408">
        <v>79</v>
      </c>
      <c r="AB608" s="408">
        <v>86</v>
      </c>
      <c r="AC608" s="408">
        <v>111</v>
      </c>
      <c r="AD608" s="408">
        <v>670</v>
      </c>
    </row>
    <row r="609" spans="1:30">
      <c r="A609">
        <v>497</v>
      </c>
      <c r="B609" s="1" t="s">
        <v>9</v>
      </c>
      <c r="C609" s="1" t="s">
        <v>46</v>
      </c>
      <c r="D609" s="408">
        <v>22</v>
      </c>
      <c r="E609" s="5" t="s">
        <v>56</v>
      </c>
      <c r="F609" s="408">
        <v>71</v>
      </c>
      <c r="G609" s="408">
        <v>71</v>
      </c>
      <c r="H609" s="408">
        <v>2567</v>
      </c>
      <c r="I609" s="408">
        <v>501</v>
      </c>
      <c r="J609" s="408">
        <v>1128</v>
      </c>
      <c r="K609" s="408">
        <v>0.44400000000000001</v>
      </c>
      <c r="L609" s="408">
        <v>97</v>
      </c>
      <c r="M609" s="408">
        <v>295</v>
      </c>
      <c r="N609" s="408">
        <v>0.32900000000000001</v>
      </c>
      <c r="O609" s="408">
        <v>404</v>
      </c>
      <c r="P609" s="408">
        <v>833</v>
      </c>
      <c r="Q609" s="408">
        <v>0.48499999999999999</v>
      </c>
      <c r="R609" s="408">
        <v>0.48699999999999999</v>
      </c>
      <c r="S609" s="408">
        <v>178</v>
      </c>
      <c r="T609" s="408">
        <v>278</v>
      </c>
      <c r="U609" s="408">
        <v>0.64</v>
      </c>
      <c r="V609" s="408">
        <v>70</v>
      </c>
      <c r="W609" s="408">
        <v>222</v>
      </c>
      <c r="X609" s="408">
        <v>292</v>
      </c>
      <c r="Y609" s="408">
        <v>130</v>
      </c>
      <c r="Z609" s="408">
        <v>75</v>
      </c>
      <c r="AA609" s="408">
        <v>44</v>
      </c>
      <c r="AB609" s="408">
        <v>124</v>
      </c>
      <c r="AC609" s="408">
        <v>143</v>
      </c>
      <c r="AD609" s="408">
        <v>1277</v>
      </c>
    </row>
    <row r="610" spans="1:30">
      <c r="A610">
        <v>498</v>
      </c>
      <c r="B610" s="1" t="s">
        <v>601</v>
      </c>
      <c r="C610" s="1" t="s">
        <v>38</v>
      </c>
      <c r="D610" s="408">
        <v>23</v>
      </c>
      <c r="E610" s="5" t="s">
        <v>315</v>
      </c>
      <c r="F610" s="408">
        <v>5</v>
      </c>
      <c r="G610" s="408">
        <v>0</v>
      </c>
      <c r="H610" s="408">
        <v>33</v>
      </c>
      <c r="I610" s="408">
        <v>1</v>
      </c>
      <c r="J610" s="408">
        <v>4</v>
      </c>
      <c r="K610" s="408">
        <v>0.25</v>
      </c>
      <c r="L610" s="408">
        <v>1</v>
      </c>
      <c r="M610" s="408">
        <v>2</v>
      </c>
      <c r="N610" s="408">
        <v>0.5</v>
      </c>
      <c r="O610" s="408">
        <v>0</v>
      </c>
      <c r="P610" s="408">
        <v>2</v>
      </c>
      <c r="Q610" s="408">
        <v>0</v>
      </c>
      <c r="R610" s="408">
        <v>0.375</v>
      </c>
      <c r="S610" s="408">
        <v>1</v>
      </c>
      <c r="T610" s="408">
        <v>2</v>
      </c>
      <c r="U610" s="408">
        <v>0.5</v>
      </c>
      <c r="V610" s="408">
        <v>2</v>
      </c>
      <c r="W610" s="408">
        <v>9</v>
      </c>
      <c r="X610" s="408">
        <v>11</v>
      </c>
      <c r="Y610" s="408">
        <v>2</v>
      </c>
      <c r="Z610" s="408">
        <v>1</v>
      </c>
      <c r="AA610" s="408">
        <v>0</v>
      </c>
      <c r="AB610" s="408">
        <v>0</v>
      </c>
      <c r="AC610" s="408">
        <v>4</v>
      </c>
      <c r="AD610" s="408">
        <v>4</v>
      </c>
    </row>
    <row r="611" spans="1:30">
      <c r="A611">
        <v>499</v>
      </c>
      <c r="B611" s="1" t="s">
        <v>479</v>
      </c>
      <c r="C611" s="1" t="s">
        <v>46</v>
      </c>
      <c r="D611" s="408">
        <v>38</v>
      </c>
      <c r="E611" s="5" t="s">
        <v>30</v>
      </c>
      <c r="F611" s="408">
        <v>19</v>
      </c>
      <c r="G611" s="408">
        <v>1</v>
      </c>
      <c r="H611" s="408">
        <v>152</v>
      </c>
      <c r="I611" s="408">
        <v>13</v>
      </c>
      <c r="J611" s="408">
        <v>39</v>
      </c>
      <c r="K611" s="408">
        <v>0.33300000000000002</v>
      </c>
      <c r="L611" s="408">
        <v>4</v>
      </c>
      <c r="M611" s="408">
        <v>18</v>
      </c>
      <c r="N611" s="408">
        <v>0.222</v>
      </c>
      <c r="O611" s="408">
        <v>9</v>
      </c>
      <c r="P611" s="408">
        <v>21</v>
      </c>
      <c r="Q611" s="408">
        <v>0.42899999999999999</v>
      </c>
      <c r="R611" s="408">
        <v>0.38500000000000001</v>
      </c>
      <c r="S611" s="408">
        <v>3</v>
      </c>
      <c r="T611" s="408">
        <v>4</v>
      </c>
      <c r="U611" s="408">
        <v>0.75</v>
      </c>
      <c r="V611" s="408">
        <v>5</v>
      </c>
      <c r="W611" s="408">
        <v>11</v>
      </c>
      <c r="X611" s="408">
        <v>16</v>
      </c>
      <c r="Y611" s="408">
        <v>9</v>
      </c>
      <c r="Z611" s="408">
        <v>2</v>
      </c>
      <c r="AA611" s="408">
        <v>1</v>
      </c>
      <c r="AB611" s="408">
        <v>5</v>
      </c>
      <c r="AC611" s="408">
        <v>7</v>
      </c>
      <c r="AD611" s="408">
        <v>33</v>
      </c>
    </row>
    <row r="612" spans="1:30">
      <c r="A612">
        <v>500</v>
      </c>
      <c r="B612" s="1" t="s">
        <v>473</v>
      </c>
      <c r="C612" s="1" t="s">
        <v>26</v>
      </c>
      <c r="D612" s="408">
        <v>27</v>
      </c>
      <c r="E612" s="5" t="s">
        <v>64</v>
      </c>
      <c r="F612" s="408">
        <v>30</v>
      </c>
      <c r="G612" s="408">
        <v>15</v>
      </c>
      <c r="H612" s="408">
        <v>591</v>
      </c>
      <c r="I612" s="408">
        <v>73</v>
      </c>
      <c r="J612" s="408">
        <v>163</v>
      </c>
      <c r="K612" s="408">
        <v>0.44800000000000001</v>
      </c>
      <c r="L612" s="408">
        <v>21</v>
      </c>
      <c r="M612" s="408">
        <v>67</v>
      </c>
      <c r="N612" s="408">
        <v>0.313</v>
      </c>
      <c r="O612" s="408">
        <v>52</v>
      </c>
      <c r="P612" s="408">
        <v>96</v>
      </c>
      <c r="Q612" s="408">
        <v>0.54200000000000004</v>
      </c>
      <c r="R612" s="408">
        <v>0.51200000000000001</v>
      </c>
      <c r="S612" s="408">
        <v>11</v>
      </c>
      <c r="T612" s="408">
        <v>14</v>
      </c>
      <c r="U612" s="408">
        <v>0.78600000000000003</v>
      </c>
      <c r="V612" s="408">
        <v>11</v>
      </c>
      <c r="W612" s="408">
        <v>34</v>
      </c>
      <c r="X612" s="408">
        <v>45</v>
      </c>
      <c r="Y612" s="408">
        <v>30</v>
      </c>
      <c r="Z612" s="408">
        <v>28</v>
      </c>
      <c r="AA612" s="408">
        <v>13</v>
      </c>
      <c r="AB612" s="408">
        <v>18</v>
      </c>
      <c r="AC612" s="408">
        <v>55</v>
      </c>
      <c r="AD612" s="408">
        <v>178</v>
      </c>
    </row>
    <row r="613" spans="1:30">
      <c r="A613">
        <v>501</v>
      </c>
      <c r="B613" s="1" t="s">
        <v>1202</v>
      </c>
      <c r="C613" s="1" t="s">
        <v>38</v>
      </c>
      <c r="D613" s="408">
        <v>26</v>
      </c>
      <c r="E613" s="5" t="s">
        <v>78</v>
      </c>
      <c r="F613" s="408">
        <v>2</v>
      </c>
      <c r="G613" s="408">
        <v>0</v>
      </c>
      <c r="H613" s="408">
        <v>9</v>
      </c>
      <c r="I613" s="408">
        <v>1</v>
      </c>
      <c r="J613" s="408">
        <v>4</v>
      </c>
      <c r="K613" s="408">
        <v>0.25</v>
      </c>
      <c r="L613" s="408">
        <v>0</v>
      </c>
      <c r="M613" s="408">
        <v>2</v>
      </c>
      <c r="N613" s="408">
        <v>0</v>
      </c>
      <c r="O613" s="408">
        <v>1</v>
      </c>
      <c r="P613" s="408">
        <v>2</v>
      </c>
      <c r="Q613" s="408">
        <v>0.5</v>
      </c>
      <c r="R613" s="408">
        <v>0.25</v>
      </c>
      <c r="S613" s="408">
        <v>0</v>
      </c>
      <c r="T613" s="408">
        <v>0</v>
      </c>
      <c r="U613" s="408"/>
      <c r="V613" s="408">
        <v>0</v>
      </c>
      <c r="W613" s="408">
        <v>1</v>
      </c>
      <c r="X613" s="408">
        <v>1</v>
      </c>
      <c r="Y613" s="408">
        <v>0</v>
      </c>
      <c r="Z613" s="408">
        <v>0</v>
      </c>
      <c r="AA613" s="408">
        <v>0</v>
      </c>
      <c r="AB613" s="408">
        <v>0</v>
      </c>
      <c r="AC613" s="408">
        <v>0</v>
      </c>
      <c r="AD613" s="408">
        <v>2</v>
      </c>
    </row>
    <row r="614" spans="1:30">
      <c r="A614">
        <v>502</v>
      </c>
      <c r="B614" s="1" t="s">
        <v>308</v>
      </c>
      <c r="C614" s="1" t="s">
        <v>26</v>
      </c>
      <c r="D614" s="408">
        <v>31</v>
      </c>
      <c r="E614" s="5" t="s">
        <v>64</v>
      </c>
      <c r="F614" s="408">
        <v>68</v>
      </c>
      <c r="G614" s="408">
        <v>19</v>
      </c>
      <c r="H614" s="408">
        <v>2232</v>
      </c>
      <c r="I614" s="408">
        <v>508</v>
      </c>
      <c r="J614" s="408">
        <v>1163</v>
      </c>
      <c r="K614" s="408">
        <v>0.437</v>
      </c>
      <c r="L614" s="408">
        <v>173</v>
      </c>
      <c r="M614" s="408">
        <v>479</v>
      </c>
      <c r="N614" s="408">
        <v>0.36099999999999999</v>
      </c>
      <c r="O614" s="408">
        <v>335</v>
      </c>
      <c r="P614" s="408">
        <v>684</v>
      </c>
      <c r="Q614" s="408">
        <v>0.49</v>
      </c>
      <c r="R614" s="408">
        <v>0.51100000000000001</v>
      </c>
      <c r="S614" s="408">
        <v>376</v>
      </c>
      <c r="T614" s="408">
        <v>430</v>
      </c>
      <c r="U614" s="408">
        <v>0.874</v>
      </c>
      <c r="V614" s="408">
        <v>33</v>
      </c>
      <c r="W614" s="408">
        <v>142</v>
      </c>
      <c r="X614" s="408">
        <v>175</v>
      </c>
      <c r="Y614" s="408">
        <v>363</v>
      </c>
      <c r="Z614" s="408">
        <v>74</v>
      </c>
      <c r="AA614" s="408">
        <v>16</v>
      </c>
      <c r="AB614" s="408">
        <v>200</v>
      </c>
      <c r="AC614" s="408">
        <v>91</v>
      </c>
      <c r="AD614" s="408">
        <v>1565</v>
      </c>
    </row>
    <row r="615" spans="1:30">
      <c r="A615">
        <v>503</v>
      </c>
      <c r="B615" s="1" t="s">
        <v>408</v>
      </c>
      <c r="C615" s="1" t="s">
        <v>38</v>
      </c>
      <c r="D615" s="408">
        <v>31</v>
      </c>
      <c r="E615" s="5" t="s">
        <v>311</v>
      </c>
      <c r="F615" s="408">
        <v>67</v>
      </c>
      <c r="G615" s="408">
        <v>67</v>
      </c>
      <c r="H615" s="408">
        <v>1725</v>
      </c>
      <c r="I615" s="408">
        <v>216</v>
      </c>
      <c r="J615" s="408">
        <v>477</v>
      </c>
      <c r="K615" s="408">
        <v>0.45300000000000001</v>
      </c>
      <c r="L615" s="408">
        <v>105</v>
      </c>
      <c r="M615" s="408">
        <v>260</v>
      </c>
      <c r="N615" s="408">
        <v>0.40400000000000003</v>
      </c>
      <c r="O615" s="408">
        <v>111</v>
      </c>
      <c r="P615" s="408">
        <v>217</v>
      </c>
      <c r="Q615" s="408">
        <v>0.51200000000000001</v>
      </c>
      <c r="R615" s="408">
        <v>0.56299999999999994</v>
      </c>
      <c r="S615" s="408">
        <v>82</v>
      </c>
      <c r="T615" s="408">
        <v>102</v>
      </c>
      <c r="U615" s="408">
        <v>0.80400000000000005</v>
      </c>
      <c r="V615" s="408">
        <v>64</v>
      </c>
      <c r="W615" s="408">
        <v>254</v>
      </c>
      <c r="X615" s="408">
        <v>318</v>
      </c>
      <c r="Y615" s="408">
        <v>75</v>
      </c>
      <c r="Z615" s="408">
        <v>47</v>
      </c>
      <c r="AA615" s="408">
        <v>28</v>
      </c>
      <c r="AB615" s="408">
        <v>58</v>
      </c>
      <c r="AC615" s="408">
        <v>106</v>
      </c>
      <c r="AD615" s="408">
        <v>619</v>
      </c>
    </row>
    <row r="616" spans="1:30">
      <c r="A616">
        <v>504</v>
      </c>
      <c r="B616" s="1" t="s">
        <v>629</v>
      </c>
      <c r="C616" s="1" t="s">
        <v>26</v>
      </c>
      <c r="D616" s="408">
        <v>24</v>
      </c>
      <c r="E616" s="5" t="s">
        <v>50</v>
      </c>
      <c r="F616" s="408">
        <v>3</v>
      </c>
      <c r="G616" s="408">
        <v>0</v>
      </c>
      <c r="H616" s="408">
        <v>11</v>
      </c>
      <c r="I616" s="408">
        <v>2</v>
      </c>
      <c r="J616" s="408">
        <v>6</v>
      </c>
      <c r="K616" s="408">
        <v>0.33300000000000002</v>
      </c>
      <c r="L616" s="408">
        <v>1</v>
      </c>
      <c r="M616" s="408">
        <v>5</v>
      </c>
      <c r="N616" s="408">
        <v>0.2</v>
      </c>
      <c r="O616" s="408">
        <v>1</v>
      </c>
      <c r="P616" s="408">
        <v>1</v>
      </c>
      <c r="Q616" s="408">
        <v>1</v>
      </c>
      <c r="R616" s="408">
        <v>0.41699999999999998</v>
      </c>
      <c r="S616" s="408">
        <v>0</v>
      </c>
      <c r="T616" s="408">
        <v>0</v>
      </c>
      <c r="U616" s="408"/>
      <c r="V616" s="408">
        <v>0</v>
      </c>
      <c r="W616" s="408">
        <v>1</v>
      </c>
      <c r="X616" s="408">
        <v>1</v>
      </c>
      <c r="Y616" s="408">
        <v>0</v>
      </c>
      <c r="Z616" s="408">
        <v>0</v>
      </c>
      <c r="AA616" s="408">
        <v>0</v>
      </c>
      <c r="AB616" s="408">
        <v>1</v>
      </c>
      <c r="AC616" s="408">
        <v>1</v>
      </c>
      <c r="AD616" s="408">
        <v>5</v>
      </c>
    </row>
    <row r="617" spans="1:30">
      <c r="A617">
        <v>505</v>
      </c>
      <c r="B617" s="1" t="s">
        <v>616</v>
      </c>
      <c r="C617" s="1" t="s">
        <v>46</v>
      </c>
      <c r="D617" s="408">
        <v>23</v>
      </c>
      <c r="E617" s="5" t="s">
        <v>357</v>
      </c>
      <c r="F617" s="408">
        <v>15</v>
      </c>
      <c r="G617" s="408">
        <v>0</v>
      </c>
      <c r="H617" s="408">
        <v>193</v>
      </c>
      <c r="I617" s="408">
        <v>40</v>
      </c>
      <c r="J617" s="408">
        <v>82</v>
      </c>
      <c r="K617" s="408">
        <v>0.48799999999999999</v>
      </c>
      <c r="L617" s="408">
        <v>6</v>
      </c>
      <c r="M617" s="408">
        <v>27</v>
      </c>
      <c r="N617" s="408">
        <v>0.222</v>
      </c>
      <c r="O617" s="408">
        <v>34</v>
      </c>
      <c r="P617" s="408">
        <v>55</v>
      </c>
      <c r="Q617" s="408">
        <v>0.61799999999999999</v>
      </c>
      <c r="R617" s="408">
        <v>0.52400000000000002</v>
      </c>
      <c r="S617" s="408">
        <v>15</v>
      </c>
      <c r="T617" s="408">
        <v>25</v>
      </c>
      <c r="U617" s="408">
        <v>0.6</v>
      </c>
      <c r="V617" s="408">
        <v>14</v>
      </c>
      <c r="W617" s="408">
        <v>32</v>
      </c>
      <c r="X617" s="408">
        <v>46</v>
      </c>
      <c r="Y617" s="408">
        <v>7</v>
      </c>
      <c r="Z617" s="408">
        <v>12</v>
      </c>
      <c r="AA617" s="408">
        <v>3</v>
      </c>
      <c r="AB617" s="408">
        <v>15</v>
      </c>
      <c r="AC617" s="408">
        <v>19</v>
      </c>
      <c r="AD617" s="408">
        <v>101</v>
      </c>
    </row>
    <row r="618" spans="1:30">
      <c r="A618">
        <v>505</v>
      </c>
      <c r="B618" s="1" t="s">
        <v>616</v>
      </c>
      <c r="C618" s="1" t="s">
        <v>46</v>
      </c>
      <c r="D618" s="408">
        <v>23</v>
      </c>
      <c r="E618" s="5" t="s">
        <v>92</v>
      </c>
      <c r="F618" s="408">
        <v>4</v>
      </c>
      <c r="G618" s="408">
        <v>0</v>
      </c>
      <c r="H618" s="408">
        <v>17</v>
      </c>
      <c r="I618" s="408">
        <v>2</v>
      </c>
      <c r="J618" s="408">
        <v>9</v>
      </c>
      <c r="K618" s="408">
        <v>0.222</v>
      </c>
      <c r="L618" s="408">
        <v>0</v>
      </c>
      <c r="M618" s="408">
        <v>5</v>
      </c>
      <c r="N618" s="408">
        <v>0</v>
      </c>
      <c r="O618" s="408">
        <v>2</v>
      </c>
      <c r="P618" s="408">
        <v>4</v>
      </c>
      <c r="Q618" s="408">
        <v>0.5</v>
      </c>
      <c r="R618" s="408">
        <v>0.222</v>
      </c>
      <c r="S618" s="408">
        <v>1</v>
      </c>
      <c r="T618" s="408">
        <v>3</v>
      </c>
      <c r="U618" s="408">
        <v>0.33300000000000002</v>
      </c>
      <c r="V618" s="408">
        <v>1</v>
      </c>
      <c r="W618" s="408">
        <v>3</v>
      </c>
      <c r="X618" s="408">
        <v>4</v>
      </c>
      <c r="Y618" s="408">
        <v>1</v>
      </c>
      <c r="Z618" s="408">
        <v>1</v>
      </c>
      <c r="AA618" s="408">
        <v>0</v>
      </c>
      <c r="AB618" s="408">
        <v>1</v>
      </c>
      <c r="AC618" s="408">
        <v>2</v>
      </c>
      <c r="AD618" s="408">
        <v>5</v>
      </c>
    </row>
    <row r="619" spans="1:30">
      <c r="A619">
        <v>505</v>
      </c>
      <c r="B619" s="1" t="s">
        <v>616</v>
      </c>
      <c r="C619" s="1" t="s">
        <v>46</v>
      </c>
      <c r="D619" s="408">
        <v>23</v>
      </c>
      <c r="E619" s="5" t="s">
        <v>21</v>
      </c>
      <c r="F619" s="408">
        <v>11</v>
      </c>
      <c r="G619" s="408">
        <v>0</v>
      </c>
      <c r="H619" s="408">
        <v>176</v>
      </c>
      <c r="I619" s="408">
        <v>38</v>
      </c>
      <c r="J619" s="408">
        <v>73</v>
      </c>
      <c r="K619" s="408">
        <v>0.52100000000000002</v>
      </c>
      <c r="L619" s="408">
        <v>6</v>
      </c>
      <c r="M619" s="408">
        <v>22</v>
      </c>
      <c r="N619" s="408">
        <v>0.27300000000000002</v>
      </c>
      <c r="O619" s="408">
        <v>32</v>
      </c>
      <c r="P619" s="408">
        <v>51</v>
      </c>
      <c r="Q619" s="408">
        <v>0.627</v>
      </c>
      <c r="R619" s="408">
        <v>0.56200000000000006</v>
      </c>
      <c r="S619" s="408">
        <v>14</v>
      </c>
      <c r="T619" s="408">
        <v>22</v>
      </c>
      <c r="U619" s="408">
        <v>0.63600000000000001</v>
      </c>
      <c r="V619" s="408">
        <v>13</v>
      </c>
      <c r="W619" s="408">
        <v>29</v>
      </c>
      <c r="X619" s="408">
        <v>42</v>
      </c>
      <c r="Y619" s="408">
        <v>6</v>
      </c>
      <c r="Z619" s="408">
        <v>11</v>
      </c>
      <c r="AA619" s="408">
        <v>3</v>
      </c>
      <c r="AB619" s="408">
        <v>14</v>
      </c>
      <c r="AC619" s="408">
        <v>17</v>
      </c>
      <c r="AD619" s="408">
        <v>96</v>
      </c>
    </row>
    <row r="620" spans="1:30">
      <c r="A620">
        <v>506</v>
      </c>
      <c r="B620" s="1" t="s">
        <v>628</v>
      </c>
      <c r="C620" s="1" t="s">
        <v>38</v>
      </c>
      <c r="D620" s="408">
        <v>21</v>
      </c>
      <c r="E620" s="5" t="s">
        <v>41</v>
      </c>
      <c r="F620" s="408">
        <v>21</v>
      </c>
      <c r="G620" s="408">
        <v>0</v>
      </c>
      <c r="H620" s="408">
        <v>69</v>
      </c>
      <c r="I620" s="408">
        <v>8</v>
      </c>
      <c r="J620" s="408">
        <v>14</v>
      </c>
      <c r="K620" s="408">
        <v>0.57099999999999995</v>
      </c>
      <c r="L620" s="408">
        <v>2</v>
      </c>
      <c r="M620" s="408">
        <v>5</v>
      </c>
      <c r="N620" s="408">
        <v>0.4</v>
      </c>
      <c r="O620" s="408">
        <v>6</v>
      </c>
      <c r="P620" s="408">
        <v>9</v>
      </c>
      <c r="Q620" s="408">
        <v>0.66700000000000004</v>
      </c>
      <c r="R620" s="408">
        <v>0.64300000000000002</v>
      </c>
      <c r="S620" s="408">
        <v>1</v>
      </c>
      <c r="T620" s="408">
        <v>2</v>
      </c>
      <c r="U620" s="408">
        <v>0.5</v>
      </c>
      <c r="V620" s="408">
        <v>1</v>
      </c>
      <c r="W620" s="408">
        <v>8</v>
      </c>
      <c r="X620" s="408">
        <v>9</v>
      </c>
      <c r="Y620" s="408">
        <v>3</v>
      </c>
      <c r="Z620" s="408">
        <v>2</v>
      </c>
      <c r="AA620" s="408">
        <v>1</v>
      </c>
      <c r="AB620" s="408">
        <v>4</v>
      </c>
      <c r="AC620" s="408">
        <v>5</v>
      </c>
      <c r="AD620" s="408">
        <v>19</v>
      </c>
    </row>
    <row r="621" spans="1:30">
      <c r="A621">
        <v>507</v>
      </c>
      <c r="B621" s="1" t="s">
        <v>377</v>
      </c>
      <c r="C621" s="1" t="s">
        <v>46</v>
      </c>
      <c r="D621" s="408">
        <v>27</v>
      </c>
      <c r="E621" s="5" t="s">
        <v>64</v>
      </c>
      <c r="F621" s="408">
        <v>15</v>
      </c>
      <c r="G621" s="408">
        <v>10</v>
      </c>
      <c r="H621" s="408">
        <v>274</v>
      </c>
      <c r="I621" s="408">
        <v>38</v>
      </c>
      <c r="J621" s="408">
        <v>81</v>
      </c>
      <c r="K621" s="408">
        <v>0.46899999999999997</v>
      </c>
      <c r="L621" s="408">
        <v>27</v>
      </c>
      <c r="M621" s="408">
        <v>63</v>
      </c>
      <c r="N621" s="408">
        <v>0.42899999999999999</v>
      </c>
      <c r="O621" s="408">
        <v>11</v>
      </c>
      <c r="P621" s="408">
        <v>18</v>
      </c>
      <c r="Q621" s="408">
        <v>0.61099999999999999</v>
      </c>
      <c r="R621" s="408">
        <v>0.63600000000000001</v>
      </c>
      <c r="S621" s="408">
        <v>2</v>
      </c>
      <c r="T621" s="408">
        <v>4</v>
      </c>
      <c r="U621" s="408">
        <v>0.5</v>
      </c>
      <c r="V621" s="408">
        <v>3</v>
      </c>
      <c r="W621" s="408">
        <v>29</v>
      </c>
      <c r="X621" s="408">
        <v>32</v>
      </c>
      <c r="Y621" s="408">
        <v>10</v>
      </c>
      <c r="Z621" s="408">
        <v>5</v>
      </c>
      <c r="AA621" s="408">
        <v>8</v>
      </c>
      <c r="AB621" s="408">
        <v>8</v>
      </c>
      <c r="AC621" s="408">
        <v>34</v>
      </c>
      <c r="AD621" s="408">
        <v>105</v>
      </c>
    </row>
    <row r="622" spans="1:30">
      <c r="A622">
        <v>508</v>
      </c>
      <c r="B622" s="1" t="s">
        <v>514</v>
      </c>
      <c r="C622" s="1" t="s">
        <v>46</v>
      </c>
      <c r="D622" s="408">
        <v>21</v>
      </c>
      <c r="E622" s="5" t="s">
        <v>50</v>
      </c>
      <c r="F622" s="408">
        <v>57</v>
      </c>
      <c r="G622" s="408">
        <v>25</v>
      </c>
      <c r="H622" s="408">
        <v>1378</v>
      </c>
      <c r="I622" s="408">
        <v>160</v>
      </c>
      <c r="J622" s="408">
        <v>382</v>
      </c>
      <c r="K622" s="408">
        <v>0.41899999999999998</v>
      </c>
      <c r="L622" s="408">
        <v>42</v>
      </c>
      <c r="M622" s="408">
        <v>98</v>
      </c>
      <c r="N622" s="408">
        <v>0.42899999999999999</v>
      </c>
      <c r="O622" s="408">
        <v>118</v>
      </c>
      <c r="P622" s="408">
        <v>284</v>
      </c>
      <c r="Q622" s="408">
        <v>0.41499999999999998</v>
      </c>
      <c r="R622" s="408">
        <v>0.47399999999999998</v>
      </c>
      <c r="S622" s="408">
        <v>48</v>
      </c>
      <c r="T622" s="408">
        <v>77</v>
      </c>
      <c r="U622" s="408">
        <v>0.623</v>
      </c>
      <c r="V622" s="408">
        <v>56</v>
      </c>
      <c r="W622" s="408">
        <v>254</v>
      </c>
      <c r="X622" s="408">
        <v>310</v>
      </c>
      <c r="Y622" s="408">
        <v>126</v>
      </c>
      <c r="Z622" s="408">
        <v>46</v>
      </c>
      <c r="AA622" s="408">
        <v>29</v>
      </c>
      <c r="AB622" s="408">
        <v>65</v>
      </c>
      <c r="AC622" s="408">
        <v>119</v>
      </c>
      <c r="AD622" s="408">
        <v>410</v>
      </c>
    </row>
    <row r="623" spans="1:30">
      <c r="A623">
        <v>509</v>
      </c>
      <c r="B623" s="1" t="s">
        <v>599</v>
      </c>
      <c r="C623" s="1" t="s">
        <v>83</v>
      </c>
      <c r="D623" s="408">
        <v>27</v>
      </c>
      <c r="E623" s="5" t="s">
        <v>33</v>
      </c>
      <c r="F623" s="408">
        <v>9</v>
      </c>
      <c r="G623" s="408">
        <v>0</v>
      </c>
      <c r="H623" s="408">
        <v>39</v>
      </c>
      <c r="I623" s="408">
        <v>6</v>
      </c>
      <c r="J623" s="408">
        <v>16</v>
      </c>
      <c r="K623" s="408">
        <v>0.375</v>
      </c>
      <c r="L623" s="408">
        <v>2</v>
      </c>
      <c r="M623" s="408">
        <v>10</v>
      </c>
      <c r="N623" s="408">
        <v>0.2</v>
      </c>
      <c r="O623" s="408">
        <v>4</v>
      </c>
      <c r="P623" s="408">
        <v>6</v>
      </c>
      <c r="Q623" s="408">
        <v>0.66700000000000004</v>
      </c>
      <c r="R623" s="408">
        <v>0.438</v>
      </c>
      <c r="S623" s="408">
        <v>1</v>
      </c>
      <c r="T623" s="408">
        <v>2</v>
      </c>
      <c r="U623" s="408">
        <v>0.5</v>
      </c>
      <c r="V623" s="408">
        <v>1</v>
      </c>
      <c r="W623" s="408">
        <v>9</v>
      </c>
      <c r="X623" s="408">
        <v>10</v>
      </c>
      <c r="Y623" s="408">
        <v>0</v>
      </c>
      <c r="Z623" s="408">
        <v>0</v>
      </c>
      <c r="AA623" s="408">
        <v>3</v>
      </c>
      <c r="AB623" s="408">
        <v>2</v>
      </c>
      <c r="AC623" s="408">
        <v>3</v>
      </c>
      <c r="AD623" s="408">
        <v>15</v>
      </c>
    </row>
    <row r="624" spans="1:30">
      <c r="A624">
        <v>510</v>
      </c>
      <c r="B624" s="1" t="s">
        <v>644</v>
      </c>
      <c r="C624" s="1" t="s">
        <v>20</v>
      </c>
      <c r="D624" s="408">
        <v>26</v>
      </c>
      <c r="E624" s="5" t="s">
        <v>305</v>
      </c>
      <c r="F624" s="408">
        <v>5</v>
      </c>
      <c r="G624" s="408">
        <v>0</v>
      </c>
      <c r="H624" s="408">
        <v>19</v>
      </c>
      <c r="I624" s="408">
        <v>1</v>
      </c>
      <c r="J624" s="408">
        <v>6</v>
      </c>
      <c r="K624" s="408">
        <v>0.16700000000000001</v>
      </c>
      <c r="L624" s="408">
        <v>0</v>
      </c>
      <c r="M624" s="408">
        <v>0</v>
      </c>
      <c r="N624" s="408"/>
      <c r="O624" s="408">
        <v>1</v>
      </c>
      <c r="P624" s="408">
        <v>6</v>
      </c>
      <c r="Q624" s="408">
        <v>0.16700000000000001</v>
      </c>
      <c r="R624" s="408">
        <v>0.16700000000000001</v>
      </c>
      <c r="S624" s="408">
        <v>0</v>
      </c>
      <c r="T624" s="408">
        <v>0</v>
      </c>
      <c r="U624" s="408"/>
      <c r="V624" s="408">
        <v>1</v>
      </c>
      <c r="W624" s="408">
        <v>1</v>
      </c>
      <c r="X624" s="408">
        <v>2</v>
      </c>
      <c r="Y624" s="408">
        <v>1</v>
      </c>
      <c r="Z624" s="408">
        <v>0</v>
      </c>
      <c r="AA624" s="408">
        <v>0</v>
      </c>
      <c r="AB624" s="408">
        <v>0</v>
      </c>
      <c r="AC624" s="408">
        <v>1</v>
      </c>
      <c r="AD624" s="408">
        <v>2</v>
      </c>
    </row>
    <row r="625" spans="1:30">
      <c r="A625">
        <v>511</v>
      </c>
      <c r="B625" s="1" t="s">
        <v>129</v>
      </c>
      <c r="C625" s="1" t="s">
        <v>38</v>
      </c>
      <c r="D625" s="408">
        <v>30</v>
      </c>
      <c r="E625" s="5" t="s">
        <v>357</v>
      </c>
      <c r="F625" s="408">
        <v>28</v>
      </c>
      <c r="G625" s="408">
        <v>1</v>
      </c>
      <c r="H625" s="408">
        <v>381</v>
      </c>
      <c r="I625" s="408">
        <v>59</v>
      </c>
      <c r="J625" s="408">
        <v>102</v>
      </c>
      <c r="K625" s="408">
        <v>0.57799999999999996</v>
      </c>
      <c r="L625" s="408">
        <v>0</v>
      </c>
      <c r="M625" s="408">
        <v>0</v>
      </c>
      <c r="N625" s="408"/>
      <c r="O625" s="408">
        <v>59</v>
      </c>
      <c r="P625" s="408">
        <v>102</v>
      </c>
      <c r="Q625" s="408">
        <v>0.57799999999999996</v>
      </c>
      <c r="R625" s="408">
        <v>0.57799999999999996</v>
      </c>
      <c r="S625" s="408">
        <v>21</v>
      </c>
      <c r="T625" s="408">
        <v>33</v>
      </c>
      <c r="U625" s="408">
        <v>0.63600000000000001</v>
      </c>
      <c r="V625" s="408">
        <v>33</v>
      </c>
      <c r="W625" s="408">
        <v>62</v>
      </c>
      <c r="X625" s="408">
        <v>95</v>
      </c>
      <c r="Y625" s="408">
        <v>13</v>
      </c>
      <c r="Z625" s="408">
        <v>13</v>
      </c>
      <c r="AA625" s="408">
        <v>26</v>
      </c>
      <c r="AB625" s="408">
        <v>8</v>
      </c>
      <c r="AC625" s="408">
        <v>32</v>
      </c>
      <c r="AD625" s="408">
        <v>139</v>
      </c>
    </row>
    <row r="626" spans="1:30">
      <c r="A626">
        <v>511</v>
      </c>
      <c r="B626" s="1" t="s">
        <v>129</v>
      </c>
      <c r="C626" s="1" t="s">
        <v>38</v>
      </c>
      <c r="D626" s="408">
        <v>30</v>
      </c>
      <c r="E626" s="5" t="s">
        <v>128</v>
      </c>
      <c r="F626" s="408">
        <v>27</v>
      </c>
      <c r="G626" s="408">
        <v>1</v>
      </c>
      <c r="H626" s="408">
        <v>366</v>
      </c>
      <c r="I626" s="408">
        <v>57</v>
      </c>
      <c r="J626" s="408">
        <v>99</v>
      </c>
      <c r="K626" s="408">
        <v>0.57599999999999996</v>
      </c>
      <c r="L626" s="408">
        <v>0</v>
      </c>
      <c r="M626" s="408">
        <v>0</v>
      </c>
      <c r="N626" s="408"/>
      <c r="O626" s="408">
        <v>57</v>
      </c>
      <c r="P626" s="408">
        <v>99</v>
      </c>
      <c r="Q626" s="408">
        <v>0.57599999999999996</v>
      </c>
      <c r="R626" s="408">
        <v>0.57599999999999996</v>
      </c>
      <c r="S626" s="408">
        <v>21</v>
      </c>
      <c r="T626" s="408">
        <v>33</v>
      </c>
      <c r="U626" s="408">
        <v>0.63600000000000001</v>
      </c>
      <c r="V626" s="408">
        <v>32</v>
      </c>
      <c r="W626" s="408">
        <v>61</v>
      </c>
      <c r="X626" s="408">
        <v>93</v>
      </c>
      <c r="Y626" s="408">
        <v>13</v>
      </c>
      <c r="Z626" s="408">
        <v>13</v>
      </c>
      <c r="AA626" s="408">
        <v>25</v>
      </c>
      <c r="AB626" s="408">
        <v>8</v>
      </c>
      <c r="AC626" s="408">
        <v>29</v>
      </c>
      <c r="AD626" s="408">
        <v>135</v>
      </c>
    </row>
    <row r="627" spans="1:30">
      <c r="A627">
        <v>511</v>
      </c>
      <c r="B627" s="1" t="s">
        <v>129</v>
      </c>
      <c r="C627" s="1" t="s">
        <v>38</v>
      </c>
      <c r="D627" s="408">
        <v>30</v>
      </c>
      <c r="E627" s="5" t="s">
        <v>92</v>
      </c>
      <c r="F627" s="408">
        <v>1</v>
      </c>
      <c r="G627" s="408">
        <v>0</v>
      </c>
      <c r="H627" s="408">
        <v>15</v>
      </c>
      <c r="I627" s="408">
        <v>2</v>
      </c>
      <c r="J627" s="408">
        <v>3</v>
      </c>
      <c r="K627" s="408">
        <v>0.66700000000000004</v>
      </c>
      <c r="L627" s="408">
        <v>0</v>
      </c>
      <c r="M627" s="408">
        <v>0</v>
      </c>
      <c r="N627" s="408"/>
      <c r="O627" s="408">
        <v>2</v>
      </c>
      <c r="P627" s="408">
        <v>3</v>
      </c>
      <c r="Q627" s="408">
        <v>0.66700000000000004</v>
      </c>
      <c r="R627" s="408">
        <v>0.66700000000000004</v>
      </c>
      <c r="S627" s="408">
        <v>0</v>
      </c>
      <c r="T627" s="408">
        <v>0</v>
      </c>
      <c r="U627" s="408"/>
      <c r="V627" s="408">
        <v>1</v>
      </c>
      <c r="W627" s="408">
        <v>1</v>
      </c>
      <c r="X627" s="408">
        <v>2</v>
      </c>
      <c r="Y627" s="408">
        <v>0</v>
      </c>
      <c r="Z627" s="408">
        <v>0</v>
      </c>
      <c r="AA627" s="408">
        <v>1</v>
      </c>
      <c r="AB627" s="408">
        <v>0</v>
      </c>
      <c r="AC627" s="408">
        <v>3</v>
      </c>
      <c r="AD627" s="408">
        <v>4</v>
      </c>
    </row>
    <row r="628" spans="1:30">
      <c r="A628">
        <v>512</v>
      </c>
      <c r="B628" s="1" t="s">
        <v>472</v>
      </c>
      <c r="C628" s="1" t="s">
        <v>20</v>
      </c>
      <c r="D628" s="408">
        <v>25</v>
      </c>
      <c r="E628" s="5" t="s">
        <v>47</v>
      </c>
      <c r="F628" s="408">
        <v>57</v>
      </c>
      <c r="G628" s="408">
        <v>4</v>
      </c>
      <c r="H628" s="408">
        <v>1186</v>
      </c>
      <c r="I628" s="408">
        <v>172</v>
      </c>
      <c r="J628" s="408">
        <v>361</v>
      </c>
      <c r="K628" s="408">
        <v>0.47599999999999998</v>
      </c>
      <c r="L628" s="408">
        <v>46</v>
      </c>
      <c r="M628" s="408">
        <v>125</v>
      </c>
      <c r="N628" s="408">
        <v>0.36799999999999999</v>
      </c>
      <c r="O628" s="408">
        <v>126</v>
      </c>
      <c r="P628" s="408">
        <v>236</v>
      </c>
      <c r="Q628" s="408">
        <v>0.53400000000000003</v>
      </c>
      <c r="R628" s="408">
        <v>0.54</v>
      </c>
      <c r="S628" s="408">
        <v>81</v>
      </c>
      <c r="T628" s="408">
        <v>96</v>
      </c>
      <c r="U628" s="408">
        <v>0.84399999999999997</v>
      </c>
      <c r="V628" s="408">
        <v>40</v>
      </c>
      <c r="W628" s="408">
        <v>120</v>
      </c>
      <c r="X628" s="408">
        <v>160</v>
      </c>
      <c r="Y628" s="408">
        <v>162</v>
      </c>
      <c r="Z628" s="408">
        <v>61</v>
      </c>
      <c r="AA628" s="408">
        <v>27</v>
      </c>
      <c r="AB628" s="408">
        <v>68</v>
      </c>
      <c r="AC628" s="408">
        <v>66</v>
      </c>
      <c r="AD628" s="408">
        <v>471</v>
      </c>
    </row>
    <row r="629" spans="1:30">
      <c r="A629">
        <v>513</v>
      </c>
      <c r="B629" s="1" t="s">
        <v>298</v>
      </c>
      <c r="C629" s="1" t="s">
        <v>38</v>
      </c>
      <c r="D629" s="408">
        <v>22</v>
      </c>
      <c r="E629" s="5" t="s">
        <v>87</v>
      </c>
      <c r="F629" s="408">
        <v>25</v>
      </c>
      <c r="G629" s="408">
        <v>1</v>
      </c>
      <c r="H629" s="408">
        <v>134</v>
      </c>
      <c r="I629" s="408">
        <v>15</v>
      </c>
      <c r="J629" s="408">
        <v>36</v>
      </c>
      <c r="K629" s="408">
        <v>0.41699999999999998</v>
      </c>
      <c r="L629" s="408">
        <v>8</v>
      </c>
      <c r="M629" s="408">
        <v>23</v>
      </c>
      <c r="N629" s="408">
        <v>0.34799999999999998</v>
      </c>
      <c r="O629" s="408">
        <v>7</v>
      </c>
      <c r="P629" s="408">
        <v>13</v>
      </c>
      <c r="Q629" s="408">
        <v>0.53800000000000003</v>
      </c>
      <c r="R629" s="408">
        <v>0.52800000000000002</v>
      </c>
      <c r="S629" s="408">
        <v>7</v>
      </c>
      <c r="T629" s="408">
        <v>11</v>
      </c>
      <c r="U629" s="408">
        <v>0.63600000000000001</v>
      </c>
      <c r="V629" s="408">
        <v>13</v>
      </c>
      <c r="W629" s="408">
        <v>23</v>
      </c>
      <c r="X629" s="408">
        <v>36</v>
      </c>
      <c r="Y629" s="408">
        <v>11</v>
      </c>
      <c r="Z629" s="408">
        <v>2</v>
      </c>
      <c r="AA629" s="408">
        <v>2</v>
      </c>
      <c r="AB629" s="408">
        <v>8</v>
      </c>
      <c r="AC629" s="408">
        <v>16</v>
      </c>
      <c r="AD629" s="408">
        <v>45</v>
      </c>
    </row>
    <row r="630" spans="1:30">
      <c r="A630">
        <v>514</v>
      </c>
      <c r="B630" s="1" t="s">
        <v>795</v>
      </c>
      <c r="C630" s="1" t="s">
        <v>26</v>
      </c>
      <c r="D630" s="408">
        <v>22</v>
      </c>
      <c r="E630" s="5" t="s">
        <v>118</v>
      </c>
      <c r="F630" s="408">
        <v>5</v>
      </c>
      <c r="G630" s="408">
        <v>0</v>
      </c>
      <c r="H630" s="408">
        <v>52</v>
      </c>
      <c r="I630" s="408">
        <v>4</v>
      </c>
      <c r="J630" s="408">
        <v>12</v>
      </c>
      <c r="K630" s="408">
        <v>0.33300000000000002</v>
      </c>
      <c r="L630" s="408">
        <v>3</v>
      </c>
      <c r="M630" s="408">
        <v>10</v>
      </c>
      <c r="N630" s="408">
        <v>0.3</v>
      </c>
      <c r="O630" s="408">
        <v>1</v>
      </c>
      <c r="P630" s="408">
        <v>2</v>
      </c>
      <c r="Q630" s="408">
        <v>0.5</v>
      </c>
      <c r="R630" s="408">
        <v>0.45800000000000002</v>
      </c>
      <c r="S630" s="408">
        <v>4</v>
      </c>
      <c r="T630" s="408">
        <v>6</v>
      </c>
      <c r="U630" s="408">
        <v>0.66700000000000004</v>
      </c>
      <c r="V630" s="408">
        <v>0</v>
      </c>
      <c r="W630" s="408">
        <v>2</v>
      </c>
      <c r="X630" s="408">
        <v>2</v>
      </c>
      <c r="Y630" s="408">
        <v>2</v>
      </c>
      <c r="Z630" s="408">
        <v>0</v>
      </c>
      <c r="AA630" s="408">
        <v>0</v>
      </c>
      <c r="AB630" s="408">
        <v>0</v>
      </c>
      <c r="AC630" s="408">
        <v>3</v>
      </c>
      <c r="AD630" s="408">
        <v>15</v>
      </c>
    </row>
    <row r="631" spans="1:30">
      <c r="A631">
        <v>515</v>
      </c>
      <c r="B631" s="1" t="s">
        <v>498</v>
      </c>
      <c r="C631" s="1" t="s">
        <v>20</v>
      </c>
      <c r="D631" s="408">
        <v>25</v>
      </c>
      <c r="E631" s="5" t="s">
        <v>30</v>
      </c>
      <c r="F631" s="408">
        <v>50</v>
      </c>
      <c r="G631" s="408">
        <v>1</v>
      </c>
      <c r="H631" s="408">
        <v>520</v>
      </c>
      <c r="I631" s="408">
        <v>74</v>
      </c>
      <c r="J631" s="408">
        <v>171</v>
      </c>
      <c r="K631" s="408">
        <v>0.433</v>
      </c>
      <c r="L631" s="408">
        <v>22</v>
      </c>
      <c r="M631" s="408">
        <v>60</v>
      </c>
      <c r="N631" s="408">
        <v>0.36699999999999999</v>
      </c>
      <c r="O631" s="408">
        <v>52</v>
      </c>
      <c r="P631" s="408">
        <v>111</v>
      </c>
      <c r="Q631" s="408">
        <v>0.46800000000000003</v>
      </c>
      <c r="R631" s="408">
        <v>0.497</v>
      </c>
      <c r="S631" s="408">
        <v>22</v>
      </c>
      <c r="T631" s="408">
        <v>29</v>
      </c>
      <c r="U631" s="408">
        <v>0.75900000000000001</v>
      </c>
      <c r="V631" s="408">
        <v>11</v>
      </c>
      <c r="W631" s="408">
        <v>50</v>
      </c>
      <c r="X631" s="408">
        <v>61</v>
      </c>
      <c r="Y631" s="408">
        <v>36</v>
      </c>
      <c r="Z631" s="408">
        <v>14</v>
      </c>
      <c r="AA631" s="408">
        <v>1</v>
      </c>
      <c r="AB631" s="408">
        <v>25</v>
      </c>
      <c r="AC631" s="408">
        <v>36</v>
      </c>
      <c r="AD631" s="408">
        <v>192</v>
      </c>
    </row>
    <row r="632" spans="1:30">
      <c r="A632">
        <v>516</v>
      </c>
      <c r="B632" s="1" t="s">
        <v>156</v>
      </c>
      <c r="C632" s="1" t="s">
        <v>26</v>
      </c>
      <c r="D632" s="408">
        <v>32</v>
      </c>
      <c r="E632" s="5" t="s">
        <v>73</v>
      </c>
      <c r="F632" s="408">
        <v>69</v>
      </c>
      <c r="G632" s="408">
        <v>5</v>
      </c>
      <c r="H632" s="408">
        <v>1117</v>
      </c>
      <c r="I632" s="408">
        <v>170</v>
      </c>
      <c r="J632" s="408">
        <v>398</v>
      </c>
      <c r="K632" s="408">
        <v>0.42699999999999999</v>
      </c>
      <c r="L632" s="408">
        <v>103</v>
      </c>
      <c r="M632" s="408">
        <v>272</v>
      </c>
      <c r="N632" s="408">
        <v>0.379</v>
      </c>
      <c r="O632" s="408">
        <v>67</v>
      </c>
      <c r="P632" s="408">
        <v>126</v>
      </c>
      <c r="Q632" s="408">
        <v>0.53200000000000003</v>
      </c>
      <c r="R632" s="408">
        <v>0.55700000000000005</v>
      </c>
      <c r="S632" s="408">
        <v>45</v>
      </c>
      <c r="T632" s="408">
        <v>54</v>
      </c>
      <c r="U632" s="408">
        <v>0.83299999999999996</v>
      </c>
      <c r="V632" s="408">
        <v>17</v>
      </c>
      <c r="W632" s="408">
        <v>79</v>
      </c>
      <c r="X632" s="408">
        <v>96</v>
      </c>
      <c r="Y632" s="408">
        <v>30</v>
      </c>
      <c r="Z632" s="408">
        <v>34</v>
      </c>
      <c r="AA632" s="408">
        <v>7</v>
      </c>
      <c r="AB632" s="408">
        <v>35</v>
      </c>
      <c r="AC632" s="408">
        <v>85</v>
      </c>
      <c r="AD632" s="408">
        <v>488</v>
      </c>
    </row>
    <row r="633" spans="1:30">
      <c r="A633">
        <v>517</v>
      </c>
      <c r="B633" s="1" t="s">
        <v>453</v>
      </c>
      <c r="C633" s="1" t="s">
        <v>38</v>
      </c>
      <c r="D633" s="408">
        <v>29</v>
      </c>
      <c r="E633" s="5" t="s">
        <v>30</v>
      </c>
      <c r="F633" s="408">
        <v>71</v>
      </c>
      <c r="G633" s="408">
        <v>71</v>
      </c>
      <c r="H633" s="408">
        <v>2303</v>
      </c>
      <c r="I633" s="408">
        <v>365</v>
      </c>
      <c r="J633" s="408">
        <v>748</v>
      </c>
      <c r="K633" s="408">
        <v>0.48799999999999999</v>
      </c>
      <c r="L633" s="408">
        <v>55</v>
      </c>
      <c r="M633" s="408">
        <v>168</v>
      </c>
      <c r="N633" s="408">
        <v>0.32700000000000001</v>
      </c>
      <c r="O633" s="408">
        <v>310</v>
      </c>
      <c r="P633" s="408">
        <v>580</v>
      </c>
      <c r="Q633" s="408">
        <v>0.53400000000000003</v>
      </c>
      <c r="R633" s="408">
        <v>0.52500000000000002</v>
      </c>
      <c r="S633" s="408">
        <v>43</v>
      </c>
      <c r="T633" s="408">
        <v>72</v>
      </c>
      <c r="U633" s="408">
        <v>0.59699999999999998</v>
      </c>
      <c r="V633" s="408">
        <v>151</v>
      </c>
      <c r="W633" s="408">
        <v>280</v>
      </c>
      <c r="X633" s="408">
        <v>431</v>
      </c>
      <c r="Y633" s="408">
        <v>139</v>
      </c>
      <c r="Z633" s="408">
        <v>118</v>
      </c>
      <c r="AA633" s="408">
        <v>32</v>
      </c>
      <c r="AB633" s="408">
        <v>95</v>
      </c>
      <c r="AC633" s="408">
        <v>152</v>
      </c>
      <c r="AD633" s="408">
        <v>828</v>
      </c>
    </row>
    <row r="634" spans="1:30">
      <c r="A634">
        <v>518</v>
      </c>
      <c r="B634" s="1" t="s">
        <v>570</v>
      </c>
      <c r="C634" s="1" t="s">
        <v>83</v>
      </c>
      <c r="D634" s="408">
        <v>25</v>
      </c>
      <c r="E634" s="5" t="s">
        <v>311</v>
      </c>
      <c r="F634" s="408">
        <v>33</v>
      </c>
      <c r="G634" s="408">
        <v>0</v>
      </c>
      <c r="H634" s="408">
        <v>627</v>
      </c>
      <c r="I634" s="408">
        <v>85</v>
      </c>
      <c r="J634" s="408">
        <v>156</v>
      </c>
      <c r="K634" s="408">
        <v>0.54500000000000004</v>
      </c>
      <c r="L634" s="408">
        <v>2</v>
      </c>
      <c r="M634" s="408">
        <v>3</v>
      </c>
      <c r="N634" s="408">
        <v>0.66700000000000004</v>
      </c>
      <c r="O634" s="408">
        <v>83</v>
      </c>
      <c r="P634" s="408">
        <v>153</v>
      </c>
      <c r="Q634" s="408">
        <v>0.54200000000000004</v>
      </c>
      <c r="R634" s="408">
        <v>0.55100000000000005</v>
      </c>
      <c r="S634" s="408">
        <v>61</v>
      </c>
      <c r="T634" s="408">
        <v>85</v>
      </c>
      <c r="U634" s="408">
        <v>0.71799999999999997</v>
      </c>
      <c r="V634" s="408">
        <v>67</v>
      </c>
      <c r="W634" s="408">
        <v>110</v>
      </c>
      <c r="X634" s="408">
        <v>177</v>
      </c>
      <c r="Y634" s="408">
        <v>31</v>
      </c>
      <c r="Z634" s="408">
        <v>14</v>
      </c>
      <c r="AA634" s="408">
        <v>21</v>
      </c>
      <c r="AB634" s="408">
        <v>33</v>
      </c>
      <c r="AC634" s="408">
        <v>81</v>
      </c>
      <c r="AD634" s="408">
        <v>233</v>
      </c>
    </row>
    <row r="635" spans="1:30">
      <c r="A635">
        <v>519</v>
      </c>
      <c r="B635" s="1" t="s">
        <v>552</v>
      </c>
      <c r="C635" s="1" t="s">
        <v>83</v>
      </c>
      <c r="D635" s="408">
        <v>28</v>
      </c>
      <c r="E635" s="5" t="s">
        <v>357</v>
      </c>
      <c r="F635" s="408">
        <v>55</v>
      </c>
      <c r="G635" s="408">
        <v>33</v>
      </c>
      <c r="H635" s="408">
        <v>908</v>
      </c>
      <c r="I635" s="408">
        <v>158</v>
      </c>
      <c r="J635" s="408">
        <v>285</v>
      </c>
      <c r="K635" s="408">
        <v>0.55400000000000005</v>
      </c>
      <c r="L635" s="408">
        <v>10</v>
      </c>
      <c r="M635" s="408">
        <v>28</v>
      </c>
      <c r="N635" s="408">
        <v>0.35699999999999998</v>
      </c>
      <c r="O635" s="408">
        <v>148</v>
      </c>
      <c r="P635" s="408">
        <v>257</v>
      </c>
      <c r="Q635" s="408">
        <v>0.57599999999999996</v>
      </c>
      <c r="R635" s="408">
        <v>0.57199999999999995</v>
      </c>
      <c r="S635" s="408">
        <v>45</v>
      </c>
      <c r="T635" s="408">
        <v>66</v>
      </c>
      <c r="U635" s="408">
        <v>0.68200000000000005</v>
      </c>
      <c r="V635" s="408">
        <v>88</v>
      </c>
      <c r="W635" s="408">
        <v>163</v>
      </c>
      <c r="X635" s="408">
        <v>251</v>
      </c>
      <c r="Y635" s="408">
        <v>32</v>
      </c>
      <c r="Z635" s="408">
        <v>10</v>
      </c>
      <c r="AA635" s="408">
        <v>30</v>
      </c>
      <c r="AB635" s="408">
        <v>42</v>
      </c>
      <c r="AC635" s="408">
        <v>102</v>
      </c>
      <c r="AD635" s="408">
        <v>371</v>
      </c>
    </row>
    <row r="636" spans="1:30">
      <c r="A636">
        <v>519</v>
      </c>
      <c r="B636" s="1" t="s">
        <v>552</v>
      </c>
      <c r="C636" s="1" t="s">
        <v>83</v>
      </c>
      <c r="D636" s="408">
        <v>28</v>
      </c>
      <c r="E636" s="5" t="s">
        <v>315</v>
      </c>
      <c r="F636" s="408">
        <v>42</v>
      </c>
      <c r="G636" s="408">
        <v>33</v>
      </c>
      <c r="H636" s="408">
        <v>703</v>
      </c>
      <c r="I636" s="408">
        <v>125</v>
      </c>
      <c r="J636" s="408">
        <v>229</v>
      </c>
      <c r="K636" s="408">
        <v>0.54600000000000004</v>
      </c>
      <c r="L636" s="408">
        <v>10</v>
      </c>
      <c r="M636" s="408">
        <v>26</v>
      </c>
      <c r="N636" s="408">
        <v>0.38500000000000001</v>
      </c>
      <c r="O636" s="408">
        <v>115</v>
      </c>
      <c r="P636" s="408">
        <v>203</v>
      </c>
      <c r="Q636" s="408">
        <v>0.56699999999999995</v>
      </c>
      <c r="R636" s="408">
        <v>0.56799999999999995</v>
      </c>
      <c r="S636" s="408">
        <v>40</v>
      </c>
      <c r="T636" s="408">
        <v>60</v>
      </c>
      <c r="U636" s="408">
        <v>0.66700000000000004</v>
      </c>
      <c r="V636" s="408">
        <v>62</v>
      </c>
      <c r="W636" s="408">
        <v>131</v>
      </c>
      <c r="X636" s="408">
        <v>193</v>
      </c>
      <c r="Y636" s="408">
        <v>28</v>
      </c>
      <c r="Z636" s="408">
        <v>8</v>
      </c>
      <c r="AA636" s="408">
        <v>21</v>
      </c>
      <c r="AB636" s="408">
        <v>35</v>
      </c>
      <c r="AC636" s="408">
        <v>78</v>
      </c>
      <c r="AD636" s="408">
        <v>300</v>
      </c>
    </row>
    <row r="637" spans="1:30">
      <c r="A637">
        <v>519</v>
      </c>
      <c r="B637" s="1" t="s">
        <v>552</v>
      </c>
      <c r="C637" s="1" t="s">
        <v>83</v>
      </c>
      <c r="D637" s="408">
        <v>28</v>
      </c>
      <c r="E637" s="5" t="s">
        <v>41</v>
      </c>
      <c r="F637" s="408">
        <v>13</v>
      </c>
      <c r="G637" s="408">
        <v>0</v>
      </c>
      <c r="H637" s="408">
        <v>205</v>
      </c>
      <c r="I637" s="408">
        <v>33</v>
      </c>
      <c r="J637" s="408">
        <v>56</v>
      </c>
      <c r="K637" s="408">
        <v>0.58899999999999997</v>
      </c>
      <c r="L637" s="408">
        <v>0</v>
      </c>
      <c r="M637" s="408">
        <v>2</v>
      </c>
      <c r="N637" s="408">
        <v>0</v>
      </c>
      <c r="O637" s="408">
        <v>33</v>
      </c>
      <c r="P637" s="408">
        <v>54</v>
      </c>
      <c r="Q637" s="408">
        <v>0.61099999999999999</v>
      </c>
      <c r="R637" s="408">
        <v>0.58899999999999997</v>
      </c>
      <c r="S637" s="408">
        <v>5</v>
      </c>
      <c r="T637" s="408">
        <v>6</v>
      </c>
      <c r="U637" s="408">
        <v>0.83299999999999996</v>
      </c>
      <c r="V637" s="408">
        <v>26</v>
      </c>
      <c r="W637" s="408">
        <v>32</v>
      </c>
      <c r="X637" s="408">
        <v>58</v>
      </c>
      <c r="Y637" s="408">
        <v>4</v>
      </c>
      <c r="Z637" s="408">
        <v>2</v>
      </c>
      <c r="AA637" s="408">
        <v>9</v>
      </c>
      <c r="AB637" s="408">
        <v>7</v>
      </c>
      <c r="AC637" s="408">
        <v>24</v>
      </c>
      <c r="AD637" s="408">
        <v>71</v>
      </c>
    </row>
    <row r="638" spans="1:30">
      <c r="A638">
        <v>520</v>
      </c>
      <c r="B638" s="1" t="s">
        <v>497</v>
      </c>
      <c r="C638" s="1" t="s">
        <v>46</v>
      </c>
      <c r="D638" s="408">
        <v>23</v>
      </c>
      <c r="E638" s="5" t="s">
        <v>43</v>
      </c>
      <c r="F638" s="408">
        <v>52</v>
      </c>
      <c r="G638" s="408">
        <v>11</v>
      </c>
      <c r="H638" s="408">
        <v>790</v>
      </c>
      <c r="I638" s="408">
        <v>79</v>
      </c>
      <c r="J638" s="408">
        <v>223</v>
      </c>
      <c r="K638" s="408">
        <v>0.35399999999999998</v>
      </c>
      <c r="L638" s="408">
        <v>35</v>
      </c>
      <c r="M638" s="408">
        <v>102</v>
      </c>
      <c r="N638" s="408">
        <v>0.34300000000000003</v>
      </c>
      <c r="O638" s="408">
        <v>44</v>
      </c>
      <c r="P638" s="408">
        <v>121</v>
      </c>
      <c r="Q638" s="408">
        <v>0.36399999999999999</v>
      </c>
      <c r="R638" s="408">
        <v>0.433</v>
      </c>
      <c r="S638" s="408">
        <v>19</v>
      </c>
      <c r="T638" s="408">
        <v>26</v>
      </c>
      <c r="U638" s="408">
        <v>0.73099999999999998</v>
      </c>
      <c r="V638" s="408">
        <v>12</v>
      </c>
      <c r="W638" s="408">
        <v>117</v>
      </c>
      <c r="X638" s="408">
        <v>129</v>
      </c>
      <c r="Y638" s="408">
        <v>42</v>
      </c>
      <c r="Z638" s="408">
        <v>20</v>
      </c>
      <c r="AA638" s="408">
        <v>15</v>
      </c>
      <c r="AB638" s="408">
        <v>40</v>
      </c>
      <c r="AC638" s="408">
        <v>81</v>
      </c>
      <c r="AD638" s="408">
        <v>212</v>
      </c>
    </row>
    <row r="639" spans="1:30">
      <c r="A639">
        <v>521</v>
      </c>
      <c r="B639" s="1" t="s">
        <v>513</v>
      </c>
      <c r="C639" s="1" t="s">
        <v>83</v>
      </c>
      <c r="D639" s="408">
        <v>21</v>
      </c>
      <c r="E639" s="5" t="s">
        <v>102</v>
      </c>
      <c r="F639" s="408">
        <v>24</v>
      </c>
      <c r="G639" s="408">
        <v>2</v>
      </c>
      <c r="H639" s="408">
        <v>159</v>
      </c>
      <c r="I639" s="408">
        <v>36</v>
      </c>
      <c r="J639" s="408">
        <v>51</v>
      </c>
      <c r="K639" s="408">
        <v>0.70599999999999996</v>
      </c>
      <c r="L639" s="408">
        <v>0</v>
      </c>
      <c r="M639" s="408">
        <v>0</v>
      </c>
      <c r="N639" s="408"/>
      <c r="O639" s="408">
        <v>36</v>
      </c>
      <c r="P639" s="408">
        <v>51</v>
      </c>
      <c r="Q639" s="408">
        <v>0.70599999999999996</v>
      </c>
      <c r="R639" s="408">
        <v>0.70599999999999996</v>
      </c>
      <c r="S639" s="408">
        <v>13</v>
      </c>
      <c r="T639" s="408">
        <v>18</v>
      </c>
      <c r="U639" s="408">
        <v>0.72199999999999998</v>
      </c>
      <c r="V639" s="408">
        <v>21</v>
      </c>
      <c r="W639" s="408">
        <v>29</v>
      </c>
      <c r="X639" s="408">
        <v>50</v>
      </c>
      <c r="Y639" s="408">
        <v>4</v>
      </c>
      <c r="Z639" s="408">
        <v>1</v>
      </c>
      <c r="AA639" s="408">
        <v>13</v>
      </c>
      <c r="AB639" s="408">
        <v>9</v>
      </c>
      <c r="AC639" s="408">
        <v>24</v>
      </c>
      <c r="AD639" s="408">
        <v>85</v>
      </c>
    </row>
    <row r="640" spans="1:30">
      <c r="A640">
        <v>522</v>
      </c>
      <c r="B640" s="1" t="s">
        <v>625</v>
      </c>
      <c r="C640" s="1" t="s">
        <v>83</v>
      </c>
      <c r="D640" s="408">
        <v>20</v>
      </c>
      <c r="E640" s="5" t="s">
        <v>78</v>
      </c>
      <c r="F640" s="408">
        <v>31</v>
      </c>
      <c r="G640" s="408">
        <v>0</v>
      </c>
      <c r="H640" s="408">
        <v>240</v>
      </c>
      <c r="I640" s="408">
        <v>36</v>
      </c>
      <c r="J640" s="408">
        <v>72</v>
      </c>
      <c r="K640" s="408">
        <v>0.5</v>
      </c>
      <c r="L640" s="408">
        <v>0</v>
      </c>
      <c r="M640" s="408">
        <v>0</v>
      </c>
      <c r="N640" s="408"/>
      <c r="O640" s="408">
        <v>36</v>
      </c>
      <c r="P640" s="408">
        <v>72</v>
      </c>
      <c r="Q640" s="408">
        <v>0.5</v>
      </c>
      <c r="R640" s="408">
        <v>0.5</v>
      </c>
      <c r="S640" s="408">
        <v>25</v>
      </c>
      <c r="T640" s="408">
        <v>32</v>
      </c>
      <c r="U640" s="408">
        <v>0.78100000000000003</v>
      </c>
      <c r="V640" s="408">
        <v>24</v>
      </c>
      <c r="W640" s="408">
        <v>44</v>
      </c>
      <c r="X640" s="408">
        <v>68</v>
      </c>
      <c r="Y640" s="408">
        <v>11</v>
      </c>
      <c r="Z640" s="408">
        <v>4</v>
      </c>
      <c r="AA640" s="408">
        <v>5</v>
      </c>
      <c r="AB640" s="408">
        <v>19</v>
      </c>
      <c r="AC640" s="408">
        <v>29</v>
      </c>
      <c r="AD640" s="408">
        <v>97</v>
      </c>
    </row>
  </sheetData>
  <mergeCells count="1">
    <mergeCell ref="C1:K1"/>
  </mergeCells>
  <conditionalFormatting sqref="AD4">
    <cfRule type="colorScale" priority="2">
      <colorScale>
        <cfvo type="min"/>
        <cfvo type="percentile" val="50"/>
        <cfvo type="max"/>
        <color rgb="FFF8696B"/>
        <color rgb="FFFCFCFF"/>
        <color rgb="FF63BE7B"/>
      </colorScale>
    </cfRule>
  </conditionalFormatting>
  <conditionalFormatting sqref="M4">
    <cfRule type="top10" dxfId="92" priority="1" percent="1" rank="10"/>
  </conditionalFormatting>
  <pageMargins left="0.7" right="0.7" top="0.75" bottom="0.75" header="0.3" footer="0.3"/>
  <pageSetup orientation="portrait" r:id="rId1"/>
  <drawing r:id="rId2"/>
  <tableParts count="1">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dimension ref="A1:AU140"/>
  <sheetViews>
    <sheetView zoomScale="90" zoomScaleNormal="90" workbookViewId="0">
      <selection activeCell="A39" sqref="A39:T69"/>
    </sheetView>
  </sheetViews>
  <sheetFormatPr defaultColWidth="8.85546875" defaultRowHeight="15"/>
  <cols>
    <col min="1" max="1" width="11.42578125" bestFit="1" customWidth="1"/>
    <col min="2" max="2" width="24" bestFit="1" customWidth="1"/>
    <col min="3" max="3" width="6" bestFit="1" customWidth="1"/>
    <col min="4" max="4" width="5.5703125" bestFit="1" customWidth="1"/>
    <col min="5" max="5" width="4.5703125" bestFit="1" customWidth="1"/>
    <col min="6" max="6" width="7.28515625" bestFit="1" customWidth="1"/>
    <col min="7" max="7" width="9.140625" bestFit="1" customWidth="1"/>
    <col min="8" max="8" width="9.5703125" bestFit="1" customWidth="1"/>
    <col min="9" max="9" width="9.85546875" bestFit="1" customWidth="1"/>
    <col min="10" max="10" width="8.28515625" bestFit="1" customWidth="1"/>
    <col min="11" max="11" width="10.140625" bestFit="1" customWidth="1"/>
    <col min="12" max="12" width="11.7109375" bestFit="1" customWidth="1"/>
    <col min="13" max="13" width="9.7109375" bestFit="1" customWidth="1"/>
    <col min="14" max="14" width="9.5703125" bestFit="1" customWidth="1"/>
    <col min="15" max="15" width="8.28515625" bestFit="1" customWidth="1"/>
    <col min="16" max="16" width="8.7109375" bestFit="1" customWidth="1"/>
    <col min="17" max="17" width="8.42578125" bestFit="1" customWidth="1"/>
    <col min="18" max="18" width="7" bestFit="1" customWidth="1"/>
    <col min="19" max="19" width="8.140625" bestFit="1" customWidth="1"/>
    <col min="20" max="20" width="6.140625" bestFit="1" customWidth="1"/>
    <col min="22" max="22" width="23.85546875" hidden="1" customWidth="1"/>
    <col min="23" max="23" width="5.7109375" bestFit="1" customWidth="1"/>
    <col min="24" max="24" width="24" bestFit="1" customWidth="1"/>
    <col min="25" max="25" width="4.85546875" bestFit="1" customWidth="1"/>
    <col min="26" max="26" width="6.85546875" bestFit="1" customWidth="1"/>
    <col min="27" max="27" width="5.85546875" bestFit="1" customWidth="1"/>
    <col min="28" max="28" width="7.140625" bestFit="1" customWidth="1"/>
    <col min="29" max="29" width="7.28515625" bestFit="1" customWidth="1"/>
    <col min="30" max="30" width="5.85546875" bestFit="1" customWidth="1"/>
    <col min="31" max="31" width="7.140625" bestFit="1" customWidth="1"/>
    <col min="32" max="32" width="7.28515625" bestFit="1" customWidth="1"/>
    <col min="33" max="33" width="5.85546875" bestFit="1" customWidth="1"/>
    <col min="34" max="34" width="7.140625" bestFit="1" customWidth="1"/>
    <col min="35" max="35" width="7.28515625" bestFit="1" customWidth="1"/>
    <col min="36" max="36" width="5.7109375" bestFit="1" customWidth="1"/>
    <col min="37" max="37" width="6.85546875" bestFit="1" customWidth="1"/>
    <col min="38" max="38" width="7" bestFit="1" customWidth="1"/>
    <col min="39" max="39" width="7.28515625" bestFit="1" customWidth="1"/>
    <col min="40" max="40" width="7.140625" bestFit="1" customWidth="1"/>
    <col min="41" max="42" width="6.85546875" bestFit="1" customWidth="1"/>
    <col min="43" max="43" width="6.42578125" bestFit="1" customWidth="1"/>
    <col min="44" max="44" width="6.85546875" bestFit="1" customWidth="1"/>
    <col min="45" max="45" width="7.28515625" bestFit="1" customWidth="1"/>
    <col min="46" max="46" width="5.7109375" bestFit="1" customWidth="1"/>
    <col min="47" max="47" width="6.85546875" bestFit="1" customWidth="1"/>
  </cols>
  <sheetData>
    <row r="1" spans="1:47" ht="15.75" customHeight="1">
      <c r="A1" s="695" t="s">
        <v>909</v>
      </c>
      <c r="B1" s="695"/>
      <c r="C1" s="127"/>
      <c r="D1" s="127"/>
      <c r="E1" s="127"/>
      <c r="F1" s="127"/>
      <c r="G1" s="127"/>
      <c r="W1" s="695" t="s">
        <v>1205</v>
      </c>
      <c r="X1" s="695"/>
    </row>
    <row r="2" spans="1:47" ht="15.75" customHeight="1">
      <c r="A2" s="695"/>
      <c r="B2" s="695"/>
      <c r="C2" s="127"/>
      <c r="D2" s="127"/>
      <c r="E2" s="127"/>
      <c r="F2" s="127"/>
      <c r="G2" s="127"/>
      <c r="W2" s="695"/>
      <c r="X2" s="695"/>
    </row>
    <row r="3" spans="1:47">
      <c r="A3" s="695"/>
      <c r="B3" s="695"/>
      <c r="C3" s="127"/>
      <c r="D3" s="127"/>
      <c r="E3" s="127"/>
      <c r="F3" s="127"/>
      <c r="G3" s="127"/>
      <c r="W3" s="695"/>
      <c r="X3" s="695"/>
    </row>
    <row r="4" spans="1:47">
      <c r="A4" t="s">
        <v>1003</v>
      </c>
      <c r="B4" t="s">
        <v>916</v>
      </c>
      <c r="C4" t="s">
        <v>251</v>
      </c>
      <c r="D4" t="s">
        <v>917</v>
      </c>
      <c r="E4" t="s">
        <v>918</v>
      </c>
      <c r="F4" t="s">
        <v>56</v>
      </c>
      <c r="G4" t="s">
        <v>1025</v>
      </c>
      <c r="H4" t="s">
        <v>1024</v>
      </c>
      <c r="I4" t="s">
        <v>1023</v>
      </c>
      <c r="J4" t="s">
        <v>659</v>
      </c>
      <c r="K4" t="s">
        <v>1022</v>
      </c>
      <c r="L4" t="s">
        <v>1011</v>
      </c>
      <c r="M4" t="s">
        <v>1021</v>
      </c>
      <c r="N4" t="s">
        <v>1020</v>
      </c>
      <c r="O4" t="s">
        <v>1019</v>
      </c>
      <c r="P4" t="s">
        <v>662</v>
      </c>
      <c r="Q4" t="s">
        <v>273</v>
      </c>
      <c r="R4" t="s">
        <v>653</v>
      </c>
      <c r="S4" t="s">
        <v>1018</v>
      </c>
      <c r="T4" t="s">
        <v>1017</v>
      </c>
      <c r="W4" t="s">
        <v>257</v>
      </c>
      <c r="X4" t="s">
        <v>256</v>
      </c>
      <c r="Y4" t="s">
        <v>261</v>
      </c>
      <c r="Z4" t="s">
        <v>263</v>
      </c>
      <c r="AA4" t="s">
        <v>264</v>
      </c>
      <c r="AB4" t="s">
        <v>265</v>
      </c>
      <c r="AC4" t="s">
        <v>266</v>
      </c>
      <c r="AD4" t="s">
        <v>267</v>
      </c>
      <c r="AE4" t="s">
        <v>268</v>
      </c>
      <c r="AF4" t="s">
        <v>269</v>
      </c>
      <c r="AG4" t="s">
        <v>270</v>
      </c>
      <c r="AH4" t="s">
        <v>271</v>
      </c>
      <c r="AI4" t="s">
        <v>272</v>
      </c>
      <c r="AJ4" t="s">
        <v>274</v>
      </c>
      <c r="AK4" t="s">
        <v>275</v>
      </c>
      <c r="AL4" t="s">
        <v>276</v>
      </c>
      <c r="AM4" t="s">
        <v>277</v>
      </c>
      <c r="AN4" t="s">
        <v>278</v>
      </c>
      <c r="AO4" t="s">
        <v>279</v>
      </c>
      <c r="AP4" t="s">
        <v>280</v>
      </c>
      <c r="AQ4" t="s">
        <v>281</v>
      </c>
      <c r="AR4" t="s">
        <v>282</v>
      </c>
      <c r="AS4" t="s">
        <v>283</v>
      </c>
      <c r="AT4" t="s">
        <v>38</v>
      </c>
      <c r="AU4" t="s">
        <v>805</v>
      </c>
    </row>
    <row r="5" spans="1:47">
      <c r="A5">
        <v>1</v>
      </c>
      <c r="B5" s="1" t="s">
        <v>682</v>
      </c>
      <c r="C5">
        <v>70</v>
      </c>
      <c r="D5">
        <v>56</v>
      </c>
      <c r="E5">
        <v>14</v>
      </c>
      <c r="F5">
        <v>3370</v>
      </c>
      <c r="G5">
        <v>113.5</v>
      </c>
      <c r="H5">
        <v>104.4</v>
      </c>
      <c r="I5">
        <v>9.1</v>
      </c>
      <c r="J5">
        <v>55.8</v>
      </c>
      <c r="K5">
        <v>1.57</v>
      </c>
      <c r="L5">
        <v>16.600000000000001</v>
      </c>
      <c r="M5">
        <v>22</v>
      </c>
      <c r="N5">
        <v>80.2</v>
      </c>
      <c r="O5">
        <v>51.3</v>
      </c>
      <c r="P5">
        <v>13.9</v>
      </c>
      <c r="Q5">
        <v>55.5</v>
      </c>
      <c r="R5">
        <v>59.5</v>
      </c>
      <c r="S5">
        <v>99.95</v>
      </c>
      <c r="T5">
        <v>53.4</v>
      </c>
      <c r="V5" t="str">
        <f>SUBSTITUTE(Opponent_Per_Game[[#This Row],[Team]],"*","")</f>
        <v>Utah Jazz</v>
      </c>
      <c r="W5">
        <v>1</v>
      </c>
      <c r="X5" s="1" t="s">
        <v>700</v>
      </c>
      <c r="Y5">
        <v>70</v>
      </c>
      <c r="Z5">
        <v>240.7</v>
      </c>
      <c r="AA5">
        <v>37.200000000000003</v>
      </c>
      <c r="AB5">
        <v>82.4</v>
      </c>
      <c r="AC5">
        <v>0.45100000000000001</v>
      </c>
      <c r="AD5">
        <v>9.6</v>
      </c>
      <c r="AE5">
        <v>26.5</v>
      </c>
      <c r="AF5">
        <v>0.36399999999999999</v>
      </c>
      <c r="AG5">
        <v>27.5</v>
      </c>
      <c r="AH5">
        <v>56</v>
      </c>
      <c r="AI5">
        <v>0.49199999999999999</v>
      </c>
      <c r="AJ5">
        <v>15.9</v>
      </c>
      <c r="AK5">
        <v>20.6</v>
      </c>
      <c r="AL5">
        <v>0.77</v>
      </c>
      <c r="AM5">
        <v>8.5</v>
      </c>
      <c r="AN5">
        <v>33.200000000000003</v>
      </c>
      <c r="AO5">
        <v>41.7</v>
      </c>
      <c r="AP5">
        <v>19.899999999999999</v>
      </c>
      <c r="AQ5">
        <v>8.3000000000000007</v>
      </c>
      <c r="AR5">
        <v>4.5999999999999996</v>
      </c>
      <c r="AS5">
        <v>15</v>
      </c>
      <c r="AT5">
        <v>20.5</v>
      </c>
      <c r="AU5">
        <v>99.8</v>
      </c>
    </row>
    <row r="6" spans="1:47">
      <c r="A6">
        <v>2</v>
      </c>
      <c r="B6" s="1" t="s">
        <v>681</v>
      </c>
      <c r="C6">
        <v>71</v>
      </c>
      <c r="D6">
        <v>53</v>
      </c>
      <c r="E6">
        <v>18</v>
      </c>
      <c r="F6">
        <v>3418</v>
      </c>
      <c r="G6">
        <v>113.2</v>
      </c>
      <c r="H6">
        <v>103.6</v>
      </c>
      <c r="I6">
        <v>9.6</v>
      </c>
      <c r="J6">
        <v>69.2</v>
      </c>
      <c r="K6">
        <v>1.9</v>
      </c>
      <c r="L6">
        <v>21.3</v>
      </c>
      <c r="M6">
        <v>21.2</v>
      </c>
      <c r="N6">
        <v>76.3</v>
      </c>
      <c r="O6">
        <v>51</v>
      </c>
      <c r="P6">
        <v>15.4</v>
      </c>
      <c r="Q6">
        <v>57.6</v>
      </c>
      <c r="R6">
        <v>61</v>
      </c>
      <c r="S6">
        <v>102.27</v>
      </c>
      <c r="T6">
        <v>56.4</v>
      </c>
      <c r="V6" t="str">
        <f>SUBSTITUTE(Opponent_Per_Game[[#This Row],[Team]],"*","")</f>
        <v>San Antonio Spurs</v>
      </c>
      <c r="W6">
        <v>2</v>
      </c>
      <c r="X6" s="1" t="s">
        <v>698</v>
      </c>
      <c r="Y6">
        <v>71</v>
      </c>
      <c r="Z6">
        <v>240</v>
      </c>
      <c r="AA6">
        <v>37.9</v>
      </c>
      <c r="AB6">
        <v>84.3</v>
      </c>
      <c r="AC6">
        <v>0.45</v>
      </c>
      <c r="AD6">
        <v>9.1999999999999993</v>
      </c>
      <c r="AE6">
        <v>26.5</v>
      </c>
      <c r="AF6">
        <v>0.34599999999999997</v>
      </c>
      <c r="AG6">
        <v>28.7</v>
      </c>
      <c r="AH6">
        <v>57.7</v>
      </c>
      <c r="AI6">
        <v>0.498</v>
      </c>
      <c r="AJ6">
        <v>14</v>
      </c>
      <c r="AK6">
        <v>18.5</v>
      </c>
      <c r="AL6">
        <v>0.75700000000000001</v>
      </c>
      <c r="AM6">
        <v>9.1999999999999993</v>
      </c>
      <c r="AN6">
        <v>33.299999999999997</v>
      </c>
      <c r="AO6">
        <v>42.5</v>
      </c>
      <c r="AP6">
        <v>21.5</v>
      </c>
      <c r="AQ6">
        <v>7.7</v>
      </c>
      <c r="AR6">
        <v>3.9</v>
      </c>
      <c r="AS6">
        <v>14.1</v>
      </c>
      <c r="AT6">
        <v>19.5</v>
      </c>
      <c r="AU6">
        <v>99</v>
      </c>
    </row>
    <row r="7" spans="1:47">
      <c r="A7">
        <v>3</v>
      </c>
      <c r="B7" s="1" t="s">
        <v>699</v>
      </c>
      <c r="C7">
        <v>70</v>
      </c>
      <c r="D7">
        <v>52</v>
      </c>
      <c r="E7">
        <v>18</v>
      </c>
      <c r="F7">
        <v>3385</v>
      </c>
      <c r="G7">
        <v>111.5</v>
      </c>
      <c r="H7">
        <v>103.1</v>
      </c>
      <c r="I7">
        <v>8.4</v>
      </c>
      <c r="J7">
        <v>58.2</v>
      </c>
      <c r="K7">
        <v>1.8</v>
      </c>
      <c r="L7">
        <v>17.8</v>
      </c>
      <c r="M7">
        <v>23.4</v>
      </c>
      <c r="N7">
        <v>77.099999999999994</v>
      </c>
      <c r="O7">
        <v>50.8</v>
      </c>
      <c r="P7">
        <v>13.2</v>
      </c>
      <c r="Q7">
        <v>53.9</v>
      </c>
      <c r="R7">
        <v>57.7</v>
      </c>
      <c r="S7">
        <v>100.12</v>
      </c>
      <c r="T7">
        <v>54.2</v>
      </c>
      <c r="V7" t="str">
        <f>SUBSTITUTE(Opponent_Per_Game[[#This Row],[Team]],"*","")</f>
        <v>Boston Celtics</v>
      </c>
      <c r="W7">
        <v>3</v>
      </c>
      <c r="X7" s="1" t="s">
        <v>1219</v>
      </c>
      <c r="Y7">
        <v>70</v>
      </c>
      <c r="Z7">
        <v>241.8</v>
      </c>
      <c r="AA7">
        <v>37.200000000000003</v>
      </c>
      <c r="AB7">
        <v>85.1</v>
      </c>
      <c r="AC7">
        <v>0.437</v>
      </c>
      <c r="AD7">
        <v>9.1999999999999993</v>
      </c>
      <c r="AE7">
        <v>27</v>
      </c>
      <c r="AF7">
        <v>0.34100000000000003</v>
      </c>
      <c r="AG7">
        <v>28</v>
      </c>
      <c r="AH7">
        <v>58</v>
      </c>
      <c r="AI7">
        <v>0.48199999999999998</v>
      </c>
      <c r="AJ7">
        <v>16.8</v>
      </c>
      <c r="AK7">
        <v>21.9</v>
      </c>
      <c r="AL7">
        <v>0.76800000000000002</v>
      </c>
      <c r="AM7">
        <v>9.6999999999999993</v>
      </c>
      <c r="AN7">
        <v>34.200000000000003</v>
      </c>
      <c r="AO7">
        <v>43.9</v>
      </c>
      <c r="AP7">
        <v>21</v>
      </c>
      <c r="AQ7">
        <v>7.2</v>
      </c>
      <c r="AR7">
        <v>4.5</v>
      </c>
      <c r="AS7">
        <v>14.1</v>
      </c>
      <c r="AT7">
        <v>19</v>
      </c>
      <c r="AU7">
        <v>100.4</v>
      </c>
    </row>
    <row r="8" spans="1:47">
      <c r="A8">
        <v>10</v>
      </c>
      <c r="B8" s="1" t="s">
        <v>689</v>
      </c>
      <c r="C8">
        <v>71</v>
      </c>
      <c r="D8">
        <v>40</v>
      </c>
      <c r="E8">
        <v>31</v>
      </c>
      <c r="F8">
        <v>3428</v>
      </c>
      <c r="G8">
        <v>111.4</v>
      </c>
      <c r="H8">
        <v>109.1</v>
      </c>
      <c r="I8">
        <v>2.2999999999999998</v>
      </c>
      <c r="J8">
        <v>55</v>
      </c>
      <c r="K8">
        <v>1.81</v>
      </c>
      <c r="L8">
        <v>17.2</v>
      </c>
      <c r="M8">
        <v>24.8</v>
      </c>
      <c r="N8">
        <v>75.900000000000006</v>
      </c>
      <c r="O8">
        <v>50.1</v>
      </c>
      <c r="P8">
        <v>12.7</v>
      </c>
      <c r="Q8">
        <v>52.7</v>
      </c>
      <c r="R8">
        <v>56.9</v>
      </c>
      <c r="S8">
        <v>98.05</v>
      </c>
      <c r="T8">
        <v>51.8</v>
      </c>
      <c r="V8" t="str">
        <f>SUBSTITUTE(Opponent_Per_Game[[#This Row],[Team]],"*","")</f>
        <v>Portland Trail Blazers</v>
      </c>
      <c r="W8">
        <v>4</v>
      </c>
      <c r="X8" s="1" t="s">
        <v>696</v>
      </c>
      <c r="Y8">
        <v>70</v>
      </c>
      <c r="Z8">
        <v>241.1</v>
      </c>
      <c r="AA8">
        <v>38.4</v>
      </c>
      <c r="AB8">
        <v>86.1</v>
      </c>
      <c r="AC8">
        <v>0.44600000000000001</v>
      </c>
      <c r="AD8">
        <v>9.6</v>
      </c>
      <c r="AE8">
        <v>26.6</v>
      </c>
      <c r="AF8">
        <v>0.36199999999999999</v>
      </c>
      <c r="AG8">
        <v>28.8</v>
      </c>
      <c r="AH8">
        <v>59.5</v>
      </c>
      <c r="AI8">
        <v>0.48399999999999999</v>
      </c>
      <c r="AJ8">
        <v>16.5</v>
      </c>
      <c r="AK8">
        <v>21.7</v>
      </c>
      <c r="AL8">
        <v>0.76</v>
      </c>
      <c r="AM8">
        <v>9.3000000000000007</v>
      </c>
      <c r="AN8">
        <v>33.4</v>
      </c>
      <c r="AO8">
        <v>42.7</v>
      </c>
      <c r="AP8">
        <v>20.2</v>
      </c>
      <c r="AQ8">
        <v>7.4</v>
      </c>
      <c r="AR8">
        <v>5.0999999999999996</v>
      </c>
      <c r="AS8">
        <v>12.7</v>
      </c>
      <c r="AT8">
        <v>19.2</v>
      </c>
      <c r="AU8">
        <v>103</v>
      </c>
    </row>
    <row r="9" spans="1:47">
      <c r="A9">
        <v>7</v>
      </c>
      <c r="B9" s="1" t="s">
        <v>817</v>
      </c>
      <c r="C9">
        <v>70</v>
      </c>
      <c r="D9">
        <v>41</v>
      </c>
      <c r="E9">
        <v>29</v>
      </c>
      <c r="F9">
        <v>3370</v>
      </c>
      <c r="G9">
        <v>110.1</v>
      </c>
      <c r="H9">
        <v>109.5</v>
      </c>
      <c r="I9">
        <v>0.6</v>
      </c>
      <c r="J9">
        <v>58.5</v>
      </c>
      <c r="K9">
        <v>1.68</v>
      </c>
      <c r="L9">
        <v>17.8</v>
      </c>
      <c r="M9">
        <v>19.600000000000001</v>
      </c>
      <c r="N9">
        <v>76.7</v>
      </c>
      <c r="O9">
        <v>48.6</v>
      </c>
      <c r="P9">
        <v>14</v>
      </c>
      <c r="Q9">
        <v>54.7</v>
      </c>
      <c r="R9">
        <v>58.4</v>
      </c>
      <c r="S9">
        <v>100.16</v>
      </c>
      <c r="T9">
        <v>49.9</v>
      </c>
      <c r="V9" t="str">
        <f>SUBSTITUTE(Opponent_Per_Game[[#This Row],[Team]],"*","")</f>
        <v>Toronto Raptors</v>
      </c>
      <c r="W9">
        <v>5</v>
      </c>
      <c r="X9" s="1" t="s">
        <v>1200</v>
      </c>
      <c r="Y9">
        <v>70</v>
      </c>
      <c r="Z9">
        <v>241.8</v>
      </c>
      <c r="AA9">
        <v>38.4</v>
      </c>
      <c r="AB9">
        <v>85.4</v>
      </c>
      <c r="AC9">
        <v>0.44900000000000001</v>
      </c>
      <c r="AD9">
        <v>8.8000000000000007</v>
      </c>
      <c r="AE9">
        <v>25</v>
      </c>
      <c r="AF9">
        <v>0.35299999999999998</v>
      </c>
      <c r="AG9">
        <v>29.5</v>
      </c>
      <c r="AH9">
        <v>60.4</v>
      </c>
      <c r="AI9">
        <v>0.48899999999999999</v>
      </c>
      <c r="AJ9">
        <v>18.3</v>
      </c>
      <c r="AK9">
        <v>23.9</v>
      </c>
      <c r="AL9">
        <v>0.76600000000000001</v>
      </c>
      <c r="AM9">
        <v>10.1</v>
      </c>
      <c r="AN9">
        <v>32.4</v>
      </c>
      <c r="AO9">
        <v>42.5</v>
      </c>
      <c r="AP9">
        <v>21.9</v>
      </c>
      <c r="AQ9">
        <v>7.1</v>
      </c>
      <c r="AR9">
        <v>4.8</v>
      </c>
      <c r="AS9">
        <v>14.9</v>
      </c>
      <c r="AT9">
        <v>20.3</v>
      </c>
      <c r="AU9">
        <v>103.9</v>
      </c>
    </row>
    <row r="10" spans="1:47">
      <c r="A10">
        <v>15</v>
      </c>
      <c r="B10" s="1" t="s">
        <v>679</v>
      </c>
      <c r="C10">
        <v>71</v>
      </c>
      <c r="D10">
        <v>38</v>
      </c>
      <c r="E10">
        <v>33</v>
      </c>
      <c r="F10">
        <v>3433</v>
      </c>
      <c r="G10">
        <v>109.1</v>
      </c>
      <c r="H10">
        <v>108.9</v>
      </c>
      <c r="I10">
        <v>0.2</v>
      </c>
      <c r="J10">
        <v>61.2</v>
      </c>
      <c r="K10">
        <v>1.64</v>
      </c>
      <c r="L10">
        <v>18.2</v>
      </c>
      <c r="M10">
        <v>25.8</v>
      </c>
      <c r="N10">
        <v>77.8</v>
      </c>
      <c r="O10">
        <v>51.8</v>
      </c>
      <c r="P10">
        <v>15.1</v>
      </c>
      <c r="Q10">
        <v>53.5</v>
      </c>
      <c r="R10">
        <v>56.9</v>
      </c>
      <c r="S10">
        <v>99.23</v>
      </c>
      <c r="T10">
        <v>50.8</v>
      </c>
      <c r="V10" t="str">
        <f>SUBSTITUTE(Opponent_Per_Game[[#This Row],[Team]],"*","")</f>
        <v>Philadelphia 76ers</v>
      </c>
      <c r="W10">
        <v>6</v>
      </c>
      <c r="X10" s="1" t="s">
        <v>694</v>
      </c>
      <c r="Y10">
        <v>69</v>
      </c>
      <c r="Z10">
        <v>241.4</v>
      </c>
      <c r="AA10">
        <v>38.1</v>
      </c>
      <c r="AB10">
        <v>87</v>
      </c>
      <c r="AC10">
        <v>0.438</v>
      </c>
      <c r="AD10">
        <v>9.9</v>
      </c>
      <c r="AE10">
        <v>29</v>
      </c>
      <c r="AF10">
        <v>0.34300000000000003</v>
      </c>
      <c r="AG10">
        <v>28.2</v>
      </c>
      <c r="AH10">
        <v>58</v>
      </c>
      <c r="AI10">
        <v>0.48499999999999999</v>
      </c>
      <c r="AJ10">
        <v>19.5</v>
      </c>
      <c r="AK10">
        <v>25.8</v>
      </c>
      <c r="AL10">
        <v>0.755</v>
      </c>
      <c r="AM10">
        <v>10</v>
      </c>
      <c r="AN10">
        <v>31.9</v>
      </c>
      <c r="AO10">
        <v>41.9</v>
      </c>
      <c r="AP10">
        <v>21.4</v>
      </c>
      <c r="AQ10">
        <v>8.8000000000000007</v>
      </c>
      <c r="AR10">
        <v>5.2</v>
      </c>
      <c r="AS10">
        <v>14.1</v>
      </c>
      <c r="AT10">
        <v>20.8</v>
      </c>
      <c r="AU10">
        <v>105.6</v>
      </c>
    </row>
    <row r="11" spans="1:47">
      <c r="A11">
        <v>17</v>
      </c>
      <c r="B11" s="1" t="s">
        <v>920</v>
      </c>
      <c r="C11">
        <v>69</v>
      </c>
      <c r="D11">
        <v>37</v>
      </c>
      <c r="E11">
        <v>32</v>
      </c>
      <c r="F11">
        <v>3317</v>
      </c>
      <c r="G11">
        <v>107.9</v>
      </c>
      <c r="H11">
        <v>106.8</v>
      </c>
      <c r="I11">
        <v>1.1000000000000001</v>
      </c>
      <c r="J11">
        <v>55.5</v>
      </c>
      <c r="K11">
        <v>1.52</v>
      </c>
      <c r="L11">
        <v>16.7</v>
      </c>
      <c r="M11">
        <v>23</v>
      </c>
      <c r="N11">
        <v>76.099999999999994</v>
      </c>
      <c r="O11">
        <v>50</v>
      </c>
      <c r="P11">
        <v>14.5</v>
      </c>
      <c r="Q11">
        <v>52.8</v>
      </c>
      <c r="R11">
        <v>56.6</v>
      </c>
      <c r="S11">
        <v>101.24</v>
      </c>
      <c r="T11">
        <v>50.5</v>
      </c>
      <c r="V11" t="str">
        <f>SUBSTITUTE(Opponent_Per_Game[[#This Row],[Team]],"*","")</f>
        <v>Detroit Pistons</v>
      </c>
      <c r="W11">
        <v>7</v>
      </c>
      <c r="X11" s="1" t="s">
        <v>680</v>
      </c>
      <c r="Y11">
        <v>70</v>
      </c>
      <c r="Z11">
        <v>241.1</v>
      </c>
      <c r="AA11">
        <v>39</v>
      </c>
      <c r="AB11">
        <v>84.5</v>
      </c>
      <c r="AC11">
        <v>0.46200000000000002</v>
      </c>
      <c r="AD11">
        <v>11.1</v>
      </c>
      <c r="AE11">
        <v>30.1</v>
      </c>
      <c r="AF11">
        <v>0.36899999999999999</v>
      </c>
      <c r="AG11">
        <v>27.9</v>
      </c>
      <c r="AH11">
        <v>54.4</v>
      </c>
      <c r="AI11">
        <v>0.51300000000000001</v>
      </c>
      <c r="AJ11">
        <v>15</v>
      </c>
      <c r="AK11">
        <v>19.2</v>
      </c>
      <c r="AL11">
        <v>0.78300000000000003</v>
      </c>
      <c r="AM11">
        <v>9.1</v>
      </c>
      <c r="AN11">
        <v>34.5</v>
      </c>
      <c r="AO11">
        <v>43.6</v>
      </c>
      <c r="AP11">
        <v>24.9</v>
      </c>
      <c r="AQ11">
        <v>7.4</v>
      </c>
      <c r="AR11">
        <v>5</v>
      </c>
      <c r="AS11">
        <v>15</v>
      </c>
      <c r="AT11">
        <v>18.399999999999999</v>
      </c>
      <c r="AU11">
        <v>104.1</v>
      </c>
    </row>
    <row r="12" spans="1:47">
      <c r="A12">
        <v>6</v>
      </c>
      <c r="B12" s="1" t="s">
        <v>692</v>
      </c>
      <c r="C12">
        <v>72</v>
      </c>
      <c r="D12">
        <v>43</v>
      </c>
      <c r="E12">
        <v>29</v>
      </c>
      <c r="F12">
        <v>3481</v>
      </c>
      <c r="G12">
        <v>107.6</v>
      </c>
      <c r="H12">
        <v>104.5</v>
      </c>
      <c r="I12">
        <v>3</v>
      </c>
      <c r="J12">
        <v>53.4</v>
      </c>
      <c r="K12">
        <v>1.51</v>
      </c>
      <c r="L12">
        <v>16</v>
      </c>
      <c r="M12">
        <v>27.9</v>
      </c>
      <c r="N12">
        <v>77.400000000000006</v>
      </c>
      <c r="O12">
        <v>51.8</v>
      </c>
      <c r="P12">
        <v>14.2</v>
      </c>
      <c r="Q12">
        <v>51.6</v>
      </c>
      <c r="R12">
        <v>54.7</v>
      </c>
      <c r="S12">
        <v>99.02</v>
      </c>
      <c r="T12">
        <v>51</v>
      </c>
      <c r="V12" t="str">
        <f>SUBSTITUTE(Opponent_Per_Game[[#This Row],[Team]],"*","")</f>
        <v>Memphis Grizzlies</v>
      </c>
      <c r="W12">
        <v>8</v>
      </c>
      <c r="X12" s="1" t="s">
        <v>686</v>
      </c>
      <c r="Y12">
        <v>70</v>
      </c>
      <c r="Z12">
        <v>240.4</v>
      </c>
      <c r="AA12">
        <v>36.5</v>
      </c>
      <c r="AB12">
        <v>79.599999999999994</v>
      </c>
      <c r="AC12">
        <v>0.45800000000000002</v>
      </c>
      <c r="AD12">
        <v>10.3</v>
      </c>
      <c r="AE12">
        <v>28.2</v>
      </c>
      <c r="AF12">
        <v>0.36499999999999999</v>
      </c>
      <c r="AG12">
        <v>26.2</v>
      </c>
      <c r="AH12">
        <v>51.4</v>
      </c>
      <c r="AI12">
        <v>0.51</v>
      </c>
      <c r="AJ12">
        <v>21</v>
      </c>
      <c r="AK12">
        <v>27.2</v>
      </c>
      <c r="AL12">
        <v>0.77</v>
      </c>
      <c r="AM12">
        <v>9.5</v>
      </c>
      <c r="AN12">
        <v>32.9</v>
      </c>
      <c r="AO12">
        <v>42.4</v>
      </c>
      <c r="AP12">
        <v>21.5</v>
      </c>
      <c r="AQ12">
        <v>8</v>
      </c>
      <c r="AR12">
        <v>5.3</v>
      </c>
      <c r="AS12">
        <v>14.8</v>
      </c>
      <c r="AT12">
        <v>20.7</v>
      </c>
      <c r="AU12">
        <v>104.2</v>
      </c>
    </row>
    <row r="13" spans="1:47">
      <c r="A13">
        <v>17</v>
      </c>
      <c r="B13" s="1" t="s">
        <v>688</v>
      </c>
      <c r="C13">
        <v>70</v>
      </c>
      <c r="D13">
        <v>37</v>
      </c>
      <c r="E13">
        <v>33</v>
      </c>
      <c r="F13">
        <v>3380</v>
      </c>
      <c r="G13">
        <v>107.6</v>
      </c>
      <c r="H13">
        <v>106.7</v>
      </c>
      <c r="I13">
        <v>0.9</v>
      </c>
      <c r="J13">
        <v>57.9</v>
      </c>
      <c r="K13">
        <v>1.62</v>
      </c>
      <c r="L13">
        <v>17.600000000000001</v>
      </c>
      <c r="M13">
        <v>20.2</v>
      </c>
      <c r="N13">
        <v>76.5</v>
      </c>
      <c r="O13">
        <v>48.5</v>
      </c>
      <c r="P13">
        <v>14.3</v>
      </c>
      <c r="Q13">
        <v>53.1</v>
      </c>
      <c r="R13">
        <v>57.2</v>
      </c>
      <c r="S13">
        <v>98.18</v>
      </c>
      <c r="T13">
        <v>50.2</v>
      </c>
      <c r="V13" t="str">
        <f>SUBSTITUTE(Opponent_Per_Game[[#This Row],[Team]],"*","")</f>
        <v>Miami Heat</v>
      </c>
      <c r="W13">
        <v>9</v>
      </c>
      <c r="X13" s="1" t="s">
        <v>687</v>
      </c>
      <c r="Y13">
        <v>71</v>
      </c>
      <c r="Z13">
        <v>242.5</v>
      </c>
      <c r="AA13">
        <v>37.700000000000003</v>
      </c>
      <c r="AB13">
        <v>83.1</v>
      </c>
      <c r="AC13">
        <v>0.45300000000000001</v>
      </c>
      <c r="AD13">
        <v>9.5</v>
      </c>
      <c r="AE13">
        <v>26</v>
      </c>
      <c r="AF13">
        <v>0.36599999999999999</v>
      </c>
      <c r="AG13">
        <v>28.2</v>
      </c>
      <c r="AH13">
        <v>57.1</v>
      </c>
      <c r="AI13">
        <v>0.49299999999999999</v>
      </c>
      <c r="AJ13">
        <v>18.100000000000001</v>
      </c>
      <c r="AK13">
        <v>23</v>
      </c>
      <c r="AL13">
        <v>0.78700000000000003</v>
      </c>
      <c r="AM13">
        <v>8.8000000000000007</v>
      </c>
      <c r="AN13">
        <v>33.6</v>
      </c>
      <c r="AO13">
        <v>42.5</v>
      </c>
      <c r="AP13">
        <v>20.7</v>
      </c>
      <c r="AQ13">
        <v>7.4</v>
      </c>
      <c r="AR13">
        <v>4.7</v>
      </c>
      <c r="AS13">
        <v>14</v>
      </c>
      <c r="AT13">
        <v>19.399999999999999</v>
      </c>
      <c r="AU13">
        <v>103</v>
      </c>
    </row>
    <row r="14" spans="1:47">
      <c r="A14">
        <v>10</v>
      </c>
      <c r="B14" s="1" t="s">
        <v>690</v>
      </c>
      <c r="C14">
        <v>70</v>
      </c>
      <c r="D14">
        <v>40</v>
      </c>
      <c r="E14">
        <v>30</v>
      </c>
      <c r="F14">
        <v>3415</v>
      </c>
      <c r="G14">
        <v>107.5</v>
      </c>
      <c r="H14">
        <v>106.3</v>
      </c>
      <c r="I14">
        <v>1.2</v>
      </c>
      <c r="J14">
        <v>62.5</v>
      </c>
      <c r="K14">
        <v>1.76</v>
      </c>
      <c r="L14">
        <v>19.100000000000001</v>
      </c>
      <c r="M14">
        <v>19.8</v>
      </c>
      <c r="N14">
        <v>76.7</v>
      </c>
      <c r="O14">
        <v>49.1</v>
      </c>
      <c r="P14">
        <v>14.5</v>
      </c>
      <c r="Q14">
        <v>54.1</v>
      </c>
      <c r="R14">
        <v>57.3</v>
      </c>
      <c r="S14">
        <v>102.53</v>
      </c>
      <c r="T14">
        <v>51.9</v>
      </c>
      <c r="V14" t="str">
        <f>SUBSTITUTE(Opponent_Per_Game[[#This Row],[Team]],"*","")</f>
        <v>Houston Rockets</v>
      </c>
      <c r="W14">
        <v>10</v>
      </c>
      <c r="X14" s="1" t="s">
        <v>1218</v>
      </c>
      <c r="Y14">
        <v>70</v>
      </c>
      <c r="Z14">
        <v>240.7</v>
      </c>
      <c r="AA14">
        <v>39.799999999999997</v>
      </c>
      <c r="AB14">
        <v>85.5</v>
      </c>
      <c r="AC14">
        <v>0.46500000000000002</v>
      </c>
      <c r="AD14">
        <v>10.3</v>
      </c>
      <c r="AE14">
        <v>28.7</v>
      </c>
      <c r="AF14">
        <v>0.36</v>
      </c>
      <c r="AG14">
        <v>29.4</v>
      </c>
      <c r="AH14">
        <v>56.8</v>
      </c>
      <c r="AI14">
        <v>0.51800000000000002</v>
      </c>
      <c r="AJ14">
        <v>14.9</v>
      </c>
      <c r="AK14">
        <v>19.8</v>
      </c>
      <c r="AL14">
        <v>0.752</v>
      </c>
      <c r="AM14">
        <v>8.4</v>
      </c>
      <c r="AN14">
        <v>32.700000000000003</v>
      </c>
      <c r="AO14">
        <v>41.2</v>
      </c>
      <c r="AP14">
        <v>22.8</v>
      </c>
      <c r="AQ14">
        <v>7.3</v>
      </c>
      <c r="AR14">
        <v>4.5</v>
      </c>
      <c r="AS14">
        <v>14.6</v>
      </c>
      <c r="AT14">
        <v>20.8</v>
      </c>
      <c r="AU14">
        <v>104.7</v>
      </c>
    </row>
    <row r="15" spans="1:47">
      <c r="A15">
        <v>10</v>
      </c>
      <c r="B15" s="1" t="s">
        <v>701</v>
      </c>
      <c r="C15">
        <v>70</v>
      </c>
      <c r="D15">
        <v>40</v>
      </c>
      <c r="E15">
        <v>30</v>
      </c>
      <c r="F15">
        <v>3395</v>
      </c>
      <c r="G15">
        <v>107.5</v>
      </c>
      <c r="H15">
        <v>106.1</v>
      </c>
      <c r="I15">
        <v>1.5</v>
      </c>
      <c r="J15">
        <v>61.9</v>
      </c>
      <c r="K15">
        <v>1.72</v>
      </c>
      <c r="L15">
        <v>18.399999999999999</v>
      </c>
      <c r="M15">
        <v>23.5</v>
      </c>
      <c r="N15">
        <v>76.7</v>
      </c>
      <c r="O15">
        <v>50.3</v>
      </c>
      <c r="P15">
        <v>14.5</v>
      </c>
      <c r="Q15">
        <v>52.6</v>
      </c>
      <c r="R15">
        <v>56.3</v>
      </c>
      <c r="S15">
        <v>98.99</v>
      </c>
      <c r="T15">
        <v>51.3</v>
      </c>
      <c r="V15" t="str">
        <f>SUBSTITUTE(Opponent_Per_Game[[#This Row],[Team]],"*","")</f>
        <v>Dallas Mavericks</v>
      </c>
      <c r="W15">
        <v>11</v>
      </c>
      <c r="X15" s="1" t="s">
        <v>678</v>
      </c>
      <c r="Y15">
        <v>70</v>
      </c>
      <c r="Z15">
        <v>241.4</v>
      </c>
      <c r="AA15">
        <v>39</v>
      </c>
      <c r="AB15">
        <v>83.3</v>
      </c>
      <c r="AC15">
        <v>0.46800000000000003</v>
      </c>
      <c r="AD15">
        <v>10.8</v>
      </c>
      <c r="AE15">
        <v>29.6</v>
      </c>
      <c r="AF15">
        <v>0.36499999999999999</v>
      </c>
      <c r="AG15">
        <v>28.2</v>
      </c>
      <c r="AH15">
        <v>53.7</v>
      </c>
      <c r="AI15">
        <v>0.52500000000000002</v>
      </c>
      <c r="AJ15">
        <v>16.3</v>
      </c>
      <c r="AK15">
        <v>21.4</v>
      </c>
      <c r="AL15">
        <v>0.76</v>
      </c>
      <c r="AM15">
        <v>8.9</v>
      </c>
      <c r="AN15">
        <v>36.5</v>
      </c>
      <c r="AO15">
        <v>45.4</v>
      </c>
      <c r="AP15">
        <v>23</v>
      </c>
      <c r="AQ15">
        <v>7.3</v>
      </c>
      <c r="AR15">
        <v>4.5</v>
      </c>
      <c r="AS15">
        <v>14.1</v>
      </c>
      <c r="AT15">
        <v>20.100000000000001</v>
      </c>
      <c r="AU15">
        <v>105</v>
      </c>
    </row>
    <row r="16" spans="1:47">
      <c r="A16">
        <v>7</v>
      </c>
      <c r="B16" s="1" t="s">
        <v>683</v>
      </c>
      <c r="C16">
        <v>71</v>
      </c>
      <c r="D16">
        <v>41</v>
      </c>
      <c r="E16">
        <v>30</v>
      </c>
      <c r="F16">
        <v>3418</v>
      </c>
      <c r="G16">
        <v>107.3</v>
      </c>
      <c r="H16">
        <v>105.6</v>
      </c>
      <c r="I16">
        <v>1.8</v>
      </c>
      <c r="J16">
        <v>54</v>
      </c>
      <c r="K16">
        <v>1.64</v>
      </c>
      <c r="L16">
        <v>16.899999999999999</v>
      </c>
      <c r="M16">
        <v>22.3</v>
      </c>
      <c r="N16">
        <v>76.2</v>
      </c>
      <c r="O16">
        <v>49.6</v>
      </c>
      <c r="P16">
        <v>13.6</v>
      </c>
      <c r="Q16">
        <v>52.7</v>
      </c>
      <c r="R16">
        <v>55.9</v>
      </c>
      <c r="S16">
        <v>98.42</v>
      </c>
      <c r="T16">
        <v>51.1</v>
      </c>
      <c r="V16" t="str">
        <f>SUBSTITUTE(Opponent_Per_Game[[#This Row],[Team]],"*","")</f>
        <v>Indiana Pacers</v>
      </c>
      <c r="W16">
        <v>12</v>
      </c>
      <c r="X16" s="1" t="s">
        <v>683</v>
      </c>
      <c r="Y16">
        <v>71</v>
      </c>
      <c r="Z16">
        <v>240.7</v>
      </c>
      <c r="AA16">
        <v>39.4</v>
      </c>
      <c r="AB16">
        <v>84.9</v>
      </c>
      <c r="AC16">
        <v>0.46300000000000002</v>
      </c>
      <c r="AD16">
        <v>10.6</v>
      </c>
      <c r="AE16">
        <v>30.6</v>
      </c>
      <c r="AF16">
        <v>0.34699999999999998</v>
      </c>
      <c r="AG16">
        <v>28.7</v>
      </c>
      <c r="AH16">
        <v>54.3</v>
      </c>
      <c r="AI16">
        <v>0.52900000000000003</v>
      </c>
      <c r="AJ16">
        <v>15</v>
      </c>
      <c r="AK16">
        <v>20</v>
      </c>
      <c r="AL16">
        <v>0.752</v>
      </c>
      <c r="AM16">
        <v>10.3</v>
      </c>
      <c r="AN16">
        <v>32.700000000000003</v>
      </c>
      <c r="AO16">
        <v>43</v>
      </c>
      <c r="AP16">
        <v>22.8</v>
      </c>
      <c r="AQ16">
        <v>7.2</v>
      </c>
      <c r="AR16">
        <v>5.0999999999999996</v>
      </c>
      <c r="AS16">
        <v>15.3</v>
      </c>
      <c r="AT16">
        <v>18.600000000000001</v>
      </c>
      <c r="AU16">
        <v>104.3</v>
      </c>
    </row>
    <row r="17" spans="1:47">
      <c r="A17">
        <v>14</v>
      </c>
      <c r="B17" s="1" t="s">
        <v>694</v>
      </c>
      <c r="C17">
        <v>69</v>
      </c>
      <c r="D17">
        <v>39</v>
      </c>
      <c r="E17">
        <v>30</v>
      </c>
      <c r="F17">
        <v>3332</v>
      </c>
      <c r="G17">
        <v>106.5</v>
      </c>
      <c r="H17">
        <v>103.2</v>
      </c>
      <c r="I17">
        <v>3.3</v>
      </c>
      <c r="J17">
        <v>65.2</v>
      </c>
      <c r="K17">
        <v>1.54</v>
      </c>
      <c r="L17">
        <v>18.8</v>
      </c>
      <c r="M17">
        <v>25.8</v>
      </c>
      <c r="N17">
        <v>78.099999999999994</v>
      </c>
      <c r="O17">
        <v>52.7</v>
      </c>
      <c r="P17">
        <v>16.7</v>
      </c>
      <c r="Q17">
        <v>53</v>
      </c>
      <c r="R17">
        <v>56.5</v>
      </c>
      <c r="S17">
        <v>101.32</v>
      </c>
      <c r="T17">
        <v>52.8</v>
      </c>
      <c r="V17" t="str">
        <f>SUBSTITUTE(Opponent_Per_Game[[#This Row],[Team]],"*","")</f>
        <v>Milwaukee Bucks</v>
      </c>
      <c r="W17">
        <v>13</v>
      </c>
      <c r="X17" s="1" t="s">
        <v>688</v>
      </c>
      <c r="Y17">
        <v>70</v>
      </c>
      <c r="Z17">
        <v>241.4</v>
      </c>
      <c r="AA17">
        <v>38.700000000000003</v>
      </c>
      <c r="AB17">
        <v>83.1</v>
      </c>
      <c r="AC17">
        <v>0.46600000000000003</v>
      </c>
      <c r="AD17">
        <v>10</v>
      </c>
      <c r="AE17">
        <v>27.1</v>
      </c>
      <c r="AF17">
        <v>0.36799999999999999</v>
      </c>
      <c r="AG17">
        <v>28.8</v>
      </c>
      <c r="AH17">
        <v>56</v>
      </c>
      <c r="AI17">
        <v>0.51400000000000001</v>
      </c>
      <c r="AJ17">
        <v>18.5</v>
      </c>
      <c r="AK17">
        <v>23.7</v>
      </c>
      <c r="AL17">
        <v>0.78200000000000003</v>
      </c>
      <c r="AM17">
        <v>9.6</v>
      </c>
      <c r="AN17">
        <v>32.5</v>
      </c>
      <c r="AO17">
        <v>42.1</v>
      </c>
      <c r="AP17">
        <v>23.3</v>
      </c>
      <c r="AQ17">
        <v>7.2</v>
      </c>
      <c r="AR17">
        <v>4.3</v>
      </c>
      <c r="AS17">
        <v>15.4</v>
      </c>
      <c r="AT17">
        <v>20.100000000000001</v>
      </c>
      <c r="AU17">
        <v>106</v>
      </c>
    </row>
    <row r="18" spans="1:47">
      <c r="A18">
        <v>5</v>
      </c>
      <c r="B18" s="1" t="s">
        <v>696</v>
      </c>
      <c r="C18">
        <v>70</v>
      </c>
      <c r="D18">
        <v>44</v>
      </c>
      <c r="E18">
        <v>26</v>
      </c>
      <c r="F18">
        <v>3375</v>
      </c>
      <c r="G18">
        <v>106.2</v>
      </c>
      <c r="H18">
        <v>104</v>
      </c>
      <c r="I18">
        <v>2.2000000000000002</v>
      </c>
      <c r="J18">
        <v>49.5</v>
      </c>
      <c r="K18">
        <v>1.41</v>
      </c>
      <c r="L18">
        <v>15</v>
      </c>
      <c r="M18">
        <v>23</v>
      </c>
      <c r="N18">
        <v>79.2</v>
      </c>
      <c r="O18">
        <v>51.5</v>
      </c>
      <c r="P18">
        <v>13.8</v>
      </c>
      <c r="Q18">
        <v>51.3</v>
      </c>
      <c r="R18">
        <v>55.2</v>
      </c>
      <c r="S18">
        <v>98.97</v>
      </c>
      <c r="T18">
        <v>51.1</v>
      </c>
      <c r="V18" t="str">
        <f>SUBSTITUTE(Opponent_Per_Game[[#This Row],[Team]],"*","")</f>
        <v>Washington Wizards</v>
      </c>
      <c r="W18">
        <v>14</v>
      </c>
      <c r="X18" s="1" t="s">
        <v>701</v>
      </c>
      <c r="Y18">
        <v>70</v>
      </c>
      <c r="Z18">
        <v>242.5</v>
      </c>
      <c r="AA18">
        <v>39</v>
      </c>
      <c r="AB18">
        <v>84.7</v>
      </c>
      <c r="AC18">
        <v>0.46</v>
      </c>
      <c r="AD18">
        <v>10</v>
      </c>
      <c r="AE18">
        <v>29.1</v>
      </c>
      <c r="AF18">
        <v>0.34300000000000003</v>
      </c>
      <c r="AG18">
        <v>29</v>
      </c>
      <c r="AH18">
        <v>55.6</v>
      </c>
      <c r="AI18">
        <v>0.52200000000000002</v>
      </c>
      <c r="AJ18">
        <v>18.100000000000001</v>
      </c>
      <c r="AK18">
        <v>23.6</v>
      </c>
      <c r="AL18">
        <v>0.76600000000000001</v>
      </c>
      <c r="AM18">
        <v>10</v>
      </c>
      <c r="AN18">
        <v>32.6</v>
      </c>
      <c r="AO18">
        <v>42.6</v>
      </c>
      <c r="AP18">
        <v>21.9</v>
      </c>
      <c r="AQ18">
        <v>7.7</v>
      </c>
      <c r="AR18">
        <v>4.7</v>
      </c>
      <c r="AS18">
        <v>14.9</v>
      </c>
      <c r="AT18">
        <v>20.399999999999999</v>
      </c>
      <c r="AU18">
        <v>106.1</v>
      </c>
    </row>
    <row r="19" spans="1:47">
      <c r="A19">
        <v>21</v>
      </c>
      <c r="B19" s="1" t="s">
        <v>677</v>
      </c>
      <c r="C19">
        <v>71</v>
      </c>
      <c r="D19">
        <v>30</v>
      </c>
      <c r="E19">
        <v>41</v>
      </c>
      <c r="F19">
        <v>3423</v>
      </c>
      <c r="G19">
        <v>105.9</v>
      </c>
      <c r="H19">
        <v>107.1</v>
      </c>
      <c r="I19">
        <v>-1.2</v>
      </c>
      <c r="J19">
        <v>55.1</v>
      </c>
      <c r="K19">
        <v>1.7</v>
      </c>
      <c r="L19">
        <v>16.100000000000001</v>
      </c>
      <c r="M19">
        <v>21.9</v>
      </c>
      <c r="N19">
        <v>80.900000000000006</v>
      </c>
      <c r="O19">
        <v>50.6</v>
      </c>
      <c r="P19">
        <v>12.4</v>
      </c>
      <c r="Q19">
        <v>50.3</v>
      </c>
      <c r="R19">
        <v>54.3</v>
      </c>
      <c r="S19">
        <v>100.45</v>
      </c>
      <c r="T19">
        <v>49.2</v>
      </c>
      <c r="V19" t="str">
        <f>SUBSTITUTE(Opponent_Per_Game[[#This Row],[Team]],"*","")</f>
        <v>Los Angeles Clippers</v>
      </c>
      <c r="W19">
        <v>15</v>
      </c>
      <c r="X19" s="1" t="s">
        <v>684</v>
      </c>
      <c r="Y19">
        <v>69</v>
      </c>
      <c r="Z19">
        <v>240.4</v>
      </c>
      <c r="AA19">
        <v>39.700000000000003</v>
      </c>
      <c r="AB19">
        <v>87.6</v>
      </c>
      <c r="AC19">
        <v>0.45300000000000001</v>
      </c>
      <c r="AD19">
        <v>10.8</v>
      </c>
      <c r="AE19">
        <v>30.4</v>
      </c>
      <c r="AF19">
        <v>0.35499999999999998</v>
      </c>
      <c r="AG19">
        <v>28.9</v>
      </c>
      <c r="AH19">
        <v>57.2</v>
      </c>
      <c r="AI19">
        <v>0.50600000000000001</v>
      </c>
      <c r="AJ19">
        <v>18.2</v>
      </c>
      <c r="AK19">
        <v>23.2</v>
      </c>
      <c r="AL19">
        <v>0.78300000000000003</v>
      </c>
      <c r="AM19">
        <v>10.7</v>
      </c>
      <c r="AN19">
        <v>33.200000000000003</v>
      </c>
      <c r="AO19">
        <v>43.9</v>
      </c>
      <c r="AP19">
        <v>24.2</v>
      </c>
      <c r="AQ19">
        <v>8.5</v>
      </c>
      <c r="AR19">
        <v>5.4</v>
      </c>
      <c r="AS19">
        <v>14.4</v>
      </c>
      <c r="AT19">
        <v>22.2</v>
      </c>
      <c r="AU19">
        <v>108.3</v>
      </c>
    </row>
    <row r="20" spans="1:47">
      <c r="A20">
        <v>10</v>
      </c>
      <c r="B20" s="1" t="s">
        <v>700</v>
      </c>
      <c r="C20">
        <v>70</v>
      </c>
      <c r="D20">
        <v>40</v>
      </c>
      <c r="E20">
        <v>30</v>
      </c>
      <c r="F20">
        <v>3370</v>
      </c>
      <c r="G20">
        <v>105.5</v>
      </c>
      <c r="H20">
        <v>101.8</v>
      </c>
      <c r="I20">
        <v>3.7</v>
      </c>
      <c r="J20">
        <v>57.8</v>
      </c>
      <c r="K20">
        <v>1.49</v>
      </c>
      <c r="L20">
        <v>17</v>
      </c>
      <c r="M20">
        <v>21.1</v>
      </c>
      <c r="N20">
        <v>80.099999999999994</v>
      </c>
      <c r="O20">
        <v>50.8</v>
      </c>
      <c r="P20">
        <v>15</v>
      </c>
      <c r="Q20">
        <v>52.3</v>
      </c>
      <c r="R20">
        <v>56.1</v>
      </c>
      <c r="S20">
        <v>97.61</v>
      </c>
      <c r="T20">
        <v>52.6</v>
      </c>
      <c r="V20" t="str">
        <f>SUBSTITUTE(Opponent_Per_Game[[#This Row],[Team]],"*","")</f>
        <v>Oklahoma City Thunder</v>
      </c>
      <c r="W20">
        <v>16</v>
      </c>
      <c r="X20" s="1" t="s">
        <v>692</v>
      </c>
      <c r="Y20">
        <v>72</v>
      </c>
      <c r="Z20">
        <v>241.7</v>
      </c>
      <c r="AA20">
        <v>38.4</v>
      </c>
      <c r="AB20">
        <v>83.7</v>
      </c>
      <c r="AC20">
        <v>0.45800000000000002</v>
      </c>
      <c r="AD20">
        <v>11.3</v>
      </c>
      <c r="AE20">
        <v>30.5</v>
      </c>
      <c r="AF20">
        <v>0.36899999999999999</v>
      </c>
      <c r="AG20">
        <v>27.1</v>
      </c>
      <c r="AH20">
        <v>53.2</v>
      </c>
      <c r="AI20">
        <v>0.50900000000000001</v>
      </c>
      <c r="AJ20">
        <v>16.100000000000001</v>
      </c>
      <c r="AK20">
        <v>21.1</v>
      </c>
      <c r="AL20">
        <v>0.76400000000000001</v>
      </c>
      <c r="AM20">
        <v>9.5</v>
      </c>
      <c r="AN20">
        <v>32.200000000000003</v>
      </c>
      <c r="AO20">
        <v>41.7</v>
      </c>
      <c r="AP20">
        <v>23.3</v>
      </c>
      <c r="AQ20">
        <v>7.7</v>
      </c>
      <c r="AR20">
        <v>4.5999999999999996</v>
      </c>
      <c r="AS20">
        <v>16.100000000000001</v>
      </c>
      <c r="AT20">
        <v>21.2</v>
      </c>
      <c r="AU20">
        <v>104.1</v>
      </c>
    </row>
    <row r="21" spans="1:47">
      <c r="A21">
        <v>4</v>
      </c>
      <c r="B21" s="1" t="s">
        <v>675</v>
      </c>
      <c r="C21">
        <v>70</v>
      </c>
      <c r="D21">
        <v>47</v>
      </c>
      <c r="E21">
        <v>23</v>
      </c>
      <c r="F21">
        <v>3385</v>
      </c>
      <c r="G21">
        <v>105.3</v>
      </c>
      <c r="H21">
        <v>101.3</v>
      </c>
      <c r="I21">
        <v>4</v>
      </c>
      <c r="J21">
        <v>58.4</v>
      </c>
      <c r="K21">
        <v>1.62</v>
      </c>
      <c r="L21">
        <v>17.2</v>
      </c>
      <c r="M21">
        <v>21.3</v>
      </c>
      <c r="N21">
        <v>78.400000000000006</v>
      </c>
      <c r="O21">
        <v>50.3</v>
      </c>
      <c r="P21">
        <v>14</v>
      </c>
      <c r="Q21">
        <v>51.8</v>
      </c>
      <c r="R21">
        <v>55.2</v>
      </c>
      <c r="S21">
        <v>98.36</v>
      </c>
      <c r="T21">
        <v>51.9</v>
      </c>
      <c r="V21" t="str">
        <f>SUBSTITUTE(Opponent_Per_Game[[#This Row],[Team]],"*","")</f>
        <v>Golden State Warriors</v>
      </c>
      <c r="W21">
        <v>17</v>
      </c>
      <c r="X21" s="1" t="s">
        <v>1266</v>
      </c>
      <c r="Y21">
        <v>71</v>
      </c>
      <c r="Z21">
        <v>240.7</v>
      </c>
      <c r="AA21">
        <v>39.9</v>
      </c>
      <c r="AB21">
        <v>90.3</v>
      </c>
      <c r="AC21">
        <v>0.442</v>
      </c>
      <c r="AD21">
        <v>10.4</v>
      </c>
      <c r="AE21">
        <v>29.1</v>
      </c>
      <c r="AF21">
        <v>0.35599999999999998</v>
      </c>
      <c r="AG21">
        <v>29.5</v>
      </c>
      <c r="AH21">
        <v>61.1</v>
      </c>
      <c r="AI21">
        <v>0.48299999999999998</v>
      </c>
      <c r="AJ21">
        <v>17.2</v>
      </c>
      <c r="AK21">
        <v>22.7</v>
      </c>
      <c r="AL21">
        <v>0.75900000000000001</v>
      </c>
      <c r="AM21">
        <v>11</v>
      </c>
      <c r="AN21">
        <v>31.1</v>
      </c>
      <c r="AO21">
        <v>42.2</v>
      </c>
      <c r="AP21">
        <v>23.2</v>
      </c>
      <c r="AQ21">
        <v>8.6999999999999993</v>
      </c>
      <c r="AR21">
        <v>3.6</v>
      </c>
      <c r="AS21">
        <v>14.4</v>
      </c>
      <c r="AT21">
        <v>18.600000000000001</v>
      </c>
      <c r="AU21">
        <v>107.3</v>
      </c>
    </row>
    <row r="22" spans="1:47">
      <c r="A22">
        <v>7</v>
      </c>
      <c r="B22" s="1" t="s">
        <v>698</v>
      </c>
      <c r="C22">
        <v>71</v>
      </c>
      <c r="D22">
        <v>41</v>
      </c>
      <c r="E22">
        <v>30</v>
      </c>
      <c r="F22">
        <v>3408</v>
      </c>
      <c r="G22">
        <v>105.1</v>
      </c>
      <c r="H22">
        <v>101.7</v>
      </c>
      <c r="I22">
        <v>3.4</v>
      </c>
      <c r="J22">
        <v>59</v>
      </c>
      <c r="K22">
        <v>1.72</v>
      </c>
      <c r="L22">
        <v>17.600000000000001</v>
      </c>
      <c r="M22">
        <v>23.4</v>
      </c>
      <c r="N22">
        <v>78.7</v>
      </c>
      <c r="O22">
        <v>51</v>
      </c>
      <c r="P22">
        <v>13.7</v>
      </c>
      <c r="Q22">
        <v>50.8</v>
      </c>
      <c r="R22">
        <v>54.3</v>
      </c>
      <c r="S22">
        <v>97.24</v>
      </c>
      <c r="T22">
        <v>52.9</v>
      </c>
      <c r="V22" t="str">
        <f>SUBSTITUTE(Opponent_Per_Game[[#This Row],[Team]],"*","")</f>
        <v>New York Knicks</v>
      </c>
      <c r="W22">
        <v>18</v>
      </c>
      <c r="X22" s="1" t="s">
        <v>691</v>
      </c>
      <c r="Y22">
        <v>71</v>
      </c>
      <c r="Z22">
        <v>241.8</v>
      </c>
      <c r="AA22">
        <v>39.200000000000003</v>
      </c>
      <c r="AB22">
        <v>86.1</v>
      </c>
      <c r="AC22">
        <v>0.45500000000000002</v>
      </c>
      <c r="AD22">
        <v>11.3</v>
      </c>
      <c r="AE22">
        <v>30.6</v>
      </c>
      <c r="AF22">
        <v>0.36899999999999999</v>
      </c>
      <c r="AG22">
        <v>27.9</v>
      </c>
      <c r="AH22">
        <v>55.4</v>
      </c>
      <c r="AI22">
        <v>0.503</v>
      </c>
      <c r="AJ22">
        <v>17.8</v>
      </c>
      <c r="AK22">
        <v>23.1</v>
      </c>
      <c r="AL22">
        <v>0.77100000000000002</v>
      </c>
      <c r="AM22">
        <v>10.199999999999999</v>
      </c>
      <c r="AN22">
        <v>32.6</v>
      </c>
      <c r="AO22">
        <v>42.8</v>
      </c>
      <c r="AP22">
        <v>23.7</v>
      </c>
      <c r="AQ22">
        <v>8.1999999999999993</v>
      </c>
      <c r="AR22">
        <v>4.7</v>
      </c>
      <c r="AS22">
        <v>13.6</v>
      </c>
      <c r="AT22">
        <v>18.899999999999999</v>
      </c>
      <c r="AU22">
        <v>107.5</v>
      </c>
    </row>
    <row r="23" spans="1:47">
      <c r="A23">
        <v>15</v>
      </c>
      <c r="B23" s="1" t="s">
        <v>687</v>
      </c>
      <c r="C23">
        <v>71</v>
      </c>
      <c r="D23">
        <v>38</v>
      </c>
      <c r="E23">
        <v>33</v>
      </c>
      <c r="F23">
        <v>3443</v>
      </c>
      <c r="G23">
        <v>104.6</v>
      </c>
      <c r="H23">
        <v>104.6</v>
      </c>
      <c r="I23">
        <v>0</v>
      </c>
      <c r="J23">
        <v>58.4</v>
      </c>
      <c r="K23">
        <v>1.56</v>
      </c>
      <c r="L23">
        <v>17.3</v>
      </c>
      <c r="M23">
        <v>21.7</v>
      </c>
      <c r="N23">
        <v>79.3</v>
      </c>
      <c r="O23">
        <v>50.5</v>
      </c>
      <c r="P23">
        <v>14.7</v>
      </c>
      <c r="Q23">
        <v>52.1</v>
      </c>
      <c r="R23">
        <v>55.2</v>
      </c>
      <c r="S23">
        <v>97.55</v>
      </c>
      <c r="T23">
        <v>50.3</v>
      </c>
      <c r="V23" t="str">
        <f>SUBSTITUTE(Opponent_Per_Game[[#This Row],[Team]],"*","")</f>
        <v>Minnesota Timberwolves</v>
      </c>
      <c r="W23">
        <v>19</v>
      </c>
      <c r="X23" s="1" t="s">
        <v>689</v>
      </c>
      <c r="Y23">
        <v>71</v>
      </c>
      <c r="Z23">
        <v>241.4</v>
      </c>
      <c r="AA23">
        <v>40.4</v>
      </c>
      <c r="AB23">
        <v>84.5</v>
      </c>
      <c r="AC23">
        <v>0.47799999999999998</v>
      </c>
      <c r="AD23">
        <v>10.8</v>
      </c>
      <c r="AE23">
        <v>29.8</v>
      </c>
      <c r="AF23">
        <v>0.36399999999999999</v>
      </c>
      <c r="AG23">
        <v>29.6</v>
      </c>
      <c r="AH23">
        <v>54.7</v>
      </c>
      <c r="AI23">
        <v>0.54</v>
      </c>
      <c r="AJ23">
        <v>15.9</v>
      </c>
      <c r="AK23">
        <v>20.399999999999999</v>
      </c>
      <c r="AL23">
        <v>0.78200000000000003</v>
      </c>
      <c r="AM23">
        <v>9.9</v>
      </c>
      <c r="AN23">
        <v>31.6</v>
      </c>
      <c r="AO23">
        <v>41.5</v>
      </c>
      <c r="AP23">
        <v>24</v>
      </c>
      <c r="AQ23">
        <v>6.4</v>
      </c>
      <c r="AR23">
        <v>4.7</v>
      </c>
      <c r="AS23">
        <v>15.1</v>
      </c>
      <c r="AT23">
        <v>20.7</v>
      </c>
      <c r="AU23">
        <v>107.6</v>
      </c>
    </row>
    <row r="24" spans="1:47">
      <c r="A24">
        <v>26</v>
      </c>
      <c r="B24" s="1" t="s">
        <v>678</v>
      </c>
      <c r="C24">
        <v>70</v>
      </c>
      <c r="D24">
        <v>22</v>
      </c>
      <c r="E24">
        <v>48</v>
      </c>
      <c r="F24">
        <v>3380</v>
      </c>
      <c r="G24">
        <v>104.6</v>
      </c>
      <c r="H24">
        <v>107.3</v>
      </c>
      <c r="I24">
        <v>-2.8</v>
      </c>
      <c r="J24">
        <v>59.5</v>
      </c>
      <c r="K24">
        <v>1.83</v>
      </c>
      <c r="L24">
        <v>17.600000000000001</v>
      </c>
      <c r="M24">
        <v>18.2</v>
      </c>
      <c r="N24">
        <v>78.7</v>
      </c>
      <c r="O24">
        <v>47.5</v>
      </c>
      <c r="P24">
        <v>12.6</v>
      </c>
      <c r="Q24">
        <v>51.5</v>
      </c>
      <c r="R24">
        <v>54.7</v>
      </c>
      <c r="S24">
        <v>97.43</v>
      </c>
      <c r="T24">
        <v>48.1</v>
      </c>
      <c r="V24" t="str">
        <f>SUBSTITUTE(Opponent_Per_Game[[#This Row],[Team]],"*","")</f>
        <v>Atlanta Hawks</v>
      </c>
      <c r="W24">
        <v>20</v>
      </c>
      <c r="X24" s="1" t="s">
        <v>674</v>
      </c>
      <c r="Y24">
        <v>70</v>
      </c>
      <c r="Z24">
        <v>240.4</v>
      </c>
      <c r="AA24">
        <v>40.700000000000003</v>
      </c>
      <c r="AB24">
        <v>86</v>
      </c>
      <c r="AC24">
        <v>0.47299999999999998</v>
      </c>
      <c r="AD24">
        <v>11.6</v>
      </c>
      <c r="AE24">
        <v>30.3</v>
      </c>
      <c r="AF24">
        <v>0.38200000000000001</v>
      </c>
      <c r="AG24">
        <v>29.1</v>
      </c>
      <c r="AH24">
        <v>55.7</v>
      </c>
      <c r="AI24">
        <v>0.52300000000000002</v>
      </c>
      <c r="AJ24">
        <v>16.3</v>
      </c>
      <c r="AK24">
        <v>21.2</v>
      </c>
      <c r="AL24">
        <v>0.76800000000000002</v>
      </c>
      <c r="AM24">
        <v>10.3</v>
      </c>
      <c r="AN24">
        <v>33.4</v>
      </c>
      <c r="AO24">
        <v>43.7</v>
      </c>
      <c r="AP24">
        <v>26.1</v>
      </c>
      <c r="AQ24">
        <v>8.6999999999999993</v>
      </c>
      <c r="AR24">
        <v>5.4</v>
      </c>
      <c r="AS24">
        <v>15.6</v>
      </c>
      <c r="AT24">
        <v>20.8</v>
      </c>
      <c r="AU24">
        <v>109.2</v>
      </c>
    </row>
    <row r="25" spans="1:47">
      <c r="A25">
        <v>19</v>
      </c>
      <c r="B25" s="1" t="s">
        <v>685</v>
      </c>
      <c r="C25">
        <v>70</v>
      </c>
      <c r="D25">
        <v>31</v>
      </c>
      <c r="E25">
        <v>39</v>
      </c>
      <c r="F25">
        <v>3395</v>
      </c>
      <c r="G25">
        <v>104.1</v>
      </c>
      <c r="H25">
        <v>105.6</v>
      </c>
      <c r="I25">
        <v>-1.5</v>
      </c>
      <c r="J25">
        <v>58</v>
      </c>
      <c r="K25">
        <v>1.5</v>
      </c>
      <c r="L25">
        <v>17.2</v>
      </c>
      <c r="M25">
        <v>24</v>
      </c>
      <c r="N25">
        <v>77.599999999999994</v>
      </c>
      <c r="O25">
        <v>50.8</v>
      </c>
      <c r="P25">
        <v>15.2</v>
      </c>
      <c r="Q25">
        <v>51.7</v>
      </c>
      <c r="R25">
        <v>54.6</v>
      </c>
      <c r="S25">
        <v>103.05</v>
      </c>
      <c r="T25">
        <v>49</v>
      </c>
      <c r="V25" t="str">
        <f>SUBSTITUTE(Opponent_Per_Game[[#This Row],[Team]],"*","")</f>
        <v>Orlando Magic</v>
      </c>
      <c r="W25">
        <v>21</v>
      </c>
      <c r="X25" s="1" t="s">
        <v>693</v>
      </c>
      <c r="Y25">
        <v>70</v>
      </c>
      <c r="Z25">
        <v>240.7</v>
      </c>
      <c r="AA25">
        <v>41.5</v>
      </c>
      <c r="AB25">
        <v>87.7</v>
      </c>
      <c r="AC25">
        <v>0.47299999999999998</v>
      </c>
      <c r="AD25">
        <v>9.6999999999999993</v>
      </c>
      <c r="AE25">
        <v>26.6</v>
      </c>
      <c r="AF25">
        <v>0.36499999999999999</v>
      </c>
      <c r="AG25">
        <v>31.8</v>
      </c>
      <c r="AH25">
        <v>61.2</v>
      </c>
      <c r="AI25">
        <v>0.52</v>
      </c>
      <c r="AJ25">
        <v>16.7</v>
      </c>
      <c r="AK25">
        <v>21.5</v>
      </c>
      <c r="AL25">
        <v>0.77700000000000002</v>
      </c>
      <c r="AM25">
        <v>10.7</v>
      </c>
      <c r="AN25">
        <v>34.700000000000003</v>
      </c>
      <c r="AO25">
        <v>45.4</v>
      </c>
      <c r="AP25">
        <v>24.4</v>
      </c>
      <c r="AQ25">
        <v>7.9</v>
      </c>
      <c r="AR25">
        <v>5</v>
      </c>
      <c r="AS25">
        <v>14.2</v>
      </c>
      <c r="AT25">
        <v>19.2</v>
      </c>
      <c r="AU25">
        <v>109.3</v>
      </c>
    </row>
    <row r="26" spans="1:47">
      <c r="A26">
        <v>22</v>
      </c>
      <c r="B26" s="1" t="s">
        <v>691</v>
      </c>
      <c r="C26">
        <v>71</v>
      </c>
      <c r="D26">
        <v>26</v>
      </c>
      <c r="E26">
        <v>45</v>
      </c>
      <c r="F26">
        <v>3433</v>
      </c>
      <c r="G26">
        <v>104.1</v>
      </c>
      <c r="H26">
        <v>107.9</v>
      </c>
      <c r="I26">
        <v>-3.8</v>
      </c>
      <c r="J26">
        <v>56.6</v>
      </c>
      <c r="K26">
        <v>1.54</v>
      </c>
      <c r="L26">
        <v>17.100000000000001</v>
      </c>
      <c r="M26">
        <v>24.5</v>
      </c>
      <c r="N26">
        <v>76.8</v>
      </c>
      <c r="O26">
        <v>50.8</v>
      </c>
      <c r="P26">
        <v>14.9</v>
      </c>
      <c r="Q26">
        <v>51</v>
      </c>
      <c r="R26">
        <v>54.4</v>
      </c>
      <c r="S26">
        <v>99.19</v>
      </c>
      <c r="T26">
        <v>48.5</v>
      </c>
      <c r="V26" t="str">
        <f>SUBSTITUTE(Opponent_Per_Game[[#This Row],[Team]],"*","")</f>
        <v>Charlotte Hornets</v>
      </c>
      <c r="W26">
        <v>22</v>
      </c>
      <c r="X26" s="1" t="s">
        <v>677</v>
      </c>
      <c r="Y26">
        <v>71</v>
      </c>
      <c r="Z26">
        <v>241.1</v>
      </c>
      <c r="AA26">
        <v>40.799999999999997</v>
      </c>
      <c r="AB26">
        <v>86.9</v>
      </c>
      <c r="AC26">
        <v>0.47</v>
      </c>
      <c r="AD26">
        <v>11.3</v>
      </c>
      <c r="AE26">
        <v>30</v>
      </c>
      <c r="AF26">
        <v>0.378</v>
      </c>
      <c r="AG26">
        <v>29.5</v>
      </c>
      <c r="AH26">
        <v>57</v>
      </c>
      <c r="AI26">
        <v>0.51800000000000002</v>
      </c>
      <c r="AJ26">
        <v>14.9</v>
      </c>
      <c r="AK26">
        <v>18.600000000000001</v>
      </c>
      <c r="AL26">
        <v>0.8</v>
      </c>
      <c r="AM26">
        <v>8.1999999999999993</v>
      </c>
      <c r="AN26">
        <v>35.5</v>
      </c>
      <c r="AO26">
        <v>43.8</v>
      </c>
      <c r="AP26">
        <v>24.7</v>
      </c>
      <c r="AQ26">
        <v>6.4</v>
      </c>
      <c r="AR26">
        <v>5</v>
      </c>
      <c r="AS26">
        <v>13.9</v>
      </c>
      <c r="AT26">
        <v>22.4</v>
      </c>
      <c r="AU26">
        <v>107.9</v>
      </c>
    </row>
    <row r="27" spans="1:47">
      <c r="A27">
        <v>24</v>
      </c>
      <c r="B27" s="1" t="s">
        <v>709</v>
      </c>
      <c r="C27">
        <v>71</v>
      </c>
      <c r="D27">
        <v>23</v>
      </c>
      <c r="E27">
        <v>48</v>
      </c>
      <c r="F27">
        <v>3438</v>
      </c>
      <c r="G27">
        <v>104.1</v>
      </c>
      <c r="H27">
        <v>108.7</v>
      </c>
      <c r="I27">
        <v>-4.7</v>
      </c>
      <c r="J27">
        <v>61</v>
      </c>
      <c r="K27">
        <v>1.52</v>
      </c>
      <c r="L27">
        <v>17.100000000000001</v>
      </c>
      <c r="M27">
        <v>21.9</v>
      </c>
      <c r="N27">
        <v>77.099999999999994</v>
      </c>
      <c r="O27">
        <v>49.2</v>
      </c>
      <c r="P27">
        <v>15</v>
      </c>
      <c r="Q27">
        <v>50.9</v>
      </c>
      <c r="R27">
        <v>54.8</v>
      </c>
      <c r="S27">
        <v>100.93</v>
      </c>
      <c r="T27">
        <v>47.1</v>
      </c>
      <c r="V27" t="str">
        <f>SUBSTITUTE(Opponent_Per_Game[[#This Row],[Team]],"*","")</f>
        <v>Chicago Bulls</v>
      </c>
      <c r="W27">
        <v>23</v>
      </c>
      <c r="X27" s="1" t="s">
        <v>676</v>
      </c>
      <c r="Y27">
        <v>70</v>
      </c>
      <c r="Z27">
        <v>242.5</v>
      </c>
      <c r="AA27">
        <v>40.799999999999997</v>
      </c>
      <c r="AB27">
        <v>86.9</v>
      </c>
      <c r="AC27">
        <v>0.47</v>
      </c>
      <c r="AD27">
        <v>11.6</v>
      </c>
      <c r="AE27">
        <v>31.7</v>
      </c>
      <c r="AF27">
        <v>0.36699999999999999</v>
      </c>
      <c r="AG27">
        <v>29.2</v>
      </c>
      <c r="AH27">
        <v>55.2</v>
      </c>
      <c r="AI27">
        <v>0.52900000000000003</v>
      </c>
      <c r="AJ27">
        <v>16.2</v>
      </c>
      <c r="AK27">
        <v>20.8</v>
      </c>
      <c r="AL27">
        <v>0.78100000000000003</v>
      </c>
      <c r="AM27">
        <v>8.5</v>
      </c>
      <c r="AN27">
        <v>37.299999999999997</v>
      </c>
      <c r="AO27">
        <v>45.8</v>
      </c>
      <c r="AP27">
        <v>25.5</v>
      </c>
      <c r="AQ27">
        <v>6.9</v>
      </c>
      <c r="AR27">
        <v>5</v>
      </c>
      <c r="AS27">
        <v>13.3</v>
      </c>
      <c r="AT27">
        <v>17.600000000000001</v>
      </c>
      <c r="AU27">
        <v>109.5</v>
      </c>
    </row>
    <row r="28" spans="1:47">
      <c r="A28">
        <v>19</v>
      </c>
      <c r="B28" s="1" t="s">
        <v>680</v>
      </c>
      <c r="C28">
        <v>70</v>
      </c>
      <c r="D28">
        <v>31</v>
      </c>
      <c r="E28">
        <v>39</v>
      </c>
      <c r="F28">
        <v>3375</v>
      </c>
      <c r="G28">
        <v>104</v>
      </c>
      <c r="H28">
        <v>105.4</v>
      </c>
      <c r="I28">
        <v>-1.4</v>
      </c>
      <c r="J28">
        <v>57.9</v>
      </c>
      <c r="K28">
        <v>1.64</v>
      </c>
      <c r="L28">
        <v>17.100000000000001</v>
      </c>
      <c r="M28">
        <v>22.7</v>
      </c>
      <c r="N28">
        <v>78.3</v>
      </c>
      <c r="O28">
        <v>49.7</v>
      </c>
      <c r="P28">
        <v>13.9</v>
      </c>
      <c r="Q28">
        <v>50.8</v>
      </c>
      <c r="R28">
        <v>53.9</v>
      </c>
      <c r="S28">
        <v>98.33</v>
      </c>
      <c r="T28">
        <v>48</v>
      </c>
      <c r="V28" t="str">
        <f>SUBSTITUTE(Opponent_Per_Game[[#This Row],[Team]],"*","")</f>
        <v>Los Angeles Lakers</v>
      </c>
      <c r="W28">
        <v>24</v>
      </c>
      <c r="X28" s="1" t="s">
        <v>685</v>
      </c>
      <c r="Y28">
        <v>70</v>
      </c>
      <c r="Z28">
        <v>242.5</v>
      </c>
      <c r="AA28">
        <v>41.1</v>
      </c>
      <c r="AB28">
        <v>89.8</v>
      </c>
      <c r="AC28">
        <v>0.45700000000000002</v>
      </c>
      <c r="AD28">
        <v>10.5</v>
      </c>
      <c r="AE28">
        <v>30</v>
      </c>
      <c r="AF28">
        <v>0.34899999999999998</v>
      </c>
      <c r="AG28">
        <v>30.6</v>
      </c>
      <c r="AH28">
        <v>59.7</v>
      </c>
      <c r="AI28">
        <v>0.51200000000000001</v>
      </c>
      <c r="AJ28">
        <v>17.3</v>
      </c>
      <c r="AK28">
        <v>22.5</v>
      </c>
      <c r="AL28">
        <v>0.77</v>
      </c>
      <c r="AM28">
        <v>10.199999999999999</v>
      </c>
      <c r="AN28">
        <v>34.6</v>
      </c>
      <c r="AO28">
        <v>44.8</v>
      </c>
      <c r="AP28">
        <v>23.5</v>
      </c>
      <c r="AQ28">
        <v>8.1</v>
      </c>
      <c r="AR28">
        <v>5.6</v>
      </c>
      <c r="AS28">
        <v>14.7</v>
      </c>
      <c r="AT28">
        <v>20.3</v>
      </c>
      <c r="AU28">
        <v>109.9</v>
      </c>
    </row>
    <row r="29" spans="1:47">
      <c r="A29">
        <v>27</v>
      </c>
      <c r="B29" s="1" t="s">
        <v>693</v>
      </c>
      <c r="C29">
        <v>70</v>
      </c>
      <c r="D29">
        <v>21</v>
      </c>
      <c r="E29">
        <v>49</v>
      </c>
      <c r="F29">
        <v>3370</v>
      </c>
      <c r="G29">
        <v>103.9</v>
      </c>
      <c r="H29">
        <v>108.6</v>
      </c>
      <c r="I29">
        <v>-4.7</v>
      </c>
      <c r="J29">
        <v>59.6</v>
      </c>
      <c r="K29">
        <v>1.57</v>
      </c>
      <c r="L29">
        <v>17.600000000000001</v>
      </c>
      <c r="M29">
        <v>20</v>
      </c>
      <c r="N29">
        <v>75.099999999999994</v>
      </c>
      <c r="O29">
        <v>47.5</v>
      </c>
      <c r="P29">
        <v>14.7</v>
      </c>
      <c r="Q29">
        <v>52</v>
      </c>
      <c r="R29">
        <v>55.3</v>
      </c>
      <c r="S29">
        <v>100.41</v>
      </c>
      <c r="T29">
        <v>47.1</v>
      </c>
      <c r="V29" t="str">
        <f>SUBSTITUTE(Opponent_Per_Game[[#This Row],[Team]],"*","")</f>
        <v>Denver Nuggets</v>
      </c>
      <c r="W29">
        <v>25</v>
      </c>
      <c r="X29" s="1" t="s">
        <v>679</v>
      </c>
      <c r="Y29">
        <v>71</v>
      </c>
      <c r="Z29">
        <v>241.8</v>
      </c>
      <c r="AA29">
        <v>41.3</v>
      </c>
      <c r="AB29">
        <v>86</v>
      </c>
      <c r="AC29">
        <v>0.48</v>
      </c>
      <c r="AD29">
        <v>10.9</v>
      </c>
      <c r="AE29">
        <v>28.8</v>
      </c>
      <c r="AF29">
        <v>0.378</v>
      </c>
      <c r="AG29">
        <v>30.4</v>
      </c>
      <c r="AH29">
        <v>57.3</v>
      </c>
      <c r="AI29">
        <v>0.53100000000000003</v>
      </c>
      <c r="AJ29">
        <v>15.1</v>
      </c>
      <c r="AK29">
        <v>20.399999999999999</v>
      </c>
      <c r="AL29">
        <v>0.74</v>
      </c>
      <c r="AM29">
        <v>9.5</v>
      </c>
      <c r="AN29">
        <v>31.8</v>
      </c>
      <c r="AO29">
        <v>41.3</v>
      </c>
      <c r="AP29">
        <v>24.6</v>
      </c>
      <c r="AQ29">
        <v>8</v>
      </c>
      <c r="AR29">
        <v>4.9000000000000004</v>
      </c>
      <c r="AS29">
        <v>14.1</v>
      </c>
      <c r="AT29">
        <v>20.3</v>
      </c>
      <c r="AU29">
        <v>108.5</v>
      </c>
    </row>
    <row r="30" spans="1:47">
      <c r="A30">
        <v>28</v>
      </c>
      <c r="B30" s="1" t="s">
        <v>674</v>
      </c>
      <c r="C30">
        <v>70</v>
      </c>
      <c r="D30">
        <v>20</v>
      </c>
      <c r="E30">
        <v>50</v>
      </c>
      <c r="F30">
        <v>3365</v>
      </c>
      <c r="G30">
        <v>103.3</v>
      </c>
      <c r="H30">
        <v>108.6</v>
      </c>
      <c r="I30">
        <v>-5.3</v>
      </c>
      <c r="J30">
        <v>62.2</v>
      </c>
      <c r="K30">
        <v>1.52</v>
      </c>
      <c r="L30">
        <v>17.8</v>
      </c>
      <c r="M30">
        <v>21.7</v>
      </c>
      <c r="N30">
        <v>75.599999999999994</v>
      </c>
      <c r="O30">
        <v>48.5</v>
      </c>
      <c r="P30">
        <v>15.6</v>
      </c>
      <c r="Q30">
        <v>51.4</v>
      </c>
      <c r="R30">
        <v>55.2</v>
      </c>
      <c r="S30">
        <v>100.47</v>
      </c>
      <c r="T30">
        <v>47.1</v>
      </c>
      <c r="V30" t="str">
        <f>SUBSTITUTE(Opponent_Per_Game[[#This Row],[Team]],"*","")</f>
        <v>Sacramento Kings</v>
      </c>
      <c r="W30">
        <v>26</v>
      </c>
      <c r="X30" s="1" t="s">
        <v>697</v>
      </c>
      <c r="Y30">
        <v>72</v>
      </c>
      <c r="Z30">
        <v>241</v>
      </c>
      <c r="AA30">
        <v>39.200000000000003</v>
      </c>
      <c r="AB30">
        <v>82.8</v>
      </c>
      <c r="AC30">
        <v>0.47299999999999998</v>
      </c>
      <c r="AD30">
        <v>12.3</v>
      </c>
      <c r="AE30">
        <v>31.8</v>
      </c>
      <c r="AF30">
        <v>0.38600000000000001</v>
      </c>
      <c r="AG30">
        <v>26.9</v>
      </c>
      <c r="AH30">
        <v>51</v>
      </c>
      <c r="AI30">
        <v>0.52800000000000002</v>
      </c>
      <c r="AJ30">
        <v>16.5</v>
      </c>
      <c r="AK30">
        <v>21.3</v>
      </c>
      <c r="AL30">
        <v>0.77100000000000002</v>
      </c>
      <c r="AM30">
        <v>9.3000000000000007</v>
      </c>
      <c r="AN30">
        <v>34.700000000000003</v>
      </c>
      <c r="AO30">
        <v>44</v>
      </c>
      <c r="AP30">
        <v>24.1</v>
      </c>
      <c r="AQ30">
        <v>7.9</v>
      </c>
      <c r="AR30">
        <v>4.7</v>
      </c>
      <c r="AS30">
        <v>14.5</v>
      </c>
      <c r="AT30">
        <v>17.5</v>
      </c>
      <c r="AU30">
        <v>107.1</v>
      </c>
    </row>
    <row r="31" spans="1:47">
      <c r="A31">
        <v>29</v>
      </c>
      <c r="B31" s="1" t="s">
        <v>686</v>
      </c>
      <c r="C31">
        <v>70</v>
      </c>
      <c r="D31">
        <v>19</v>
      </c>
      <c r="E31">
        <v>51</v>
      </c>
      <c r="F31">
        <v>3365</v>
      </c>
      <c r="G31">
        <v>101.9</v>
      </c>
      <c r="H31">
        <v>107.5</v>
      </c>
      <c r="I31">
        <v>-5.6</v>
      </c>
      <c r="J31">
        <v>58.9</v>
      </c>
      <c r="K31">
        <v>1.44</v>
      </c>
      <c r="L31">
        <v>16.7</v>
      </c>
      <c r="M31">
        <v>22.3</v>
      </c>
      <c r="N31">
        <v>76.7</v>
      </c>
      <c r="O31">
        <v>48.9</v>
      </c>
      <c r="P31">
        <v>15.3</v>
      </c>
      <c r="Q31">
        <v>49.9</v>
      </c>
      <c r="R31">
        <v>54</v>
      </c>
      <c r="S31">
        <v>96.9</v>
      </c>
      <c r="T31">
        <v>46.5</v>
      </c>
      <c r="V31" t="str">
        <f>SUBSTITUTE(Opponent_Per_Game[[#This Row],[Team]],"*","")</f>
        <v>Cleveland Cavaliers</v>
      </c>
      <c r="W31">
        <v>27</v>
      </c>
      <c r="X31" s="1" t="s">
        <v>817</v>
      </c>
      <c r="Y31">
        <v>70</v>
      </c>
      <c r="Z31">
        <v>240.7</v>
      </c>
      <c r="AA31">
        <v>41.8</v>
      </c>
      <c r="AB31">
        <v>88.5</v>
      </c>
      <c r="AC31">
        <v>0.47199999999999998</v>
      </c>
      <c r="AD31">
        <v>11.7</v>
      </c>
      <c r="AE31">
        <v>31.9</v>
      </c>
      <c r="AF31">
        <v>0.36799999999999999</v>
      </c>
      <c r="AG31">
        <v>30.1</v>
      </c>
      <c r="AH31">
        <v>56.6</v>
      </c>
      <c r="AI31">
        <v>0.53100000000000003</v>
      </c>
      <c r="AJ31">
        <v>14.8</v>
      </c>
      <c r="AK31">
        <v>19.8</v>
      </c>
      <c r="AL31">
        <v>0.749</v>
      </c>
      <c r="AM31">
        <v>10.199999999999999</v>
      </c>
      <c r="AN31">
        <v>34.1</v>
      </c>
      <c r="AO31">
        <v>44.3</v>
      </c>
      <c r="AP31">
        <v>25.7</v>
      </c>
      <c r="AQ31">
        <v>7.6</v>
      </c>
      <c r="AR31">
        <v>4.0999999999999996</v>
      </c>
      <c r="AS31">
        <v>13.6</v>
      </c>
      <c r="AT31">
        <v>20.6</v>
      </c>
      <c r="AU31">
        <v>110.2</v>
      </c>
    </row>
    <row r="32" spans="1:47">
      <c r="A32">
        <v>23</v>
      </c>
      <c r="B32" s="1" t="s">
        <v>676</v>
      </c>
      <c r="C32">
        <v>70</v>
      </c>
      <c r="D32">
        <v>24</v>
      </c>
      <c r="E32">
        <v>46</v>
      </c>
      <c r="F32">
        <v>3395</v>
      </c>
      <c r="G32">
        <v>101.8</v>
      </c>
      <c r="H32">
        <v>108.6</v>
      </c>
      <c r="I32">
        <v>-6.8</v>
      </c>
      <c r="J32">
        <v>60.7</v>
      </c>
      <c r="K32">
        <v>1.72</v>
      </c>
      <c r="L32">
        <v>17.5</v>
      </c>
      <c r="M32">
        <v>20.2</v>
      </c>
      <c r="N32">
        <v>80.599999999999994</v>
      </c>
      <c r="O32">
        <v>49.4</v>
      </c>
      <c r="P32">
        <v>13.4</v>
      </c>
      <c r="Q32">
        <v>49.9</v>
      </c>
      <c r="R32">
        <v>53.1</v>
      </c>
      <c r="S32">
        <v>100.23</v>
      </c>
      <c r="T32">
        <v>45.9</v>
      </c>
      <c r="V32" t="str">
        <f>SUBSTITUTE(Opponent_Per_Game[[#This Row],[Team]],"*","")</f>
        <v>New Orleans Pelicans</v>
      </c>
      <c r="W32">
        <v>28</v>
      </c>
      <c r="X32" s="1" t="s">
        <v>690</v>
      </c>
      <c r="Y32">
        <v>70</v>
      </c>
      <c r="Z32">
        <v>243.9</v>
      </c>
      <c r="AA32">
        <v>41.8</v>
      </c>
      <c r="AB32">
        <v>91.7</v>
      </c>
      <c r="AC32">
        <v>0.45600000000000002</v>
      </c>
      <c r="AD32">
        <v>10.9</v>
      </c>
      <c r="AE32">
        <v>30.6</v>
      </c>
      <c r="AF32">
        <v>0.35799999999999998</v>
      </c>
      <c r="AG32">
        <v>30.8</v>
      </c>
      <c r="AH32">
        <v>61.1</v>
      </c>
      <c r="AI32">
        <v>0.505</v>
      </c>
      <c r="AJ32">
        <v>16.600000000000001</v>
      </c>
      <c r="AK32">
        <v>21.1</v>
      </c>
      <c r="AL32">
        <v>0.78900000000000003</v>
      </c>
      <c r="AM32">
        <v>10.7</v>
      </c>
      <c r="AN32">
        <v>34.799999999999997</v>
      </c>
      <c r="AO32">
        <v>45.5</v>
      </c>
      <c r="AP32">
        <v>24</v>
      </c>
      <c r="AQ32">
        <v>8.1999999999999993</v>
      </c>
      <c r="AR32">
        <v>4.3</v>
      </c>
      <c r="AS32">
        <v>14.3</v>
      </c>
      <c r="AT32">
        <v>20.7</v>
      </c>
      <c r="AU32">
        <v>111.1</v>
      </c>
    </row>
    <row r="33" spans="1:47">
      <c r="A33">
        <v>24</v>
      </c>
      <c r="B33" s="1" t="s">
        <v>697</v>
      </c>
      <c r="C33">
        <v>72</v>
      </c>
      <c r="D33">
        <v>23</v>
      </c>
      <c r="E33">
        <v>49</v>
      </c>
      <c r="F33">
        <v>3471</v>
      </c>
      <c r="G33">
        <v>101.5</v>
      </c>
      <c r="H33">
        <v>110</v>
      </c>
      <c r="I33">
        <v>-8.5</v>
      </c>
      <c r="J33">
        <v>55.1</v>
      </c>
      <c r="K33">
        <v>1.55</v>
      </c>
      <c r="L33">
        <v>16.7</v>
      </c>
      <c r="M33">
        <v>21.4</v>
      </c>
      <c r="N33">
        <v>77</v>
      </c>
      <c r="O33">
        <v>48</v>
      </c>
      <c r="P33">
        <v>14.1</v>
      </c>
      <c r="Q33">
        <v>50.5</v>
      </c>
      <c r="R33">
        <v>53.1</v>
      </c>
      <c r="S33">
        <v>97.24</v>
      </c>
      <c r="T33">
        <v>44.8</v>
      </c>
      <c r="V33" t="str">
        <f>SUBSTITUTE(Opponent_Per_Game[[#This Row],[Team]],"*","")</f>
        <v>Brooklyn Nets</v>
      </c>
      <c r="W33">
        <v>29</v>
      </c>
      <c r="X33" s="1" t="s">
        <v>709</v>
      </c>
      <c r="Y33">
        <v>71</v>
      </c>
      <c r="Z33">
        <v>242.1</v>
      </c>
      <c r="AA33">
        <v>41.7</v>
      </c>
      <c r="AB33">
        <v>89.2</v>
      </c>
      <c r="AC33">
        <v>0.46700000000000003</v>
      </c>
      <c r="AD33">
        <v>9.1</v>
      </c>
      <c r="AE33">
        <v>24.6</v>
      </c>
      <c r="AF33">
        <v>0.371</v>
      </c>
      <c r="AG33">
        <v>32.5</v>
      </c>
      <c r="AH33">
        <v>64.599999999999994</v>
      </c>
      <c r="AI33">
        <v>0.504</v>
      </c>
      <c r="AJ33">
        <v>17.8</v>
      </c>
      <c r="AK33">
        <v>23.3</v>
      </c>
      <c r="AL33">
        <v>0.76600000000000001</v>
      </c>
      <c r="AM33">
        <v>10.3</v>
      </c>
      <c r="AN33">
        <v>36</v>
      </c>
      <c r="AO33">
        <v>46.3</v>
      </c>
      <c r="AP33">
        <v>21.7</v>
      </c>
      <c r="AQ33">
        <v>7.8</v>
      </c>
      <c r="AR33">
        <v>5.6</v>
      </c>
      <c r="AS33">
        <v>12.4</v>
      </c>
      <c r="AT33">
        <v>19.899999999999999</v>
      </c>
      <c r="AU33">
        <v>110.4</v>
      </c>
    </row>
    <row r="34" spans="1:47">
      <c r="A34">
        <v>29</v>
      </c>
      <c r="B34" s="1" t="s">
        <v>695</v>
      </c>
      <c r="C34">
        <v>71</v>
      </c>
      <c r="D34">
        <v>19</v>
      </c>
      <c r="E34">
        <v>52</v>
      </c>
      <c r="F34">
        <v>3413</v>
      </c>
      <c r="G34">
        <v>101.2</v>
      </c>
      <c r="H34">
        <v>110.8</v>
      </c>
      <c r="I34">
        <v>-9.6999999999999993</v>
      </c>
      <c r="J34">
        <v>54.8</v>
      </c>
      <c r="K34">
        <v>1.34</v>
      </c>
      <c r="L34">
        <v>15.6</v>
      </c>
      <c r="M34">
        <v>22.8</v>
      </c>
      <c r="N34">
        <v>76.5</v>
      </c>
      <c r="O34">
        <v>49.1</v>
      </c>
      <c r="P34">
        <v>15.2</v>
      </c>
      <c r="Q34">
        <v>49.4</v>
      </c>
      <c r="R34">
        <v>53.3</v>
      </c>
      <c r="S34">
        <v>102.83</v>
      </c>
      <c r="T34">
        <v>44.1</v>
      </c>
      <c r="V34" t="str">
        <f>SUBSTITUTE(Opponent_Per_Game[[#This Row],[Team]],"*","")</f>
        <v>Phoenix Suns</v>
      </c>
      <c r="W34">
        <v>30</v>
      </c>
      <c r="X34" s="1" t="s">
        <v>695</v>
      </c>
      <c r="Y34">
        <v>71</v>
      </c>
      <c r="Z34">
        <v>240.4</v>
      </c>
      <c r="AA34">
        <v>41.9</v>
      </c>
      <c r="AB34">
        <v>88.5</v>
      </c>
      <c r="AC34">
        <v>0.47299999999999998</v>
      </c>
      <c r="AD34">
        <v>10.8</v>
      </c>
      <c r="AE34">
        <v>29</v>
      </c>
      <c r="AF34">
        <v>0.371</v>
      </c>
      <c r="AG34">
        <v>31.1</v>
      </c>
      <c r="AH34">
        <v>59.5</v>
      </c>
      <c r="AI34">
        <v>0.52300000000000002</v>
      </c>
      <c r="AJ34">
        <v>19.399999999999999</v>
      </c>
      <c r="AK34">
        <v>25.2</v>
      </c>
      <c r="AL34">
        <v>0.76800000000000002</v>
      </c>
      <c r="AM34">
        <v>10.3</v>
      </c>
      <c r="AN34">
        <v>35.4</v>
      </c>
      <c r="AO34">
        <v>45.7</v>
      </c>
      <c r="AP34">
        <v>23.1</v>
      </c>
      <c r="AQ34">
        <v>8.6</v>
      </c>
      <c r="AR34">
        <v>5.9</v>
      </c>
      <c r="AS34">
        <v>13.5</v>
      </c>
      <c r="AT34">
        <v>21.5</v>
      </c>
      <c r="AU34">
        <v>113.9</v>
      </c>
    </row>
    <row r="35" spans="1:47">
      <c r="A35" s="122"/>
      <c r="B35" s="122"/>
      <c r="C35" s="122"/>
      <c r="D35" s="122"/>
      <c r="E35" s="122"/>
      <c r="F35" s="122"/>
      <c r="G35" s="122"/>
      <c r="H35" s="122"/>
      <c r="I35" s="122"/>
      <c r="J35" s="122"/>
      <c r="K35" s="122"/>
      <c r="L35" s="122"/>
      <c r="M35" s="122"/>
      <c r="N35" s="122"/>
      <c r="O35" s="122"/>
      <c r="P35" s="122"/>
      <c r="Q35" s="122"/>
      <c r="R35" s="122"/>
      <c r="S35" s="122"/>
      <c r="T35" s="122"/>
      <c r="W35" s="122"/>
      <c r="X35" s="122"/>
      <c r="Y35" s="122"/>
      <c r="Z35" s="122"/>
      <c r="AA35" s="122"/>
      <c r="AB35" s="122"/>
      <c r="AC35" s="122"/>
      <c r="AD35" s="122"/>
      <c r="AE35" s="122"/>
      <c r="AF35" s="122"/>
      <c r="AG35" s="122"/>
      <c r="AH35" s="122"/>
      <c r="AI35" s="122"/>
      <c r="AJ35" s="122"/>
      <c r="AK35" s="122"/>
      <c r="AL35" s="122"/>
      <c r="AM35" s="122"/>
      <c r="AN35" s="122"/>
      <c r="AO35" s="122"/>
      <c r="AP35" s="122"/>
      <c r="AQ35" s="122"/>
      <c r="AR35" s="122"/>
      <c r="AS35" s="122"/>
      <c r="AT35" s="122"/>
      <c r="AU35" s="122"/>
    </row>
    <row r="36" spans="1:47" ht="15.75" customHeight="1">
      <c r="A36" s="694" t="s">
        <v>1029</v>
      </c>
      <c r="B36" s="694"/>
      <c r="W36" s="694" t="s">
        <v>1058</v>
      </c>
      <c r="X36" s="694"/>
    </row>
    <row r="37" spans="1:47" ht="15.75" customHeight="1">
      <c r="A37" s="694"/>
      <c r="B37" s="694"/>
      <c r="D37" s="109"/>
      <c r="E37" s="109"/>
      <c r="F37" s="109"/>
      <c r="G37" s="109"/>
      <c r="W37" s="694"/>
      <c r="X37" s="694"/>
    </row>
    <row r="38" spans="1:47">
      <c r="A38" s="694"/>
      <c r="B38" s="694"/>
      <c r="W38" s="694"/>
      <c r="X38" s="694"/>
    </row>
    <row r="39" spans="1:47">
      <c r="A39" t="s">
        <v>1003</v>
      </c>
      <c r="B39" t="s">
        <v>916</v>
      </c>
      <c r="C39" t="s">
        <v>251</v>
      </c>
      <c r="D39" t="s">
        <v>917</v>
      </c>
      <c r="E39" t="s">
        <v>918</v>
      </c>
      <c r="F39" t="s">
        <v>56</v>
      </c>
      <c r="G39" t="s">
        <v>1025</v>
      </c>
      <c r="H39" t="s">
        <v>1024</v>
      </c>
      <c r="I39" t="s">
        <v>1023</v>
      </c>
      <c r="J39" t="s">
        <v>659</v>
      </c>
      <c r="K39" t="s">
        <v>1022</v>
      </c>
      <c r="L39" t="s">
        <v>1011</v>
      </c>
      <c r="M39" t="s">
        <v>1021</v>
      </c>
      <c r="N39" t="s">
        <v>1020</v>
      </c>
      <c r="O39" t="s">
        <v>1019</v>
      </c>
      <c r="P39" t="s">
        <v>662</v>
      </c>
      <c r="Q39" t="s">
        <v>273</v>
      </c>
      <c r="R39" t="s">
        <v>653</v>
      </c>
      <c r="S39" t="s">
        <v>1018</v>
      </c>
      <c r="T39" t="s">
        <v>1017</v>
      </c>
      <c r="W39" t="s">
        <v>257</v>
      </c>
      <c r="X39" t="s">
        <v>256</v>
      </c>
      <c r="Y39" t="s">
        <v>261</v>
      </c>
      <c r="Z39" t="s">
        <v>263</v>
      </c>
      <c r="AA39" t="s">
        <v>264</v>
      </c>
      <c r="AB39" t="s">
        <v>265</v>
      </c>
      <c r="AC39" t="s">
        <v>266</v>
      </c>
      <c r="AD39" t="s">
        <v>267</v>
      </c>
      <c r="AE39" t="s">
        <v>268</v>
      </c>
      <c r="AF39" t="s">
        <v>269</v>
      </c>
      <c r="AG39" t="s">
        <v>270</v>
      </c>
      <c r="AH39" t="s">
        <v>271</v>
      </c>
      <c r="AI39" t="s">
        <v>272</v>
      </c>
      <c r="AJ39" t="s">
        <v>274</v>
      </c>
      <c r="AK39" t="s">
        <v>275</v>
      </c>
      <c r="AL39" t="s">
        <v>276</v>
      </c>
      <c r="AM39" t="s">
        <v>277</v>
      </c>
      <c r="AN39" t="s">
        <v>278</v>
      </c>
      <c r="AO39" t="s">
        <v>279</v>
      </c>
      <c r="AP39" t="s">
        <v>280</v>
      </c>
      <c r="AQ39" t="s">
        <v>281</v>
      </c>
      <c r="AR39" t="s">
        <v>282</v>
      </c>
      <c r="AS39" t="s">
        <v>283</v>
      </c>
      <c r="AT39" t="s">
        <v>38</v>
      </c>
      <c r="AU39" t="s">
        <v>805</v>
      </c>
    </row>
    <row r="40" spans="1:47">
      <c r="A40">
        <v>1</v>
      </c>
      <c r="B40" s="1" t="s">
        <v>682</v>
      </c>
      <c r="C40">
        <v>15</v>
      </c>
      <c r="D40">
        <v>14</v>
      </c>
      <c r="E40">
        <v>1</v>
      </c>
      <c r="F40">
        <v>720</v>
      </c>
      <c r="G40">
        <v>115.1</v>
      </c>
      <c r="H40">
        <v>103.2</v>
      </c>
      <c r="I40">
        <v>11.8</v>
      </c>
      <c r="J40">
        <v>55.7</v>
      </c>
      <c r="K40">
        <v>1.62</v>
      </c>
      <c r="L40">
        <v>16.600000000000001</v>
      </c>
      <c r="M40">
        <v>24.3</v>
      </c>
      <c r="N40">
        <v>76.5</v>
      </c>
      <c r="O40">
        <v>51.2</v>
      </c>
      <c r="P40">
        <v>13.5</v>
      </c>
      <c r="Q40">
        <v>55.3</v>
      </c>
      <c r="R40">
        <v>59.5</v>
      </c>
      <c r="S40">
        <v>97.76</v>
      </c>
      <c r="T40">
        <v>55.1</v>
      </c>
      <c r="V40" t="str">
        <f>SUBSTITUTE(X40,"*","")</f>
        <v>Golden State Warriors</v>
      </c>
      <c r="W40">
        <v>1</v>
      </c>
      <c r="X40" s="1" t="s">
        <v>1266</v>
      </c>
      <c r="Y40">
        <v>71</v>
      </c>
      <c r="Z40">
        <v>240.7</v>
      </c>
      <c r="AA40">
        <v>43.1</v>
      </c>
      <c r="AB40">
        <v>84.9</v>
      </c>
      <c r="AC40">
        <v>0.50700000000000001</v>
      </c>
      <c r="AD40">
        <v>11.6</v>
      </c>
      <c r="AE40">
        <v>29.5</v>
      </c>
      <c r="AF40">
        <v>0.39300000000000002</v>
      </c>
      <c r="AG40">
        <v>31.5</v>
      </c>
      <c r="AH40">
        <v>55.5</v>
      </c>
      <c r="AI40">
        <v>0.56799999999999995</v>
      </c>
      <c r="AJ40">
        <v>17.100000000000001</v>
      </c>
      <c r="AK40">
        <v>21.1</v>
      </c>
      <c r="AL40">
        <v>0.81299999999999994</v>
      </c>
      <c r="AM40">
        <v>8.4</v>
      </c>
      <c r="AN40">
        <v>35.5</v>
      </c>
      <c r="AO40">
        <v>43.8</v>
      </c>
      <c r="AP40">
        <v>29.8</v>
      </c>
      <c r="AQ40">
        <v>8.1</v>
      </c>
      <c r="AR40">
        <v>7.7</v>
      </c>
      <c r="AS40">
        <v>15.7</v>
      </c>
      <c r="AT40">
        <v>19.8</v>
      </c>
      <c r="AU40">
        <v>114.9</v>
      </c>
    </row>
    <row r="41" spans="1:47">
      <c r="A41">
        <v>1</v>
      </c>
      <c r="B41" s="1" t="s">
        <v>696</v>
      </c>
      <c r="C41">
        <v>15</v>
      </c>
      <c r="D41">
        <v>14</v>
      </c>
      <c r="E41">
        <v>1</v>
      </c>
      <c r="F41">
        <v>720</v>
      </c>
      <c r="G41">
        <v>110.4</v>
      </c>
      <c r="H41">
        <v>101.5</v>
      </c>
      <c r="I41">
        <v>8.9</v>
      </c>
      <c r="J41">
        <v>51.1</v>
      </c>
      <c r="K41">
        <v>1.64</v>
      </c>
      <c r="L41">
        <v>15.5</v>
      </c>
      <c r="M41">
        <v>23.3</v>
      </c>
      <c r="N41">
        <v>81.5</v>
      </c>
      <c r="O41">
        <v>52.4</v>
      </c>
      <c r="P41">
        <v>12.3</v>
      </c>
      <c r="Q41">
        <v>51.9</v>
      </c>
      <c r="R41">
        <v>56.3</v>
      </c>
      <c r="S41">
        <v>100.05</v>
      </c>
      <c r="T41">
        <v>54.1</v>
      </c>
      <c r="V41" t="str">
        <f t="shared" ref="V41:V69" si="0">SUBSTITUTE(X41,"*","")</f>
        <v>Houston Rockets</v>
      </c>
      <c r="W41">
        <v>2</v>
      </c>
      <c r="X41" s="1" t="s">
        <v>1218</v>
      </c>
      <c r="Y41">
        <v>70</v>
      </c>
      <c r="Z41">
        <v>240.7</v>
      </c>
      <c r="AA41">
        <v>39</v>
      </c>
      <c r="AB41">
        <v>84.2</v>
      </c>
      <c r="AC41">
        <v>0.46300000000000002</v>
      </c>
      <c r="AD41">
        <v>15.4</v>
      </c>
      <c r="AE41">
        <v>42.1</v>
      </c>
      <c r="AF41">
        <v>0.36499999999999999</v>
      </c>
      <c r="AG41">
        <v>23.6</v>
      </c>
      <c r="AH41">
        <v>42.1</v>
      </c>
      <c r="AI41">
        <v>0.56100000000000005</v>
      </c>
      <c r="AJ41">
        <v>20.3</v>
      </c>
      <c r="AK41">
        <v>25.8</v>
      </c>
      <c r="AL41">
        <v>0.78800000000000003</v>
      </c>
      <c r="AM41">
        <v>9.1999999999999993</v>
      </c>
      <c r="AN41">
        <v>34.200000000000003</v>
      </c>
      <c r="AO41">
        <v>43.4</v>
      </c>
      <c r="AP41">
        <v>21.8</v>
      </c>
      <c r="AQ41">
        <v>8.6</v>
      </c>
      <c r="AR41">
        <v>4.8</v>
      </c>
      <c r="AS41">
        <v>13.9</v>
      </c>
      <c r="AT41">
        <v>19.8</v>
      </c>
      <c r="AU41">
        <v>113.6</v>
      </c>
    </row>
    <row r="42" spans="1:47">
      <c r="A42">
        <v>3</v>
      </c>
      <c r="B42" s="1" t="s">
        <v>699</v>
      </c>
      <c r="C42">
        <v>15</v>
      </c>
      <c r="D42">
        <v>13</v>
      </c>
      <c r="E42">
        <v>2</v>
      </c>
      <c r="F42">
        <v>735</v>
      </c>
      <c r="G42">
        <v>115.1</v>
      </c>
      <c r="H42">
        <v>105</v>
      </c>
      <c r="I42">
        <v>10.1</v>
      </c>
      <c r="J42">
        <v>64.900000000000006</v>
      </c>
      <c r="K42">
        <v>2.08</v>
      </c>
      <c r="L42">
        <v>19.600000000000001</v>
      </c>
      <c r="M42">
        <v>23.8</v>
      </c>
      <c r="N42">
        <v>77.8</v>
      </c>
      <c r="O42">
        <v>51.4</v>
      </c>
      <c r="P42">
        <v>12.9</v>
      </c>
      <c r="Q42">
        <v>55.2</v>
      </c>
      <c r="R42">
        <v>59.2</v>
      </c>
      <c r="S42">
        <v>98.76</v>
      </c>
      <c r="T42">
        <v>55.6</v>
      </c>
      <c r="V42" t="str">
        <f t="shared" si="0"/>
        <v>Toronto Raptors</v>
      </c>
      <c r="W42">
        <v>3</v>
      </c>
      <c r="X42" s="1" t="s">
        <v>1200</v>
      </c>
      <c r="Y42">
        <v>70</v>
      </c>
      <c r="Z42">
        <v>241.8</v>
      </c>
      <c r="AA42">
        <v>41.3</v>
      </c>
      <c r="AB42">
        <v>87.5</v>
      </c>
      <c r="AC42">
        <v>0.47199999999999998</v>
      </c>
      <c r="AD42">
        <v>11.7</v>
      </c>
      <c r="AE42">
        <v>32.799999999999997</v>
      </c>
      <c r="AF42">
        <v>0.35699999999999998</v>
      </c>
      <c r="AG42">
        <v>29.6</v>
      </c>
      <c r="AH42">
        <v>54.8</v>
      </c>
      <c r="AI42">
        <v>0.54</v>
      </c>
      <c r="AJ42">
        <v>18.2</v>
      </c>
      <c r="AK42">
        <v>22.7</v>
      </c>
      <c r="AL42">
        <v>0.80300000000000005</v>
      </c>
      <c r="AM42">
        <v>9.9</v>
      </c>
      <c r="AN42">
        <v>33.9</v>
      </c>
      <c r="AO42">
        <v>43.8</v>
      </c>
      <c r="AP42">
        <v>24</v>
      </c>
      <c r="AQ42">
        <v>8</v>
      </c>
      <c r="AR42">
        <v>6</v>
      </c>
      <c r="AS42">
        <v>13.3</v>
      </c>
      <c r="AT42">
        <v>21.9</v>
      </c>
      <c r="AU42">
        <v>112.5</v>
      </c>
    </row>
    <row r="43" spans="1:47">
      <c r="A43">
        <v>3</v>
      </c>
      <c r="B43" s="1" t="s">
        <v>700</v>
      </c>
      <c r="C43">
        <v>15</v>
      </c>
      <c r="D43">
        <v>13</v>
      </c>
      <c r="E43">
        <v>2</v>
      </c>
      <c r="F43">
        <v>720</v>
      </c>
      <c r="G43">
        <v>104.9</v>
      </c>
      <c r="H43">
        <v>93</v>
      </c>
      <c r="I43">
        <v>11.9</v>
      </c>
      <c r="J43">
        <v>62.3</v>
      </c>
      <c r="K43">
        <v>1.49</v>
      </c>
      <c r="L43">
        <v>17.5</v>
      </c>
      <c r="M43">
        <v>24.4</v>
      </c>
      <c r="N43">
        <v>83.5</v>
      </c>
      <c r="O43">
        <v>54.8</v>
      </c>
      <c r="P43">
        <v>15.8</v>
      </c>
      <c r="Q43">
        <v>51.3</v>
      </c>
      <c r="R43">
        <v>55.3</v>
      </c>
      <c r="S43">
        <v>98.39</v>
      </c>
      <c r="T43">
        <v>58.9</v>
      </c>
      <c r="V43" t="str">
        <f t="shared" si="0"/>
        <v>New Orleans Pelicans</v>
      </c>
      <c r="W43">
        <v>4</v>
      </c>
      <c r="X43" s="1" t="s">
        <v>690</v>
      </c>
      <c r="Y43">
        <v>70</v>
      </c>
      <c r="Z43">
        <v>243.9</v>
      </c>
      <c r="AA43">
        <v>42.4</v>
      </c>
      <c r="AB43">
        <v>88</v>
      </c>
      <c r="AC43">
        <v>0.48199999999999998</v>
      </c>
      <c r="AD43">
        <v>10.3</v>
      </c>
      <c r="AE43">
        <v>28.4</v>
      </c>
      <c r="AF43">
        <v>0.36299999999999999</v>
      </c>
      <c r="AG43">
        <v>32.1</v>
      </c>
      <c r="AH43">
        <v>59.6</v>
      </c>
      <c r="AI43">
        <v>0.53900000000000003</v>
      </c>
      <c r="AJ43">
        <v>16.5</v>
      </c>
      <c r="AK43">
        <v>21.4</v>
      </c>
      <c r="AL43">
        <v>0.77100000000000002</v>
      </c>
      <c r="AM43">
        <v>8.6</v>
      </c>
      <c r="AN43">
        <v>35.4</v>
      </c>
      <c r="AO43">
        <v>43.9</v>
      </c>
      <c r="AP43">
        <v>26.5</v>
      </c>
      <c r="AQ43">
        <v>7.8</v>
      </c>
      <c r="AR43">
        <v>5.9</v>
      </c>
      <c r="AS43">
        <v>15</v>
      </c>
      <c r="AT43">
        <v>19.3</v>
      </c>
      <c r="AU43">
        <v>111.7</v>
      </c>
    </row>
    <row r="44" spans="1:47">
      <c r="A44">
        <v>5</v>
      </c>
      <c r="B44" s="1" t="s">
        <v>690</v>
      </c>
      <c r="C44">
        <v>15</v>
      </c>
      <c r="D44">
        <v>11</v>
      </c>
      <c r="E44">
        <v>4</v>
      </c>
      <c r="F44">
        <v>730</v>
      </c>
      <c r="G44">
        <v>108.2</v>
      </c>
      <c r="H44">
        <v>103.9</v>
      </c>
      <c r="I44">
        <v>4.3</v>
      </c>
      <c r="J44">
        <v>61.3</v>
      </c>
      <c r="K44">
        <v>2.1</v>
      </c>
      <c r="L44">
        <v>19.399999999999999</v>
      </c>
      <c r="M44">
        <v>20</v>
      </c>
      <c r="N44">
        <v>76.099999999999994</v>
      </c>
      <c r="O44">
        <v>49.2</v>
      </c>
      <c r="P44">
        <v>12.5</v>
      </c>
      <c r="Q44">
        <v>53</v>
      </c>
      <c r="R44">
        <v>56.3</v>
      </c>
      <c r="S44">
        <v>105.13</v>
      </c>
      <c r="T44">
        <v>54.1</v>
      </c>
      <c r="V44" t="str">
        <f t="shared" si="0"/>
        <v>Minnesota Timberwolves</v>
      </c>
      <c r="W44">
        <v>5</v>
      </c>
      <c r="X44" s="1" t="s">
        <v>689</v>
      </c>
      <c r="Y44">
        <v>71</v>
      </c>
      <c r="Z44">
        <v>241.4</v>
      </c>
      <c r="AA44">
        <v>41.2</v>
      </c>
      <c r="AB44">
        <v>85.9</v>
      </c>
      <c r="AC44">
        <v>0.48</v>
      </c>
      <c r="AD44">
        <v>8</v>
      </c>
      <c r="AE44">
        <v>22.2</v>
      </c>
      <c r="AF44">
        <v>0.35899999999999999</v>
      </c>
      <c r="AG44">
        <v>33.299999999999997</v>
      </c>
      <c r="AH44">
        <v>63.7</v>
      </c>
      <c r="AI44">
        <v>0.52200000000000002</v>
      </c>
      <c r="AJ44">
        <v>19.399999999999999</v>
      </c>
      <c r="AK44">
        <v>24.2</v>
      </c>
      <c r="AL44">
        <v>0.80200000000000005</v>
      </c>
      <c r="AM44">
        <v>10.4</v>
      </c>
      <c r="AN44">
        <v>31.4</v>
      </c>
      <c r="AO44">
        <v>41.8</v>
      </c>
      <c r="AP44">
        <v>22.7</v>
      </c>
      <c r="AQ44">
        <v>8.4</v>
      </c>
      <c r="AR44">
        <v>4.2</v>
      </c>
      <c r="AS44">
        <v>12.5</v>
      </c>
      <c r="AT44">
        <v>18.100000000000001</v>
      </c>
      <c r="AU44">
        <v>109.8</v>
      </c>
    </row>
    <row r="45" spans="1:47">
      <c r="A45">
        <v>5</v>
      </c>
      <c r="B45" s="1" t="s">
        <v>692</v>
      </c>
      <c r="C45">
        <v>15</v>
      </c>
      <c r="D45">
        <v>11</v>
      </c>
      <c r="E45">
        <v>4</v>
      </c>
      <c r="F45">
        <v>725</v>
      </c>
      <c r="G45">
        <v>110.6</v>
      </c>
      <c r="H45">
        <v>108.6</v>
      </c>
      <c r="I45">
        <v>2.1</v>
      </c>
      <c r="J45">
        <v>55.7</v>
      </c>
      <c r="K45">
        <v>1.6</v>
      </c>
      <c r="L45">
        <v>16.899999999999999</v>
      </c>
      <c r="M45">
        <v>27.1</v>
      </c>
      <c r="N45">
        <v>76.5</v>
      </c>
      <c r="O45">
        <v>51.3</v>
      </c>
      <c r="P45">
        <v>14.2</v>
      </c>
      <c r="Q45">
        <v>53.4</v>
      </c>
      <c r="R45">
        <v>56.6</v>
      </c>
      <c r="S45">
        <v>100.26</v>
      </c>
      <c r="T45">
        <v>50.9</v>
      </c>
      <c r="V45" t="str">
        <f t="shared" si="0"/>
        <v>Denver Nuggets</v>
      </c>
      <c r="W45">
        <v>6</v>
      </c>
      <c r="X45" s="1" t="s">
        <v>679</v>
      </c>
      <c r="Y45">
        <v>71</v>
      </c>
      <c r="Z45">
        <v>241.8</v>
      </c>
      <c r="AA45">
        <v>40.6</v>
      </c>
      <c r="AB45">
        <v>86.5</v>
      </c>
      <c r="AC45">
        <v>0.46899999999999997</v>
      </c>
      <c r="AD45">
        <v>11.4</v>
      </c>
      <c r="AE45">
        <v>30.8</v>
      </c>
      <c r="AF45">
        <v>0.36899999999999999</v>
      </c>
      <c r="AG45">
        <v>29.2</v>
      </c>
      <c r="AH45">
        <v>55.7</v>
      </c>
      <c r="AI45">
        <v>0.52500000000000002</v>
      </c>
      <c r="AJ45">
        <v>17</v>
      </c>
      <c r="AK45">
        <v>22.2</v>
      </c>
      <c r="AL45">
        <v>0.76400000000000001</v>
      </c>
      <c r="AM45">
        <v>11.1</v>
      </c>
      <c r="AN45">
        <v>33.299999999999997</v>
      </c>
      <c r="AO45">
        <v>44.3</v>
      </c>
      <c r="AP45">
        <v>24.8</v>
      </c>
      <c r="AQ45">
        <v>7.9</v>
      </c>
      <c r="AR45">
        <v>4.7</v>
      </c>
      <c r="AS45">
        <v>15.1</v>
      </c>
      <c r="AT45">
        <v>18.600000000000001</v>
      </c>
      <c r="AU45">
        <v>109.5</v>
      </c>
    </row>
    <row r="46" spans="1:47">
      <c r="A46">
        <v>7</v>
      </c>
      <c r="B46" s="1" t="s">
        <v>681</v>
      </c>
      <c r="C46">
        <v>15</v>
      </c>
      <c r="D46">
        <v>10</v>
      </c>
      <c r="E46">
        <v>5</v>
      </c>
      <c r="F46">
        <v>720</v>
      </c>
      <c r="G46">
        <v>111.7</v>
      </c>
      <c r="H46">
        <v>102.4</v>
      </c>
      <c r="I46">
        <v>9.3000000000000007</v>
      </c>
      <c r="J46">
        <v>65.099999999999994</v>
      </c>
      <c r="K46">
        <v>1.88</v>
      </c>
      <c r="L46">
        <v>20.2</v>
      </c>
      <c r="M46">
        <v>18.399999999999999</v>
      </c>
      <c r="N46">
        <v>75.900000000000006</v>
      </c>
      <c r="O46">
        <v>49.3</v>
      </c>
      <c r="P46">
        <v>14.5</v>
      </c>
      <c r="Q46">
        <v>56.5</v>
      </c>
      <c r="R46">
        <v>60.2</v>
      </c>
      <c r="S46">
        <v>101.64</v>
      </c>
      <c r="T46">
        <v>55.8</v>
      </c>
      <c r="V46" t="str">
        <f t="shared" si="0"/>
        <v>Oklahoma City Thunder</v>
      </c>
      <c r="W46">
        <v>7</v>
      </c>
      <c r="X46" s="1" t="s">
        <v>692</v>
      </c>
      <c r="Y46">
        <v>72</v>
      </c>
      <c r="Z46">
        <v>241.7</v>
      </c>
      <c r="AA46">
        <v>40.1</v>
      </c>
      <c r="AB46">
        <v>87.9</v>
      </c>
      <c r="AC46">
        <v>0.45600000000000002</v>
      </c>
      <c r="AD46">
        <v>10.6</v>
      </c>
      <c r="AE46">
        <v>29.9</v>
      </c>
      <c r="AF46">
        <v>0.35299999999999998</v>
      </c>
      <c r="AG46">
        <v>29.5</v>
      </c>
      <c r="AH46">
        <v>58</v>
      </c>
      <c r="AI46">
        <v>0.50900000000000001</v>
      </c>
      <c r="AJ46">
        <v>16.7</v>
      </c>
      <c r="AK46">
        <v>23.4</v>
      </c>
      <c r="AL46">
        <v>0.71199999999999997</v>
      </c>
      <c r="AM46">
        <v>12.5</v>
      </c>
      <c r="AN46">
        <v>32.4</v>
      </c>
      <c r="AO46">
        <v>44.8</v>
      </c>
      <c r="AP46">
        <v>21.4</v>
      </c>
      <c r="AQ46">
        <v>9</v>
      </c>
      <c r="AR46">
        <v>5.2</v>
      </c>
      <c r="AS46">
        <v>14.2</v>
      </c>
      <c r="AT46">
        <v>20.100000000000001</v>
      </c>
      <c r="AU46">
        <v>107.4</v>
      </c>
    </row>
    <row r="47" spans="1:47">
      <c r="A47">
        <v>7</v>
      </c>
      <c r="B47" s="1" t="s">
        <v>683</v>
      </c>
      <c r="C47">
        <v>15</v>
      </c>
      <c r="D47">
        <v>10</v>
      </c>
      <c r="E47">
        <v>5</v>
      </c>
      <c r="F47">
        <v>720</v>
      </c>
      <c r="G47">
        <v>104.4</v>
      </c>
      <c r="H47">
        <v>102.6</v>
      </c>
      <c r="I47">
        <v>1.8</v>
      </c>
      <c r="J47">
        <v>52.4</v>
      </c>
      <c r="K47">
        <v>1.5</v>
      </c>
      <c r="L47">
        <v>15.8</v>
      </c>
      <c r="M47">
        <v>25.4</v>
      </c>
      <c r="N47">
        <v>77.3</v>
      </c>
      <c r="O47">
        <v>50.9</v>
      </c>
      <c r="P47">
        <v>14</v>
      </c>
      <c r="Q47">
        <v>49.8</v>
      </c>
      <c r="R47">
        <v>53.5</v>
      </c>
      <c r="S47">
        <v>98.46</v>
      </c>
      <c r="T47">
        <v>51.3</v>
      </c>
      <c r="V47" t="str">
        <f t="shared" si="0"/>
        <v>Cleveland Cavaliers</v>
      </c>
      <c r="W47">
        <v>8</v>
      </c>
      <c r="X47" s="1" t="s">
        <v>817</v>
      </c>
      <c r="Y47">
        <v>70</v>
      </c>
      <c r="Z47">
        <v>240.7</v>
      </c>
      <c r="AA47">
        <v>40.200000000000003</v>
      </c>
      <c r="AB47">
        <v>84.5</v>
      </c>
      <c r="AC47">
        <v>0.47599999999999998</v>
      </c>
      <c r="AD47">
        <v>12</v>
      </c>
      <c r="AE47">
        <v>32.700000000000003</v>
      </c>
      <c r="AF47">
        <v>0.36799999999999999</v>
      </c>
      <c r="AG47">
        <v>28.2</v>
      </c>
      <c r="AH47">
        <v>51.8</v>
      </c>
      <c r="AI47">
        <v>0.54400000000000004</v>
      </c>
      <c r="AJ47">
        <v>18</v>
      </c>
      <c r="AK47">
        <v>23</v>
      </c>
      <c r="AL47">
        <v>0.78</v>
      </c>
      <c r="AM47">
        <v>8.3000000000000007</v>
      </c>
      <c r="AN47">
        <v>33.6</v>
      </c>
      <c r="AO47">
        <v>41.9</v>
      </c>
      <c r="AP47">
        <v>23.5</v>
      </c>
      <c r="AQ47">
        <v>7</v>
      </c>
      <c r="AR47">
        <v>4</v>
      </c>
      <c r="AS47">
        <v>14</v>
      </c>
      <c r="AT47">
        <v>18.899999999999999</v>
      </c>
      <c r="AU47">
        <v>110.5</v>
      </c>
    </row>
    <row r="48" spans="1:47">
      <c r="A48">
        <v>7</v>
      </c>
      <c r="B48" s="1" t="s">
        <v>694</v>
      </c>
      <c r="C48">
        <v>15</v>
      </c>
      <c r="D48">
        <v>10</v>
      </c>
      <c r="E48">
        <v>5</v>
      </c>
      <c r="F48">
        <v>720</v>
      </c>
      <c r="G48">
        <v>110.4</v>
      </c>
      <c r="H48">
        <v>105.4</v>
      </c>
      <c r="I48">
        <v>5.0999999999999996</v>
      </c>
      <c r="J48">
        <v>68.5</v>
      </c>
      <c r="K48">
        <v>1.81</v>
      </c>
      <c r="L48">
        <v>19.8</v>
      </c>
      <c r="M48">
        <v>27.5</v>
      </c>
      <c r="N48">
        <v>78.8</v>
      </c>
      <c r="O48">
        <v>53.4</v>
      </c>
      <c r="P48">
        <v>15.3</v>
      </c>
      <c r="Q48">
        <v>53.8</v>
      </c>
      <c r="R48">
        <v>57.1</v>
      </c>
      <c r="S48">
        <v>100</v>
      </c>
      <c r="T48">
        <v>53</v>
      </c>
      <c r="V48" t="str">
        <f t="shared" si="0"/>
        <v>Charlotte Hornets</v>
      </c>
      <c r="W48">
        <v>9</v>
      </c>
      <c r="X48" s="1" t="s">
        <v>677</v>
      </c>
      <c r="Y48">
        <v>71</v>
      </c>
      <c r="Z48">
        <v>241.1</v>
      </c>
      <c r="AA48">
        <v>38.700000000000003</v>
      </c>
      <c r="AB48">
        <v>86.7</v>
      </c>
      <c r="AC48">
        <v>0.44600000000000001</v>
      </c>
      <c r="AD48">
        <v>9.9</v>
      </c>
      <c r="AE48">
        <v>26.9</v>
      </c>
      <c r="AF48">
        <v>0.36599999999999999</v>
      </c>
      <c r="AG48">
        <v>28.8</v>
      </c>
      <c r="AH48">
        <v>59.7</v>
      </c>
      <c r="AI48">
        <v>0.48199999999999998</v>
      </c>
      <c r="AJ48">
        <v>19.8</v>
      </c>
      <c r="AK48">
        <v>26.8</v>
      </c>
      <c r="AL48">
        <v>0.73899999999999999</v>
      </c>
      <c r="AM48">
        <v>10</v>
      </c>
      <c r="AN48">
        <v>34.9</v>
      </c>
      <c r="AO48">
        <v>44.9</v>
      </c>
      <c r="AP48">
        <v>21.3</v>
      </c>
      <c r="AQ48">
        <v>7</v>
      </c>
      <c r="AR48">
        <v>4.5999999999999996</v>
      </c>
      <c r="AS48">
        <v>12.5</v>
      </c>
      <c r="AT48">
        <v>17.600000000000001</v>
      </c>
      <c r="AU48">
        <v>107</v>
      </c>
    </row>
    <row r="49" spans="1:47">
      <c r="A49">
        <v>10</v>
      </c>
      <c r="B49" s="1" t="s">
        <v>920</v>
      </c>
      <c r="C49">
        <v>15</v>
      </c>
      <c r="D49">
        <v>9</v>
      </c>
      <c r="E49">
        <v>6</v>
      </c>
      <c r="F49">
        <v>720</v>
      </c>
      <c r="G49">
        <v>112.2</v>
      </c>
      <c r="H49">
        <v>109.9</v>
      </c>
      <c r="I49">
        <v>2.2999999999999998</v>
      </c>
      <c r="J49">
        <v>53.4</v>
      </c>
      <c r="K49">
        <v>1.64</v>
      </c>
      <c r="L49">
        <v>17</v>
      </c>
      <c r="M49">
        <v>23</v>
      </c>
      <c r="N49">
        <v>76.5</v>
      </c>
      <c r="O49">
        <v>51.3</v>
      </c>
      <c r="P49">
        <v>13.6</v>
      </c>
      <c r="Q49">
        <v>55</v>
      </c>
      <c r="R49">
        <v>58.8</v>
      </c>
      <c r="S49">
        <v>103.17</v>
      </c>
      <c r="T49">
        <v>51.7</v>
      </c>
      <c r="V49" t="str">
        <f t="shared" si="0"/>
        <v>Los Angeles Lakers</v>
      </c>
      <c r="W49">
        <v>10</v>
      </c>
      <c r="X49" s="1" t="s">
        <v>685</v>
      </c>
      <c r="Y49">
        <v>70</v>
      </c>
      <c r="Z49">
        <v>242.5</v>
      </c>
      <c r="AA49">
        <v>41.1</v>
      </c>
      <c r="AB49">
        <v>89.1</v>
      </c>
      <c r="AC49">
        <v>0.46100000000000002</v>
      </c>
      <c r="AD49">
        <v>9.9</v>
      </c>
      <c r="AE49">
        <v>28.8</v>
      </c>
      <c r="AF49">
        <v>0.34499999999999997</v>
      </c>
      <c r="AG49">
        <v>31.1</v>
      </c>
      <c r="AH49">
        <v>60.3</v>
      </c>
      <c r="AI49">
        <v>0.51700000000000002</v>
      </c>
      <c r="AJ49">
        <v>16.3</v>
      </c>
      <c r="AK49">
        <v>23</v>
      </c>
      <c r="AL49">
        <v>0.70699999999999996</v>
      </c>
      <c r="AM49">
        <v>10.9</v>
      </c>
      <c r="AN49">
        <v>35.4</v>
      </c>
      <c r="AO49">
        <v>46.3</v>
      </c>
      <c r="AP49">
        <v>23.8</v>
      </c>
      <c r="AQ49">
        <v>8</v>
      </c>
      <c r="AR49">
        <v>4.8</v>
      </c>
      <c r="AS49">
        <v>15.8</v>
      </c>
      <c r="AT49">
        <v>21.3</v>
      </c>
      <c r="AU49">
        <v>108.3</v>
      </c>
    </row>
    <row r="50" spans="1:47">
      <c r="A50">
        <v>10</v>
      </c>
      <c r="B50" s="1" t="s">
        <v>701</v>
      </c>
      <c r="C50">
        <v>15</v>
      </c>
      <c r="D50">
        <v>9</v>
      </c>
      <c r="E50">
        <v>6</v>
      </c>
      <c r="F50">
        <v>735</v>
      </c>
      <c r="G50">
        <v>109.4</v>
      </c>
      <c r="H50">
        <v>108.5</v>
      </c>
      <c r="I50">
        <v>0.9</v>
      </c>
      <c r="J50">
        <v>68.2</v>
      </c>
      <c r="K50">
        <v>1.85</v>
      </c>
      <c r="L50">
        <v>20.3</v>
      </c>
      <c r="M50">
        <v>24.2</v>
      </c>
      <c r="N50">
        <v>78.599999999999994</v>
      </c>
      <c r="O50">
        <v>52</v>
      </c>
      <c r="P50">
        <v>15.2</v>
      </c>
      <c r="Q50">
        <v>54</v>
      </c>
      <c r="R50">
        <v>57.7</v>
      </c>
      <c r="S50">
        <v>97.06</v>
      </c>
      <c r="T50">
        <v>51.4</v>
      </c>
      <c r="V50" t="str">
        <f t="shared" si="0"/>
        <v>Brooklyn Nets</v>
      </c>
      <c r="W50">
        <v>11</v>
      </c>
      <c r="X50" s="1" t="s">
        <v>709</v>
      </c>
      <c r="Y50">
        <v>71</v>
      </c>
      <c r="Z50">
        <v>242.1</v>
      </c>
      <c r="AA50">
        <v>38.1</v>
      </c>
      <c r="AB50">
        <v>86.9</v>
      </c>
      <c r="AC50">
        <v>0.438</v>
      </c>
      <c r="AD50">
        <v>12.4</v>
      </c>
      <c r="AE50">
        <v>35.1</v>
      </c>
      <c r="AF50">
        <v>0.35199999999999998</v>
      </c>
      <c r="AG50">
        <v>25.7</v>
      </c>
      <c r="AH50">
        <v>51.8</v>
      </c>
      <c r="AI50">
        <v>0.497</v>
      </c>
      <c r="AJ50">
        <v>17.8</v>
      </c>
      <c r="AK50">
        <v>22.8</v>
      </c>
      <c r="AL50">
        <v>0.77800000000000002</v>
      </c>
      <c r="AM50">
        <v>10.1</v>
      </c>
      <c r="AN50">
        <v>34.700000000000003</v>
      </c>
      <c r="AO50">
        <v>44.8</v>
      </c>
      <c r="AP50">
        <v>23.2</v>
      </c>
      <c r="AQ50">
        <v>6.1</v>
      </c>
      <c r="AR50">
        <v>4.3</v>
      </c>
      <c r="AS50">
        <v>15.3</v>
      </c>
      <c r="AT50">
        <v>20.6</v>
      </c>
      <c r="AU50">
        <v>106.3</v>
      </c>
    </row>
    <row r="51" spans="1:47">
      <c r="A51">
        <v>12</v>
      </c>
      <c r="B51" s="1" t="s">
        <v>675</v>
      </c>
      <c r="C51">
        <v>15</v>
      </c>
      <c r="D51">
        <v>8</v>
      </c>
      <c r="E51">
        <v>7</v>
      </c>
      <c r="F51">
        <v>735</v>
      </c>
      <c r="G51">
        <v>107.9</v>
      </c>
      <c r="H51">
        <v>105.6</v>
      </c>
      <c r="I51">
        <v>2.2999999999999998</v>
      </c>
      <c r="J51">
        <v>57.9</v>
      </c>
      <c r="K51">
        <v>1.74</v>
      </c>
      <c r="L51">
        <v>17.3</v>
      </c>
      <c r="M51">
        <v>23</v>
      </c>
      <c r="N51">
        <v>78.5</v>
      </c>
      <c r="O51">
        <v>50.7</v>
      </c>
      <c r="P51">
        <v>13.2</v>
      </c>
      <c r="Q51">
        <v>52.2</v>
      </c>
      <c r="R51">
        <v>55.7</v>
      </c>
      <c r="S51">
        <v>99.04</v>
      </c>
      <c r="T51">
        <v>50.6</v>
      </c>
      <c r="V51" t="str">
        <f t="shared" si="0"/>
        <v>Los Angeles Clippers</v>
      </c>
      <c r="W51">
        <v>12</v>
      </c>
      <c r="X51" s="1" t="s">
        <v>684</v>
      </c>
      <c r="Y51">
        <v>69</v>
      </c>
      <c r="Z51">
        <v>240.4</v>
      </c>
      <c r="AA51">
        <v>40.1</v>
      </c>
      <c r="AB51">
        <v>85.3</v>
      </c>
      <c r="AC51">
        <v>0.47</v>
      </c>
      <c r="AD51">
        <v>9.8000000000000007</v>
      </c>
      <c r="AE51">
        <v>28</v>
      </c>
      <c r="AF51">
        <v>0.35099999999999998</v>
      </c>
      <c r="AG51">
        <v>30.3</v>
      </c>
      <c r="AH51">
        <v>57.4</v>
      </c>
      <c r="AI51">
        <v>0.52800000000000002</v>
      </c>
      <c r="AJ51">
        <v>19.2</v>
      </c>
      <c r="AK51">
        <v>25.4</v>
      </c>
      <c r="AL51">
        <v>0.755</v>
      </c>
      <c r="AM51">
        <v>9.9</v>
      </c>
      <c r="AN51">
        <v>34.1</v>
      </c>
      <c r="AO51">
        <v>44</v>
      </c>
      <c r="AP51">
        <v>22.3</v>
      </c>
      <c r="AQ51">
        <v>7.8</v>
      </c>
      <c r="AR51">
        <v>4.7</v>
      </c>
      <c r="AS51">
        <v>14.7</v>
      </c>
      <c r="AT51">
        <v>20.100000000000001</v>
      </c>
      <c r="AU51">
        <v>109.3</v>
      </c>
    </row>
    <row r="52" spans="1:47">
      <c r="A52">
        <v>12</v>
      </c>
      <c r="B52" s="1" t="s">
        <v>817</v>
      </c>
      <c r="C52">
        <v>15</v>
      </c>
      <c r="D52">
        <v>8</v>
      </c>
      <c r="E52">
        <v>7</v>
      </c>
      <c r="F52">
        <v>720</v>
      </c>
      <c r="G52">
        <v>111.4</v>
      </c>
      <c r="H52">
        <v>109</v>
      </c>
      <c r="I52">
        <v>2.4</v>
      </c>
      <c r="J52">
        <v>55</v>
      </c>
      <c r="K52">
        <v>1.82</v>
      </c>
      <c r="L52">
        <v>17.5</v>
      </c>
      <c r="M52">
        <v>20.9</v>
      </c>
      <c r="N52">
        <v>76.3</v>
      </c>
      <c r="O52">
        <v>48.9</v>
      </c>
      <c r="P52">
        <v>12.7</v>
      </c>
      <c r="Q52">
        <v>55.1</v>
      </c>
      <c r="R52">
        <v>57.9</v>
      </c>
      <c r="S52">
        <v>101.31</v>
      </c>
      <c r="T52">
        <v>50</v>
      </c>
      <c r="V52" t="str">
        <f t="shared" si="0"/>
        <v>Washington Wizards</v>
      </c>
      <c r="W52">
        <v>13</v>
      </c>
      <c r="X52" s="1" t="s">
        <v>701</v>
      </c>
      <c r="Y52">
        <v>70</v>
      </c>
      <c r="Z52">
        <v>242.5</v>
      </c>
      <c r="AA52">
        <v>40.200000000000003</v>
      </c>
      <c r="AB52">
        <v>85.6</v>
      </c>
      <c r="AC52">
        <v>0.46899999999999997</v>
      </c>
      <c r="AD52">
        <v>9.8000000000000007</v>
      </c>
      <c r="AE52">
        <v>26.3</v>
      </c>
      <c r="AF52">
        <v>0.374</v>
      </c>
      <c r="AG52">
        <v>30.3</v>
      </c>
      <c r="AH52">
        <v>59.3</v>
      </c>
      <c r="AI52">
        <v>0.51100000000000001</v>
      </c>
      <c r="AJ52">
        <v>17.3</v>
      </c>
      <c r="AK52">
        <v>22.4</v>
      </c>
      <c r="AL52">
        <v>0.77400000000000002</v>
      </c>
      <c r="AM52">
        <v>10</v>
      </c>
      <c r="AN52">
        <v>33</v>
      </c>
      <c r="AO52">
        <v>43</v>
      </c>
      <c r="AP52">
        <v>24.9</v>
      </c>
      <c r="AQ52">
        <v>7.9</v>
      </c>
      <c r="AR52">
        <v>4.3</v>
      </c>
      <c r="AS52">
        <v>14.5</v>
      </c>
      <c r="AT52">
        <v>21.5</v>
      </c>
      <c r="AU52">
        <v>107.5</v>
      </c>
    </row>
    <row r="53" spans="1:47">
      <c r="A53">
        <v>12</v>
      </c>
      <c r="B53" s="1" t="s">
        <v>679</v>
      </c>
      <c r="C53">
        <v>15</v>
      </c>
      <c r="D53">
        <v>8</v>
      </c>
      <c r="E53">
        <v>7</v>
      </c>
      <c r="F53">
        <v>730</v>
      </c>
      <c r="G53">
        <v>114.5</v>
      </c>
      <c r="H53">
        <v>113.5</v>
      </c>
      <c r="I53">
        <v>1</v>
      </c>
      <c r="J53">
        <v>64.599999999999994</v>
      </c>
      <c r="K53">
        <v>1.88</v>
      </c>
      <c r="L53">
        <v>19.7</v>
      </c>
      <c r="M53">
        <v>24.6</v>
      </c>
      <c r="N53">
        <v>75</v>
      </c>
      <c r="O53">
        <v>50</v>
      </c>
      <c r="P53">
        <v>14.4</v>
      </c>
      <c r="Q53">
        <v>56.3</v>
      </c>
      <c r="R53">
        <v>59.8</v>
      </c>
      <c r="S53">
        <v>101.09</v>
      </c>
      <c r="T53">
        <v>51.7</v>
      </c>
      <c r="V53" t="str">
        <f t="shared" si="0"/>
        <v>Indiana Pacers</v>
      </c>
      <c r="W53">
        <v>14</v>
      </c>
      <c r="X53" s="1" t="s">
        <v>683</v>
      </c>
      <c r="Y53">
        <v>71</v>
      </c>
      <c r="Z53">
        <v>240.7</v>
      </c>
      <c r="AA53">
        <v>40.799999999999997</v>
      </c>
      <c r="AB53">
        <v>86</v>
      </c>
      <c r="AC53">
        <v>0.47399999999999998</v>
      </c>
      <c r="AD53">
        <v>9</v>
      </c>
      <c r="AE53">
        <v>24.4</v>
      </c>
      <c r="AF53">
        <v>0.37</v>
      </c>
      <c r="AG53">
        <v>31.7</v>
      </c>
      <c r="AH53">
        <v>61.5</v>
      </c>
      <c r="AI53">
        <v>0.51600000000000001</v>
      </c>
      <c r="AJ53">
        <v>15.2</v>
      </c>
      <c r="AK53">
        <v>19.600000000000001</v>
      </c>
      <c r="AL53">
        <v>0.77700000000000002</v>
      </c>
      <c r="AM53">
        <v>9.4</v>
      </c>
      <c r="AN53">
        <v>32.9</v>
      </c>
      <c r="AO53">
        <v>42.3</v>
      </c>
      <c r="AP53">
        <v>22</v>
      </c>
      <c r="AQ53">
        <v>8.6999999999999993</v>
      </c>
      <c r="AR53">
        <v>4.2</v>
      </c>
      <c r="AS53">
        <v>13.4</v>
      </c>
      <c r="AT53">
        <v>18.899999999999999</v>
      </c>
      <c r="AU53">
        <v>105.8</v>
      </c>
    </row>
    <row r="54" spans="1:47">
      <c r="A54">
        <v>12</v>
      </c>
      <c r="B54" s="1" t="s">
        <v>685</v>
      </c>
      <c r="C54">
        <v>15</v>
      </c>
      <c r="D54">
        <v>8</v>
      </c>
      <c r="E54">
        <v>7</v>
      </c>
      <c r="F54">
        <v>720</v>
      </c>
      <c r="G54">
        <v>109.1</v>
      </c>
      <c r="H54">
        <v>107.7</v>
      </c>
      <c r="I54">
        <v>1.4</v>
      </c>
      <c r="J54">
        <v>59.4</v>
      </c>
      <c r="K54">
        <v>1.62</v>
      </c>
      <c r="L54">
        <v>18</v>
      </c>
      <c r="M54">
        <v>22.7</v>
      </c>
      <c r="N54">
        <v>79.2</v>
      </c>
      <c r="O54">
        <v>51.7</v>
      </c>
      <c r="P54">
        <v>14.8</v>
      </c>
      <c r="Q54">
        <v>54.4</v>
      </c>
      <c r="R54">
        <v>57.6</v>
      </c>
      <c r="S54">
        <v>103.64</v>
      </c>
      <c r="T54">
        <v>50.3</v>
      </c>
      <c r="V54" t="str">
        <f t="shared" si="0"/>
        <v>Philadelphia 76ers</v>
      </c>
      <c r="W54">
        <v>15</v>
      </c>
      <c r="X54" s="1" t="s">
        <v>694</v>
      </c>
      <c r="Y54">
        <v>69</v>
      </c>
      <c r="Z54">
        <v>241.4</v>
      </c>
      <c r="AA54">
        <v>39.9</v>
      </c>
      <c r="AB54">
        <v>85.4</v>
      </c>
      <c r="AC54">
        <v>0.46700000000000003</v>
      </c>
      <c r="AD54">
        <v>10.8</v>
      </c>
      <c r="AE54">
        <v>29.3</v>
      </c>
      <c r="AF54">
        <v>0.36699999999999999</v>
      </c>
      <c r="AG54">
        <v>29.1</v>
      </c>
      <c r="AH54">
        <v>56.2</v>
      </c>
      <c r="AI54">
        <v>0.51900000000000002</v>
      </c>
      <c r="AJ54">
        <v>17.5</v>
      </c>
      <c r="AK54">
        <v>23.1</v>
      </c>
      <c r="AL54">
        <v>0.75800000000000001</v>
      </c>
      <c r="AM54">
        <v>11.1</v>
      </c>
      <c r="AN54">
        <v>35.700000000000003</v>
      </c>
      <c r="AO54">
        <v>46.8</v>
      </c>
      <c r="AP54">
        <v>26</v>
      </c>
      <c r="AQ54">
        <v>8</v>
      </c>
      <c r="AR54">
        <v>5</v>
      </c>
      <c r="AS54">
        <v>17</v>
      </c>
      <c r="AT54">
        <v>22.3</v>
      </c>
      <c r="AU54">
        <v>108.1</v>
      </c>
    </row>
    <row r="55" spans="1:47">
      <c r="A55">
        <v>12</v>
      </c>
      <c r="B55" s="1" t="s">
        <v>687</v>
      </c>
      <c r="C55">
        <v>15</v>
      </c>
      <c r="D55">
        <v>8</v>
      </c>
      <c r="E55">
        <v>7</v>
      </c>
      <c r="F55">
        <v>745</v>
      </c>
      <c r="G55">
        <v>110.4</v>
      </c>
      <c r="H55">
        <v>106</v>
      </c>
      <c r="I55">
        <v>4.4000000000000004</v>
      </c>
      <c r="J55">
        <v>59.5</v>
      </c>
      <c r="K55">
        <v>2</v>
      </c>
      <c r="L55">
        <v>18.3</v>
      </c>
      <c r="M55">
        <v>24</v>
      </c>
      <c r="N55">
        <v>76.7</v>
      </c>
      <c r="O55">
        <v>50.1</v>
      </c>
      <c r="P55">
        <v>12.4</v>
      </c>
      <c r="Q55">
        <v>53.3</v>
      </c>
      <c r="R55">
        <v>56.2</v>
      </c>
      <c r="S55">
        <v>99.93</v>
      </c>
      <c r="T55">
        <v>52.6</v>
      </c>
      <c r="V55" t="str">
        <f t="shared" si="0"/>
        <v>Portland Trail Blazers</v>
      </c>
      <c r="W55">
        <v>16</v>
      </c>
      <c r="X55" s="1" t="s">
        <v>696</v>
      </c>
      <c r="Y55">
        <v>70</v>
      </c>
      <c r="Z55">
        <v>241.1</v>
      </c>
      <c r="AA55">
        <v>39.200000000000003</v>
      </c>
      <c r="AB55">
        <v>86.6</v>
      </c>
      <c r="AC55">
        <v>0.45300000000000001</v>
      </c>
      <c r="AD55">
        <v>10.5</v>
      </c>
      <c r="AE55">
        <v>27.7</v>
      </c>
      <c r="AF55">
        <v>0.38</v>
      </c>
      <c r="AG55">
        <v>28.7</v>
      </c>
      <c r="AH55">
        <v>59</v>
      </c>
      <c r="AI55">
        <v>0.48699999999999999</v>
      </c>
      <c r="AJ55">
        <v>17.100000000000001</v>
      </c>
      <c r="AK55">
        <v>21.3</v>
      </c>
      <c r="AL55">
        <v>0.80200000000000005</v>
      </c>
      <c r="AM55">
        <v>10</v>
      </c>
      <c r="AN55">
        <v>35.4</v>
      </c>
      <c r="AO55">
        <v>45.4</v>
      </c>
      <c r="AP55">
        <v>19.399999999999999</v>
      </c>
      <c r="AQ55">
        <v>6.8</v>
      </c>
      <c r="AR55">
        <v>5.0999999999999996</v>
      </c>
      <c r="AS55">
        <v>13.7</v>
      </c>
      <c r="AT55">
        <v>19.399999999999999</v>
      </c>
      <c r="AU55">
        <v>106</v>
      </c>
    </row>
    <row r="56" spans="1:47">
      <c r="A56">
        <v>17</v>
      </c>
      <c r="B56" s="1" t="s">
        <v>677</v>
      </c>
      <c r="C56">
        <v>15</v>
      </c>
      <c r="D56">
        <v>7</v>
      </c>
      <c r="E56">
        <v>8</v>
      </c>
      <c r="F56">
        <v>720</v>
      </c>
      <c r="G56">
        <v>109.7</v>
      </c>
      <c r="H56">
        <v>111.4</v>
      </c>
      <c r="I56">
        <v>-1.7</v>
      </c>
      <c r="J56">
        <v>57.8</v>
      </c>
      <c r="K56">
        <v>2.0099999999999998</v>
      </c>
      <c r="L56">
        <v>17.399999999999999</v>
      </c>
      <c r="M56">
        <v>19.5</v>
      </c>
      <c r="N56">
        <v>78.3</v>
      </c>
      <c r="O56">
        <v>47.8</v>
      </c>
      <c r="P56">
        <v>11.4</v>
      </c>
      <c r="Q56">
        <v>52.4</v>
      </c>
      <c r="R56">
        <v>56.3</v>
      </c>
      <c r="S56">
        <v>100.85</v>
      </c>
      <c r="T56">
        <v>48.9</v>
      </c>
      <c r="V56" t="str">
        <f t="shared" si="0"/>
        <v>Phoenix Suns</v>
      </c>
      <c r="W56">
        <v>17</v>
      </c>
      <c r="X56" s="1" t="s">
        <v>695</v>
      </c>
      <c r="Y56">
        <v>71</v>
      </c>
      <c r="Z56">
        <v>240.4</v>
      </c>
      <c r="AA56">
        <v>38.5</v>
      </c>
      <c r="AB56">
        <v>87.2</v>
      </c>
      <c r="AC56">
        <v>0.441</v>
      </c>
      <c r="AD56">
        <v>9.3000000000000007</v>
      </c>
      <c r="AE56">
        <v>27.5</v>
      </c>
      <c r="AF56">
        <v>0.33800000000000002</v>
      </c>
      <c r="AG56">
        <v>29.2</v>
      </c>
      <c r="AH56">
        <v>59.7</v>
      </c>
      <c r="AI56">
        <v>0.48799999999999999</v>
      </c>
      <c r="AJ56">
        <v>18.2</v>
      </c>
      <c r="AK56">
        <v>24.4</v>
      </c>
      <c r="AL56">
        <v>0.746</v>
      </c>
      <c r="AM56">
        <v>10.5</v>
      </c>
      <c r="AN56">
        <v>33.6</v>
      </c>
      <c r="AO56">
        <v>44.1</v>
      </c>
      <c r="AP56">
        <v>21.1</v>
      </c>
      <c r="AQ56">
        <v>6.8</v>
      </c>
      <c r="AR56">
        <v>4.5</v>
      </c>
      <c r="AS56">
        <v>15.7</v>
      </c>
      <c r="AT56">
        <v>22.6</v>
      </c>
      <c r="AU56">
        <v>104.4</v>
      </c>
    </row>
    <row r="57" spans="1:47">
      <c r="A57">
        <v>18</v>
      </c>
      <c r="B57" s="1" t="s">
        <v>688</v>
      </c>
      <c r="C57">
        <v>15</v>
      </c>
      <c r="D57">
        <v>6</v>
      </c>
      <c r="E57">
        <v>9</v>
      </c>
      <c r="F57">
        <v>730</v>
      </c>
      <c r="G57">
        <v>109</v>
      </c>
      <c r="H57">
        <v>110</v>
      </c>
      <c r="I57">
        <v>-1.1000000000000001</v>
      </c>
      <c r="J57">
        <v>57.9</v>
      </c>
      <c r="K57">
        <v>1.56</v>
      </c>
      <c r="L57">
        <v>17.5</v>
      </c>
      <c r="M57">
        <v>23.9</v>
      </c>
      <c r="N57">
        <v>74.8</v>
      </c>
      <c r="O57">
        <v>49.5</v>
      </c>
      <c r="P57">
        <v>15</v>
      </c>
      <c r="Q57">
        <v>53.2</v>
      </c>
      <c r="R57">
        <v>57.5</v>
      </c>
      <c r="S57">
        <v>100.11</v>
      </c>
      <c r="T57">
        <v>49.9</v>
      </c>
      <c r="V57" t="str">
        <f t="shared" si="0"/>
        <v>New York Knicks</v>
      </c>
      <c r="W57">
        <v>18</v>
      </c>
      <c r="X57" s="1" t="s">
        <v>691</v>
      </c>
      <c r="Y57">
        <v>71</v>
      </c>
      <c r="Z57">
        <v>241.8</v>
      </c>
      <c r="AA57">
        <v>40.5</v>
      </c>
      <c r="AB57">
        <v>87.2</v>
      </c>
      <c r="AC57">
        <v>0.46400000000000002</v>
      </c>
      <c r="AD57">
        <v>7.9</v>
      </c>
      <c r="AE57">
        <v>22.6</v>
      </c>
      <c r="AF57">
        <v>0.35</v>
      </c>
      <c r="AG57">
        <v>32.6</v>
      </c>
      <c r="AH57">
        <v>64.7</v>
      </c>
      <c r="AI57">
        <v>0.504</v>
      </c>
      <c r="AJ57">
        <v>15.5</v>
      </c>
      <c r="AK57">
        <v>19.600000000000001</v>
      </c>
      <c r="AL57">
        <v>0.78600000000000003</v>
      </c>
      <c r="AM57">
        <v>10.6</v>
      </c>
      <c r="AN57">
        <v>33.700000000000003</v>
      </c>
      <c r="AO57">
        <v>44.3</v>
      </c>
      <c r="AP57">
        <v>22.9</v>
      </c>
      <c r="AQ57">
        <v>6.8</v>
      </c>
      <c r="AR57">
        <v>5.3</v>
      </c>
      <c r="AS57">
        <v>14.9</v>
      </c>
      <c r="AT57">
        <v>20.5</v>
      </c>
      <c r="AU57">
        <v>104.4</v>
      </c>
    </row>
    <row r="58" spans="1:47">
      <c r="A58">
        <v>18</v>
      </c>
      <c r="B58" s="1" t="s">
        <v>689</v>
      </c>
      <c r="C58">
        <v>15</v>
      </c>
      <c r="D58">
        <v>6</v>
      </c>
      <c r="E58">
        <v>9</v>
      </c>
      <c r="F58">
        <v>725</v>
      </c>
      <c r="G58">
        <v>113.7</v>
      </c>
      <c r="H58">
        <v>115.1</v>
      </c>
      <c r="I58">
        <v>-1.4</v>
      </c>
      <c r="J58">
        <v>54</v>
      </c>
      <c r="K58">
        <v>1.82</v>
      </c>
      <c r="L58">
        <v>17.3</v>
      </c>
      <c r="M58">
        <v>23.8</v>
      </c>
      <c r="N58">
        <v>75.7</v>
      </c>
      <c r="O58">
        <v>49.8</v>
      </c>
      <c r="P58">
        <v>12.6</v>
      </c>
      <c r="Q58">
        <v>54</v>
      </c>
      <c r="R58">
        <v>58.4</v>
      </c>
      <c r="S58">
        <v>98.84</v>
      </c>
      <c r="T58">
        <v>49.8</v>
      </c>
      <c r="V58" t="str">
        <f t="shared" si="0"/>
        <v>Milwaukee Bucks</v>
      </c>
      <c r="W58">
        <v>19</v>
      </c>
      <c r="X58" s="1" t="s">
        <v>688</v>
      </c>
      <c r="Y58">
        <v>70</v>
      </c>
      <c r="Z58">
        <v>241.4</v>
      </c>
      <c r="AA58">
        <v>39.200000000000003</v>
      </c>
      <c r="AB58">
        <v>81.900000000000006</v>
      </c>
      <c r="AC58">
        <v>0.47799999999999998</v>
      </c>
      <c r="AD58">
        <v>8.6999999999999993</v>
      </c>
      <c r="AE58">
        <v>24.6</v>
      </c>
      <c r="AF58">
        <v>0.35499999999999998</v>
      </c>
      <c r="AG58">
        <v>30.4</v>
      </c>
      <c r="AH58">
        <v>57.3</v>
      </c>
      <c r="AI58">
        <v>0.53100000000000003</v>
      </c>
      <c r="AJ58">
        <v>18.600000000000001</v>
      </c>
      <c r="AK58">
        <v>23.9</v>
      </c>
      <c r="AL58">
        <v>0.77900000000000003</v>
      </c>
      <c r="AM58">
        <v>8.1999999999999993</v>
      </c>
      <c r="AN58">
        <v>31.3</v>
      </c>
      <c r="AO58">
        <v>39.5</v>
      </c>
      <c r="AP58">
        <v>22.7</v>
      </c>
      <c r="AQ58">
        <v>8.6</v>
      </c>
      <c r="AR58">
        <v>5.4</v>
      </c>
      <c r="AS58">
        <v>14</v>
      </c>
      <c r="AT58">
        <v>21.6</v>
      </c>
      <c r="AU58">
        <v>105.6</v>
      </c>
    </row>
    <row r="59" spans="1:47">
      <c r="A59">
        <v>18</v>
      </c>
      <c r="B59" s="1" t="s">
        <v>698</v>
      </c>
      <c r="C59">
        <v>15</v>
      </c>
      <c r="D59">
        <v>6</v>
      </c>
      <c r="E59">
        <v>9</v>
      </c>
      <c r="F59">
        <v>720</v>
      </c>
      <c r="G59">
        <v>105.1</v>
      </c>
      <c r="H59">
        <v>103.9</v>
      </c>
      <c r="I59">
        <v>1.2</v>
      </c>
      <c r="J59">
        <v>59.9</v>
      </c>
      <c r="K59">
        <v>2.0099999999999998</v>
      </c>
      <c r="L59">
        <v>18</v>
      </c>
      <c r="M59">
        <v>23.1</v>
      </c>
      <c r="N59">
        <v>76.2</v>
      </c>
      <c r="O59">
        <v>49.4</v>
      </c>
      <c r="P59">
        <v>12.1</v>
      </c>
      <c r="Q59">
        <v>49.9</v>
      </c>
      <c r="R59">
        <v>53.5</v>
      </c>
      <c r="S59">
        <v>99.91</v>
      </c>
      <c r="T59">
        <v>51.7</v>
      </c>
      <c r="V59" t="str">
        <f t="shared" si="0"/>
        <v>Orlando Magic</v>
      </c>
      <c r="W59">
        <v>20</v>
      </c>
      <c r="X59" s="1" t="s">
        <v>693</v>
      </c>
      <c r="Y59">
        <v>70</v>
      </c>
      <c r="Z59">
        <v>240.7</v>
      </c>
      <c r="AA59">
        <v>39.1</v>
      </c>
      <c r="AB59">
        <v>85.4</v>
      </c>
      <c r="AC59">
        <v>0.45800000000000002</v>
      </c>
      <c r="AD59">
        <v>10.5</v>
      </c>
      <c r="AE59">
        <v>29.2</v>
      </c>
      <c r="AF59">
        <v>0.35899999999999999</v>
      </c>
      <c r="AG59">
        <v>28.7</v>
      </c>
      <c r="AH59">
        <v>56.2</v>
      </c>
      <c r="AI59">
        <v>0.51</v>
      </c>
      <c r="AJ59">
        <v>15.9</v>
      </c>
      <c r="AK59">
        <v>20.8</v>
      </c>
      <c r="AL59">
        <v>0.76300000000000001</v>
      </c>
      <c r="AM59">
        <v>8.6</v>
      </c>
      <c r="AN59">
        <v>32.4</v>
      </c>
      <c r="AO59">
        <v>41</v>
      </c>
      <c r="AP59">
        <v>23.3</v>
      </c>
      <c r="AQ59">
        <v>7.5</v>
      </c>
      <c r="AR59">
        <v>4.8</v>
      </c>
      <c r="AS59">
        <v>14.8</v>
      </c>
      <c r="AT59">
        <v>19.7</v>
      </c>
      <c r="AU59">
        <v>104.7</v>
      </c>
    </row>
    <row r="60" spans="1:47">
      <c r="A60">
        <v>21</v>
      </c>
      <c r="B60" s="1" t="s">
        <v>676</v>
      </c>
      <c r="C60">
        <v>15</v>
      </c>
      <c r="D60">
        <v>5</v>
      </c>
      <c r="E60">
        <v>10</v>
      </c>
      <c r="F60">
        <v>720</v>
      </c>
      <c r="G60">
        <v>101.9</v>
      </c>
      <c r="H60">
        <v>110.8</v>
      </c>
      <c r="I60">
        <v>-8.9</v>
      </c>
      <c r="J60">
        <v>59.7</v>
      </c>
      <c r="K60">
        <v>1.79</v>
      </c>
      <c r="L60">
        <v>17.3</v>
      </c>
      <c r="M60">
        <v>21.6</v>
      </c>
      <c r="N60">
        <v>79.2</v>
      </c>
      <c r="O60">
        <v>49.5</v>
      </c>
      <c r="P60">
        <v>12.8</v>
      </c>
      <c r="Q60">
        <v>49.3</v>
      </c>
      <c r="R60">
        <v>52.5</v>
      </c>
      <c r="S60">
        <v>101.05</v>
      </c>
      <c r="T60">
        <v>45.2</v>
      </c>
      <c r="V60" t="str">
        <f t="shared" si="0"/>
        <v>Miami Heat</v>
      </c>
      <c r="W60">
        <v>21</v>
      </c>
      <c r="X60" s="1" t="s">
        <v>687</v>
      </c>
      <c r="Y60">
        <v>71</v>
      </c>
      <c r="Z60">
        <v>242.5</v>
      </c>
      <c r="AA60">
        <v>38.6</v>
      </c>
      <c r="AB60">
        <v>84.8</v>
      </c>
      <c r="AC60">
        <v>0.45500000000000002</v>
      </c>
      <c r="AD60">
        <v>11.1</v>
      </c>
      <c r="AE60">
        <v>30.8</v>
      </c>
      <c r="AF60">
        <v>0.36099999999999999</v>
      </c>
      <c r="AG60">
        <v>27.5</v>
      </c>
      <c r="AH60">
        <v>54</v>
      </c>
      <c r="AI60">
        <v>0.50900000000000001</v>
      </c>
      <c r="AJ60">
        <v>14.7</v>
      </c>
      <c r="AK60">
        <v>19.7</v>
      </c>
      <c r="AL60">
        <v>0.749</v>
      </c>
      <c r="AM60">
        <v>9.3000000000000007</v>
      </c>
      <c r="AN60">
        <v>33.9</v>
      </c>
      <c r="AO60">
        <v>43.3</v>
      </c>
      <c r="AP60">
        <v>22.5</v>
      </c>
      <c r="AQ60">
        <v>7.5</v>
      </c>
      <c r="AR60">
        <v>5.3</v>
      </c>
      <c r="AS60">
        <v>14.5</v>
      </c>
      <c r="AT60">
        <v>20.100000000000001</v>
      </c>
      <c r="AU60">
        <v>103.1</v>
      </c>
    </row>
    <row r="61" spans="1:47">
      <c r="A61">
        <v>21</v>
      </c>
      <c r="B61" s="1" t="s">
        <v>678</v>
      </c>
      <c r="C61">
        <v>15</v>
      </c>
      <c r="D61">
        <v>5</v>
      </c>
      <c r="E61">
        <v>10</v>
      </c>
      <c r="F61">
        <v>730</v>
      </c>
      <c r="G61">
        <v>106.4</v>
      </c>
      <c r="H61">
        <v>108.6</v>
      </c>
      <c r="I61">
        <v>-2.2000000000000002</v>
      </c>
      <c r="J61">
        <v>62.2</v>
      </c>
      <c r="K61">
        <v>1.97</v>
      </c>
      <c r="L61">
        <v>18.399999999999999</v>
      </c>
      <c r="M61">
        <v>20.100000000000001</v>
      </c>
      <c r="N61">
        <v>78.3</v>
      </c>
      <c r="O61">
        <v>48.5</v>
      </c>
      <c r="P61">
        <v>12.5</v>
      </c>
      <c r="Q61">
        <v>51.7</v>
      </c>
      <c r="R61">
        <v>55</v>
      </c>
      <c r="S61">
        <v>98.99</v>
      </c>
      <c r="T61">
        <v>48.7</v>
      </c>
      <c r="V61" t="str">
        <f t="shared" si="0"/>
        <v>Boston Celtics</v>
      </c>
      <c r="W61">
        <v>22</v>
      </c>
      <c r="X61" s="1" t="s">
        <v>1219</v>
      </c>
      <c r="Y61">
        <v>70</v>
      </c>
      <c r="Z61">
        <v>241.8</v>
      </c>
      <c r="AA61">
        <v>38.4</v>
      </c>
      <c r="AB61">
        <v>85.4</v>
      </c>
      <c r="AC61">
        <v>0.45</v>
      </c>
      <c r="AD61">
        <v>11.7</v>
      </c>
      <c r="AE61">
        <v>31.3</v>
      </c>
      <c r="AF61">
        <v>0.374</v>
      </c>
      <c r="AG61">
        <v>26.7</v>
      </c>
      <c r="AH61">
        <v>54.1</v>
      </c>
      <c r="AI61">
        <v>0.49399999999999999</v>
      </c>
      <c r="AJ61">
        <v>15.8</v>
      </c>
      <c r="AK61">
        <v>20.7</v>
      </c>
      <c r="AL61">
        <v>0.76600000000000001</v>
      </c>
      <c r="AM61">
        <v>9.3000000000000007</v>
      </c>
      <c r="AN61">
        <v>35.200000000000003</v>
      </c>
      <c r="AO61">
        <v>44.5</v>
      </c>
      <c r="AP61">
        <v>22.4</v>
      </c>
      <c r="AQ61">
        <v>7.2</v>
      </c>
      <c r="AR61">
        <v>4.7</v>
      </c>
      <c r="AS61">
        <v>13.9</v>
      </c>
      <c r="AT61">
        <v>20.100000000000001</v>
      </c>
      <c r="AU61">
        <v>104.3</v>
      </c>
    </row>
    <row r="62" spans="1:47">
      <c r="A62">
        <v>21</v>
      </c>
      <c r="B62" s="1" t="s">
        <v>697</v>
      </c>
      <c r="C62">
        <v>15</v>
      </c>
      <c r="D62">
        <v>5</v>
      </c>
      <c r="E62">
        <v>10</v>
      </c>
      <c r="F62">
        <v>730</v>
      </c>
      <c r="G62">
        <v>103.6</v>
      </c>
      <c r="H62">
        <v>110.3</v>
      </c>
      <c r="I62">
        <v>-6.6</v>
      </c>
      <c r="J62">
        <v>56.1</v>
      </c>
      <c r="K62">
        <v>1.88</v>
      </c>
      <c r="L62">
        <v>17.100000000000001</v>
      </c>
      <c r="M62">
        <v>21.3</v>
      </c>
      <c r="N62">
        <v>77</v>
      </c>
      <c r="O62">
        <v>47.7</v>
      </c>
      <c r="P62">
        <v>12.1</v>
      </c>
      <c r="Q62">
        <v>50.1</v>
      </c>
      <c r="R62">
        <v>53</v>
      </c>
      <c r="S62">
        <v>96.98</v>
      </c>
      <c r="T62">
        <v>45.7</v>
      </c>
      <c r="V62" t="str">
        <f t="shared" si="0"/>
        <v>Atlanta Hawks</v>
      </c>
      <c r="W62">
        <v>23</v>
      </c>
      <c r="X62" s="1" t="s">
        <v>674</v>
      </c>
      <c r="Y62">
        <v>70</v>
      </c>
      <c r="Z62">
        <v>240.4</v>
      </c>
      <c r="AA62">
        <v>38.200000000000003</v>
      </c>
      <c r="AB62">
        <v>85.1</v>
      </c>
      <c r="AC62">
        <v>0.44800000000000001</v>
      </c>
      <c r="AD62">
        <v>11.1</v>
      </c>
      <c r="AE62">
        <v>30.5</v>
      </c>
      <c r="AF62">
        <v>0.36599999999999999</v>
      </c>
      <c r="AG62">
        <v>27</v>
      </c>
      <c r="AH62">
        <v>54.7</v>
      </c>
      <c r="AI62">
        <v>0.495</v>
      </c>
      <c r="AJ62">
        <v>16.5</v>
      </c>
      <c r="AK62">
        <v>20.7</v>
      </c>
      <c r="AL62">
        <v>0.79600000000000004</v>
      </c>
      <c r="AM62">
        <v>9.1999999999999993</v>
      </c>
      <c r="AN62">
        <v>31.9</v>
      </c>
      <c r="AO62">
        <v>41.2</v>
      </c>
      <c r="AP62">
        <v>23.8</v>
      </c>
      <c r="AQ62">
        <v>8</v>
      </c>
      <c r="AR62">
        <v>4.4000000000000004</v>
      </c>
      <c r="AS62">
        <v>15.7</v>
      </c>
      <c r="AT62">
        <v>20</v>
      </c>
      <c r="AU62">
        <v>104</v>
      </c>
    </row>
    <row r="63" spans="1:47">
      <c r="A63">
        <v>24</v>
      </c>
      <c r="B63" s="1" t="s">
        <v>709</v>
      </c>
      <c r="C63">
        <v>15</v>
      </c>
      <c r="D63">
        <v>4</v>
      </c>
      <c r="E63">
        <v>11</v>
      </c>
      <c r="F63">
        <v>735</v>
      </c>
      <c r="G63">
        <v>107.9</v>
      </c>
      <c r="H63">
        <v>112.9</v>
      </c>
      <c r="I63">
        <v>-5</v>
      </c>
      <c r="J63">
        <v>66.900000000000006</v>
      </c>
      <c r="K63">
        <v>1.79</v>
      </c>
      <c r="L63">
        <v>18.899999999999999</v>
      </c>
      <c r="M63">
        <v>22.6</v>
      </c>
      <c r="N63">
        <v>74.3</v>
      </c>
      <c r="O63">
        <v>47.9</v>
      </c>
      <c r="P63">
        <v>14.3</v>
      </c>
      <c r="Q63">
        <v>52.3</v>
      </c>
      <c r="R63">
        <v>56.2</v>
      </c>
      <c r="S63">
        <v>100.19</v>
      </c>
      <c r="T63">
        <v>46.9</v>
      </c>
      <c r="V63" t="str">
        <f t="shared" si="0"/>
        <v>San Antonio Spurs</v>
      </c>
      <c r="W63">
        <v>24</v>
      </c>
      <c r="X63" s="1" t="s">
        <v>698</v>
      </c>
      <c r="Y63">
        <v>71</v>
      </c>
      <c r="Z63">
        <v>240</v>
      </c>
      <c r="AA63">
        <v>38.9</v>
      </c>
      <c r="AB63">
        <v>85.1</v>
      </c>
      <c r="AC63">
        <v>0.45700000000000002</v>
      </c>
      <c r="AD63">
        <v>8.6</v>
      </c>
      <c r="AE63">
        <v>24.3</v>
      </c>
      <c r="AF63">
        <v>0.35399999999999998</v>
      </c>
      <c r="AG63">
        <v>30.3</v>
      </c>
      <c r="AH63">
        <v>60.8</v>
      </c>
      <c r="AI63">
        <v>0.499</v>
      </c>
      <c r="AJ63">
        <v>15.8</v>
      </c>
      <c r="AK63">
        <v>20.3</v>
      </c>
      <c r="AL63">
        <v>0.77700000000000002</v>
      </c>
      <c r="AM63">
        <v>10.199999999999999</v>
      </c>
      <c r="AN63">
        <v>34.1</v>
      </c>
      <c r="AO63">
        <v>44.3</v>
      </c>
      <c r="AP63">
        <v>23</v>
      </c>
      <c r="AQ63">
        <v>7.5</v>
      </c>
      <c r="AR63">
        <v>5.6</v>
      </c>
      <c r="AS63">
        <v>13.3</v>
      </c>
      <c r="AT63">
        <v>17</v>
      </c>
      <c r="AU63">
        <v>102.2</v>
      </c>
    </row>
    <row r="64" spans="1:47">
      <c r="A64">
        <v>24</v>
      </c>
      <c r="B64" s="1" t="s">
        <v>680</v>
      </c>
      <c r="C64">
        <v>15</v>
      </c>
      <c r="D64">
        <v>4</v>
      </c>
      <c r="E64">
        <v>11</v>
      </c>
      <c r="F64">
        <v>730</v>
      </c>
      <c r="G64">
        <v>100.9</v>
      </c>
      <c r="H64">
        <v>106.7</v>
      </c>
      <c r="I64">
        <v>-5.8</v>
      </c>
      <c r="J64">
        <v>55.7</v>
      </c>
      <c r="K64">
        <v>1.48</v>
      </c>
      <c r="L64">
        <v>15.9</v>
      </c>
      <c r="M64">
        <v>23.8</v>
      </c>
      <c r="N64">
        <v>77.8</v>
      </c>
      <c r="O64">
        <v>49.7</v>
      </c>
      <c r="P64">
        <v>14.2</v>
      </c>
      <c r="Q64">
        <v>48.7</v>
      </c>
      <c r="R64">
        <v>52</v>
      </c>
      <c r="S64">
        <v>98.42</v>
      </c>
      <c r="T64">
        <v>44.9</v>
      </c>
      <c r="V64" t="str">
        <f t="shared" si="0"/>
        <v>Chicago Bulls</v>
      </c>
      <c r="W64">
        <v>25</v>
      </c>
      <c r="X64" s="1" t="s">
        <v>676</v>
      </c>
      <c r="Y64">
        <v>70</v>
      </c>
      <c r="Z64">
        <v>242.5</v>
      </c>
      <c r="AA64">
        <v>38.799999999999997</v>
      </c>
      <c r="AB64">
        <v>88.9</v>
      </c>
      <c r="AC64">
        <v>0.437</v>
      </c>
      <c r="AD64">
        <v>10.9</v>
      </c>
      <c r="AE64">
        <v>30.8</v>
      </c>
      <c r="AF64">
        <v>0.35499999999999998</v>
      </c>
      <c r="AG64">
        <v>27.9</v>
      </c>
      <c r="AH64">
        <v>58</v>
      </c>
      <c r="AI64">
        <v>0.48099999999999998</v>
      </c>
      <c r="AJ64">
        <v>14.9</v>
      </c>
      <c r="AK64">
        <v>19.5</v>
      </c>
      <c r="AL64">
        <v>0.76300000000000001</v>
      </c>
      <c r="AM64">
        <v>9.4</v>
      </c>
      <c r="AN64">
        <v>35.299999999999997</v>
      </c>
      <c r="AO64">
        <v>44.7</v>
      </c>
      <c r="AP64">
        <v>23.6</v>
      </c>
      <c r="AQ64">
        <v>7.4</v>
      </c>
      <c r="AR64">
        <v>3.7</v>
      </c>
      <c r="AS64">
        <v>13.7</v>
      </c>
      <c r="AT64">
        <v>19.3</v>
      </c>
      <c r="AU64">
        <v>103.5</v>
      </c>
    </row>
    <row r="65" spans="1:47">
      <c r="A65">
        <v>26</v>
      </c>
      <c r="B65" s="1" t="s">
        <v>674</v>
      </c>
      <c r="C65">
        <v>15</v>
      </c>
      <c r="D65">
        <v>3</v>
      </c>
      <c r="E65">
        <v>12</v>
      </c>
      <c r="F65">
        <v>720</v>
      </c>
      <c r="G65">
        <v>101.4</v>
      </c>
      <c r="H65">
        <v>111.9</v>
      </c>
      <c r="I65">
        <v>-10.5</v>
      </c>
      <c r="J65">
        <v>61.3</v>
      </c>
      <c r="K65">
        <v>1.4</v>
      </c>
      <c r="L65">
        <v>17.100000000000001</v>
      </c>
      <c r="M65">
        <v>18.8</v>
      </c>
      <c r="N65">
        <v>77.8</v>
      </c>
      <c r="O65">
        <v>48.5</v>
      </c>
      <c r="P65">
        <v>15.8</v>
      </c>
      <c r="Q65">
        <v>50.8</v>
      </c>
      <c r="R65">
        <v>55.1</v>
      </c>
      <c r="S65">
        <v>103.33</v>
      </c>
      <c r="T65">
        <v>44.7</v>
      </c>
      <c r="V65" t="str">
        <f t="shared" si="0"/>
        <v>Utah Jazz</v>
      </c>
      <c r="W65">
        <v>26</v>
      </c>
      <c r="X65" s="1" t="s">
        <v>700</v>
      </c>
      <c r="Y65">
        <v>70</v>
      </c>
      <c r="Z65">
        <v>240.7</v>
      </c>
      <c r="AA65">
        <v>37.799999999999997</v>
      </c>
      <c r="AB65">
        <v>82.6</v>
      </c>
      <c r="AC65">
        <v>0.45800000000000002</v>
      </c>
      <c r="AD65">
        <v>10.8</v>
      </c>
      <c r="AE65">
        <v>29.4</v>
      </c>
      <c r="AF65">
        <v>0.36699999999999999</v>
      </c>
      <c r="AG65">
        <v>27</v>
      </c>
      <c r="AH65">
        <v>53.1</v>
      </c>
      <c r="AI65">
        <v>0.50800000000000001</v>
      </c>
      <c r="AJ65">
        <v>16.7</v>
      </c>
      <c r="AK65">
        <v>21.3</v>
      </c>
      <c r="AL65">
        <v>0.78500000000000003</v>
      </c>
      <c r="AM65">
        <v>8.9</v>
      </c>
      <c r="AN65">
        <v>34.1</v>
      </c>
      <c r="AO65">
        <v>43</v>
      </c>
      <c r="AP65">
        <v>21.8</v>
      </c>
      <c r="AQ65">
        <v>8.6999999999999993</v>
      </c>
      <c r="AR65">
        <v>5</v>
      </c>
      <c r="AS65">
        <v>14.7</v>
      </c>
      <c r="AT65">
        <v>19.5</v>
      </c>
      <c r="AU65">
        <v>103.1</v>
      </c>
    </row>
    <row r="66" spans="1:47">
      <c r="A66">
        <v>26</v>
      </c>
      <c r="B66" s="1" t="s">
        <v>691</v>
      </c>
      <c r="C66">
        <v>15</v>
      </c>
      <c r="D66">
        <v>3</v>
      </c>
      <c r="E66">
        <v>12</v>
      </c>
      <c r="F66">
        <v>720</v>
      </c>
      <c r="G66">
        <v>105.5</v>
      </c>
      <c r="H66">
        <v>114.5</v>
      </c>
      <c r="I66">
        <v>-9</v>
      </c>
      <c r="J66">
        <v>54.6</v>
      </c>
      <c r="K66">
        <v>1.74</v>
      </c>
      <c r="L66">
        <v>17</v>
      </c>
      <c r="M66">
        <v>24.3</v>
      </c>
      <c r="N66">
        <v>74.5</v>
      </c>
      <c r="O66">
        <v>48.8</v>
      </c>
      <c r="P66">
        <v>13.1</v>
      </c>
      <c r="Q66">
        <v>50.9</v>
      </c>
      <c r="R66">
        <v>53.9</v>
      </c>
      <c r="S66">
        <v>100.97</v>
      </c>
      <c r="T66">
        <v>45.2</v>
      </c>
      <c r="V66" t="str">
        <f t="shared" si="0"/>
        <v>Detroit Pistons</v>
      </c>
      <c r="W66">
        <v>27</v>
      </c>
      <c r="X66" s="1" t="s">
        <v>680</v>
      </c>
      <c r="Y66">
        <v>70</v>
      </c>
      <c r="Z66">
        <v>241.1</v>
      </c>
      <c r="AA66">
        <v>38.700000000000003</v>
      </c>
      <c r="AB66">
        <v>86.5</v>
      </c>
      <c r="AC66">
        <v>0.44700000000000001</v>
      </c>
      <c r="AD66">
        <v>10.5</v>
      </c>
      <c r="AE66">
        <v>28.3</v>
      </c>
      <c r="AF66">
        <v>0.372</v>
      </c>
      <c r="AG66">
        <v>28.2</v>
      </c>
      <c r="AH66">
        <v>58.2</v>
      </c>
      <c r="AI66">
        <v>0.48399999999999999</v>
      </c>
      <c r="AJ66">
        <v>14.7</v>
      </c>
      <c r="AK66">
        <v>19.7</v>
      </c>
      <c r="AL66">
        <v>0.746</v>
      </c>
      <c r="AM66">
        <v>10.1</v>
      </c>
      <c r="AN66">
        <v>33</v>
      </c>
      <c r="AO66">
        <v>43.2</v>
      </c>
      <c r="AP66">
        <v>22.4</v>
      </c>
      <c r="AQ66">
        <v>7.6</v>
      </c>
      <c r="AR66">
        <v>3.8</v>
      </c>
      <c r="AS66">
        <v>13.7</v>
      </c>
      <c r="AT66">
        <v>18.600000000000001</v>
      </c>
      <c r="AU66">
        <v>102.7</v>
      </c>
    </row>
    <row r="67" spans="1:47">
      <c r="A67">
        <v>26</v>
      </c>
      <c r="B67" s="1" t="s">
        <v>693</v>
      </c>
      <c r="C67">
        <v>15</v>
      </c>
      <c r="D67">
        <v>3</v>
      </c>
      <c r="E67">
        <v>12</v>
      </c>
      <c r="F67">
        <v>725</v>
      </c>
      <c r="G67">
        <v>100.8</v>
      </c>
      <c r="H67">
        <v>108.2</v>
      </c>
      <c r="I67">
        <v>-7.3</v>
      </c>
      <c r="J67">
        <v>62.5</v>
      </c>
      <c r="K67">
        <v>1.52</v>
      </c>
      <c r="L67">
        <v>17.899999999999999</v>
      </c>
      <c r="M67">
        <v>17.2</v>
      </c>
      <c r="N67">
        <v>75.099999999999994</v>
      </c>
      <c r="O67">
        <v>46.6</v>
      </c>
      <c r="P67">
        <v>15.4</v>
      </c>
      <c r="Q67">
        <v>51.4</v>
      </c>
      <c r="R67">
        <v>54.9</v>
      </c>
      <c r="S67">
        <v>98.84</v>
      </c>
      <c r="T67">
        <v>46</v>
      </c>
      <c r="V67" t="str">
        <f t="shared" si="0"/>
        <v>Dallas Mavericks</v>
      </c>
      <c r="W67">
        <v>28</v>
      </c>
      <c r="X67" s="1" t="s">
        <v>678</v>
      </c>
      <c r="Y67">
        <v>70</v>
      </c>
      <c r="Z67">
        <v>241.4</v>
      </c>
      <c r="AA67">
        <v>38.1</v>
      </c>
      <c r="AB67">
        <v>85.5</v>
      </c>
      <c r="AC67">
        <v>0.44600000000000001</v>
      </c>
      <c r="AD67">
        <v>11.7</v>
      </c>
      <c r="AE67">
        <v>32.1</v>
      </c>
      <c r="AF67">
        <v>0.36399999999999999</v>
      </c>
      <c r="AG67">
        <v>26.5</v>
      </c>
      <c r="AH67">
        <v>53.4</v>
      </c>
      <c r="AI67">
        <v>0.496</v>
      </c>
      <c r="AJ67">
        <v>14.7</v>
      </c>
      <c r="AK67">
        <v>19.100000000000001</v>
      </c>
      <c r="AL67">
        <v>0.77</v>
      </c>
      <c r="AM67">
        <v>8.1</v>
      </c>
      <c r="AN67">
        <v>33</v>
      </c>
      <c r="AO67">
        <v>41.1</v>
      </c>
      <c r="AP67">
        <v>22.7</v>
      </c>
      <c r="AQ67">
        <v>7.1</v>
      </c>
      <c r="AR67">
        <v>3.7</v>
      </c>
      <c r="AS67">
        <v>12.4</v>
      </c>
      <c r="AT67">
        <v>19.5</v>
      </c>
      <c r="AU67">
        <v>102.6</v>
      </c>
    </row>
    <row r="68" spans="1:47">
      <c r="A68">
        <v>29</v>
      </c>
      <c r="B68" s="1" t="s">
        <v>686</v>
      </c>
      <c r="C68">
        <v>15</v>
      </c>
      <c r="D68">
        <v>1</v>
      </c>
      <c r="E68">
        <v>14</v>
      </c>
      <c r="F68">
        <v>720</v>
      </c>
      <c r="G68">
        <v>99.8</v>
      </c>
      <c r="H68">
        <v>111</v>
      </c>
      <c r="I68">
        <v>-11.3</v>
      </c>
      <c r="J68">
        <v>62.3</v>
      </c>
      <c r="K68">
        <v>1.51</v>
      </c>
      <c r="L68">
        <v>17.5</v>
      </c>
      <c r="M68">
        <v>21.6</v>
      </c>
      <c r="N68">
        <v>77.900000000000006</v>
      </c>
      <c r="O68">
        <v>48.1</v>
      </c>
      <c r="P68">
        <v>15.4</v>
      </c>
      <c r="Q68">
        <v>49.3</v>
      </c>
      <c r="R68">
        <v>52.9</v>
      </c>
      <c r="S68">
        <v>99.41</v>
      </c>
      <c r="T68">
        <v>43</v>
      </c>
      <c r="V68" t="str">
        <f t="shared" si="0"/>
        <v>Sacramento Kings</v>
      </c>
      <c r="W68">
        <v>29</v>
      </c>
      <c r="X68" s="1" t="s">
        <v>697</v>
      </c>
      <c r="Y68">
        <v>72</v>
      </c>
      <c r="Z68">
        <v>241</v>
      </c>
      <c r="AA68">
        <v>38.9</v>
      </c>
      <c r="AB68">
        <v>86.2</v>
      </c>
      <c r="AC68">
        <v>0.45200000000000001</v>
      </c>
      <c r="AD68">
        <v>9.1</v>
      </c>
      <c r="AE68">
        <v>23.9</v>
      </c>
      <c r="AF68">
        <v>0.38100000000000001</v>
      </c>
      <c r="AG68">
        <v>29.8</v>
      </c>
      <c r="AH68">
        <v>62.3</v>
      </c>
      <c r="AI68">
        <v>0.47899999999999998</v>
      </c>
      <c r="AJ68">
        <v>12.4</v>
      </c>
      <c r="AK68">
        <v>16.899999999999999</v>
      </c>
      <c r="AL68">
        <v>0.73499999999999999</v>
      </c>
      <c r="AM68">
        <v>9.4</v>
      </c>
      <c r="AN68">
        <v>31.2</v>
      </c>
      <c r="AO68">
        <v>40.6</v>
      </c>
      <c r="AP68">
        <v>21.5</v>
      </c>
      <c r="AQ68">
        <v>8.1</v>
      </c>
      <c r="AR68">
        <v>4.0999999999999996</v>
      </c>
      <c r="AS68">
        <v>13.8</v>
      </c>
      <c r="AT68">
        <v>19.899999999999999</v>
      </c>
      <c r="AU68">
        <v>99.4</v>
      </c>
    </row>
    <row r="69" spans="1:47">
      <c r="A69">
        <v>29</v>
      </c>
      <c r="B69" s="1" t="s">
        <v>695</v>
      </c>
      <c r="C69">
        <v>15</v>
      </c>
      <c r="D69">
        <v>1</v>
      </c>
      <c r="E69">
        <v>14</v>
      </c>
      <c r="F69">
        <v>720</v>
      </c>
      <c r="G69">
        <v>98.8</v>
      </c>
      <c r="H69">
        <v>112.9</v>
      </c>
      <c r="I69">
        <v>-14.1</v>
      </c>
      <c r="J69">
        <v>53.6</v>
      </c>
      <c r="K69">
        <v>1.34</v>
      </c>
      <c r="L69">
        <v>15.5</v>
      </c>
      <c r="M69">
        <v>20.3</v>
      </c>
      <c r="N69">
        <v>77.8</v>
      </c>
      <c r="O69">
        <v>48.3</v>
      </c>
      <c r="P69">
        <v>14.9</v>
      </c>
      <c r="Q69">
        <v>49.4</v>
      </c>
      <c r="R69">
        <v>52.5</v>
      </c>
      <c r="S69">
        <v>106.01</v>
      </c>
      <c r="T69">
        <v>41.4</v>
      </c>
      <c r="V69" t="str">
        <f t="shared" si="0"/>
        <v>Memphis Grizzlies</v>
      </c>
      <c r="W69">
        <v>30</v>
      </c>
      <c r="X69" s="1" t="s">
        <v>686</v>
      </c>
      <c r="Y69">
        <v>70</v>
      </c>
      <c r="Z69">
        <v>240.4</v>
      </c>
      <c r="AA69">
        <v>36.4</v>
      </c>
      <c r="AB69">
        <v>82.2</v>
      </c>
      <c r="AC69">
        <v>0.443</v>
      </c>
      <c r="AD69">
        <v>9.1999999999999993</v>
      </c>
      <c r="AE69">
        <v>26.3</v>
      </c>
      <c r="AF69">
        <v>0.35</v>
      </c>
      <c r="AG69">
        <v>27.2</v>
      </c>
      <c r="AH69">
        <v>55.9</v>
      </c>
      <c r="AI69">
        <v>0.48599999999999999</v>
      </c>
      <c r="AJ69">
        <v>17</v>
      </c>
      <c r="AK69">
        <v>21.5</v>
      </c>
      <c r="AL69">
        <v>0.79</v>
      </c>
      <c r="AM69">
        <v>9.4</v>
      </c>
      <c r="AN69">
        <v>31.2</v>
      </c>
      <c r="AO69">
        <v>40.6</v>
      </c>
      <c r="AP69">
        <v>21.4</v>
      </c>
      <c r="AQ69">
        <v>7.4</v>
      </c>
      <c r="AR69">
        <v>5</v>
      </c>
      <c r="AS69">
        <v>14.9</v>
      </c>
      <c r="AT69">
        <v>23.7</v>
      </c>
      <c r="AU69">
        <v>99</v>
      </c>
    </row>
    <row r="70" spans="1:47">
      <c r="A70" s="123"/>
      <c r="B70" s="123"/>
      <c r="C70" s="123"/>
      <c r="D70" s="123"/>
      <c r="E70" s="123"/>
      <c r="F70" s="123"/>
      <c r="G70" s="123"/>
      <c r="H70" s="123"/>
      <c r="I70" s="123"/>
      <c r="J70" s="123"/>
      <c r="K70" s="123"/>
      <c r="L70" s="123"/>
      <c r="M70" s="123"/>
      <c r="N70" s="123"/>
      <c r="O70" s="123"/>
      <c r="P70" s="123"/>
      <c r="Q70" s="123"/>
      <c r="R70" s="123"/>
      <c r="S70" s="123"/>
      <c r="T70" s="123"/>
      <c r="W70" s="123"/>
      <c r="X70" s="123"/>
      <c r="Y70" s="123"/>
      <c r="Z70" s="123"/>
      <c r="AA70" s="123"/>
      <c r="AB70" s="123"/>
      <c r="AC70" s="123"/>
      <c r="AD70" s="123"/>
      <c r="AE70" s="123"/>
      <c r="AF70" s="123"/>
      <c r="AG70" s="123"/>
      <c r="AH70" s="123"/>
      <c r="AI70" s="123"/>
      <c r="AJ70" s="123"/>
      <c r="AK70" s="123"/>
      <c r="AL70" s="123"/>
      <c r="AM70" s="123"/>
      <c r="AN70" s="123"/>
      <c r="AO70" s="123"/>
      <c r="AP70" s="123"/>
      <c r="AQ70" s="123"/>
      <c r="AR70" s="123"/>
      <c r="AS70" s="123"/>
      <c r="AT70" s="123"/>
      <c r="AU70" s="123"/>
    </row>
    <row r="71" spans="1:47" ht="15.75" customHeight="1">
      <c r="A71" s="695" t="s">
        <v>1028</v>
      </c>
      <c r="B71" s="695"/>
    </row>
    <row r="72" spans="1:47" ht="15.75" customHeight="1">
      <c r="A72" s="695"/>
      <c r="B72" s="695"/>
      <c r="D72" s="127"/>
      <c r="E72" s="127"/>
      <c r="F72" s="127"/>
      <c r="G72" s="127"/>
    </row>
    <row r="73" spans="1:47">
      <c r="A73" s="695"/>
      <c r="B73" s="695"/>
    </row>
    <row r="74" spans="1:47">
      <c r="A74" t="s">
        <v>1003</v>
      </c>
      <c r="B74" t="s">
        <v>916</v>
      </c>
      <c r="C74" t="s">
        <v>251</v>
      </c>
      <c r="D74" t="s">
        <v>917</v>
      </c>
      <c r="E74" t="s">
        <v>918</v>
      </c>
      <c r="F74" t="s">
        <v>56</v>
      </c>
      <c r="G74" t="s">
        <v>1025</v>
      </c>
      <c r="H74" t="s">
        <v>1024</v>
      </c>
      <c r="I74" t="s">
        <v>1023</v>
      </c>
      <c r="J74" t="s">
        <v>659</v>
      </c>
      <c r="K74" t="s">
        <v>1022</v>
      </c>
      <c r="L74" t="s">
        <v>1011</v>
      </c>
      <c r="M74" t="s">
        <v>1021</v>
      </c>
      <c r="N74" t="s">
        <v>1020</v>
      </c>
      <c r="O74" t="s">
        <v>1019</v>
      </c>
      <c r="P74" t="s">
        <v>662</v>
      </c>
      <c r="Q74" t="s">
        <v>273</v>
      </c>
      <c r="R74" t="s">
        <v>653</v>
      </c>
      <c r="S74" t="s">
        <v>1018</v>
      </c>
      <c r="T74" t="s">
        <v>1017</v>
      </c>
    </row>
    <row r="75" spans="1:47">
      <c r="A75">
        <v>1</v>
      </c>
      <c r="B75" s="1" t="s">
        <v>696</v>
      </c>
      <c r="C75">
        <v>10</v>
      </c>
      <c r="D75">
        <v>10</v>
      </c>
      <c r="E75">
        <v>0</v>
      </c>
      <c r="F75">
        <v>480</v>
      </c>
      <c r="G75">
        <v>112.1</v>
      </c>
      <c r="H75">
        <v>100.7</v>
      </c>
      <c r="I75">
        <v>11.4</v>
      </c>
      <c r="J75">
        <v>55.8</v>
      </c>
      <c r="K75">
        <v>1.71</v>
      </c>
      <c r="L75">
        <v>16.600000000000001</v>
      </c>
      <c r="M75">
        <v>25.1</v>
      </c>
      <c r="N75">
        <v>83.5</v>
      </c>
      <c r="O75">
        <v>54.5</v>
      </c>
      <c r="P75">
        <v>12.9</v>
      </c>
      <c r="Q75">
        <v>52.9</v>
      </c>
      <c r="R75">
        <v>57.1</v>
      </c>
      <c r="S75">
        <v>99.66</v>
      </c>
      <c r="T75">
        <v>56</v>
      </c>
    </row>
    <row r="76" spans="1:47">
      <c r="A76">
        <v>2</v>
      </c>
      <c r="B76" s="1" t="s">
        <v>682</v>
      </c>
      <c r="C76">
        <v>10</v>
      </c>
      <c r="D76">
        <v>9</v>
      </c>
      <c r="E76">
        <v>1</v>
      </c>
      <c r="F76">
        <v>480</v>
      </c>
      <c r="G76">
        <v>114.5</v>
      </c>
      <c r="H76">
        <v>103.5</v>
      </c>
      <c r="I76">
        <v>11</v>
      </c>
      <c r="J76">
        <v>56.6</v>
      </c>
      <c r="K76">
        <v>1.68</v>
      </c>
      <c r="L76">
        <v>17</v>
      </c>
      <c r="M76">
        <v>24.2</v>
      </c>
      <c r="N76">
        <v>76.8</v>
      </c>
      <c r="O76">
        <v>51.1</v>
      </c>
      <c r="P76">
        <v>13.3</v>
      </c>
      <c r="Q76">
        <v>55.2</v>
      </c>
      <c r="R76">
        <v>59.2</v>
      </c>
      <c r="S76">
        <v>98.16</v>
      </c>
      <c r="T76">
        <v>55.4</v>
      </c>
    </row>
    <row r="77" spans="1:47">
      <c r="A77">
        <v>2</v>
      </c>
      <c r="B77" s="1" t="s">
        <v>699</v>
      </c>
      <c r="C77">
        <v>10</v>
      </c>
      <c r="D77">
        <v>9</v>
      </c>
      <c r="E77">
        <v>1</v>
      </c>
      <c r="F77">
        <v>490</v>
      </c>
      <c r="G77">
        <v>114.4</v>
      </c>
      <c r="H77">
        <v>105.7</v>
      </c>
      <c r="I77">
        <v>8.6999999999999993</v>
      </c>
      <c r="J77">
        <v>63.3</v>
      </c>
      <c r="K77">
        <v>1.88</v>
      </c>
      <c r="L77">
        <v>18.7</v>
      </c>
      <c r="M77">
        <v>28.4</v>
      </c>
      <c r="N77">
        <v>77</v>
      </c>
      <c r="O77">
        <v>52.8</v>
      </c>
      <c r="P77">
        <v>13.7</v>
      </c>
      <c r="Q77">
        <v>53.7</v>
      </c>
      <c r="R77">
        <v>58.1</v>
      </c>
      <c r="S77">
        <v>97.99</v>
      </c>
      <c r="T77">
        <v>54.6</v>
      </c>
    </row>
    <row r="78" spans="1:47">
      <c r="A78">
        <v>2</v>
      </c>
      <c r="B78" s="1" t="s">
        <v>700</v>
      </c>
      <c r="C78">
        <v>10</v>
      </c>
      <c r="D78">
        <v>9</v>
      </c>
      <c r="E78">
        <v>1</v>
      </c>
      <c r="F78">
        <v>480</v>
      </c>
      <c r="G78">
        <v>105.6</v>
      </c>
      <c r="H78">
        <v>90.8</v>
      </c>
      <c r="I78">
        <v>14.8</v>
      </c>
      <c r="J78">
        <v>65.599999999999994</v>
      </c>
      <c r="K78">
        <v>1.46</v>
      </c>
      <c r="L78">
        <v>18.399999999999999</v>
      </c>
      <c r="M78">
        <v>24.6</v>
      </c>
      <c r="N78">
        <v>82.3</v>
      </c>
      <c r="O78">
        <v>55.3</v>
      </c>
      <c r="P78">
        <v>17</v>
      </c>
      <c r="Q78">
        <v>52.9</v>
      </c>
      <c r="R78">
        <v>56.6</v>
      </c>
      <c r="S78">
        <v>98.71</v>
      </c>
      <c r="T78">
        <v>61.7</v>
      </c>
    </row>
    <row r="79" spans="1:47">
      <c r="A79">
        <v>5</v>
      </c>
      <c r="B79" s="1" t="s">
        <v>692</v>
      </c>
      <c r="C79">
        <v>10</v>
      </c>
      <c r="D79">
        <v>8</v>
      </c>
      <c r="E79">
        <v>2</v>
      </c>
      <c r="F79">
        <v>485</v>
      </c>
      <c r="G79">
        <v>111.6</v>
      </c>
      <c r="H79">
        <v>106</v>
      </c>
      <c r="I79">
        <v>5.6</v>
      </c>
      <c r="J79">
        <v>52.8</v>
      </c>
      <c r="K79">
        <v>1.52</v>
      </c>
      <c r="L79">
        <v>16.600000000000001</v>
      </c>
      <c r="M79">
        <v>26.9</v>
      </c>
      <c r="N79">
        <v>75.5</v>
      </c>
      <c r="O79">
        <v>51</v>
      </c>
      <c r="P79">
        <v>14.5</v>
      </c>
      <c r="Q79">
        <v>54.6</v>
      </c>
      <c r="R79">
        <v>57.5</v>
      </c>
      <c r="S79">
        <v>101.28</v>
      </c>
      <c r="T79">
        <v>52.7</v>
      </c>
    </row>
    <row r="80" spans="1:47">
      <c r="A80">
        <v>6</v>
      </c>
      <c r="B80" s="1" t="s">
        <v>683</v>
      </c>
      <c r="C80">
        <v>10</v>
      </c>
      <c r="D80">
        <v>7</v>
      </c>
      <c r="E80">
        <v>3</v>
      </c>
      <c r="F80">
        <v>480</v>
      </c>
      <c r="G80">
        <v>103.2</v>
      </c>
      <c r="H80">
        <v>102.8</v>
      </c>
      <c r="I80">
        <v>0.4</v>
      </c>
      <c r="J80">
        <v>50.3</v>
      </c>
      <c r="K80">
        <v>1.44</v>
      </c>
      <c r="L80">
        <v>15.2</v>
      </c>
      <c r="M80">
        <v>24</v>
      </c>
      <c r="N80">
        <v>76</v>
      </c>
      <c r="O80">
        <v>49.4</v>
      </c>
      <c r="P80">
        <v>13.7</v>
      </c>
      <c r="Q80">
        <v>49.4</v>
      </c>
      <c r="R80">
        <v>53.2</v>
      </c>
      <c r="S80">
        <v>96.16</v>
      </c>
      <c r="T80">
        <v>49.7</v>
      </c>
    </row>
    <row r="81" spans="1:20">
      <c r="A81">
        <v>6</v>
      </c>
      <c r="B81" s="1" t="s">
        <v>694</v>
      </c>
      <c r="C81">
        <v>10</v>
      </c>
      <c r="D81">
        <v>7</v>
      </c>
      <c r="E81">
        <v>3</v>
      </c>
      <c r="F81">
        <v>480</v>
      </c>
      <c r="G81">
        <v>112.9</v>
      </c>
      <c r="H81">
        <v>104.5</v>
      </c>
      <c r="I81">
        <v>8.4</v>
      </c>
      <c r="J81">
        <v>68.400000000000006</v>
      </c>
      <c r="K81">
        <v>1.95</v>
      </c>
      <c r="L81">
        <v>20.399999999999999</v>
      </c>
      <c r="M81">
        <v>26.1</v>
      </c>
      <c r="N81">
        <v>78.2</v>
      </c>
      <c r="O81">
        <v>52.8</v>
      </c>
      <c r="P81">
        <v>14.7</v>
      </c>
      <c r="Q81">
        <v>55.5</v>
      </c>
      <c r="R81">
        <v>58.3</v>
      </c>
      <c r="S81">
        <v>99.98</v>
      </c>
      <c r="T81">
        <v>54.5</v>
      </c>
    </row>
    <row r="82" spans="1:20">
      <c r="A82">
        <v>8</v>
      </c>
      <c r="B82" s="1" t="s">
        <v>675</v>
      </c>
      <c r="C82">
        <v>10</v>
      </c>
      <c r="D82">
        <v>6</v>
      </c>
      <c r="E82">
        <v>4</v>
      </c>
      <c r="F82">
        <v>490</v>
      </c>
      <c r="G82">
        <v>109.3</v>
      </c>
      <c r="H82">
        <v>103.8</v>
      </c>
      <c r="I82">
        <v>5.5</v>
      </c>
      <c r="J82">
        <v>58.6</v>
      </c>
      <c r="K82">
        <v>1.73</v>
      </c>
      <c r="L82">
        <v>17.8</v>
      </c>
      <c r="M82">
        <v>23.1</v>
      </c>
      <c r="N82">
        <v>80.3</v>
      </c>
      <c r="O82">
        <v>52.2</v>
      </c>
      <c r="P82">
        <v>13.7</v>
      </c>
      <c r="Q82">
        <v>53.4</v>
      </c>
      <c r="R82">
        <v>56.8</v>
      </c>
      <c r="S82">
        <v>99.31</v>
      </c>
      <c r="T82">
        <v>52.6</v>
      </c>
    </row>
    <row r="83" spans="1:20">
      <c r="A83">
        <v>8</v>
      </c>
      <c r="B83" s="1" t="s">
        <v>681</v>
      </c>
      <c r="C83">
        <v>10</v>
      </c>
      <c r="D83">
        <v>6</v>
      </c>
      <c r="E83">
        <v>4</v>
      </c>
      <c r="F83">
        <v>480</v>
      </c>
      <c r="G83">
        <v>107.2</v>
      </c>
      <c r="H83">
        <v>103.7</v>
      </c>
      <c r="I83">
        <v>3.6</v>
      </c>
      <c r="J83">
        <v>62.8</v>
      </c>
      <c r="K83">
        <v>1.71</v>
      </c>
      <c r="L83">
        <v>19.100000000000001</v>
      </c>
      <c r="M83">
        <v>17.7</v>
      </c>
      <c r="N83">
        <v>76.3</v>
      </c>
      <c r="O83">
        <v>48.6</v>
      </c>
      <c r="P83">
        <v>14.8</v>
      </c>
      <c r="Q83">
        <v>54.1</v>
      </c>
      <c r="R83">
        <v>58</v>
      </c>
      <c r="S83">
        <v>100.6</v>
      </c>
      <c r="T83">
        <v>52.9</v>
      </c>
    </row>
    <row r="84" spans="1:20">
      <c r="A84">
        <v>8</v>
      </c>
      <c r="B84" s="1" t="s">
        <v>687</v>
      </c>
      <c r="C84">
        <v>10</v>
      </c>
      <c r="D84">
        <v>6</v>
      </c>
      <c r="E84">
        <v>4</v>
      </c>
      <c r="F84">
        <v>500</v>
      </c>
      <c r="G84">
        <v>111.8</v>
      </c>
      <c r="H84">
        <v>108.4</v>
      </c>
      <c r="I84">
        <v>3.4</v>
      </c>
      <c r="J84">
        <v>60</v>
      </c>
      <c r="K84">
        <v>2.1</v>
      </c>
      <c r="L84">
        <v>18.7</v>
      </c>
      <c r="M84">
        <v>24.8</v>
      </c>
      <c r="N84">
        <v>78.3</v>
      </c>
      <c r="O84">
        <v>51.1</v>
      </c>
      <c r="P84">
        <v>12.1</v>
      </c>
      <c r="Q84">
        <v>54</v>
      </c>
      <c r="R84">
        <v>56.5</v>
      </c>
      <c r="S84">
        <v>99.02</v>
      </c>
      <c r="T84">
        <v>52.2</v>
      </c>
    </row>
    <row r="85" spans="1:20">
      <c r="A85">
        <v>8</v>
      </c>
      <c r="B85" s="1" t="s">
        <v>690</v>
      </c>
      <c r="C85">
        <v>10</v>
      </c>
      <c r="D85">
        <v>6</v>
      </c>
      <c r="E85">
        <v>4</v>
      </c>
      <c r="F85">
        <v>480</v>
      </c>
      <c r="G85">
        <v>107.1</v>
      </c>
      <c r="H85">
        <v>104.5</v>
      </c>
      <c r="I85">
        <v>2.6</v>
      </c>
      <c r="J85">
        <v>61.5</v>
      </c>
      <c r="K85">
        <v>2.1</v>
      </c>
      <c r="L85">
        <v>19.7</v>
      </c>
      <c r="M85">
        <v>18.5</v>
      </c>
      <c r="N85">
        <v>75.3</v>
      </c>
      <c r="O85">
        <v>48.2</v>
      </c>
      <c r="P85">
        <v>12.6</v>
      </c>
      <c r="Q85">
        <v>53.2</v>
      </c>
      <c r="R85">
        <v>56.2</v>
      </c>
      <c r="S85">
        <v>103.14</v>
      </c>
      <c r="T85">
        <v>53</v>
      </c>
    </row>
    <row r="86" spans="1:20">
      <c r="A86">
        <v>12</v>
      </c>
      <c r="B86" s="1" t="s">
        <v>817</v>
      </c>
      <c r="C86">
        <v>10</v>
      </c>
      <c r="D86">
        <v>5</v>
      </c>
      <c r="E86">
        <v>5</v>
      </c>
      <c r="F86">
        <v>480</v>
      </c>
      <c r="G86">
        <v>112.2</v>
      </c>
      <c r="H86">
        <v>110.1</v>
      </c>
      <c r="I86">
        <v>2</v>
      </c>
      <c r="J86">
        <v>56.4</v>
      </c>
      <c r="K86">
        <v>1.87</v>
      </c>
      <c r="L86">
        <v>17.899999999999999</v>
      </c>
      <c r="M86">
        <v>19.8</v>
      </c>
      <c r="N86">
        <v>74.7</v>
      </c>
      <c r="O86">
        <v>47.6</v>
      </c>
      <c r="P86">
        <v>12.7</v>
      </c>
      <c r="Q86">
        <v>55.6</v>
      </c>
      <c r="R86">
        <v>58.5</v>
      </c>
      <c r="S86">
        <v>101.09</v>
      </c>
      <c r="T86">
        <v>50</v>
      </c>
    </row>
    <row r="87" spans="1:20">
      <c r="A87">
        <v>12</v>
      </c>
      <c r="B87" s="1" t="s">
        <v>679</v>
      </c>
      <c r="C87">
        <v>10</v>
      </c>
      <c r="D87">
        <v>5</v>
      </c>
      <c r="E87">
        <v>5</v>
      </c>
      <c r="F87">
        <v>490</v>
      </c>
      <c r="G87">
        <v>113</v>
      </c>
      <c r="H87">
        <v>112.6</v>
      </c>
      <c r="I87">
        <v>0.4</v>
      </c>
      <c r="J87">
        <v>61.7</v>
      </c>
      <c r="K87">
        <v>1.74</v>
      </c>
      <c r="L87">
        <v>18.7</v>
      </c>
      <c r="M87">
        <v>22.6</v>
      </c>
      <c r="N87">
        <v>76.599999999999994</v>
      </c>
      <c r="O87">
        <v>50.5</v>
      </c>
      <c r="P87">
        <v>14.4</v>
      </c>
      <c r="Q87">
        <v>55.6</v>
      </c>
      <c r="R87">
        <v>59.5</v>
      </c>
      <c r="S87">
        <v>100.2</v>
      </c>
      <c r="T87">
        <v>51.6</v>
      </c>
    </row>
    <row r="88" spans="1:20">
      <c r="A88">
        <v>12</v>
      </c>
      <c r="B88" s="1" t="s">
        <v>920</v>
      </c>
      <c r="C88">
        <v>10</v>
      </c>
      <c r="D88">
        <v>5</v>
      </c>
      <c r="E88">
        <v>5</v>
      </c>
      <c r="F88">
        <v>480</v>
      </c>
      <c r="G88">
        <v>110</v>
      </c>
      <c r="H88">
        <v>108.6</v>
      </c>
      <c r="I88">
        <v>1.4</v>
      </c>
      <c r="J88">
        <v>52.2</v>
      </c>
      <c r="K88">
        <v>1.64</v>
      </c>
      <c r="L88">
        <v>16.600000000000001</v>
      </c>
      <c r="M88">
        <v>23.3</v>
      </c>
      <c r="N88">
        <v>76.2</v>
      </c>
      <c r="O88">
        <v>51.3</v>
      </c>
      <c r="P88">
        <v>13.3</v>
      </c>
      <c r="Q88">
        <v>53.6</v>
      </c>
      <c r="R88">
        <v>57.1</v>
      </c>
      <c r="S88">
        <v>101.86</v>
      </c>
      <c r="T88">
        <v>50.8</v>
      </c>
    </row>
    <row r="89" spans="1:20">
      <c r="A89">
        <v>12</v>
      </c>
      <c r="B89" s="1" t="s">
        <v>685</v>
      </c>
      <c r="C89">
        <v>10</v>
      </c>
      <c r="D89">
        <v>5</v>
      </c>
      <c r="E89">
        <v>5</v>
      </c>
      <c r="F89">
        <v>480</v>
      </c>
      <c r="G89">
        <v>108.6</v>
      </c>
      <c r="H89">
        <v>107.2</v>
      </c>
      <c r="I89">
        <v>1.4</v>
      </c>
      <c r="J89">
        <v>60</v>
      </c>
      <c r="K89">
        <v>1.65</v>
      </c>
      <c r="L89">
        <v>17.899999999999999</v>
      </c>
      <c r="M89">
        <v>21.8</v>
      </c>
      <c r="N89">
        <v>79.2</v>
      </c>
      <c r="O89">
        <v>50.5</v>
      </c>
      <c r="P89">
        <v>14.4</v>
      </c>
      <c r="Q89">
        <v>53.7</v>
      </c>
      <c r="R89">
        <v>57.1</v>
      </c>
      <c r="S89">
        <v>102.43</v>
      </c>
      <c r="T89">
        <v>49.9</v>
      </c>
    </row>
    <row r="90" spans="1:20">
      <c r="A90">
        <v>12</v>
      </c>
      <c r="B90" s="1" t="s">
        <v>698</v>
      </c>
      <c r="C90">
        <v>10</v>
      </c>
      <c r="D90">
        <v>5</v>
      </c>
      <c r="E90">
        <v>5</v>
      </c>
      <c r="F90">
        <v>480</v>
      </c>
      <c r="G90">
        <v>103.3</v>
      </c>
      <c r="H90">
        <v>99.7</v>
      </c>
      <c r="I90">
        <v>3.6</v>
      </c>
      <c r="J90">
        <v>59</v>
      </c>
      <c r="K90">
        <v>1.91</v>
      </c>
      <c r="L90">
        <v>17.7</v>
      </c>
      <c r="M90">
        <v>22.7</v>
      </c>
      <c r="N90">
        <v>78.7</v>
      </c>
      <c r="O90">
        <v>50.2</v>
      </c>
      <c r="P90">
        <v>12.4</v>
      </c>
      <c r="Q90">
        <v>49.3</v>
      </c>
      <c r="R90">
        <v>52.8</v>
      </c>
      <c r="S90">
        <v>100.13</v>
      </c>
      <c r="T90">
        <v>52.7</v>
      </c>
    </row>
    <row r="91" spans="1:20">
      <c r="A91">
        <v>12</v>
      </c>
      <c r="B91" s="1" t="s">
        <v>701</v>
      </c>
      <c r="C91">
        <v>10</v>
      </c>
      <c r="D91">
        <v>5</v>
      </c>
      <c r="E91">
        <v>5</v>
      </c>
      <c r="F91">
        <v>495</v>
      </c>
      <c r="G91">
        <v>108.3</v>
      </c>
      <c r="H91">
        <v>109.5</v>
      </c>
      <c r="I91">
        <v>-1.2</v>
      </c>
      <c r="J91">
        <v>66.8</v>
      </c>
      <c r="K91">
        <v>1.71</v>
      </c>
      <c r="L91">
        <v>19.3</v>
      </c>
      <c r="M91">
        <v>26.2</v>
      </c>
      <c r="N91">
        <v>80.099999999999994</v>
      </c>
      <c r="O91">
        <v>52.7</v>
      </c>
      <c r="P91">
        <v>15.6</v>
      </c>
      <c r="Q91">
        <v>52.7</v>
      </c>
      <c r="R91">
        <v>56.6</v>
      </c>
      <c r="S91">
        <v>96.72</v>
      </c>
      <c r="T91">
        <v>49.8</v>
      </c>
    </row>
    <row r="92" spans="1:20">
      <c r="A92">
        <v>18</v>
      </c>
      <c r="B92" s="1" t="s">
        <v>676</v>
      </c>
      <c r="C92">
        <v>10</v>
      </c>
      <c r="D92">
        <v>4</v>
      </c>
      <c r="E92">
        <v>6</v>
      </c>
      <c r="F92">
        <v>480</v>
      </c>
      <c r="G92">
        <v>103.8</v>
      </c>
      <c r="H92">
        <v>110.4</v>
      </c>
      <c r="I92">
        <v>-6.6</v>
      </c>
      <c r="J92">
        <v>62.6</v>
      </c>
      <c r="K92">
        <v>1.79</v>
      </c>
      <c r="L92">
        <v>17.899999999999999</v>
      </c>
      <c r="M92">
        <v>22.9</v>
      </c>
      <c r="N92">
        <v>76.900000000000006</v>
      </c>
      <c r="O92">
        <v>49</v>
      </c>
      <c r="P92">
        <v>13.5</v>
      </c>
      <c r="Q92">
        <v>50</v>
      </c>
      <c r="R92">
        <v>53.5</v>
      </c>
      <c r="S92">
        <v>100.39</v>
      </c>
      <c r="T92">
        <v>46.1</v>
      </c>
    </row>
    <row r="93" spans="1:20">
      <c r="A93">
        <v>18</v>
      </c>
      <c r="B93" s="1" t="s">
        <v>678</v>
      </c>
      <c r="C93">
        <v>10</v>
      </c>
      <c r="D93">
        <v>4</v>
      </c>
      <c r="E93">
        <v>6</v>
      </c>
      <c r="F93">
        <v>490</v>
      </c>
      <c r="G93">
        <v>107.4</v>
      </c>
      <c r="H93">
        <v>106.9</v>
      </c>
      <c r="I93">
        <v>0.5</v>
      </c>
      <c r="J93">
        <v>59.9</v>
      </c>
      <c r="K93">
        <v>1.89</v>
      </c>
      <c r="L93">
        <v>17.899999999999999</v>
      </c>
      <c r="M93">
        <v>22.3</v>
      </c>
      <c r="N93">
        <v>76.900000000000006</v>
      </c>
      <c r="O93">
        <v>49</v>
      </c>
      <c r="P93">
        <v>12.7</v>
      </c>
      <c r="Q93">
        <v>51.6</v>
      </c>
      <c r="R93">
        <v>55</v>
      </c>
      <c r="S93">
        <v>98.11</v>
      </c>
      <c r="T93">
        <v>49.9</v>
      </c>
    </row>
    <row r="94" spans="1:20">
      <c r="A94">
        <v>18</v>
      </c>
      <c r="B94" s="1" t="s">
        <v>688</v>
      </c>
      <c r="C94">
        <v>10</v>
      </c>
      <c r="D94">
        <v>4</v>
      </c>
      <c r="E94">
        <v>6</v>
      </c>
      <c r="F94">
        <v>480</v>
      </c>
      <c r="G94">
        <v>109</v>
      </c>
      <c r="H94">
        <v>110.6</v>
      </c>
      <c r="I94">
        <v>-1.7</v>
      </c>
      <c r="J94">
        <v>60.1</v>
      </c>
      <c r="K94">
        <v>1.62</v>
      </c>
      <c r="L94">
        <v>18.100000000000001</v>
      </c>
      <c r="M94">
        <v>23.2</v>
      </c>
      <c r="N94">
        <v>73.099999999999994</v>
      </c>
      <c r="O94">
        <v>48.5</v>
      </c>
      <c r="P94">
        <v>15</v>
      </c>
      <c r="Q94">
        <v>53.6</v>
      </c>
      <c r="R94">
        <v>57.7</v>
      </c>
      <c r="S94">
        <v>99.85</v>
      </c>
      <c r="T94">
        <v>50.3</v>
      </c>
    </row>
    <row r="95" spans="1:20">
      <c r="A95">
        <v>18</v>
      </c>
      <c r="B95" s="1" t="s">
        <v>689</v>
      </c>
      <c r="C95">
        <v>10</v>
      </c>
      <c r="D95">
        <v>4</v>
      </c>
      <c r="E95">
        <v>6</v>
      </c>
      <c r="F95">
        <v>480</v>
      </c>
      <c r="G95">
        <v>111.9</v>
      </c>
      <c r="H95">
        <v>113.9</v>
      </c>
      <c r="I95">
        <v>-2</v>
      </c>
      <c r="J95">
        <v>51.6</v>
      </c>
      <c r="K95">
        <v>1.71</v>
      </c>
      <c r="L95">
        <v>16.5</v>
      </c>
      <c r="M95">
        <v>24.9</v>
      </c>
      <c r="N95">
        <v>74.900000000000006</v>
      </c>
      <c r="O95">
        <v>49.8</v>
      </c>
      <c r="P95">
        <v>12.8</v>
      </c>
      <c r="Q95">
        <v>53.2</v>
      </c>
      <c r="R95">
        <v>57.1</v>
      </c>
      <c r="S95">
        <v>98.72</v>
      </c>
      <c r="T95">
        <v>48.4</v>
      </c>
    </row>
    <row r="96" spans="1:20">
      <c r="A96">
        <v>18</v>
      </c>
      <c r="B96" s="1" t="s">
        <v>697</v>
      </c>
      <c r="C96">
        <v>10</v>
      </c>
      <c r="D96">
        <v>4</v>
      </c>
      <c r="E96">
        <v>6</v>
      </c>
      <c r="F96">
        <v>485</v>
      </c>
      <c r="G96">
        <v>102</v>
      </c>
      <c r="H96">
        <v>108.8</v>
      </c>
      <c r="I96">
        <v>-6.8</v>
      </c>
      <c r="J96">
        <v>57</v>
      </c>
      <c r="K96">
        <v>1.88</v>
      </c>
      <c r="L96">
        <v>17</v>
      </c>
      <c r="M96">
        <v>20.6</v>
      </c>
      <c r="N96">
        <v>79.099999999999994</v>
      </c>
      <c r="O96">
        <v>48.3</v>
      </c>
      <c r="P96">
        <v>11.9</v>
      </c>
      <c r="Q96">
        <v>49.2</v>
      </c>
      <c r="R96">
        <v>52.2</v>
      </c>
      <c r="S96">
        <v>96.59</v>
      </c>
      <c r="T96">
        <v>45.4</v>
      </c>
    </row>
    <row r="97" spans="1:20">
      <c r="A97">
        <v>23</v>
      </c>
      <c r="B97" s="1" t="s">
        <v>709</v>
      </c>
      <c r="C97">
        <v>10</v>
      </c>
      <c r="D97">
        <v>3</v>
      </c>
      <c r="E97">
        <v>7</v>
      </c>
      <c r="F97">
        <v>485</v>
      </c>
      <c r="G97">
        <v>110.6</v>
      </c>
      <c r="H97">
        <v>115.5</v>
      </c>
      <c r="I97">
        <v>-4.9000000000000004</v>
      </c>
      <c r="J97">
        <v>64.7</v>
      </c>
      <c r="K97">
        <v>1.69</v>
      </c>
      <c r="L97">
        <v>18.5</v>
      </c>
      <c r="M97">
        <v>23.2</v>
      </c>
      <c r="N97">
        <v>75.3</v>
      </c>
      <c r="O97">
        <v>48.7</v>
      </c>
      <c r="P97">
        <v>14.8</v>
      </c>
      <c r="Q97">
        <v>53.7</v>
      </c>
      <c r="R97">
        <v>58</v>
      </c>
      <c r="S97">
        <v>100.56</v>
      </c>
      <c r="T97">
        <v>47.1</v>
      </c>
    </row>
    <row r="98" spans="1:20">
      <c r="A98">
        <v>23</v>
      </c>
      <c r="B98" s="1" t="s">
        <v>680</v>
      </c>
      <c r="C98">
        <v>10</v>
      </c>
      <c r="D98">
        <v>3</v>
      </c>
      <c r="E98">
        <v>7</v>
      </c>
      <c r="F98">
        <v>490</v>
      </c>
      <c r="G98">
        <v>102.4</v>
      </c>
      <c r="H98">
        <v>104.7</v>
      </c>
      <c r="I98">
        <v>-2.2999999999999998</v>
      </c>
      <c r="J98">
        <v>55.7</v>
      </c>
      <c r="K98">
        <v>1.51</v>
      </c>
      <c r="L98">
        <v>16.100000000000001</v>
      </c>
      <c r="M98">
        <v>23.9</v>
      </c>
      <c r="N98">
        <v>77.400000000000006</v>
      </c>
      <c r="O98">
        <v>49.7</v>
      </c>
      <c r="P98">
        <v>14.2</v>
      </c>
      <c r="Q98">
        <v>49.7</v>
      </c>
      <c r="R98">
        <v>52.7</v>
      </c>
      <c r="S98">
        <v>96.88</v>
      </c>
      <c r="T98">
        <v>46.9</v>
      </c>
    </row>
    <row r="99" spans="1:20">
      <c r="A99">
        <v>23</v>
      </c>
      <c r="B99" s="1" t="s">
        <v>693</v>
      </c>
      <c r="C99">
        <v>10</v>
      </c>
      <c r="D99">
        <v>3</v>
      </c>
      <c r="E99">
        <v>7</v>
      </c>
      <c r="F99">
        <v>485</v>
      </c>
      <c r="G99">
        <v>99</v>
      </c>
      <c r="H99">
        <v>106.5</v>
      </c>
      <c r="I99">
        <v>-7.5</v>
      </c>
      <c r="J99">
        <v>61.9</v>
      </c>
      <c r="K99">
        <v>1.44</v>
      </c>
      <c r="L99">
        <v>17.5</v>
      </c>
      <c r="M99">
        <v>17.399999999999999</v>
      </c>
      <c r="N99">
        <v>76</v>
      </c>
      <c r="O99">
        <v>47.1</v>
      </c>
      <c r="P99">
        <v>15.8</v>
      </c>
      <c r="Q99">
        <v>50.7</v>
      </c>
      <c r="R99">
        <v>54.1</v>
      </c>
      <c r="S99">
        <v>98.12</v>
      </c>
      <c r="T99">
        <v>46.1</v>
      </c>
    </row>
    <row r="100" spans="1:20">
      <c r="A100">
        <v>26</v>
      </c>
      <c r="B100" s="1" t="s">
        <v>674</v>
      </c>
      <c r="C100">
        <v>10</v>
      </c>
      <c r="D100">
        <v>2</v>
      </c>
      <c r="E100">
        <v>8</v>
      </c>
      <c r="F100">
        <v>480</v>
      </c>
      <c r="G100">
        <v>101.5</v>
      </c>
      <c r="H100">
        <v>112.3</v>
      </c>
      <c r="I100">
        <v>-10.8</v>
      </c>
      <c r="J100">
        <v>62.7</v>
      </c>
      <c r="K100">
        <v>1.37</v>
      </c>
      <c r="L100">
        <v>17.399999999999999</v>
      </c>
      <c r="M100">
        <v>19.3</v>
      </c>
      <c r="N100">
        <v>79.2</v>
      </c>
      <c r="O100">
        <v>49.2</v>
      </c>
      <c r="P100">
        <v>16.5</v>
      </c>
      <c r="Q100">
        <v>51.3</v>
      </c>
      <c r="R100">
        <v>55.4</v>
      </c>
      <c r="S100">
        <v>104.88</v>
      </c>
      <c r="T100">
        <v>44.6</v>
      </c>
    </row>
    <row r="101" spans="1:20">
      <c r="A101">
        <v>26</v>
      </c>
      <c r="B101" s="1" t="s">
        <v>677</v>
      </c>
      <c r="C101">
        <v>10</v>
      </c>
      <c r="D101">
        <v>2</v>
      </c>
      <c r="E101">
        <v>8</v>
      </c>
      <c r="F101">
        <v>480</v>
      </c>
      <c r="G101">
        <v>107.2</v>
      </c>
      <c r="H101">
        <v>116.6</v>
      </c>
      <c r="I101">
        <v>-9.4</v>
      </c>
      <c r="J101">
        <v>53.7</v>
      </c>
      <c r="K101">
        <v>2.0099999999999998</v>
      </c>
      <c r="L101">
        <v>16</v>
      </c>
      <c r="M101">
        <v>17.2</v>
      </c>
      <c r="N101">
        <v>77.900000000000006</v>
      </c>
      <c r="O101">
        <v>46.1</v>
      </c>
      <c r="P101">
        <v>10.199999999999999</v>
      </c>
      <c r="Q101">
        <v>50.3</v>
      </c>
      <c r="R101">
        <v>54.9</v>
      </c>
      <c r="S101">
        <v>101.53</v>
      </c>
      <c r="T101">
        <v>44.9</v>
      </c>
    </row>
    <row r="102" spans="1:20">
      <c r="A102">
        <v>26</v>
      </c>
      <c r="B102" s="1" t="s">
        <v>691</v>
      </c>
      <c r="C102">
        <v>10</v>
      </c>
      <c r="D102">
        <v>2</v>
      </c>
      <c r="E102">
        <v>8</v>
      </c>
      <c r="F102">
        <v>480</v>
      </c>
      <c r="G102">
        <v>105.2</v>
      </c>
      <c r="H102">
        <v>114.6</v>
      </c>
      <c r="I102">
        <v>-9.4</v>
      </c>
      <c r="J102">
        <v>55.3</v>
      </c>
      <c r="K102">
        <v>1.74</v>
      </c>
      <c r="L102">
        <v>17.399999999999999</v>
      </c>
      <c r="M102">
        <v>23.8</v>
      </c>
      <c r="N102">
        <v>73.099999999999994</v>
      </c>
      <c r="O102">
        <v>48.5</v>
      </c>
      <c r="P102">
        <v>13.5</v>
      </c>
      <c r="Q102">
        <v>51.7</v>
      </c>
      <c r="R102">
        <v>54.1</v>
      </c>
      <c r="S102">
        <v>100.13</v>
      </c>
      <c r="T102">
        <v>45.4</v>
      </c>
    </row>
    <row r="103" spans="1:20">
      <c r="A103">
        <v>29</v>
      </c>
      <c r="B103" s="1" t="s">
        <v>686</v>
      </c>
      <c r="C103">
        <v>10</v>
      </c>
      <c r="D103">
        <v>1</v>
      </c>
      <c r="E103">
        <v>9</v>
      </c>
      <c r="F103">
        <v>480</v>
      </c>
      <c r="G103">
        <v>101.6</v>
      </c>
      <c r="H103">
        <v>110.4</v>
      </c>
      <c r="I103">
        <v>-8.8000000000000007</v>
      </c>
      <c r="J103">
        <v>60.8</v>
      </c>
      <c r="K103">
        <v>1.58</v>
      </c>
      <c r="L103">
        <v>17.5</v>
      </c>
      <c r="M103">
        <v>23.9</v>
      </c>
      <c r="N103">
        <v>77.400000000000006</v>
      </c>
      <c r="O103">
        <v>48.3</v>
      </c>
      <c r="P103">
        <v>14.9</v>
      </c>
      <c r="Q103">
        <v>49.7</v>
      </c>
      <c r="R103">
        <v>52.7</v>
      </c>
      <c r="S103">
        <v>98.27</v>
      </c>
      <c r="T103">
        <v>43.6</v>
      </c>
    </row>
    <row r="104" spans="1:20">
      <c r="A104">
        <v>29</v>
      </c>
      <c r="B104" s="1" t="s">
        <v>695</v>
      </c>
      <c r="C104">
        <v>10</v>
      </c>
      <c r="D104">
        <v>1</v>
      </c>
      <c r="E104">
        <v>9</v>
      </c>
      <c r="F104">
        <v>480</v>
      </c>
      <c r="G104">
        <v>99.2</v>
      </c>
      <c r="H104">
        <v>112.6</v>
      </c>
      <c r="I104">
        <v>-13.4</v>
      </c>
      <c r="J104">
        <v>54.8</v>
      </c>
      <c r="K104">
        <v>1.31</v>
      </c>
      <c r="L104">
        <v>15.7</v>
      </c>
      <c r="M104">
        <v>20.100000000000001</v>
      </c>
      <c r="N104">
        <v>77.3</v>
      </c>
      <c r="O104">
        <v>48.3</v>
      </c>
      <c r="P104">
        <v>15.5</v>
      </c>
      <c r="Q104">
        <v>49.7</v>
      </c>
      <c r="R104">
        <v>53.2</v>
      </c>
      <c r="S104">
        <v>106.67</v>
      </c>
      <c r="T104">
        <v>41.8</v>
      </c>
    </row>
    <row r="105" spans="1:20">
      <c r="A105" s="122"/>
      <c r="B105" s="122"/>
      <c r="C105" s="122"/>
      <c r="D105" s="122"/>
      <c r="E105" s="122"/>
      <c r="F105" s="122"/>
      <c r="G105" s="122"/>
      <c r="H105" s="122"/>
      <c r="I105" s="122"/>
      <c r="J105" s="122"/>
      <c r="K105" s="122"/>
      <c r="L105" s="122"/>
      <c r="M105" s="122"/>
      <c r="N105" s="122"/>
      <c r="O105" s="122"/>
      <c r="P105" s="122"/>
      <c r="Q105" s="122"/>
      <c r="R105" s="122"/>
      <c r="S105" s="122"/>
      <c r="T105" s="122"/>
    </row>
    <row r="106" spans="1:20" ht="15.75" customHeight="1">
      <c r="A106" s="694" t="s">
        <v>1027</v>
      </c>
      <c r="B106" s="694"/>
    </row>
    <row r="107" spans="1:20" ht="15.75" customHeight="1">
      <c r="A107" s="694"/>
      <c r="B107" s="694"/>
      <c r="D107" s="127"/>
      <c r="E107" s="127"/>
      <c r="F107" s="127"/>
      <c r="G107" s="127"/>
    </row>
    <row r="108" spans="1:20">
      <c r="A108" s="694"/>
      <c r="B108" s="694"/>
    </row>
    <row r="109" spans="1:20">
      <c r="A109" t="s">
        <v>1003</v>
      </c>
      <c r="B109" t="s">
        <v>916</v>
      </c>
      <c r="C109" t="s">
        <v>251</v>
      </c>
      <c r="D109" t="s">
        <v>917</v>
      </c>
      <c r="E109" t="s">
        <v>918</v>
      </c>
      <c r="F109" t="s">
        <v>56</v>
      </c>
      <c r="G109" t="s">
        <v>1025</v>
      </c>
      <c r="H109" t="s">
        <v>1024</v>
      </c>
      <c r="I109" t="s">
        <v>1023</v>
      </c>
      <c r="J109" t="s">
        <v>659</v>
      </c>
      <c r="K109" t="s">
        <v>1022</v>
      </c>
      <c r="L109" t="s">
        <v>1011</v>
      </c>
      <c r="M109" t="s">
        <v>1021</v>
      </c>
      <c r="N109" t="s">
        <v>1020</v>
      </c>
      <c r="O109" t="s">
        <v>1019</v>
      </c>
      <c r="P109" t="s">
        <v>662</v>
      </c>
      <c r="Q109" t="s">
        <v>273</v>
      </c>
      <c r="R109" t="s">
        <v>653</v>
      </c>
      <c r="S109" t="s">
        <v>1018</v>
      </c>
      <c r="T109" t="s">
        <v>1017</v>
      </c>
    </row>
    <row r="110" spans="1:20">
      <c r="A110">
        <v>1</v>
      </c>
      <c r="B110" s="1" t="s">
        <v>682</v>
      </c>
      <c r="C110">
        <v>5</v>
      </c>
      <c r="D110">
        <v>5</v>
      </c>
      <c r="E110">
        <v>0</v>
      </c>
      <c r="F110">
        <v>240</v>
      </c>
      <c r="G110">
        <v>114.5</v>
      </c>
      <c r="H110">
        <v>102</v>
      </c>
      <c r="I110">
        <v>12.5</v>
      </c>
      <c r="J110">
        <v>57.4</v>
      </c>
      <c r="K110">
        <v>1.93</v>
      </c>
      <c r="L110">
        <v>17.399999999999999</v>
      </c>
      <c r="M110">
        <v>24.5</v>
      </c>
      <c r="N110">
        <v>75.8</v>
      </c>
      <c r="O110">
        <v>51</v>
      </c>
      <c r="P110">
        <v>12.1</v>
      </c>
      <c r="Q110">
        <v>54.5</v>
      </c>
      <c r="R110">
        <v>58</v>
      </c>
      <c r="S110">
        <v>96.34</v>
      </c>
      <c r="T110">
        <v>55.8</v>
      </c>
    </row>
    <row r="111" spans="1:20">
      <c r="A111">
        <v>1</v>
      </c>
      <c r="B111" s="1" t="s">
        <v>692</v>
      </c>
      <c r="C111">
        <v>5</v>
      </c>
      <c r="D111">
        <v>5</v>
      </c>
      <c r="E111">
        <v>0</v>
      </c>
      <c r="F111">
        <v>240</v>
      </c>
      <c r="G111">
        <v>115.4</v>
      </c>
      <c r="H111">
        <v>107.8</v>
      </c>
      <c r="I111">
        <v>7.6</v>
      </c>
      <c r="J111">
        <v>60.3</v>
      </c>
      <c r="K111">
        <v>1.95</v>
      </c>
      <c r="L111">
        <v>18.7</v>
      </c>
      <c r="M111">
        <v>25.7</v>
      </c>
      <c r="N111">
        <v>74</v>
      </c>
      <c r="O111">
        <v>49.7</v>
      </c>
      <c r="P111">
        <v>13.1</v>
      </c>
      <c r="Q111">
        <v>55.8</v>
      </c>
      <c r="R111">
        <v>58.9</v>
      </c>
      <c r="S111">
        <v>100.5</v>
      </c>
      <c r="T111">
        <v>54.7</v>
      </c>
    </row>
    <row r="112" spans="1:20">
      <c r="A112">
        <v>1</v>
      </c>
      <c r="B112" s="1" t="s">
        <v>696</v>
      </c>
      <c r="C112">
        <v>5</v>
      </c>
      <c r="D112">
        <v>5</v>
      </c>
      <c r="E112">
        <v>0</v>
      </c>
      <c r="F112">
        <v>240</v>
      </c>
      <c r="G112">
        <v>115.2</v>
      </c>
      <c r="H112">
        <v>104.6</v>
      </c>
      <c r="I112">
        <v>10.6</v>
      </c>
      <c r="J112">
        <v>56</v>
      </c>
      <c r="K112">
        <v>2.13</v>
      </c>
      <c r="L112">
        <v>17.5</v>
      </c>
      <c r="M112">
        <v>24.9</v>
      </c>
      <c r="N112">
        <v>84.8</v>
      </c>
      <c r="O112">
        <v>55.5</v>
      </c>
      <c r="P112">
        <v>11</v>
      </c>
      <c r="Q112">
        <v>53.9</v>
      </c>
      <c r="R112">
        <v>57.8</v>
      </c>
      <c r="S112">
        <v>98.47</v>
      </c>
      <c r="T112">
        <v>57.1</v>
      </c>
    </row>
    <row r="113" spans="1:20">
      <c r="A113">
        <v>1</v>
      </c>
      <c r="B113" s="1" t="s">
        <v>700</v>
      </c>
      <c r="C113">
        <v>5</v>
      </c>
      <c r="D113">
        <v>5</v>
      </c>
      <c r="E113">
        <v>0</v>
      </c>
      <c r="F113">
        <v>240</v>
      </c>
      <c r="G113">
        <v>107</v>
      </c>
      <c r="H113">
        <v>87.5</v>
      </c>
      <c r="I113">
        <v>19.5</v>
      </c>
      <c r="J113">
        <v>67.900000000000006</v>
      </c>
      <c r="K113">
        <v>1.54</v>
      </c>
      <c r="L113">
        <v>18.7</v>
      </c>
      <c r="M113">
        <v>27.5</v>
      </c>
      <c r="N113">
        <v>83.2</v>
      </c>
      <c r="O113">
        <v>57</v>
      </c>
      <c r="P113">
        <v>16.600000000000001</v>
      </c>
      <c r="Q113">
        <v>52.3</v>
      </c>
      <c r="R113">
        <v>56.4</v>
      </c>
      <c r="S113">
        <v>100.86</v>
      </c>
      <c r="T113">
        <v>64.8</v>
      </c>
    </row>
    <row r="114" spans="1:20">
      <c r="A114">
        <v>5</v>
      </c>
      <c r="B114" s="1" t="s">
        <v>694</v>
      </c>
      <c r="C114">
        <v>5</v>
      </c>
      <c r="D114">
        <v>4</v>
      </c>
      <c r="E114">
        <v>1</v>
      </c>
      <c r="F114">
        <v>240</v>
      </c>
      <c r="G114">
        <v>114</v>
      </c>
      <c r="H114">
        <v>102.1</v>
      </c>
      <c r="I114">
        <v>11.9</v>
      </c>
      <c r="J114">
        <v>69.2</v>
      </c>
      <c r="K114">
        <v>2.21</v>
      </c>
      <c r="L114">
        <v>20.6</v>
      </c>
      <c r="M114">
        <v>29.2</v>
      </c>
      <c r="N114">
        <v>77.5</v>
      </c>
      <c r="O114">
        <v>53.5</v>
      </c>
      <c r="P114">
        <v>13.3</v>
      </c>
      <c r="Q114">
        <v>54.1</v>
      </c>
      <c r="R114">
        <v>56.8</v>
      </c>
      <c r="S114">
        <v>100.17</v>
      </c>
      <c r="T114">
        <v>56.3</v>
      </c>
    </row>
    <row r="115" spans="1:20">
      <c r="A115">
        <v>5</v>
      </c>
      <c r="B115" s="1" t="s">
        <v>698</v>
      </c>
      <c r="C115">
        <v>5</v>
      </c>
      <c r="D115">
        <v>4</v>
      </c>
      <c r="E115">
        <v>1</v>
      </c>
      <c r="F115">
        <v>240</v>
      </c>
      <c r="G115">
        <v>103.9</v>
      </c>
      <c r="H115">
        <v>92.4</v>
      </c>
      <c r="I115">
        <v>11.5</v>
      </c>
      <c r="J115">
        <v>58.9</v>
      </c>
      <c r="K115">
        <v>1.95</v>
      </c>
      <c r="L115">
        <v>17.2</v>
      </c>
      <c r="M115">
        <v>25.2</v>
      </c>
      <c r="N115">
        <v>79.900000000000006</v>
      </c>
      <c r="O115">
        <v>51.3</v>
      </c>
      <c r="P115">
        <v>11.9</v>
      </c>
      <c r="Q115">
        <v>48.1</v>
      </c>
      <c r="R115">
        <v>52</v>
      </c>
      <c r="S115">
        <v>97.3</v>
      </c>
      <c r="T115">
        <v>57.3</v>
      </c>
    </row>
    <row r="116" spans="1:20">
      <c r="A116">
        <v>5</v>
      </c>
      <c r="B116" s="1" t="s">
        <v>699</v>
      </c>
      <c r="C116">
        <v>5</v>
      </c>
      <c r="D116">
        <v>4</v>
      </c>
      <c r="E116">
        <v>1</v>
      </c>
      <c r="F116">
        <v>245</v>
      </c>
      <c r="G116">
        <v>119.6</v>
      </c>
      <c r="H116">
        <v>109.2</v>
      </c>
      <c r="I116">
        <v>10.4</v>
      </c>
      <c r="J116">
        <v>63.3</v>
      </c>
      <c r="K116">
        <v>1.79</v>
      </c>
      <c r="L116">
        <v>19.3</v>
      </c>
      <c r="M116">
        <v>32.299999999999997</v>
      </c>
      <c r="N116">
        <v>78.3</v>
      </c>
      <c r="O116">
        <v>56.4</v>
      </c>
      <c r="P116">
        <v>15.1</v>
      </c>
      <c r="Q116">
        <v>56.8</v>
      </c>
      <c r="R116">
        <v>61.2</v>
      </c>
      <c r="S116">
        <v>98.9</v>
      </c>
      <c r="T116">
        <v>55.7</v>
      </c>
    </row>
    <row r="117" spans="1:20">
      <c r="A117">
        <v>8</v>
      </c>
      <c r="B117" s="1" t="s">
        <v>817</v>
      </c>
      <c r="C117">
        <v>5</v>
      </c>
      <c r="D117">
        <v>3</v>
      </c>
      <c r="E117">
        <v>2</v>
      </c>
      <c r="F117">
        <v>240</v>
      </c>
      <c r="G117">
        <v>113.3</v>
      </c>
      <c r="H117">
        <v>109.6</v>
      </c>
      <c r="I117">
        <v>3.7</v>
      </c>
      <c r="J117">
        <v>53.3</v>
      </c>
      <c r="K117">
        <v>1.59</v>
      </c>
      <c r="L117">
        <v>17</v>
      </c>
      <c r="M117">
        <v>18</v>
      </c>
      <c r="N117">
        <v>74.2</v>
      </c>
      <c r="O117">
        <v>47.2</v>
      </c>
      <c r="P117">
        <v>13.8</v>
      </c>
      <c r="Q117">
        <v>57.3</v>
      </c>
      <c r="R117">
        <v>60.7</v>
      </c>
      <c r="S117">
        <v>103.9</v>
      </c>
      <c r="T117">
        <v>50.1</v>
      </c>
    </row>
    <row r="118" spans="1:20">
      <c r="A118">
        <v>8</v>
      </c>
      <c r="B118" s="1" t="s">
        <v>683</v>
      </c>
      <c r="C118">
        <v>5</v>
      </c>
      <c r="D118">
        <v>3</v>
      </c>
      <c r="E118">
        <v>2</v>
      </c>
      <c r="F118">
        <v>240</v>
      </c>
      <c r="G118">
        <v>104.7</v>
      </c>
      <c r="H118">
        <v>107</v>
      </c>
      <c r="I118">
        <v>-2.2999999999999998</v>
      </c>
      <c r="J118">
        <v>55.8</v>
      </c>
      <c r="K118">
        <v>1.91</v>
      </c>
      <c r="L118">
        <v>17.100000000000001</v>
      </c>
      <c r="M118">
        <v>22</v>
      </c>
      <c r="N118">
        <v>73.2</v>
      </c>
      <c r="O118">
        <v>46.3</v>
      </c>
      <c r="P118">
        <v>11.9</v>
      </c>
      <c r="Q118">
        <v>49.8</v>
      </c>
      <c r="R118">
        <v>53.2</v>
      </c>
      <c r="S118">
        <v>96.43</v>
      </c>
      <c r="T118">
        <v>48.7</v>
      </c>
    </row>
    <row r="119" spans="1:20">
      <c r="A119">
        <v>8</v>
      </c>
      <c r="B119" s="1" t="s">
        <v>687</v>
      </c>
      <c r="C119">
        <v>5</v>
      </c>
      <c r="D119">
        <v>3</v>
      </c>
      <c r="E119">
        <v>2</v>
      </c>
      <c r="F119">
        <v>255</v>
      </c>
      <c r="G119">
        <v>111.7</v>
      </c>
      <c r="H119">
        <v>108.9</v>
      </c>
      <c r="I119">
        <v>2.7</v>
      </c>
      <c r="J119">
        <v>60.7</v>
      </c>
      <c r="K119">
        <v>2.34</v>
      </c>
      <c r="L119">
        <v>19.100000000000001</v>
      </c>
      <c r="M119">
        <v>20.9</v>
      </c>
      <c r="N119">
        <v>80.8</v>
      </c>
      <c r="O119">
        <v>50.2</v>
      </c>
      <c r="P119">
        <v>11</v>
      </c>
      <c r="Q119">
        <v>54.4</v>
      </c>
      <c r="R119">
        <v>56.8</v>
      </c>
      <c r="S119">
        <v>99</v>
      </c>
      <c r="T119">
        <v>51.4</v>
      </c>
    </row>
    <row r="120" spans="1:20">
      <c r="A120">
        <v>8</v>
      </c>
      <c r="B120" s="1" t="s">
        <v>688</v>
      </c>
      <c r="C120">
        <v>5</v>
      </c>
      <c r="D120">
        <v>3</v>
      </c>
      <c r="E120">
        <v>2</v>
      </c>
      <c r="F120">
        <v>240</v>
      </c>
      <c r="G120">
        <v>116.6</v>
      </c>
      <c r="H120">
        <v>112.6</v>
      </c>
      <c r="I120">
        <v>4</v>
      </c>
      <c r="J120">
        <v>65.900000000000006</v>
      </c>
      <c r="K120">
        <v>1.99</v>
      </c>
      <c r="L120">
        <v>20.9</v>
      </c>
      <c r="M120">
        <v>22.5</v>
      </c>
      <c r="N120">
        <v>76.099999999999994</v>
      </c>
      <c r="O120">
        <v>50.5</v>
      </c>
      <c r="P120">
        <v>14.5</v>
      </c>
      <c r="Q120">
        <v>58.1</v>
      </c>
      <c r="R120">
        <v>62.1</v>
      </c>
      <c r="S120">
        <v>102.88</v>
      </c>
      <c r="T120">
        <v>53.9</v>
      </c>
    </row>
    <row r="121" spans="1:20">
      <c r="A121">
        <v>8</v>
      </c>
      <c r="B121" s="1" t="s">
        <v>701</v>
      </c>
      <c r="C121">
        <v>5</v>
      </c>
      <c r="D121">
        <v>3</v>
      </c>
      <c r="E121">
        <v>2</v>
      </c>
      <c r="F121">
        <v>250</v>
      </c>
      <c r="G121">
        <v>111.7</v>
      </c>
      <c r="H121">
        <v>110.7</v>
      </c>
      <c r="I121">
        <v>1</v>
      </c>
      <c r="J121">
        <v>67.3</v>
      </c>
      <c r="K121">
        <v>1.94</v>
      </c>
      <c r="L121">
        <v>20.100000000000001</v>
      </c>
      <c r="M121">
        <v>24.1</v>
      </c>
      <c r="N121">
        <v>81.5</v>
      </c>
      <c r="O121">
        <v>52.3</v>
      </c>
      <c r="P121">
        <v>14.3</v>
      </c>
      <c r="Q121">
        <v>54.2</v>
      </c>
      <c r="R121">
        <v>58.3</v>
      </c>
      <c r="S121">
        <v>97.67</v>
      </c>
      <c r="T121">
        <v>50.6</v>
      </c>
    </row>
    <row r="122" spans="1:20">
      <c r="A122">
        <v>13</v>
      </c>
      <c r="B122" s="1" t="s">
        <v>675</v>
      </c>
      <c r="C122">
        <v>5</v>
      </c>
      <c r="D122">
        <v>2</v>
      </c>
      <c r="E122">
        <v>3</v>
      </c>
      <c r="F122">
        <v>250</v>
      </c>
      <c r="G122">
        <v>101.7</v>
      </c>
      <c r="H122">
        <v>101.9</v>
      </c>
      <c r="I122">
        <v>-0.2</v>
      </c>
      <c r="J122">
        <v>61.3</v>
      </c>
      <c r="K122">
        <v>1.54</v>
      </c>
      <c r="L122">
        <v>17.2</v>
      </c>
      <c r="M122">
        <v>23.3</v>
      </c>
      <c r="N122">
        <v>80.099999999999994</v>
      </c>
      <c r="O122">
        <v>51</v>
      </c>
      <c r="P122">
        <v>14.9</v>
      </c>
      <c r="Q122">
        <v>49.9</v>
      </c>
      <c r="R122">
        <v>53.1</v>
      </c>
      <c r="S122">
        <v>98.37</v>
      </c>
      <c r="T122">
        <v>48.7</v>
      </c>
    </row>
    <row r="123" spans="1:20">
      <c r="A123">
        <v>13</v>
      </c>
      <c r="B123" s="1" t="s">
        <v>709</v>
      </c>
      <c r="C123">
        <v>5</v>
      </c>
      <c r="D123">
        <v>2</v>
      </c>
      <c r="E123">
        <v>3</v>
      </c>
      <c r="F123">
        <v>240</v>
      </c>
      <c r="G123">
        <v>110.6</v>
      </c>
      <c r="H123">
        <v>116.4</v>
      </c>
      <c r="I123">
        <v>-5.9</v>
      </c>
      <c r="J123">
        <v>61.5</v>
      </c>
      <c r="K123">
        <v>1.55</v>
      </c>
      <c r="L123">
        <v>17.399999999999999</v>
      </c>
      <c r="M123">
        <v>23.6</v>
      </c>
      <c r="N123">
        <v>71.900000000000006</v>
      </c>
      <c r="O123">
        <v>47.8</v>
      </c>
      <c r="P123">
        <v>15</v>
      </c>
      <c r="Q123">
        <v>53.4</v>
      </c>
      <c r="R123">
        <v>57.9</v>
      </c>
      <c r="S123">
        <v>99.03</v>
      </c>
      <c r="T123">
        <v>46.3</v>
      </c>
    </row>
    <row r="124" spans="1:20">
      <c r="A124">
        <v>13</v>
      </c>
      <c r="B124" s="1" t="s">
        <v>677</v>
      </c>
      <c r="C124">
        <v>5</v>
      </c>
      <c r="D124">
        <v>2</v>
      </c>
      <c r="E124">
        <v>3</v>
      </c>
      <c r="F124">
        <v>240</v>
      </c>
      <c r="G124">
        <v>108.3</v>
      </c>
      <c r="H124">
        <v>113.5</v>
      </c>
      <c r="I124">
        <v>-5.2</v>
      </c>
      <c r="J124">
        <v>51.5</v>
      </c>
      <c r="K124">
        <v>1.87</v>
      </c>
      <c r="L124">
        <v>15.6</v>
      </c>
      <c r="M124">
        <v>17.5</v>
      </c>
      <c r="N124">
        <v>76.900000000000006</v>
      </c>
      <c r="O124">
        <v>47.2</v>
      </c>
      <c r="P124">
        <v>10.6</v>
      </c>
      <c r="Q124">
        <v>51.1</v>
      </c>
      <c r="R124">
        <v>55.7</v>
      </c>
      <c r="S124">
        <v>103.18</v>
      </c>
      <c r="T124">
        <v>47.9</v>
      </c>
    </row>
    <row r="125" spans="1:20">
      <c r="A125">
        <v>13</v>
      </c>
      <c r="B125" s="1" t="s">
        <v>676</v>
      </c>
      <c r="C125">
        <v>5</v>
      </c>
      <c r="D125">
        <v>2</v>
      </c>
      <c r="E125">
        <v>3</v>
      </c>
      <c r="F125">
        <v>240</v>
      </c>
      <c r="G125">
        <v>107.5</v>
      </c>
      <c r="H125">
        <v>111.4</v>
      </c>
      <c r="I125">
        <v>-3.8</v>
      </c>
      <c r="J125">
        <v>65.5</v>
      </c>
      <c r="K125">
        <v>2.4300000000000002</v>
      </c>
      <c r="L125">
        <v>18.8</v>
      </c>
      <c r="M125">
        <v>23.3</v>
      </c>
      <c r="N125">
        <v>78</v>
      </c>
      <c r="O125">
        <v>49</v>
      </c>
      <c r="P125">
        <v>10.6</v>
      </c>
      <c r="Q125">
        <v>49.6</v>
      </c>
      <c r="R125">
        <v>53.4</v>
      </c>
      <c r="S125">
        <v>101.87</v>
      </c>
      <c r="T125">
        <v>47</v>
      </c>
    </row>
    <row r="126" spans="1:20">
      <c r="A126">
        <v>13</v>
      </c>
      <c r="B126" s="1" t="s">
        <v>678</v>
      </c>
      <c r="C126">
        <v>5</v>
      </c>
      <c r="D126">
        <v>2</v>
      </c>
      <c r="E126">
        <v>3</v>
      </c>
      <c r="F126">
        <v>245</v>
      </c>
      <c r="G126">
        <v>108.4</v>
      </c>
      <c r="H126">
        <v>106.4</v>
      </c>
      <c r="I126">
        <v>2</v>
      </c>
      <c r="J126">
        <v>60.3</v>
      </c>
      <c r="K126">
        <v>2.1800000000000002</v>
      </c>
      <c r="L126">
        <v>18.100000000000001</v>
      </c>
      <c r="M126">
        <v>25</v>
      </c>
      <c r="N126">
        <v>78.2</v>
      </c>
      <c r="O126">
        <v>50.9</v>
      </c>
      <c r="P126">
        <v>11.3</v>
      </c>
      <c r="Q126">
        <v>50.2</v>
      </c>
      <c r="R126">
        <v>54</v>
      </c>
      <c r="S126">
        <v>95.34</v>
      </c>
      <c r="T126">
        <v>51.4</v>
      </c>
    </row>
    <row r="127" spans="1:20">
      <c r="A127">
        <v>13</v>
      </c>
      <c r="B127" s="1" t="s">
        <v>679</v>
      </c>
      <c r="C127">
        <v>5</v>
      </c>
      <c r="D127">
        <v>2</v>
      </c>
      <c r="E127">
        <v>3</v>
      </c>
      <c r="F127">
        <v>250</v>
      </c>
      <c r="G127">
        <v>112.7</v>
      </c>
      <c r="H127">
        <v>112.6</v>
      </c>
      <c r="I127">
        <v>0</v>
      </c>
      <c r="J127">
        <v>62.2</v>
      </c>
      <c r="K127">
        <v>1.91</v>
      </c>
      <c r="L127">
        <v>18.5</v>
      </c>
      <c r="M127">
        <v>22.9</v>
      </c>
      <c r="N127">
        <v>78.900000000000006</v>
      </c>
      <c r="O127">
        <v>51.2</v>
      </c>
      <c r="P127">
        <v>13</v>
      </c>
      <c r="Q127">
        <v>54.3</v>
      </c>
      <c r="R127">
        <v>58.1</v>
      </c>
      <c r="S127">
        <v>99.48</v>
      </c>
      <c r="T127">
        <v>51.3</v>
      </c>
    </row>
    <row r="128" spans="1:20">
      <c r="A128">
        <v>13</v>
      </c>
      <c r="B128" s="1" t="s">
        <v>680</v>
      </c>
      <c r="C128">
        <v>5</v>
      </c>
      <c r="D128">
        <v>2</v>
      </c>
      <c r="E128">
        <v>3</v>
      </c>
      <c r="F128">
        <v>240</v>
      </c>
      <c r="G128">
        <v>101</v>
      </c>
      <c r="H128">
        <v>101.1</v>
      </c>
      <c r="I128">
        <v>-0.1</v>
      </c>
      <c r="J128">
        <v>55.6</v>
      </c>
      <c r="K128">
        <v>1.49</v>
      </c>
      <c r="L128">
        <v>16.100000000000001</v>
      </c>
      <c r="M128">
        <v>19</v>
      </c>
      <c r="N128">
        <v>77.8</v>
      </c>
      <c r="O128">
        <v>48.1</v>
      </c>
      <c r="P128">
        <v>14</v>
      </c>
      <c r="Q128">
        <v>50</v>
      </c>
      <c r="R128">
        <v>53.3</v>
      </c>
      <c r="S128">
        <v>97.7</v>
      </c>
      <c r="T128">
        <v>48.3</v>
      </c>
    </row>
    <row r="129" spans="1:20">
      <c r="A129">
        <v>13</v>
      </c>
      <c r="B129" s="1" t="s">
        <v>681</v>
      </c>
      <c r="C129">
        <v>5</v>
      </c>
      <c r="D129">
        <v>2</v>
      </c>
      <c r="E129">
        <v>3</v>
      </c>
      <c r="F129">
        <v>240</v>
      </c>
      <c r="G129">
        <v>103.1</v>
      </c>
      <c r="H129">
        <v>102.4</v>
      </c>
      <c r="I129">
        <v>0.7</v>
      </c>
      <c r="J129">
        <v>58.5</v>
      </c>
      <c r="K129">
        <v>1.52</v>
      </c>
      <c r="L129">
        <v>17.399999999999999</v>
      </c>
      <c r="M129">
        <v>20.100000000000001</v>
      </c>
      <c r="N129">
        <v>77.5</v>
      </c>
      <c r="O129">
        <v>49.7</v>
      </c>
      <c r="P129">
        <v>15.1</v>
      </c>
      <c r="Q129">
        <v>51.4</v>
      </c>
      <c r="R129">
        <v>55.1</v>
      </c>
      <c r="S129">
        <v>99.57</v>
      </c>
      <c r="T129">
        <v>50.5</v>
      </c>
    </row>
    <row r="130" spans="1:20">
      <c r="A130">
        <v>13</v>
      </c>
      <c r="B130" s="1" t="s">
        <v>920</v>
      </c>
      <c r="C130">
        <v>5</v>
      </c>
      <c r="D130">
        <v>2</v>
      </c>
      <c r="E130">
        <v>3</v>
      </c>
      <c r="F130">
        <v>240</v>
      </c>
      <c r="G130">
        <v>108.2</v>
      </c>
      <c r="H130">
        <v>109</v>
      </c>
      <c r="I130">
        <v>-0.8</v>
      </c>
      <c r="J130">
        <v>50</v>
      </c>
      <c r="K130">
        <v>1.48</v>
      </c>
      <c r="L130">
        <v>15.6</v>
      </c>
      <c r="M130">
        <v>23.4</v>
      </c>
      <c r="N130">
        <v>73</v>
      </c>
      <c r="O130">
        <v>49.2</v>
      </c>
      <c r="P130">
        <v>13.7</v>
      </c>
      <c r="Q130">
        <v>52.5</v>
      </c>
      <c r="R130">
        <v>56.3</v>
      </c>
      <c r="S130">
        <v>101.1</v>
      </c>
      <c r="T130">
        <v>48.5</v>
      </c>
    </row>
    <row r="131" spans="1:20">
      <c r="A131">
        <v>13</v>
      </c>
      <c r="B131" s="1" t="s">
        <v>685</v>
      </c>
      <c r="C131">
        <v>5</v>
      </c>
      <c r="D131">
        <v>2</v>
      </c>
      <c r="E131">
        <v>3</v>
      </c>
      <c r="F131">
        <v>240</v>
      </c>
      <c r="G131">
        <v>105.7</v>
      </c>
      <c r="H131">
        <v>105.2</v>
      </c>
      <c r="I131">
        <v>0.5</v>
      </c>
      <c r="J131">
        <v>59.2</v>
      </c>
      <c r="K131">
        <v>1.51</v>
      </c>
      <c r="L131">
        <v>17.100000000000001</v>
      </c>
      <c r="M131">
        <v>23.7</v>
      </c>
      <c r="N131">
        <v>80.400000000000006</v>
      </c>
      <c r="O131">
        <v>51.8</v>
      </c>
      <c r="P131">
        <v>15.2</v>
      </c>
      <c r="Q131">
        <v>52</v>
      </c>
      <c r="R131">
        <v>55.4</v>
      </c>
      <c r="S131">
        <v>101.52</v>
      </c>
      <c r="T131">
        <v>48.9</v>
      </c>
    </row>
    <row r="132" spans="1:20">
      <c r="A132">
        <v>13</v>
      </c>
      <c r="B132" s="1" t="s">
        <v>689</v>
      </c>
      <c r="C132">
        <v>5</v>
      </c>
      <c r="D132">
        <v>2</v>
      </c>
      <c r="E132">
        <v>3</v>
      </c>
      <c r="F132">
        <v>240</v>
      </c>
      <c r="G132">
        <v>113.6</v>
      </c>
      <c r="H132">
        <v>119.7</v>
      </c>
      <c r="I132">
        <v>-6.1</v>
      </c>
      <c r="J132">
        <v>55</v>
      </c>
      <c r="K132">
        <v>1.9</v>
      </c>
      <c r="L132">
        <v>17.899999999999999</v>
      </c>
      <c r="M132">
        <v>28.6</v>
      </c>
      <c r="N132">
        <v>72.2</v>
      </c>
      <c r="O132">
        <v>50</v>
      </c>
      <c r="P132">
        <v>12.9</v>
      </c>
      <c r="Q132">
        <v>54</v>
      </c>
      <c r="R132">
        <v>57</v>
      </c>
      <c r="S132">
        <v>97.07</v>
      </c>
      <c r="T132">
        <v>46.5</v>
      </c>
    </row>
    <row r="133" spans="1:20">
      <c r="A133">
        <v>13</v>
      </c>
      <c r="B133" s="1" t="s">
        <v>690</v>
      </c>
      <c r="C133">
        <v>5</v>
      </c>
      <c r="D133">
        <v>2</v>
      </c>
      <c r="E133">
        <v>3</v>
      </c>
      <c r="F133">
        <v>240</v>
      </c>
      <c r="G133">
        <v>103.3</v>
      </c>
      <c r="H133">
        <v>102</v>
      </c>
      <c r="I133">
        <v>1.3</v>
      </c>
      <c r="J133">
        <v>61.6</v>
      </c>
      <c r="K133">
        <v>1.97</v>
      </c>
      <c r="L133">
        <v>19.100000000000001</v>
      </c>
      <c r="M133">
        <v>20.7</v>
      </c>
      <c r="N133">
        <v>74.2</v>
      </c>
      <c r="O133">
        <v>48.2</v>
      </c>
      <c r="P133">
        <v>13.1</v>
      </c>
      <c r="Q133">
        <v>50.6</v>
      </c>
      <c r="R133">
        <v>53.7</v>
      </c>
      <c r="S133">
        <v>101.83</v>
      </c>
      <c r="T133">
        <v>52.9</v>
      </c>
    </row>
    <row r="134" spans="1:20">
      <c r="A134">
        <v>13</v>
      </c>
      <c r="B134" s="1" t="s">
        <v>691</v>
      </c>
      <c r="C134">
        <v>5</v>
      </c>
      <c r="D134">
        <v>2</v>
      </c>
      <c r="E134">
        <v>3</v>
      </c>
      <c r="F134">
        <v>240</v>
      </c>
      <c r="G134">
        <v>107.5</v>
      </c>
      <c r="H134">
        <v>109.6</v>
      </c>
      <c r="I134">
        <v>-2.1</v>
      </c>
      <c r="J134">
        <v>54.4</v>
      </c>
      <c r="K134">
        <v>1.76</v>
      </c>
      <c r="L134">
        <v>17.399999999999999</v>
      </c>
      <c r="M134">
        <v>23.7</v>
      </c>
      <c r="N134">
        <v>72.400000000000006</v>
      </c>
      <c r="O134">
        <v>49.9</v>
      </c>
      <c r="P134">
        <v>13.2</v>
      </c>
      <c r="Q134">
        <v>52.6</v>
      </c>
      <c r="R134">
        <v>55.3</v>
      </c>
      <c r="S134">
        <v>101.34</v>
      </c>
      <c r="T134">
        <v>50.3</v>
      </c>
    </row>
    <row r="135" spans="1:20">
      <c r="A135">
        <v>13</v>
      </c>
      <c r="B135" s="1" t="s">
        <v>697</v>
      </c>
      <c r="C135">
        <v>5</v>
      </c>
      <c r="D135">
        <v>2</v>
      </c>
      <c r="E135">
        <v>3</v>
      </c>
      <c r="F135">
        <v>245</v>
      </c>
      <c r="G135">
        <v>101.9</v>
      </c>
      <c r="H135">
        <v>107.7</v>
      </c>
      <c r="I135">
        <v>-5.8</v>
      </c>
      <c r="J135">
        <v>57.8</v>
      </c>
      <c r="K135">
        <v>1.83</v>
      </c>
      <c r="L135">
        <v>17.5</v>
      </c>
      <c r="M135">
        <v>18.899999999999999</v>
      </c>
      <c r="N135">
        <v>79.599999999999994</v>
      </c>
      <c r="O135">
        <v>48.1</v>
      </c>
      <c r="P135">
        <v>12.6</v>
      </c>
      <c r="Q135">
        <v>50.9</v>
      </c>
      <c r="R135">
        <v>53.1</v>
      </c>
      <c r="S135">
        <v>96.89</v>
      </c>
      <c r="T135">
        <v>46.7</v>
      </c>
    </row>
    <row r="136" spans="1:20">
      <c r="A136">
        <v>27</v>
      </c>
      <c r="B136" s="1" t="s">
        <v>686</v>
      </c>
      <c r="C136">
        <v>5</v>
      </c>
      <c r="D136">
        <v>1</v>
      </c>
      <c r="E136">
        <v>4</v>
      </c>
      <c r="F136">
        <v>240</v>
      </c>
      <c r="G136">
        <v>104.3</v>
      </c>
      <c r="H136">
        <v>114.1</v>
      </c>
      <c r="I136">
        <v>-9.8000000000000007</v>
      </c>
      <c r="J136">
        <v>60.8</v>
      </c>
      <c r="K136">
        <v>1.74</v>
      </c>
      <c r="L136">
        <v>17.5</v>
      </c>
      <c r="M136">
        <v>23.8</v>
      </c>
      <c r="N136">
        <v>73.599999999999994</v>
      </c>
      <c r="O136">
        <v>47.4</v>
      </c>
      <c r="P136">
        <v>13.5</v>
      </c>
      <c r="Q136">
        <v>50.1</v>
      </c>
      <c r="R136">
        <v>53.4</v>
      </c>
      <c r="S136">
        <v>97.69</v>
      </c>
      <c r="T136">
        <v>44</v>
      </c>
    </row>
    <row r="137" spans="1:20">
      <c r="A137">
        <v>27</v>
      </c>
      <c r="B137" s="1" t="s">
        <v>693</v>
      </c>
      <c r="C137">
        <v>5</v>
      </c>
      <c r="D137">
        <v>1</v>
      </c>
      <c r="E137">
        <v>4</v>
      </c>
      <c r="F137">
        <v>240</v>
      </c>
      <c r="G137">
        <v>94.8</v>
      </c>
      <c r="H137">
        <v>106.8</v>
      </c>
      <c r="I137">
        <v>-12</v>
      </c>
      <c r="J137">
        <v>55.4</v>
      </c>
      <c r="K137">
        <v>1.18</v>
      </c>
      <c r="L137">
        <v>15.4</v>
      </c>
      <c r="M137">
        <v>18.3</v>
      </c>
      <c r="N137">
        <v>72.599999999999994</v>
      </c>
      <c r="O137">
        <v>45.1</v>
      </c>
      <c r="P137">
        <v>16.600000000000001</v>
      </c>
      <c r="Q137">
        <v>48</v>
      </c>
      <c r="R137">
        <v>52</v>
      </c>
      <c r="S137">
        <v>99.05</v>
      </c>
      <c r="T137">
        <v>43.5</v>
      </c>
    </row>
    <row r="138" spans="1:20">
      <c r="A138">
        <v>29</v>
      </c>
      <c r="B138" s="1" t="s">
        <v>674</v>
      </c>
      <c r="C138">
        <v>5</v>
      </c>
      <c r="D138">
        <v>0</v>
      </c>
      <c r="E138">
        <v>5</v>
      </c>
      <c r="F138">
        <v>240</v>
      </c>
      <c r="G138">
        <v>106.3</v>
      </c>
      <c r="H138">
        <v>120.5</v>
      </c>
      <c r="I138">
        <v>-14.2</v>
      </c>
      <c r="J138">
        <v>68</v>
      </c>
      <c r="K138">
        <v>1.63</v>
      </c>
      <c r="L138">
        <v>19.2</v>
      </c>
      <c r="M138">
        <v>17.7</v>
      </c>
      <c r="N138">
        <v>79.3</v>
      </c>
      <c r="O138">
        <v>49</v>
      </c>
      <c r="P138">
        <v>15.7</v>
      </c>
      <c r="Q138">
        <v>53.8</v>
      </c>
      <c r="R138">
        <v>58</v>
      </c>
      <c r="S138">
        <v>102.44</v>
      </c>
      <c r="T138">
        <v>44.5</v>
      </c>
    </row>
    <row r="139" spans="1:20">
      <c r="A139">
        <v>29</v>
      </c>
      <c r="B139" s="1" t="s">
        <v>695</v>
      </c>
      <c r="C139">
        <v>5</v>
      </c>
      <c r="D139">
        <v>0</v>
      </c>
      <c r="E139">
        <v>5</v>
      </c>
      <c r="F139">
        <v>240</v>
      </c>
      <c r="G139">
        <v>93.9</v>
      </c>
      <c r="H139">
        <v>113.7</v>
      </c>
      <c r="I139">
        <v>-19.7</v>
      </c>
      <c r="J139">
        <v>52.2</v>
      </c>
      <c r="K139">
        <v>1.07</v>
      </c>
      <c r="L139">
        <v>14.1</v>
      </c>
      <c r="M139">
        <v>17.8</v>
      </c>
      <c r="N139">
        <v>81.2</v>
      </c>
      <c r="O139">
        <v>48.7</v>
      </c>
      <c r="P139">
        <v>16.5</v>
      </c>
      <c r="Q139">
        <v>47.4</v>
      </c>
      <c r="R139">
        <v>51.5</v>
      </c>
      <c r="S139">
        <v>107.2</v>
      </c>
      <c r="T139">
        <v>38.200000000000003</v>
      </c>
    </row>
    <row r="140" spans="1:20">
      <c r="A140" s="123"/>
      <c r="B140" s="123"/>
      <c r="C140" s="123"/>
      <c r="D140" s="123"/>
      <c r="E140" s="123"/>
      <c r="F140" s="123"/>
      <c r="G140" s="123"/>
      <c r="H140" s="123"/>
      <c r="I140" s="123"/>
      <c r="J140" s="123"/>
      <c r="K140" s="123"/>
      <c r="L140" s="123"/>
      <c r="M140" s="123"/>
      <c r="N140" s="123"/>
      <c r="O140" s="123"/>
      <c r="P140" s="123"/>
      <c r="Q140" s="123"/>
      <c r="R140" s="123"/>
      <c r="S140" s="123"/>
      <c r="T140" s="123"/>
    </row>
  </sheetData>
  <mergeCells count="6">
    <mergeCell ref="A106:B108"/>
    <mergeCell ref="A71:B73"/>
    <mergeCell ref="A36:B38"/>
    <mergeCell ref="A1:B3"/>
    <mergeCell ref="W1:X3"/>
    <mergeCell ref="W36:X38"/>
  </mergeCells>
  <pageMargins left="0.7" right="0.7" top="0.75" bottom="0.75" header="0.3" footer="0.3"/>
  <pageSetup orientation="portrait" r:id="rId1"/>
  <drawing r:id="rId2"/>
  <tableParts count="6">
    <tablePart r:id="rId3"/>
    <tablePart r:id="rId4"/>
    <tablePart r:id="rId5"/>
    <tablePart r:id="rId6"/>
    <tablePart r:id="rId7"/>
    <tablePart r:id="rId8"/>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5"/>
  <dimension ref="A1:AM73"/>
  <sheetViews>
    <sheetView topLeftCell="B1" zoomScale="80" zoomScaleNormal="80" workbookViewId="0">
      <selection activeCell="C5" sqref="C5"/>
    </sheetView>
  </sheetViews>
  <sheetFormatPr defaultColWidth="8.85546875" defaultRowHeight="15"/>
  <cols>
    <col min="1" max="1" width="0" hidden="1" customWidth="1"/>
    <col min="2" max="2" width="6.42578125" bestFit="1" customWidth="1"/>
    <col min="3" max="3" width="26.5703125" bestFit="1" customWidth="1"/>
    <col min="4" max="4" width="5.5703125" style="2" bestFit="1" customWidth="1"/>
    <col min="5" max="5" width="7" bestFit="1" customWidth="1"/>
    <col min="6" max="7" width="8.140625" bestFit="1" customWidth="1"/>
    <col min="8" max="8" width="26.42578125" bestFit="1" customWidth="1"/>
    <col min="9" max="9" width="27.140625" bestFit="1" customWidth="1"/>
    <col min="10" max="10" width="28.140625" bestFit="1" customWidth="1"/>
    <col min="11" max="11" width="29.28515625" bestFit="1" customWidth="1"/>
    <col min="12" max="12" width="29.140625" bestFit="1" customWidth="1"/>
    <col min="13" max="13" width="26.42578125" bestFit="1" customWidth="1"/>
    <col min="14" max="14" width="22.140625" bestFit="1" customWidth="1"/>
    <col min="15" max="15" width="22.85546875" bestFit="1" customWidth="1"/>
    <col min="16" max="16" width="23.85546875" bestFit="1" customWidth="1"/>
    <col min="17" max="17" width="25" bestFit="1" customWidth="1"/>
    <col min="18" max="18" width="24.85546875" bestFit="1" customWidth="1"/>
    <col min="19" max="19" width="22.140625" bestFit="1" customWidth="1"/>
    <col min="20" max="20" width="25" bestFit="1" customWidth="1"/>
    <col min="21" max="21" width="30.7109375" bestFit="1" customWidth="1"/>
    <col min="22" max="22" width="28.5703125" bestFit="1" customWidth="1"/>
    <col min="23" max="23" width="31.28515625" bestFit="1" customWidth="1"/>
    <col min="24" max="24" width="29.140625" bestFit="1" customWidth="1"/>
    <col min="25" max="25" width="25" bestFit="1" customWidth="1"/>
    <col min="26" max="26" width="30.5703125" bestFit="1" customWidth="1"/>
    <col min="27" max="27" width="29.140625" bestFit="1" customWidth="1"/>
    <col min="28" max="28" width="29.42578125" bestFit="1" customWidth="1"/>
    <col min="29" max="29" width="29.5703125" bestFit="1" customWidth="1"/>
    <col min="30" max="30" width="24.85546875" bestFit="1" customWidth="1"/>
    <col min="31" max="31" width="22.140625" bestFit="1" customWidth="1"/>
    <col min="32" max="32" width="25" bestFit="1" customWidth="1"/>
    <col min="33" max="33" width="30.7109375" bestFit="1" customWidth="1"/>
    <col min="34" max="34" width="28.42578125" bestFit="1" customWidth="1"/>
    <col min="35" max="35" width="31.28515625" bestFit="1" customWidth="1"/>
    <col min="36" max="36" width="29.140625" bestFit="1" customWidth="1"/>
    <col min="37" max="37" width="25" bestFit="1" customWidth="1"/>
    <col min="38" max="38" width="30.42578125" bestFit="1" customWidth="1"/>
    <col min="39" max="39" width="29.140625" bestFit="1" customWidth="1"/>
    <col min="40" max="40" width="28.42578125" bestFit="1" customWidth="1"/>
    <col min="41" max="41" width="31.28515625" bestFit="1" customWidth="1"/>
    <col min="42" max="42" width="29.140625" bestFit="1" customWidth="1"/>
    <col min="43" max="43" width="25" bestFit="1" customWidth="1"/>
    <col min="44" max="44" width="30.42578125" bestFit="1" customWidth="1"/>
    <col min="45" max="45" width="29.140625" bestFit="1" customWidth="1"/>
    <col min="46" max="47" width="29.42578125" bestFit="1" customWidth="1"/>
  </cols>
  <sheetData>
    <row r="1" spans="1:31" s="73" customFormat="1">
      <c r="A1" s="362"/>
      <c r="C1" s="664"/>
      <c r="D1" s="664"/>
      <c r="E1" s="664"/>
    </row>
    <row r="2" spans="1:31" s="73" customFormat="1">
      <c r="A2" s="362"/>
      <c r="C2" s="223"/>
      <c r="D2" s="74"/>
    </row>
    <row r="3" spans="1:31" s="73" customFormat="1" ht="26.25">
      <c r="A3" s="362"/>
      <c r="C3" s="116"/>
      <c r="D3" s="74"/>
      <c r="H3" s="696" t="s">
        <v>997</v>
      </c>
      <c r="I3" s="697"/>
      <c r="J3" s="697"/>
      <c r="K3" s="697"/>
      <c r="L3" s="697"/>
      <c r="M3" s="698"/>
      <c r="N3" s="699" t="s">
        <v>998</v>
      </c>
      <c r="O3" s="700"/>
      <c r="P3" s="700"/>
      <c r="Q3" s="700"/>
      <c r="R3" s="700"/>
      <c r="S3" s="700"/>
      <c r="T3" s="700"/>
      <c r="U3" s="700"/>
      <c r="V3" s="700"/>
      <c r="W3" s="700"/>
      <c r="X3" s="700"/>
      <c r="Y3" s="700"/>
      <c r="Z3" s="700"/>
      <c r="AA3" s="700"/>
      <c r="AB3" s="700"/>
      <c r="AC3" s="700"/>
      <c r="AD3" s="700"/>
      <c r="AE3" s="701"/>
    </row>
    <row r="4" spans="1:31">
      <c r="B4" s="97" t="s">
        <v>257</v>
      </c>
      <c r="C4" s="97" t="s">
        <v>256</v>
      </c>
      <c r="D4" s="97" t="s">
        <v>261</v>
      </c>
      <c r="E4" s="97" t="s">
        <v>263</v>
      </c>
      <c r="F4" s="97" t="s">
        <v>266</v>
      </c>
      <c r="G4" s="97" t="s">
        <v>962</v>
      </c>
      <c r="H4" s="97" t="s">
        <v>963</v>
      </c>
      <c r="I4" s="97" t="s">
        <v>964</v>
      </c>
      <c r="J4" s="97" t="s">
        <v>965</v>
      </c>
      <c r="K4" s="97" t="s">
        <v>966</v>
      </c>
      <c r="L4" s="97" t="s">
        <v>967</v>
      </c>
      <c r="M4" s="97" t="s">
        <v>968</v>
      </c>
      <c r="N4" s="97" t="s">
        <v>969</v>
      </c>
      <c r="O4" s="97" t="s">
        <v>970</v>
      </c>
      <c r="P4" s="97" t="s">
        <v>971</v>
      </c>
      <c r="Q4" s="97" t="s">
        <v>972</v>
      </c>
      <c r="R4" s="97" t="s">
        <v>973</v>
      </c>
      <c r="S4" s="97" t="s">
        <v>974</v>
      </c>
      <c r="T4" s="97" t="s">
        <v>975</v>
      </c>
      <c r="U4" s="97" t="s">
        <v>976</v>
      </c>
      <c r="V4" s="97" t="s">
        <v>977</v>
      </c>
      <c r="W4" s="97" t="s">
        <v>978</v>
      </c>
      <c r="X4" s="97" t="s">
        <v>979</v>
      </c>
      <c r="Y4" s="97" t="s">
        <v>980</v>
      </c>
      <c r="Z4" s="97" t="s">
        <v>981</v>
      </c>
      <c r="AA4" s="97" t="s">
        <v>982</v>
      </c>
      <c r="AB4" s="97" t="s">
        <v>983</v>
      </c>
      <c r="AC4" s="97" t="s">
        <v>984</v>
      </c>
    </row>
    <row r="5" spans="1:31">
      <c r="A5" t="str">
        <f>SUBSTITUTE(Team_Shooting[[#This Row],[Team]],"*","")</f>
        <v>Atlanta Hawks</v>
      </c>
      <c r="B5">
        <v>1</v>
      </c>
      <c r="C5" s="1" t="s">
        <v>674</v>
      </c>
      <c r="D5">
        <v>70</v>
      </c>
      <c r="E5">
        <v>16825</v>
      </c>
      <c r="F5">
        <v>0.44800000000000001</v>
      </c>
      <c r="G5">
        <v>13.5</v>
      </c>
      <c r="H5" s="408">
        <v>0.64200000000000002</v>
      </c>
      <c r="I5" s="408">
        <v>0.28499999999999998</v>
      </c>
      <c r="J5" s="408">
        <v>0.125</v>
      </c>
      <c r="K5" s="408">
        <v>0.104</v>
      </c>
      <c r="L5" s="408">
        <v>0.127</v>
      </c>
      <c r="M5" s="408">
        <v>0.35799999999999998</v>
      </c>
      <c r="N5" s="408">
        <v>0.495</v>
      </c>
      <c r="O5" s="408">
        <v>0.628</v>
      </c>
      <c r="P5" s="408">
        <v>0.34100000000000003</v>
      </c>
      <c r="Q5" s="408">
        <v>0.40899999999999997</v>
      </c>
      <c r="R5" s="408">
        <v>0.41399999999999998</v>
      </c>
      <c r="S5" s="408">
        <v>0.36599999999999999</v>
      </c>
      <c r="T5" s="408">
        <v>0.52100000000000002</v>
      </c>
      <c r="U5" s="408">
        <v>5.1999999999999998E-2</v>
      </c>
      <c r="V5" s="408">
        <v>259</v>
      </c>
      <c r="W5" s="408">
        <v>0.29099999999999998</v>
      </c>
      <c r="X5" s="408">
        <v>909</v>
      </c>
      <c r="Y5" s="408">
        <v>0.86899999999999999</v>
      </c>
      <c r="Z5" s="408">
        <v>0.24199999999999999</v>
      </c>
      <c r="AA5" s="408">
        <v>0.44500000000000001</v>
      </c>
      <c r="AB5" s="408">
        <v>16</v>
      </c>
      <c r="AC5" s="408">
        <v>0</v>
      </c>
    </row>
    <row r="6" spans="1:31">
      <c r="A6" t="str">
        <f>SUBSTITUTE(Team_Shooting[[#This Row],[Team]],"*","")</f>
        <v>Boston Celtics</v>
      </c>
      <c r="B6">
        <v>2</v>
      </c>
      <c r="C6" s="1" t="s">
        <v>1219</v>
      </c>
      <c r="D6">
        <v>70</v>
      </c>
      <c r="E6">
        <v>16925</v>
      </c>
      <c r="F6">
        <v>0.45</v>
      </c>
      <c r="G6">
        <v>13.9</v>
      </c>
      <c r="H6" s="408">
        <v>0.63400000000000001</v>
      </c>
      <c r="I6" s="408">
        <v>0.254</v>
      </c>
      <c r="J6" s="408">
        <v>0.154</v>
      </c>
      <c r="K6" s="408">
        <v>0.107</v>
      </c>
      <c r="L6" s="408">
        <v>0.11799999999999999</v>
      </c>
      <c r="M6" s="408">
        <v>0.36599999999999999</v>
      </c>
      <c r="N6" s="408">
        <v>0.49399999999999999</v>
      </c>
      <c r="O6" s="408">
        <v>0.625</v>
      </c>
      <c r="P6" s="408">
        <v>0.36799999999999999</v>
      </c>
      <c r="Q6" s="408">
        <v>0.43099999999999999</v>
      </c>
      <c r="R6" s="408">
        <v>0.435</v>
      </c>
      <c r="S6" s="408">
        <v>0.374</v>
      </c>
      <c r="T6" s="408">
        <v>0.48499999999999999</v>
      </c>
      <c r="U6" s="408">
        <v>4.5999999999999999E-2</v>
      </c>
      <c r="V6" s="408">
        <v>230</v>
      </c>
      <c r="W6" s="408">
        <v>0.25600000000000001</v>
      </c>
      <c r="X6" s="408">
        <v>782</v>
      </c>
      <c r="Y6" s="408">
        <v>0.81100000000000005</v>
      </c>
      <c r="Z6" s="408">
        <v>0.219</v>
      </c>
      <c r="AA6" s="408">
        <v>0.4</v>
      </c>
      <c r="AB6" s="408">
        <v>16</v>
      </c>
      <c r="AC6" s="408">
        <v>0</v>
      </c>
    </row>
    <row r="7" spans="1:31">
      <c r="A7" t="str">
        <f>SUBSTITUTE(Team_Shooting[[#This Row],[Team]],"*","")</f>
        <v>Brooklyn Nets</v>
      </c>
      <c r="B7">
        <v>3</v>
      </c>
      <c r="C7" s="1" t="s">
        <v>709</v>
      </c>
      <c r="D7">
        <v>71</v>
      </c>
      <c r="E7">
        <v>17190</v>
      </c>
      <c r="F7">
        <v>0.438</v>
      </c>
      <c r="G7">
        <v>13.6</v>
      </c>
      <c r="H7" s="408">
        <v>0.59799999999999998</v>
      </c>
      <c r="I7" s="408">
        <v>0.26700000000000002</v>
      </c>
      <c r="J7" s="408">
        <v>0.17899999999999999</v>
      </c>
      <c r="K7" s="408">
        <v>8.5999999999999993E-2</v>
      </c>
      <c r="L7" s="408">
        <v>6.6000000000000003E-2</v>
      </c>
      <c r="M7" s="408">
        <v>0.40200000000000002</v>
      </c>
      <c r="N7" s="408">
        <v>0.496</v>
      </c>
      <c r="O7" s="408">
        <v>0.63700000000000001</v>
      </c>
      <c r="P7" s="408">
        <v>0.38200000000000001</v>
      </c>
      <c r="Q7" s="408">
        <v>0.40300000000000002</v>
      </c>
      <c r="R7" s="408">
        <v>0.35299999999999998</v>
      </c>
      <c r="S7" s="408">
        <v>0.35099999999999998</v>
      </c>
      <c r="T7" s="408">
        <v>0.497</v>
      </c>
      <c r="U7" s="408">
        <v>4.2000000000000003E-2</v>
      </c>
      <c r="V7" s="408">
        <v>220</v>
      </c>
      <c r="W7" s="408">
        <v>0.28999999999999998</v>
      </c>
      <c r="X7" s="408">
        <v>945</v>
      </c>
      <c r="Y7" s="408">
        <v>0.84</v>
      </c>
      <c r="Z7" s="408">
        <v>0.19900000000000001</v>
      </c>
      <c r="AA7" s="408">
        <v>0.372</v>
      </c>
      <c r="AB7" s="408">
        <v>12</v>
      </c>
      <c r="AC7" s="408">
        <v>1</v>
      </c>
    </row>
    <row r="8" spans="1:31">
      <c r="A8" t="str">
        <f>SUBSTITUTE(Team_Shooting[[#This Row],[Team]],"*","")</f>
        <v>Chicago Bulls</v>
      </c>
      <c r="B8">
        <v>4</v>
      </c>
      <c r="C8" s="1" t="s">
        <v>676</v>
      </c>
      <c r="D8">
        <v>70</v>
      </c>
      <c r="E8">
        <v>16975</v>
      </c>
      <c r="F8">
        <v>0.438</v>
      </c>
      <c r="G8">
        <v>13.7</v>
      </c>
      <c r="H8" s="408">
        <v>0.65300000000000002</v>
      </c>
      <c r="I8" s="408">
        <v>0.251</v>
      </c>
      <c r="J8" s="408">
        <v>0.16300000000000001</v>
      </c>
      <c r="K8" s="408">
        <v>9.5000000000000001E-2</v>
      </c>
      <c r="L8" s="408">
        <v>0.14299999999999999</v>
      </c>
      <c r="M8" s="408">
        <v>0.34699999999999998</v>
      </c>
      <c r="N8" s="408">
        <v>0.48099999999999998</v>
      </c>
      <c r="O8" s="408">
        <v>0.627</v>
      </c>
      <c r="P8" s="408">
        <v>0.39400000000000002</v>
      </c>
      <c r="Q8" s="408">
        <v>0.39600000000000002</v>
      </c>
      <c r="R8" s="408">
        <v>0.38200000000000001</v>
      </c>
      <c r="S8" s="408">
        <v>0.35899999999999999</v>
      </c>
      <c r="T8" s="408">
        <v>0.51100000000000001</v>
      </c>
      <c r="U8" s="408">
        <v>3.7999999999999999E-2</v>
      </c>
      <c r="V8" s="408">
        <v>214</v>
      </c>
      <c r="W8" s="408">
        <v>0.249</v>
      </c>
      <c r="X8" s="408">
        <v>792</v>
      </c>
      <c r="Y8" s="408">
        <v>0.84699999999999998</v>
      </c>
      <c r="Z8" s="408">
        <v>0.184</v>
      </c>
      <c r="AA8" s="408">
        <v>0.379</v>
      </c>
      <c r="AB8" s="408">
        <v>14</v>
      </c>
      <c r="AC8" s="408">
        <v>0</v>
      </c>
    </row>
    <row r="9" spans="1:31">
      <c r="A9" t="str">
        <f>SUBSTITUTE(Team_Shooting[[#This Row],[Team]],"*","")</f>
        <v>Charlotte Hornets</v>
      </c>
      <c r="B9">
        <v>5</v>
      </c>
      <c r="C9" s="1" t="s">
        <v>677</v>
      </c>
      <c r="D9">
        <v>71</v>
      </c>
      <c r="E9">
        <v>17115</v>
      </c>
      <c r="F9">
        <v>0.44700000000000001</v>
      </c>
      <c r="G9">
        <v>13.1</v>
      </c>
      <c r="H9" s="408">
        <v>0.68799999999999994</v>
      </c>
      <c r="I9" s="408">
        <v>0.27500000000000002</v>
      </c>
      <c r="J9" s="408">
        <v>0.158</v>
      </c>
      <c r="K9" s="408">
        <v>0.11600000000000001</v>
      </c>
      <c r="L9" s="408">
        <v>0.13800000000000001</v>
      </c>
      <c r="M9" s="408">
        <v>0.312</v>
      </c>
      <c r="N9" s="408">
        <v>0.48299999999999998</v>
      </c>
      <c r="O9" s="408">
        <v>0.63300000000000001</v>
      </c>
      <c r="P9" s="408">
        <v>0.372</v>
      </c>
      <c r="Q9" s="408">
        <v>0.41599999999999998</v>
      </c>
      <c r="R9" s="408">
        <v>0.36799999999999999</v>
      </c>
      <c r="S9" s="408">
        <v>0.36699999999999999</v>
      </c>
      <c r="T9" s="408">
        <v>0.47899999999999998</v>
      </c>
      <c r="U9" s="408">
        <v>4.5999999999999999E-2</v>
      </c>
      <c r="V9" s="408">
        <v>255</v>
      </c>
      <c r="W9" s="408">
        <v>0.26800000000000002</v>
      </c>
      <c r="X9" s="408">
        <v>871</v>
      </c>
      <c r="Y9" s="408">
        <v>0.76200000000000001</v>
      </c>
      <c r="Z9" s="408">
        <v>0.152</v>
      </c>
      <c r="AA9" s="408">
        <v>0.378</v>
      </c>
      <c r="AB9" s="408">
        <v>21</v>
      </c>
      <c r="AC9" s="408">
        <v>1</v>
      </c>
    </row>
    <row r="10" spans="1:31">
      <c r="A10" t="str">
        <f>SUBSTITUTE(Team_Shooting[[#This Row],[Team]],"*","")</f>
        <v>Cleveland Cavaliers</v>
      </c>
      <c r="B10">
        <v>6</v>
      </c>
      <c r="C10" s="1" t="s">
        <v>817</v>
      </c>
      <c r="D10">
        <v>70</v>
      </c>
      <c r="E10">
        <v>16850</v>
      </c>
      <c r="F10">
        <v>0.47599999999999998</v>
      </c>
      <c r="G10">
        <v>13.9</v>
      </c>
      <c r="H10" s="408">
        <v>0.61399999999999999</v>
      </c>
      <c r="I10" s="408">
        <v>0.29299999999999998</v>
      </c>
      <c r="J10" s="408">
        <v>0.111</v>
      </c>
      <c r="K10" s="408">
        <v>9.0999999999999998E-2</v>
      </c>
      <c r="L10" s="408">
        <v>0.11700000000000001</v>
      </c>
      <c r="M10" s="408">
        <v>0.38600000000000001</v>
      </c>
      <c r="N10" s="408">
        <v>0.54400000000000004</v>
      </c>
      <c r="O10" s="408">
        <v>0.71699999999999997</v>
      </c>
      <c r="P10" s="408">
        <v>0.36699999999999999</v>
      </c>
      <c r="Q10" s="408">
        <v>0.41099999999999998</v>
      </c>
      <c r="R10" s="408">
        <v>0.38300000000000001</v>
      </c>
      <c r="S10" s="408">
        <v>0.36799999999999999</v>
      </c>
      <c r="T10" s="408">
        <v>0.48599999999999999</v>
      </c>
      <c r="U10" s="408">
        <v>4.9000000000000002E-2</v>
      </c>
      <c r="V10" s="408">
        <v>260</v>
      </c>
      <c r="W10" s="408">
        <v>0.27100000000000002</v>
      </c>
      <c r="X10" s="408">
        <v>991</v>
      </c>
      <c r="Y10" s="408">
        <v>0.82</v>
      </c>
      <c r="Z10" s="408">
        <v>0.247</v>
      </c>
      <c r="AA10" s="408">
        <v>0.41399999999999998</v>
      </c>
      <c r="AB10" s="408">
        <v>11</v>
      </c>
      <c r="AC10" s="408">
        <v>0</v>
      </c>
    </row>
    <row r="11" spans="1:31">
      <c r="A11" t="str">
        <f>SUBSTITUTE(Team_Shooting[[#This Row],[Team]],"*","")</f>
        <v>Dallas Mavericks</v>
      </c>
      <c r="B11">
        <v>7</v>
      </c>
      <c r="C11" s="1" t="s">
        <v>678</v>
      </c>
      <c r="D11">
        <v>70</v>
      </c>
      <c r="E11">
        <v>16900</v>
      </c>
      <c r="F11">
        <v>0.44600000000000001</v>
      </c>
      <c r="G11">
        <v>14.3</v>
      </c>
      <c r="H11" s="408">
        <v>0.625</v>
      </c>
      <c r="I11" s="408">
        <v>0.245</v>
      </c>
      <c r="J11" s="408">
        <v>0.13</v>
      </c>
      <c r="K11" s="408">
        <v>0.108</v>
      </c>
      <c r="L11" s="408">
        <v>0.14000000000000001</v>
      </c>
      <c r="M11" s="408">
        <v>0.375</v>
      </c>
      <c r="N11" s="408">
        <v>0.496</v>
      </c>
      <c r="O11" s="408">
        <v>0.64800000000000002</v>
      </c>
      <c r="P11" s="408">
        <v>0.39600000000000002</v>
      </c>
      <c r="Q11" s="408">
        <v>0.38800000000000001</v>
      </c>
      <c r="R11" s="408">
        <v>0.40500000000000003</v>
      </c>
      <c r="S11" s="408">
        <v>0.36399999999999999</v>
      </c>
      <c r="T11" s="408">
        <v>0.496</v>
      </c>
      <c r="U11" s="408">
        <v>4.8000000000000001E-2</v>
      </c>
      <c r="V11" s="408">
        <v>250</v>
      </c>
      <c r="W11" s="408">
        <v>0.22500000000000001</v>
      </c>
      <c r="X11" s="408">
        <v>735</v>
      </c>
      <c r="Y11" s="408">
        <v>0.82</v>
      </c>
      <c r="Z11" s="408">
        <v>0.17</v>
      </c>
      <c r="AA11" s="408">
        <v>0.40799999999999997</v>
      </c>
      <c r="AB11" s="408">
        <v>17</v>
      </c>
      <c r="AC11" s="408">
        <v>0</v>
      </c>
    </row>
    <row r="12" spans="1:31">
      <c r="A12" t="str">
        <f>SUBSTITUTE(Team_Shooting[[#This Row],[Team]],"*","")</f>
        <v>Denver Nuggets</v>
      </c>
      <c r="B12">
        <v>8</v>
      </c>
      <c r="C12" s="1" t="s">
        <v>679</v>
      </c>
      <c r="D12">
        <v>71</v>
      </c>
      <c r="E12">
        <v>17165</v>
      </c>
      <c r="F12">
        <v>0.46899999999999997</v>
      </c>
      <c r="G12">
        <v>12.8</v>
      </c>
      <c r="H12" s="408">
        <v>0.64500000000000002</v>
      </c>
      <c r="I12" s="408">
        <v>0.27800000000000002</v>
      </c>
      <c r="J12" s="408">
        <v>0.20499999999999999</v>
      </c>
      <c r="K12" s="408">
        <v>8.5999999999999993E-2</v>
      </c>
      <c r="L12" s="408">
        <v>7.5999999999999998E-2</v>
      </c>
      <c r="M12" s="408">
        <v>0.35499999999999998</v>
      </c>
      <c r="N12" s="408">
        <v>0.52600000000000002</v>
      </c>
      <c r="O12" s="408">
        <v>0.66800000000000004</v>
      </c>
      <c r="P12" s="408">
        <v>0.42199999999999999</v>
      </c>
      <c r="Q12" s="408">
        <v>0.436</v>
      </c>
      <c r="R12" s="408">
        <v>0.39</v>
      </c>
      <c r="S12" s="408">
        <v>0.36699999999999999</v>
      </c>
      <c r="T12" s="408">
        <v>0.52</v>
      </c>
      <c r="U12" s="408">
        <v>5.7000000000000002E-2</v>
      </c>
      <c r="V12" s="408">
        <v>314</v>
      </c>
      <c r="W12" s="408">
        <v>0.311</v>
      </c>
      <c r="X12" s="408">
        <v>1019</v>
      </c>
      <c r="Y12" s="408">
        <v>0.85799999999999998</v>
      </c>
      <c r="Z12" s="408">
        <v>0.16500000000000001</v>
      </c>
      <c r="AA12" s="408">
        <v>0.41499999999999998</v>
      </c>
      <c r="AB12" s="408">
        <v>21</v>
      </c>
      <c r="AC12" s="408">
        <v>0</v>
      </c>
    </row>
    <row r="13" spans="1:31">
      <c r="A13" t="str">
        <f>SUBSTITUTE(Team_Shooting[[#This Row],[Team]],"*","")</f>
        <v>Detroit Pistons</v>
      </c>
      <c r="B13">
        <v>9</v>
      </c>
      <c r="C13" s="1" t="s">
        <v>680</v>
      </c>
      <c r="D13">
        <v>70</v>
      </c>
      <c r="E13">
        <v>16875</v>
      </c>
      <c r="F13">
        <v>0.44700000000000001</v>
      </c>
      <c r="G13">
        <v>13</v>
      </c>
      <c r="H13" s="408">
        <v>0.67300000000000004</v>
      </c>
      <c r="I13" s="408">
        <v>0.26300000000000001</v>
      </c>
      <c r="J13" s="408">
        <v>0.187</v>
      </c>
      <c r="K13" s="408">
        <v>0.106</v>
      </c>
      <c r="L13" s="408">
        <v>0.11700000000000001</v>
      </c>
      <c r="M13" s="408">
        <v>0.32700000000000001</v>
      </c>
      <c r="N13" s="408">
        <v>0.48399999999999999</v>
      </c>
      <c r="O13" s="408">
        <v>0.65400000000000003</v>
      </c>
      <c r="P13" s="408">
        <v>0.34300000000000003</v>
      </c>
      <c r="Q13" s="408">
        <v>0.435</v>
      </c>
      <c r="R13" s="408">
        <v>0.373</v>
      </c>
      <c r="S13" s="408">
        <v>0.371</v>
      </c>
      <c r="T13" s="408">
        <v>0.46400000000000002</v>
      </c>
      <c r="U13" s="408">
        <v>4.2999999999999997E-2</v>
      </c>
      <c r="V13" s="408">
        <v>222</v>
      </c>
      <c r="W13" s="408">
        <v>0.28599999999999998</v>
      </c>
      <c r="X13" s="408">
        <v>894</v>
      </c>
      <c r="Y13" s="408">
        <v>0.89500000000000002</v>
      </c>
      <c r="Z13" s="408">
        <v>0.23100000000000001</v>
      </c>
      <c r="AA13" s="408">
        <v>0.40100000000000002</v>
      </c>
      <c r="AB13" s="408">
        <v>12</v>
      </c>
      <c r="AC13" s="408">
        <v>1</v>
      </c>
    </row>
    <row r="14" spans="1:31">
      <c r="A14" t="str">
        <f>SUBSTITUTE(Team_Shooting[[#This Row],[Team]],"*","")</f>
        <v>Golden State Warriors</v>
      </c>
      <c r="B14">
        <v>10</v>
      </c>
      <c r="C14" s="1" t="s">
        <v>1266</v>
      </c>
      <c r="D14">
        <v>71</v>
      </c>
      <c r="E14">
        <v>17090</v>
      </c>
      <c r="F14">
        <v>0.50900000000000001</v>
      </c>
      <c r="G14">
        <v>14</v>
      </c>
      <c r="H14" s="408">
        <v>0.65200000000000002</v>
      </c>
      <c r="I14" s="408">
        <v>0.27200000000000002</v>
      </c>
      <c r="J14" s="408">
        <v>0.11</v>
      </c>
      <c r="K14" s="408">
        <v>0.13400000000000001</v>
      </c>
      <c r="L14" s="408">
        <v>0.13700000000000001</v>
      </c>
      <c r="M14" s="408">
        <v>0.34799999999999998</v>
      </c>
      <c r="N14" s="408">
        <v>0.56899999999999995</v>
      </c>
      <c r="O14" s="408">
        <v>0.71199999999999997</v>
      </c>
      <c r="P14" s="408">
        <v>0.42799999999999999</v>
      </c>
      <c r="Q14" s="408">
        <v>0.48899999999999999</v>
      </c>
      <c r="R14" s="408">
        <v>0.47799999999999998</v>
      </c>
      <c r="S14" s="408">
        <v>0.39500000000000002</v>
      </c>
      <c r="T14" s="408">
        <v>0.65200000000000002</v>
      </c>
      <c r="U14" s="408">
        <v>7.2999999999999995E-2</v>
      </c>
      <c r="V14" s="408">
        <v>394</v>
      </c>
      <c r="W14" s="408">
        <v>0.23100000000000001</v>
      </c>
      <c r="X14" s="408">
        <v>838</v>
      </c>
      <c r="Y14" s="408">
        <v>0.80300000000000005</v>
      </c>
      <c r="Z14" s="408">
        <v>0.161</v>
      </c>
      <c r="AA14" s="408">
        <v>0.40100000000000002</v>
      </c>
      <c r="AB14" s="408">
        <v>25</v>
      </c>
      <c r="AC14" s="408">
        <v>0</v>
      </c>
    </row>
    <row r="15" spans="1:31">
      <c r="A15" t="str">
        <f>SUBSTITUTE(Team_Shooting[[#This Row],[Team]],"*","")</f>
        <v>Houston Rockets</v>
      </c>
      <c r="B15">
        <v>11</v>
      </c>
      <c r="C15" s="1" t="s">
        <v>1218</v>
      </c>
      <c r="D15">
        <v>70</v>
      </c>
      <c r="E15">
        <v>16850</v>
      </c>
      <c r="F15">
        <v>0.46300000000000002</v>
      </c>
      <c r="G15">
        <v>15</v>
      </c>
      <c r="H15" s="408">
        <v>0.5</v>
      </c>
      <c r="I15" s="408">
        <v>0.28799999999999998</v>
      </c>
      <c r="J15" s="408">
        <v>0.104</v>
      </c>
      <c r="K15" s="408">
        <v>6.3E-2</v>
      </c>
      <c r="L15" s="408">
        <v>4.3999999999999997E-2</v>
      </c>
      <c r="M15" s="408">
        <v>0.5</v>
      </c>
      <c r="N15" s="408">
        <v>0.56100000000000005</v>
      </c>
      <c r="O15" s="408">
        <v>0.67500000000000004</v>
      </c>
      <c r="P15" s="408">
        <v>0.374</v>
      </c>
      <c r="Q15" s="408">
        <v>0.45</v>
      </c>
      <c r="R15" s="408">
        <v>0.42699999999999999</v>
      </c>
      <c r="S15" s="408">
        <v>0.36499999999999999</v>
      </c>
      <c r="T15" s="408">
        <v>0.47099999999999997</v>
      </c>
      <c r="U15" s="408">
        <v>6.3E-2</v>
      </c>
      <c r="V15" s="408">
        <v>340</v>
      </c>
      <c r="W15" s="408">
        <v>0.26100000000000001</v>
      </c>
      <c r="X15" s="408">
        <v>866</v>
      </c>
      <c r="Y15" s="408">
        <v>0.69199999999999995</v>
      </c>
      <c r="Z15" s="408">
        <v>0.22</v>
      </c>
      <c r="AA15" s="408">
        <v>0.40799999999999997</v>
      </c>
      <c r="AB15" s="408">
        <v>16</v>
      </c>
      <c r="AC15" s="408">
        <v>1</v>
      </c>
    </row>
    <row r="16" spans="1:31">
      <c r="A16" t="str">
        <f>SUBSTITUTE(Team_Shooting[[#This Row],[Team]],"*","")</f>
        <v>Indiana Pacers</v>
      </c>
      <c r="B16">
        <v>12</v>
      </c>
      <c r="C16" s="1" t="s">
        <v>683</v>
      </c>
      <c r="D16">
        <v>71</v>
      </c>
      <c r="E16">
        <v>17090</v>
      </c>
      <c r="F16">
        <v>0.47399999999999998</v>
      </c>
      <c r="G16">
        <v>13.1</v>
      </c>
      <c r="H16" s="408">
        <v>0.71499999999999997</v>
      </c>
      <c r="I16" s="408">
        <v>0.29499999999999998</v>
      </c>
      <c r="J16" s="408">
        <v>0.13100000000000001</v>
      </c>
      <c r="K16" s="408">
        <v>9.6000000000000002E-2</v>
      </c>
      <c r="L16" s="408">
        <v>0.192</v>
      </c>
      <c r="M16" s="408">
        <v>0.28499999999999998</v>
      </c>
      <c r="N16" s="408">
        <v>0.51500000000000001</v>
      </c>
      <c r="O16" s="408">
        <v>0.63700000000000001</v>
      </c>
      <c r="P16" s="408">
        <v>0.42699999999999999</v>
      </c>
      <c r="Q16" s="408">
        <v>0.44400000000000001</v>
      </c>
      <c r="R16" s="408">
        <v>0.42399999999999999</v>
      </c>
      <c r="S16" s="408">
        <v>0.371</v>
      </c>
      <c r="T16" s="408">
        <v>0.46</v>
      </c>
      <c r="U16" s="408">
        <v>0.04</v>
      </c>
      <c r="V16" s="408">
        <v>212</v>
      </c>
      <c r="W16" s="408">
        <v>0.29399999999999998</v>
      </c>
      <c r="X16" s="408">
        <v>997</v>
      </c>
      <c r="Y16" s="408">
        <v>0.82099999999999995</v>
      </c>
      <c r="Z16" s="408">
        <v>0.219</v>
      </c>
      <c r="AA16" s="408">
        <v>0.432</v>
      </c>
      <c r="AB16" s="408">
        <v>18</v>
      </c>
      <c r="AC16" s="408">
        <v>0</v>
      </c>
    </row>
    <row r="17" spans="1:29">
      <c r="A17" t="str">
        <f>SUBSTITUTE(Team_Shooting[[#This Row],[Team]],"*","")</f>
        <v>Los Angeles Clippers</v>
      </c>
      <c r="B17">
        <v>13</v>
      </c>
      <c r="C17" s="1" t="s">
        <v>684</v>
      </c>
      <c r="D17">
        <v>69</v>
      </c>
      <c r="E17">
        <v>16585</v>
      </c>
      <c r="F17">
        <v>0.47</v>
      </c>
      <c r="G17">
        <v>12.1</v>
      </c>
      <c r="H17" s="408">
        <v>0.67200000000000004</v>
      </c>
      <c r="I17" s="408">
        <v>0.34200000000000003</v>
      </c>
      <c r="J17" s="408">
        <v>0.155</v>
      </c>
      <c r="K17" s="408">
        <v>8.4000000000000005E-2</v>
      </c>
      <c r="L17" s="408">
        <v>0.09</v>
      </c>
      <c r="M17" s="408">
        <v>0.32800000000000001</v>
      </c>
      <c r="N17" s="408">
        <v>0.52800000000000002</v>
      </c>
      <c r="O17" s="408">
        <v>0.66100000000000003</v>
      </c>
      <c r="P17" s="408">
        <v>0.38100000000000001</v>
      </c>
      <c r="Q17" s="408">
        <v>0.42699999999999999</v>
      </c>
      <c r="R17" s="408">
        <v>0.38200000000000001</v>
      </c>
      <c r="S17" s="408">
        <v>0.35099999999999998</v>
      </c>
      <c r="T17" s="408">
        <v>0.501</v>
      </c>
      <c r="U17" s="408">
        <v>8.2000000000000003E-2</v>
      </c>
      <c r="V17" s="408">
        <v>433</v>
      </c>
      <c r="W17" s="408">
        <v>0.29399999999999998</v>
      </c>
      <c r="X17" s="408">
        <v>949</v>
      </c>
      <c r="Y17" s="408">
        <v>0.72299999999999998</v>
      </c>
      <c r="Z17" s="408">
        <v>0.21299999999999999</v>
      </c>
      <c r="AA17" s="408">
        <v>0.33</v>
      </c>
      <c r="AB17" s="408">
        <v>15</v>
      </c>
      <c r="AC17" s="408">
        <v>1</v>
      </c>
    </row>
    <row r="18" spans="1:29">
      <c r="A18" t="str">
        <f>SUBSTITUTE(Team_Shooting[[#This Row],[Team]],"*","")</f>
        <v>Los Angeles Lakers</v>
      </c>
      <c r="B18">
        <v>14</v>
      </c>
      <c r="C18" s="1" t="s">
        <v>685</v>
      </c>
      <c r="D18">
        <v>70</v>
      </c>
      <c r="E18">
        <v>16975</v>
      </c>
      <c r="F18">
        <v>0.46100000000000002</v>
      </c>
      <c r="G18">
        <v>12.3</v>
      </c>
      <c r="H18" s="408">
        <v>0.67700000000000005</v>
      </c>
      <c r="I18" s="408">
        <v>0.33100000000000002</v>
      </c>
      <c r="J18" s="408">
        <v>0.161</v>
      </c>
      <c r="K18" s="408">
        <v>8.6999999999999994E-2</v>
      </c>
      <c r="L18" s="408">
        <v>9.8000000000000004E-2</v>
      </c>
      <c r="M18" s="408">
        <v>0.32300000000000001</v>
      </c>
      <c r="N18" s="408">
        <v>0.51600000000000001</v>
      </c>
      <c r="O18" s="408">
        <v>0.67</v>
      </c>
      <c r="P18" s="408">
        <v>0.38200000000000001</v>
      </c>
      <c r="Q18" s="408">
        <v>0.34799999999999998</v>
      </c>
      <c r="R18" s="408">
        <v>0.36599999999999999</v>
      </c>
      <c r="S18" s="408">
        <v>0.34599999999999997</v>
      </c>
      <c r="T18" s="408">
        <v>0.48799999999999999</v>
      </c>
      <c r="U18" s="408">
        <v>6.0999999999999999E-2</v>
      </c>
      <c r="V18" s="408">
        <v>335</v>
      </c>
      <c r="W18" s="408">
        <v>0.30399999999999999</v>
      </c>
      <c r="X18" s="408">
        <v>1085</v>
      </c>
      <c r="Y18" s="408">
        <v>0.872</v>
      </c>
      <c r="Z18" s="408">
        <v>0.16500000000000001</v>
      </c>
      <c r="AA18" s="408">
        <v>0.378</v>
      </c>
      <c r="AB18" s="408">
        <v>15</v>
      </c>
      <c r="AC18" s="408">
        <v>0</v>
      </c>
    </row>
    <row r="19" spans="1:29">
      <c r="A19" t="str">
        <f>SUBSTITUTE(Team_Shooting[[#This Row],[Team]],"*","")</f>
        <v>Memphis Grizzlies</v>
      </c>
      <c r="B19">
        <v>15</v>
      </c>
      <c r="C19" s="1" t="s">
        <v>686</v>
      </c>
      <c r="D19">
        <v>70</v>
      </c>
      <c r="E19">
        <v>16825</v>
      </c>
      <c r="F19">
        <v>0.441</v>
      </c>
      <c r="G19">
        <v>12.7</v>
      </c>
      <c r="H19" s="408">
        <v>0.67900000000000005</v>
      </c>
      <c r="I19" s="408">
        <v>0.313</v>
      </c>
      <c r="J19" s="408">
        <v>0.13900000000000001</v>
      </c>
      <c r="K19" s="408">
        <v>9.7000000000000003E-2</v>
      </c>
      <c r="L19" s="408">
        <v>0.126</v>
      </c>
      <c r="M19" s="408">
        <v>0.32100000000000001</v>
      </c>
      <c r="N19" s="408">
        <v>0.48499999999999999</v>
      </c>
      <c r="O19" s="408">
        <v>0.61199999999999999</v>
      </c>
      <c r="P19" s="408">
        <v>0.34499999999999997</v>
      </c>
      <c r="Q19" s="408">
        <v>0.372</v>
      </c>
      <c r="R19" s="408">
        <v>0.41</v>
      </c>
      <c r="S19" s="408">
        <v>0.34899999999999998</v>
      </c>
      <c r="T19" s="408">
        <v>0.51100000000000001</v>
      </c>
      <c r="U19" s="408">
        <v>4.8000000000000001E-2</v>
      </c>
      <c r="V19" s="408">
        <v>242</v>
      </c>
      <c r="W19" s="408">
        <v>0.308</v>
      </c>
      <c r="X19" s="408">
        <v>913</v>
      </c>
      <c r="Y19" s="408">
        <v>0.82799999999999996</v>
      </c>
      <c r="Z19" s="408">
        <v>0.184</v>
      </c>
      <c r="AA19" s="408">
        <v>0.33800000000000002</v>
      </c>
      <c r="AB19" s="408">
        <v>20</v>
      </c>
      <c r="AC19" s="408">
        <v>0</v>
      </c>
    </row>
    <row r="20" spans="1:29">
      <c r="A20" t="str">
        <f>SUBSTITUTE(Team_Shooting[[#This Row],[Team]],"*","")</f>
        <v>Miami Heat</v>
      </c>
      <c r="B20">
        <v>16</v>
      </c>
      <c r="C20" s="1" t="s">
        <v>687</v>
      </c>
      <c r="D20">
        <v>71</v>
      </c>
      <c r="E20">
        <v>17215</v>
      </c>
      <c r="F20">
        <v>0.45400000000000001</v>
      </c>
      <c r="G20">
        <v>13.3</v>
      </c>
      <c r="H20" s="408">
        <v>0.63600000000000001</v>
      </c>
      <c r="I20" s="408">
        <v>0.27700000000000002</v>
      </c>
      <c r="J20" s="408">
        <v>0.16</v>
      </c>
      <c r="K20" s="408">
        <v>9.6000000000000002E-2</v>
      </c>
      <c r="L20" s="408">
        <v>0.104</v>
      </c>
      <c r="M20" s="408">
        <v>0.36399999999999999</v>
      </c>
      <c r="N20" s="408">
        <v>0.50900000000000001</v>
      </c>
      <c r="O20" s="408">
        <v>0.65500000000000003</v>
      </c>
      <c r="P20" s="408">
        <v>0.41099999999999998</v>
      </c>
      <c r="Q20" s="408">
        <v>0.39900000000000002</v>
      </c>
      <c r="R20" s="408">
        <v>0.373</v>
      </c>
      <c r="S20" s="408">
        <v>0.35799999999999998</v>
      </c>
      <c r="T20" s="408">
        <v>0.45300000000000001</v>
      </c>
      <c r="U20" s="408">
        <v>5.5E-2</v>
      </c>
      <c r="V20" s="408">
        <v>292</v>
      </c>
      <c r="W20" s="408">
        <v>0.26700000000000002</v>
      </c>
      <c r="X20" s="408">
        <v>894</v>
      </c>
      <c r="Y20" s="408">
        <v>0.90500000000000003</v>
      </c>
      <c r="Z20" s="408">
        <v>0.25700000000000001</v>
      </c>
      <c r="AA20" s="408">
        <v>0.38</v>
      </c>
      <c r="AB20" s="408">
        <v>15</v>
      </c>
      <c r="AC20" s="408">
        <v>0</v>
      </c>
    </row>
    <row r="21" spans="1:29">
      <c r="A21" t="str">
        <f>SUBSTITUTE(Team_Shooting[[#This Row],[Team]],"*","")</f>
        <v>Milwaukee Bucks</v>
      </c>
      <c r="B21">
        <v>17</v>
      </c>
      <c r="C21" s="1" t="s">
        <v>688</v>
      </c>
      <c r="D21">
        <v>70</v>
      </c>
      <c r="E21">
        <v>16900</v>
      </c>
      <c r="F21">
        <v>0.47799999999999998</v>
      </c>
      <c r="G21">
        <v>12.5</v>
      </c>
      <c r="H21" s="408">
        <v>0.70099999999999996</v>
      </c>
      <c r="I21" s="408">
        <v>0.308</v>
      </c>
      <c r="J21" s="408">
        <v>0.151</v>
      </c>
      <c r="K21" s="408">
        <v>0.113</v>
      </c>
      <c r="L21" s="408">
        <v>0.129</v>
      </c>
      <c r="M21" s="408">
        <v>0.29899999999999999</v>
      </c>
      <c r="N21" s="408">
        <v>0.52900000000000003</v>
      </c>
      <c r="O21" s="408">
        <v>0.68500000000000005</v>
      </c>
      <c r="P21" s="408">
        <v>0.36</v>
      </c>
      <c r="Q21" s="408">
        <v>0.46899999999999997</v>
      </c>
      <c r="R21" s="408">
        <v>0.40799999999999997</v>
      </c>
      <c r="S21" s="408">
        <v>0.35599999999999998</v>
      </c>
      <c r="T21" s="408">
        <v>0.49099999999999999</v>
      </c>
      <c r="U21" s="408">
        <v>6.6000000000000003E-2</v>
      </c>
      <c r="V21" s="408">
        <v>336</v>
      </c>
      <c r="W21" s="408">
        <v>0.28000000000000003</v>
      </c>
      <c r="X21" s="408">
        <v>878</v>
      </c>
      <c r="Y21" s="408">
        <v>0.88400000000000001</v>
      </c>
      <c r="Z21" s="408">
        <v>0.26</v>
      </c>
      <c r="AA21" s="408">
        <v>0.40300000000000002</v>
      </c>
      <c r="AB21" s="408">
        <v>10</v>
      </c>
      <c r="AC21" s="408">
        <v>0</v>
      </c>
    </row>
    <row r="22" spans="1:29">
      <c r="A22" t="str">
        <f>SUBSTITUTE(Team_Shooting[[#This Row],[Team]],"*","")</f>
        <v>Minnesota Timberwolves</v>
      </c>
      <c r="B22">
        <v>18</v>
      </c>
      <c r="C22" s="1" t="s">
        <v>689</v>
      </c>
      <c r="D22">
        <v>71</v>
      </c>
      <c r="E22">
        <v>17140</v>
      </c>
      <c r="F22">
        <v>0.48</v>
      </c>
      <c r="G22">
        <v>12.3</v>
      </c>
      <c r="H22" s="408">
        <v>0.74199999999999999</v>
      </c>
      <c r="I22" s="408">
        <v>0.26100000000000001</v>
      </c>
      <c r="J22" s="408">
        <v>0.19500000000000001</v>
      </c>
      <c r="K22" s="408">
        <v>0.13100000000000001</v>
      </c>
      <c r="L22" s="408">
        <v>0.155</v>
      </c>
      <c r="M22" s="408">
        <v>0.25800000000000001</v>
      </c>
      <c r="N22" s="408">
        <v>0.52200000000000002</v>
      </c>
      <c r="O22" s="408">
        <v>0.69499999999999995</v>
      </c>
      <c r="P22" s="408">
        <v>0.441</v>
      </c>
      <c r="Q22" s="408">
        <v>0.433</v>
      </c>
      <c r="R22" s="408">
        <v>0.41199999999999998</v>
      </c>
      <c r="S22" s="408">
        <v>0.35899999999999999</v>
      </c>
      <c r="T22" s="408">
        <v>0.48599999999999999</v>
      </c>
      <c r="U22" s="408">
        <v>5.0999999999999997E-2</v>
      </c>
      <c r="V22" s="408">
        <v>286</v>
      </c>
      <c r="W22" s="408">
        <v>0.252</v>
      </c>
      <c r="X22" s="408">
        <v>895</v>
      </c>
      <c r="Y22" s="408">
        <v>0.81799999999999995</v>
      </c>
      <c r="Z22" s="408">
        <v>0.217</v>
      </c>
      <c r="AA22" s="408">
        <v>0.375</v>
      </c>
      <c r="AB22" s="408">
        <v>10</v>
      </c>
      <c r="AC22" s="408">
        <v>0</v>
      </c>
    </row>
    <row r="23" spans="1:29">
      <c r="A23" t="str">
        <f>SUBSTITUTE(Team_Shooting[[#This Row],[Team]],"*","")</f>
        <v>New Orleans Pelicans</v>
      </c>
      <c r="B23">
        <v>19</v>
      </c>
      <c r="C23" s="1" t="s">
        <v>690</v>
      </c>
      <c r="D23">
        <v>70</v>
      </c>
      <c r="E23">
        <v>17075</v>
      </c>
      <c r="F23">
        <v>0.48199999999999998</v>
      </c>
      <c r="G23">
        <v>12.5</v>
      </c>
      <c r="H23" s="408">
        <v>0.67700000000000005</v>
      </c>
      <c r="I23" s="408">
        <v>0.30499999999999999</v>
      </c>
      <c r="J23" s="408">
        <v>0.16900000000000001</v>
      </c>
      <c r="K23" s="408">
        <v>9.5000000000000001E-2</v>
      </c>
      <c r="L23" s="408">
        <v>0.107</v>
      </c>
      <c r="M23" s="408">
        <v>0.32300000000000001</v>
      </c>
      <c r="N23" s="408">
        <v>0.53900000000000003</v>
      </c>
      <c r="O23" s="408">
        <v>0.66600000000000004</v>
      </c>
      <c r="P23" s="408">
        <v>0.45500000000000002</v>
      </c>
      <c r="Q23" s="408">
        <v>0.438</v>
      </c>
      <c r="R23" s="408">
        <v>0.40100000000000002</v>
      </c>
      <c r="S23" s="408">
        <v>0.36299999999999999</v>
      </c>
      <c r="T23" s="408">
        <v>0.54600000000000004</v>
      </c>
      <c r="U23" s="408">
        <v>5.5E-2</v>
      </c>
      <c r="V23" s="408">
        <v>312</v>
      </c>
      <c r="W23" s="408">
        <v>0.309</v>
      </c>
      <c r="X23" s="408">
        <v>1093</v>
      </c>
      <c r="Y23" s="408">
        <v>0.873</v>
      </c>
      <c r="Z23" s="408">
        <v>0.23599999999999999</v>
      </c>
      <c r="AA23" s="408">
        <v>0.40200000000000002</v>
      </c>
      <c r="AB23" s="408">
        <v>13</v>
      </c>
      <c r="AC23" s="408">
        <v>0</v>
      </c>
    </row>
    <row r="24" spans="1:29">
      <c r="A24" t="str">
        <f>SUBSTITUTE(Team_Shooting[[#This Row],[Team]],"*","")</f>
        <v>New York Knicks</v>
      </c>
      <c r="B24">
        <v>20</v>
      </c>
      <c r="C24" s="1" t="s">
        <v>691</v>
      </c>
      <c r="D24">
        <v>71</v>
      </c>
      <c r="E24">
        <v>17165</v>
      </c>
      <c r="F24">
        <v>0.46500000000000002</v>
      </c>
      <c r="G24">
        <v>12.6</v>
      </c>
      <c r="H24" s="408">
        <v>0.74299999999999999</v>
      </c>
      <c r="I24" s="408">
        <v>0.27400000000000002</v>
      </c>
      <c r="J24" s="408">
        <v>0.161</v>
      </c>
      <c r="K24" s="408">
        <v>0.14499999999999999</v>
      </c>
      <c r="L24" s="408">
        <v>0.16200000000000001</v>
      </c>
      <c r="M24" s="408">
        <v>0.25700000000000001</v>
      </c>
      <c r="N24" s="408">
        <v>0.504</v>
      </c>
      <c r="O24" s="408">
        <v>0.66200000000000003</v>
      </c>
      <c r="P24" s="408">
        <v>0.4</v>
      </c>
      <c r="Q24" s="408">
        <v>0.442</v>
      </c>
      <c r="R24" s="408">
        <v>0.39800000000000002</v>
      </c>
      <c r="S24" s="408">
        <v>0.35</v>
      </c>
      <c r="T24" s="408">
        <v>0.496</v>
      </c>
      <c r="U24" s="408">
        <v>4.1000000000000002E-2</v>
      </c>
      <c r="V24" s="408">
        <v>225</v>
      </c>
      <c r="W24" s="408">
        <v>0.27100000000000002</v>
      </c>
      <c r="X24" s="408">
        <v>937</v>
      </c>
      <c r="Y24" s="408">
        <v>0.85199999999999998</v>
      </c>
      <c r="Z24" s="408">
        <v>0.193</v>
      </c>
      <c r="AA24" s="408">
        <v>0.42399999999999999</v>
      </c>
      <c r="AB24" s="408">
        <v>16</v>
      </c>
      <c r="AC24" s="408">
        <v>0</v>
      </c>
    </row>
    <row r="25" spans="1:29">
      <c r="A25" t="str">
        <f>SUBSTITUTE(Team_Shooting[[#This Row],[Team]],"*","")</f>
        <v>Oklahoma City Thunder</v>
      </c>
      <c r="B25">
        <v>21</v>
      </c>
      <c r="C25" s="1" t="s">
        <v>692</v>
      </c>
      <c r="D25">
        <v>72</v>
      </c>
      <c r="E25">
        <v>17405</v>
      </c>
      <c r="F25">
        <v>0.45600000000000002</v>
      </c>
      <c r="G25">
        <v>13.2</v>
      </c>
      <c r="H25" s="408">
        <v>0.65900000000000003</v>
      </c>
      <c r="I25" s="408">
        <v>0.312</v>
      </c>
      <c r="J25" s="408">
        <v>9.7000000000000003E-2</v>
      </c>
      <c r="K25" s="408">
        <v>0.107</v>
      </c>
      <c r="L25" s="408">
        <v>0.14199999999999999</v>
      </c>
      <c r="M25" s="408">
        <v>0.34100000000000003</v>
      </c>
      <c r="N25" s="408">
        <v>0.50900000000000001</v>
      </c>
      <c r="O25" s="408">
        <v>0.64600000000000002</v>
      </c>
      <c r="P25" s="408">
        <v>0.36499999999999999</v>
      </c>
      <c r="Q25" s="408">
        <v>0.41099999999999998</v>
      </c>
      <c r="R25" s="408">
        <v>0.38</v>
      </c>
      <c r="S25" s="408">
        <v>0.35299999999999998</v>
      </c>
      <c r="T25" s="408">
        <v>0.43</v>
      </c>
      <c r="U25" s="408">
        <v>6.7000000000000004E-2</v>
      </c>
      <c r="V25" s="408">
        <v>357</v>
      </c>
      <c r="W25" s="408">
        <v>0.27100000000000002</v>
      </c>
      <c r="X25" s="408">
        <v>959</v>
      </c>
      <c r="Y25" s="408">
        <v>0.82399999999999995</v>
      </c>
      <c r="Z25" s="408">
        <v>0.22700000000000001</v>
      </c>
      <c r="AA25" s="408">
        <v>0.37</v>
      </c>
      <c r="AB25" s="408">
        <v>19</v>
      </c>
      <c r="AC25" s="408">
        <v>0</v>
      </c>
    </row>
    <row r="26" spans="1:29">
      <c r="A26" t="str">
        <f>SUBSTITUTE(Team_Shooting[[#This Row],[Team]],"*","")</f>
        <v>Orlando Magic</v>
      </c>
      <c r="B26">
        <v>22</v>
      </c>
      <c r="C26" s="1" t="s">
        <v>693</v>
      </c>
      <c r="D26">
        <v>70</v>
      </c>
      <c r="E26">
        <v>16850</v>
      </c>
      <c r="F26">
        <v>0.45800000000000002</v>
      </c>
      <c r="G26">
        <v>13.2</v>
      </c>
      <c r="H26" s="408">
        <v>0.65800000000000003</v>
      </c>
      <c r="I26" s="408">
        <v>0.25800000000000001</v>
      </c>
      <c r="J26" s="408">
        <v>0.182</v>
      </c>
      <c r="K26" s="408">
        <v>0.107</v>
      </c>
      <c r="L26" s="408">
        <v>0.11</v>
      </c>
      <c r="M26" s="408">
        <v>0.34200000000000003</v>
      </c>
      <c r="N26" s="408">
        <v>0.51</v>
      </c>
      <c r="O26" s="408">
        <v>0.68700000000000006</v>
      </c>
      <c r="P26" s="408">
        <v>0.41</v>
      </c>
      <c r="Q26" s="408">
        <v>0.34799999999999998</v>
      </c>
      <c r="R26" s="408">
        <v>0.41599999999999998</v>
      </c>
      <c r="S26" s="408">
        <v>0.35899999999999999</v>
      </c>
      <c r="T26" s="408">
        <v>0.5</v>
      </c>
      <c r="U26" s="408">
        <v>4.9000000000000002E-2</v>
      </c>
      <c r="V26" s="408">
        <v>269</v>
      </c>
      <c r="W26" s="408">
        <v>0.27900000000000003</v>
      </c>
      <c r="X26" s="408">
        <v>954</v>
      </c>
      <c r="Y26" s="408">
        <v>0.85799999999999998</v>
      </c>
      <c r="Z26" s="408">
        <v>0.17</v>
      </c>
      <c r="AA26" s="408">
        <v>0.39700000000000002</v>
      </c>
      <c r="AB26" s="408">
        <v>7</v>
      </c>
      <c r="AC26" s="408">
        <v>0</v>
      </c>
    </row>
    <row r="27" spans="1:29">
      <c r="A27" t="str">
        <f>SUBSTITUTE(Team_Shooting[[#This Row],[Team]],"*","")</f>
        <v>Philadelphia 76ers</v>
      </c>
      <c r="B27">
        <v>23</v>
      </c>
      <c r="C27" s="1" t="s">
        <v>694</v>
      </c>
      <c r="D27">
        <v>69</v>
      </c>
      <c r="E27">
        <v>16660</v>
      </c>
      <c r="F27">
        <v>0.46700000000000003</v>
      </c>
      <c r="G27">
        <v>13.2</v>
      </c>
      <c r="H27" s="408">
        <v>0.65900000000000003</v>
      </c>
      <c r="I27" s="408">
        <v>0.26800000000000002</v>
      </c>
      <c r="J27" s="408">
        <v>0.16900000000000001</v>
      </c>
      <c r="K27" s="408">
        <v>0.113</v>
      </c>
      <c r="L27" s="408">
        <v>0.106</v>
      </c>
      <c r="M27" s="408">
        <v>0.34100000000000003</v>
      </c>
      <c r="N27" s="408">
        <v>0.51900000000000002</v>
      </c>
      <c r="O27" s="408">
        <v>0.69699999999999995</v>
      </c>
      <c r="P27" s="408">
        <v>0.39800000000000002</v>
      </c>
      <c r="Q27" s="408">
        <v>0.38400000000000001</v>
      </c>
      <c r="R27" s="408">
        <v>0.40799999999999997</v>
      </c>
      <c r="S27" s="408">
        <v>0.36599999999999999</v>
      </c>
      <c r="T27" s="408">
        <v>0.54100000000000004</v>
      </c>
      <c r="U27" s="408">
        <v>5.8999999999999997E-2</v>
      </c>
      <c r="V27" s="408">
        <v>308</v>
      </c>
      <c r="W27" s="408">
        <v>0.26900000000000002</v>
      </c>
      <c r="X27" s="408">
        <v>893</v>
      </c>
      <c r="Y27" s="408">
        <v>0.95299999999999996</v>
      </c>
      <c r="Z27" s="408">
        <v>0.154</v>
      </c>
      <c r="AA27" s="408">
        <v>0.40699999999999997</v>
      </c>
      <c r="AB27" s="408">
        <v>19</v>
      </c>
      <c r="AC27" s="408">
        <v>0</v>
      </c>
    </row>
    <row r="28" spans="1:29">
      <c r="A28" t="str">
        <f>SUBSTITUTE(Team_Shooting[[#This Row],[Team]],"*","")</f>
        <v>Phoenix Suns</v>
      </c>
      <c r="B28">
        <v>24</v>
      </c>
      <c r="C28" s="1" t="s">
        <v>695</v>
      </c>
      <c r="D28">
        <v>71</v>
      </c>
      <c r="E28">
        <v>17065</v>
      </c>
      <c r="F28">
        <v>0.441</v>
      </c>
      <c r="G28">
        <v>12.4</v>
      </c>
      <c r="H28" s="408">
        <v>0.68500000000000005</v>
      </c>
      <c r="I28" s="408">
        <v>0.309</v>
      </c>
      <c r="J28" s="408">
        <v>0.151</v>
      </c>
      <c r="K28" s="408">
        <v>0.11899999999999999</v>
      </c>
      <c r="L28" s="408">
        <v>0.106</v>
      </c>
      <c r="M28" s="408">
        <v>0.315</v>
      </c>
      <c r="N28" s="408">
        <v>0.48799999999999999</v>
      </c>
      <c r="O28" s="408">
        <v>0.61199999999999999</v>
      </c>
      <c r="P28" s="408">
        <v>0.38300000000000001</v>
      </c>
      <c r="Q28" s="408">
        <v>0.4</v>
      </c>
      <c r="R28" s="408">
        <v>0.378</v>
      </c>
      <c r="S28" s="408">
        <v>0.33800000000000002</v>
      </c>
      <c r="T28" s="408">
        <v>0.46400000000000002</v>
      </c>
      <c r="U28" s="408">
        <v>6.2E-2</v>
      </c>
      <c r="V28" s="408">
        <v>323</v>
      </c>
      <c r="W28" s="408">
        <v>0.29299999999999998</v>
      </c>
      <c r="X28" s="408">
        <v>926</v>
      </c>
      <c r="Y28" s="408">
        <v>0.81200000000000006</v>
      </c>
      <c r="Z28" s="408">
        <v>0.218</v>
      </c>
      <c r="AA28" s="408">
        <v>0.374</v>
      </c>
      <c r="AB28" s="408">
        <v>15</v>
      </c>
      <c r="AC28" s="408">
        <v>0</v>
      </c>
    </row>
    <row r="29" spans="1:29">
      <c r="A29" t="str">
        <f>SUBSTITUTE(Team_Shooting[[#This Row],[Team]],"*","")</f>
        <v>Portland Trail Blazers</v>
      </c>
      <c r="B29">
        <v>25</v>
      </c>
      <c r="C29" s="1" t="s">
        <v>696</v>
      </c>
      <c r="D29">
        <v>70</v>
      </c>
      <c r="E29">
        <v>16875</v>
      </c>
      <c r="F29">
        <v>0.45300000000000001</v>
      </c>
      <c r="G29">
        <v>13</v>
      </c>
      <c r="H29" s="408">
        <v>0.68100000000000005</v>
      </c>
      <c r="I29" s="408">
        <v>0.28499999999999998</v>
      </c>
      <c r="J29" s="408">
        <v>0.15</v>
      </c>
      <c r="K29" s="408">
        <v>0.111</v>
      </c>
      <c r="L29" s="408">
        <v>0.13400000000000001</v>
      </c>
      <c r="M29" s="408">
        <v>0.31900000000000001</v>
      </c>
      <c r="N29" s="408">
        <v>0.48699999999999999</v>
      </c>
      <c r="O29" s="408">
        <v>0.59899999999999998</v>
      </c>
      <c r="P29" s="408">
        <v>0.375</v>
      </c>
      <c r="Q29" s="408">
        <v>0.432</v>
      </c>
      <c r="R29" s="408">
        <v>0.42099999999999999</v>
      </c>
      <c r="S29" s="408">
        <v>0.38</v>
      </c>
      <c r="T29" s="408">
        <v>0.41699999999999998</v>
      </c>
      <c r="U29" s="408">
        <v>3.6999999999999998E-2</v>
      </c>
      <c r="V29" s="408">
        <v>197</v>
      </c>
      <c r="W29" s="408">
        <v>0.27</v>
      </c>
      <c r="X29" s="408">
        <v>849</v>
      </c>
      <c r="Y29" s="408">
        <v>0.70699999999999996</v>
      </c>
      <c r="Z29" s="408">
        <v>0.17399999999999999</v>
      </c>
      <c r="AA29" s="408">
        <v>0.39</v>
      </c>
      <c r="AB29" s="408">
        <v>3</v>
      </c>
      <c r="AC29" s="408">
        <v>0</v>
      </c>
    </row>
    <row r="30" spans="1:29">
      <c r="A30" t="str">
        <f>SUBSTITUTE(Team_Shooting[[#This Row],[Team]],"*","")</f>
        <v>Sacramento Kings</v>
      </c>
      <c r="B30">
        <v>26</v>
      </c>
      <c r="C30" s="1" t="s">
        <v>697</v>
      </c>
      <c r="D30">
        <v>72</v>
      </c>
      <c r="E30">
        <v>17355</v>
      </c>
      <c r="F30">
        <v>0.45200000000000001</v>
      </c>
      <c r="G30">
        <v>12.8</v>
      </c>
      <c r="H30" s="408">
        <v>0.72299999999999998</v>
      </c>
      <c r="I30" s="408">
        <v>0.24199999999999999</v>
      </c>
      <c r="J30" s="408">
        <v>0.20599999999999999</v>
      </c>
      <c r="K30" s="408">
        <v>0.114</v>
      </c>
      <c r="L30" s="408">
        <v>0.161</v>
      </c>
      <c r="M30" s="408">
        <v>0.27700000000000002</v>
      </c>
      <c r="N30" s="408">
        <v>0.47799999999999998</v>
      </c>
      <c r="O30" s="408">
        <v>0.64100000000000001</v>
      </c>
      <c r="P30" s="408">
        <v>0.4</v>
      </c>
      <c r="Q30" s="408">
        <v>0.376</v>
      </c>
      <c r="R30" s="408">
        <v>0.40699999999999997</v>
      </c>
      <c r="S30" s="408">
        <v>0.38300000000000001</v>
      </c>
      <c r="T30" s="408">
        <v>0.46800000000000003</v>
      </c>
      <c r="U30" s="408">
        <v>4.2999999999999997E-2</v>
      </c>
      <c r="V30" s="408">
        <v>235</v>
      </c>
      <c r="W30" s="408">
        <v>0.25</v>
      </c>
      <c r="X30" s="408">
        <v>805</v>
      </c>
      <c r="Y30" s="408">
        <v>0.82</v>
      </c>
      <c r="Z30" s="408">
        <v>0.20300000000000001</v>
      </c>
      <c r="AA30" s="408">
        <v>0.41399999999999998</v>
      </c>
      <c r="AB30" s="408">
        <v>17</v>
      </c>
      <c r="AC30" s="408">
        <v>0</v>
      </c>
    </row>
    <row r="31" spans="1:29">
      <c r="A31" t="str">
        <f>SUBSTITUTE(Team_Shooting[[#This Row],[Team]],"*","")</f>
        <v>San Antonio Spurs</v>
      </c>
      <c r="B31">
        <v>27</v>
      </c>
      <c r="C31" s="1" t="s">
        <v>698</v>
      </c>
      <c r="D31">
        <v>71</v>
      </c>
      <c r="E31">
        <v>17040</v>
      </c>
      <c r="F31">
        <v>0.45800000000000002</v>
      </c>
      <c r="G31">
        <v>12.8</v>
      </c>
      <c r="H31" s="408">
        <v>0.71399999999999997</v>
      </c>
      <c r="I31" s="408">
        <v>0.26400000000000001</v>
      </c>
      <c r="J31" s="408">
        <v>0.16600000000000001</v>
      </c>
      <c r="K31" s="408">
        <v>0.13800000000000001</v>
      </c>
      <c r="L31" s="408">
        <v>0.14499999999999999</v>
      </c>
      <c r="M31" s="408">
        <v>0.28599999999999998</v>
      </c>
      <c r="N31" s="408">
        <v>0.5</v>
      </c>
      <c r="O31" s="408">
        <v>0.65700000000000003</v>
      </c>
      <c r="P31" s="408">
        <v>0.41299999999999998</v>
      </c>
      <c r="Q31" s="408">
        <v>0.41199999999999998</v>
      </c>
      <c r="R31" s="408">
        <v>0.39700000000000002</v>
      </c>
      <c r="S31" s="408">
        <v>0.35399999999999998</v>
      </c>
      <c r="T31" s="408">
        <v>0.503</v>
      </c>
      <c r="U31" s="408">
        <v>0.03</v>
      </c>
      <c r="V31" s="408">
        <v>159</v>
      </c>
      <c r="W31" s="408">
        <v>0.26500000000000001</v>
      </c>
      <c r="X31" s="408">
        <v>924</v>
      </c>
      <c r="Y31" s="408">
        <v>0.89700000000000002</v>
      </c>
      <c r="Z31" s="408">
        <v>0.22900000000000001</v>
      </c>
      <c r="AA31" s="408">
        <v>0.40500000000000003</v>
      </c>
      <c r="AB31" s="408">
        <v>14</v>
      </c>
      <c r="AC31" s="408">
        <v>0</v>
      </c>
    </row>
    <row r="32" spans="1:29">
      <c r="A32" t="str">
        <f>SUBSTITUTE(Team_Shooting[[#This Row],[Team]],"*","")</f>
        <v>Toronto Raptors</v>
      </c>
      <c r="B32">
        <v>28</v>
      </c>
      <c r="C32" s="1" t="s">
        <v>1200</v>
      </c>
      <c r="D32">
        <v>70</v>
      </c>
      <c r="E32">
        <v>16925</v>
      </c>
      <c r="F32">
        <v>0.47199999999999998</v>
      </c>
      <c r="G32">
        <v>13.2</v>
      </c>
      <c r="H32" s="408">
        <v>0.626</v>
      </c>
      <c r="I32" s="408">
        <v>0.28799999999999998</v>
      </c>
      <c r="J32" s="408">
        <v>0.159</v>
      </c>
      <c r="K32" s="408">
        <v>0.10199999999999999</v>
      </c>
      <c r="L32" s="408">
        <v>7.5999999999999998E-2</v>
      </c>
      <c r="M32" s="408">
        <v>0.374</v>
      </c>
      <c r="N32" s="408">
        <v>0.54</v>
      </c>
      <c r="O32" s="408">
        <v>0.68200000000000005</v>
      </c>
      <c r="P32" s="408">
        <v>0.41199999999999998</v>
      </c>
      <c r="Q32" s="408">
        <v>0.42599999999999999</v>
      </c>
      <c r="R32" s="408">
        <v>0.42599999999999999</v>
      </c>
      <c r="S32" s="408">
        <v>0.35699999999999998</v>
      </c>
      <c r="T32" s="408">
        <v>0.48799999999999999</v>
      </c>
      <c r="U32" s="408">
        <v>4.8000000000000001E-2</v>
      </c>
      <c r="V32" s="408">
        <v>274</v>
      </c>
      <c r="W32" s="408">
        <v>0.27200000000000002</v>
      </c>
      <c r="X32" s="408">
        <v>961</v>
      </c>
      <c r="Y32" s="408">
        <v>0.81699999999999995</v>
      </c>
      <c r="Z32" s="408">
        <v>0.23899999999999999</v>
      </c>
      <c r="AA32" s="408">
        <v>0.39</v>
      </c>
      <c r="AB32" s="408">
        <v>15</v>
      </c>
      <c r="AC32" s="408">
        <v>0</v>
      </c>
    </row>
    <row r="33" spans="1:39">
      <c r="A33" t="str">
        <f>SUBSTITUTE(Team_Shooting[[#This Row],[Team]],"*","")</f>
        <v>Utah Jazz</v>
      </c>
      <c r="B33">
        <v>29</v>
      </c>
      <c r="C33" s="1" t="s">
        <v>700</v>
      </c>
      <c r="D33">
        <v>70</v>
      </c>
      <c r="E33">
        <v>16850</v>
      </c>
      <c r="F33">
        <v>0.45800000000000002</v>
      </c>
      <c r="G33">
        <v>13.3</v>
      </c>
      <c r="H33" s="408">
        <v>0.64400000000000002</v>
      </c>
      <c r="I33" s="408">
        <v>0.28000000000000003</v>
      </c>
      <c r="J33" s="408">
        <v>0.151</v>
      </c>
      <c r="K33" s="408">
        <v>0.1</v>
      </c>
      <c r="L33" s="408">
        <v>0.112</v>
      </c>
      <c r="M33" s="408">
        <v>0.35599999999999998</v>
      </c>
      <c r="N33" s="408">
        <v>0.50800000000000001</v>
      </c>
      <c r="O33" s="408">
        <v>0.67</v>
      </c>
      <c r="P33" s="408">
        <v>0.36599999999999999</v>
      </c>
      <c r="Q33" s="408">
        <v>0.376</v>
      </c>
      <c r="R33" s="408">
        <v>0.41099999999999998</v>
      </c>
      <c r="S33" s="408">
        <v>0.36699999999999999</v>
      </c>
      <c r="T33" s="408">
        <v>0.49</v>
      </c>
      <c r="U33" s="408">
        <v>6.8000000000000005E-2</v>
      </c>
      <c r="V33" s="408">
        <v>368</v>
      </c>
      <c r="W33" s="408">
        <v>0.26800000000000002</v>
      </c>
      <c r="X33" s="408">
        <v>825</v>
      </c>
      <c r="Y33" s="408">
        <v>0.79800000000000004</v>
      </c>
      <c r="Z33" s="408">
        <v>0.26300000000000001</v>
      </c>
      <c r="AA33" s="408">
        <v>0.42099999999999999</v>
      </c>
      <c r="AB33" s="408">
        <v>11</v>
      </c>
      <c r="AC33" s="408">
        <v>0</v>
      </c>
    </row>
    <row r="34" spans="1:39">
      <c r="A34" t="str">
        <f>SUBSTITUTE(Team_Shooting[[#This Row],[Team]],"*","")</f>
        <v>Washington Wizards</v>
      </c>
      <c r="B34">
        <v>30</v>
      </c>
      <c r="C34" s="1" t="s">
        <v>701</v>
      </c>
      <c r="D34">
        <v>70</v>
      </c>
      <c r="E34">
        <v>16975</v>
      </c>
      <c r="F34">
        <v>0.46899999999999997</v>
      </c>
      <c r="G34">
        <v>13.4</v>
      </c>
      <c r="H34" s="408">
        <v>0.69299999999999995</v>
      </c>
      <c r="I34" s="408">
        <v>0.246</v>
      </c>
      <c r="J34" s="408">
        <v>0.158</v>
      </c>
      <c r="K34" s="408">
        <v>0.14099999999999999</v>
      </c>
      <c r="L34" s="408">
        <v>0.14799999999999999</v>
      </c>
      <c r="M34" s="408">
        <v>0.307</v>
      </c>
      <c r="N34" s="408">
        <v>0.51100000000000001</v>
      </c>
      <c r="O34" s="408">
        <v>0.68300000000000005</v>
      </c>
      <c r="P34" s="408">
        <v>0.41399999999999998</v>
      </c>
      <c r="Q34" s="408">
        <v>0.434</v>
      </c>
      <c r="R34" s="408">
        <v>0.40400000000000003</v>
      </c>
      <c r="S34" s="408">
        <v>0.374</v>
      </c>
      <c r="T34" s="408">
        <v>0.53700000000000003</v>
      </c>
      <c r="U34" s="408">
        <v>4.2999999999999997E-2</v>
      </c>
      <c r="V34" s="408">
        <v>214</v>
      </c>
      <c r="W34" s="408">
        <v>0.255</v>
      </c>
      <c r="X34" s="408">
        <v>889</v>
      </c>
      <c r="Y34" s="408">
        <v>0.872</v>
      </c>
      <c r="Z34" s="408">
        <v>0.182</v>
      </c>
      <c r="AA34" s="408">
        <v>0.373</v>
      </c>
      <c r="AB34" s="408">
        <v>13</v>
      </c>
      <c r="AC34" s="408">
        <v>0</v>
      </c>
    </row>
    <row r="35" spans="1:39" s="73" customFormat="1">
      <c r="A35" s="362"/>
      <c r="D35" s="74"/>
    </row>
    <row r="36" spans="1:39" s="73" customFormat="1">
      <c r="A36" s="362"/>
      <c r="C36" s="664"/>
      <c r="D36" s="664"/>
      <c r="E36" s="664"/>
      <c r="F36" s="664"/>
      <c r="G36" s="664"/>
    </row>
    <row r="37" spans="1:39" s="73" customFormat="1">
      <c r="A37" s="362"/>
      <c r="D37" s="74"/>
    </row>
    <row r="38" spans="1:39" s="73" customFormat="1" ht="26.25" customHeight="1">
      <c r="A38" s="362"/>
      <c r="C38" s="116"/>
      <c r="D38" s="74"/>
      <c r="H38" s="696" t="s">
        <v>997</v>
      </c>
      <c r="I38" s="697"/>
      <c r="J38" s="697"/>
      <c r="K38" s="697"/>
      <c r="L38" s="697"/>
      <c r="M38" s="698"/>
      <c r="N38" s="699" t="s">
        <v>998</v>
      </c>
      <c r="O38" s="700"/>
      <c r="P38" s="700"/>
      <c r="Q38" s="700"/>
      <c r="R38" s="700"/>
      <c r="S38" s="700"/>
      <c r="T38" s="700"/>
      <c r="U38" s="700"/>
      <c r="V38" s="700"/>
      <c r="W38" s="700"/>
      <c r="X38" s="700"/>
      <c r="Y38" s="700"/>
      <c r="Z38" s="700"/>
      <c r="AA38" s="701"/>
    </row>
    <row r="39" spans="1:39">
      <c r="B39" s="97" t="s">
        <v>257</v>
      </c>
      <c r="C39" s="97" t="s">
        <v>256</v>
      </c>
      <c r="D39" s="97" t="s">
        <v>261</v>
      </c>
      <c r="E39" s="97" t="s">
        <v>263</v>
      </c>
      <c r="F39" s="97" t="s">
        <v>266</v>
      </c>
      <c r="G39" s="97" t="s">
        <v>962</v>
      </c>
      <c r="H39" s="97" t="s">
        <v>963</v>
      </c>
      <c r="I39" s="97" t="s">
        <v>964</v>
      </c>
      <c r="J39" s="97" t="s">
        <v>965</v>
      </c>
      <c r="K39" s="97" t="s">
        <v>966</v>
      </c>
      <c r="L39" s="97" t="s">
        <v>967</v>
      </c>
      <c r="M39" s="97" t="s">
        <v>968</v>
      </c>
      <c r="N39" s="97" t="s">
        <v>969</v>
      </c>
      <c r="O39" s="97" t="s">
        <v>970</v>
      </c>
      <c r="P39" s="97" t="s">
        <v>971</v>
      </c>
      <c r="Q39" s="97" t="s">
        <v>972</v>
      </c>
      <c r="R39" s="97" t="s">
        <v>973</v>
      </c>
      <c r="S39" s="97" t="s">
        <v>974</v>
      </c>
      <c r="T39" s="97" t="s">
        <v>975</v>
      </c>
      <c r="U39" s="97" t="s">
        <v>976</v>
      </c>
      <c r="V39" s="97" t="s">
        <v>977</v>
      </c>
      <c r="W39" s="97" t="s">
        <v>978</v>
      </c>
      <c r="X39" s="97" t="s">
        <v>979</v>
      </c>
      <c r="Y39" s="97" t="s">
        <v>980</v>
      </c>
      <c r="Z39" s="97" t="s">
        <v>981</v>
      </c>
      <c r="AA39" s="97" t="s">
        <v>982</v>
      </c>
      <c r="AB39" s="97"/>
      <c r="AC39" s="97"/>
      <c r="AD39" s="97"/>
      <c r="AE39" s="97"/>
      <c r="AF39" s="97"/>
      <c r="AG39" s="97"/>
      <c r="AH39" s="97"/>
      <c r="AI39" s="97"/>
      <c r="AJ39" s="97"/>
      <c r="AK39" s="97"/>
      <c r="AL39" s="97"/>
      <c r="AM39" s="97"/>
    </row>
    <row r="40" spans="1:39">
      <c r="A40" t="str">
        <f>SUBSTITUTE(Opponent_Shooting[[#This Row],[Team]],"*","")</f>
        <v>Atlanta Hawks</v>
      </c>
      <c r="B40">
        <v>1</v>
      </c>
      <c r="C40" s="1" t="s">
        <v>674</v>
      </c>
      <c r="D40">
        <v>70</v>
      </c>
      <c r="E40">
        <v>16825</v>
      </c>
      <c r="F40">
        <v>0.47299999999999998</v>
      </c>
      <c r="G40">
        <v>13.6</v>
      </c>
      <c r="H40">
        <v>0.64800000000000002</v>
      </c>
      <c r="I40">
        <v>0.27700000000000002</v>
      </c>
      <c r="J40">
        <v>0.123</v>
      </c>
      <c r="K40">
        <v>0.113</v>
      </c>
      <c r="L40">
        <v>0.13500000000000001</v>
      </c>
      <c r="M40">
        <v>0.35199999999999998</v>
      </c>
      <c r="N40">
        <v>0.52300000000000002</v>
      </c>
      <c r="O40">
        <v>0.65100000000000002</v>
      </c>
      <c r="P40">
        <v>0.41799999999999998</v>
      </c>
      <c r="Q40">
        <v>0.44800000000000001</v>
      </c>
      <c r="R40">
        <v>0.41499999999999998</v>
      </c>
      <c r="S40">
        <v>0.38200000000000001</v>
      </c>
      <c r="T40">
        <v>0.55100000000000005</v>
      </c>
      <c r="U40">
        <v>5.1999999999999998E-2</v>
      </c>
      <c r="V40">
        <v>276</v>
      </c>
      <c r="W40">
        <v>0.26100000000000001</v>
      </c>
      <c r="X40">
        <v>881</v>
      </c>
      <c r="Y40">
        <v>0.86699999999999999</v>
      </c>
      <c r="Z40">
        <v>0.21299999999999999</v>
      </c>
      <c r="AA40">
        <v>0.38300000000000001</v>
      </c>
    </row>
    <row r="41" spans="1:39">
      <c r="A41" t="str">
        <f>SUBSTITUTE(Opponent_Shooting[[#This Row],[Team]],"*","")</f>
        <v>Boston Celtics</v>
      </c>
      <c r="B41">
        <v>2</v>
      </c>
      <c r="C41" s="1" t="s">
        <v>1219</v>
      </c>
      <c r="D41">
        <v>70</v>
      </c>
      <c r="E41">
        <v>16925</v>
      </c>
      <c r="F41">
        <v>0.437</v>
      </c>
      <c r="G41">
        <v>13</v>
      </c>
      <c r="H41">
        <v>0.68200000000000005</v>
      </c>
      <c r="I41">
        <v>0.28199999999999997</v>
      </c>
      <c r="J41">
        <v>0.16400000000000001</v>
      </c>
      <c r="K41">
        <v>0.106</v>
      </c>
      <c r="L41">
        <v>0.129</v>
      </c>
      <c r="M41">
        <v>0.318</v>
      </c>
      <c r="N41">
        <v>0.48199999999999998</v>
      </c>
      <c r="O41">
        <v>0.64200000000000002</v>
      </c>
      <c r="P41">
        <v>0.36499999999999999</v>
      </c>
      <c r="Q41">
        <v>0.35799999999999998</v>
      </c>
      <c r="R41">
        <v>0.38100000000000001</v>
      </c>
      <c r="S41">
        <v>0.34100000000000003</v>
      </c>
      <c r="T41">
        <v>0.48399999999999999</v>
      </c>
      <c r="U41">
        <v>4.3999999999999997E-2</v>
      </c>
      <c r="V41">
        <v>238</v>
      </c>
      <c r="W41">
        <v>0.28599999999999998</v>
      </c>
      <c r="X41">
        <v>927</v>
      </c>
      <c r="Y41">
        <v>0.80800000000000005</v>
      </c>
      <c r="Z41">
        <v>0.17399999999999999</v>
      </c>
      <c r="AA41">
        <v>0.41799999999999998</v>
      </c>
    </row>
    <row r="42" spans="1:39">
      <c r="A42" t="str">
        <f>SUBSTITUTE(Opponent_Shooting[[#This Row],[Team]],"*","")</f>
        <v>Brooklyn Nets</v>
      </c>
      <c r="B42">
        <v>3</v>
      </c>
      <c r="C42" s="1" t="s">
        <v>709</v>
      </c>
      <c r="D42">
        <v>71</v>
      </c>
      <c r="E42">
        <v>17190</v>
      </c>
      <c r="F42">
        <v>0.46700000000000003</v>
      </c>
      <c r="G42">
        <v>12.8</v>
      </c>
      <c r="H42">
        <v>0.72399999999999998</v>
      </c>
      <c r="I42">
        <v>0.254</v>
      </c>
      <c r="J42">
        <v>0.18</v>
      </c>
      <c r="K42">
        <v>0.13900000000000001</v>
      </c>
      <c r="L42">
        <v>0.151</v>
      </c>
      <c r="M42">
        <v>0.27600000000000002</v>
      </c>
      <c r="N42">
        <v>0.503</v>
      </c>
      <c r="O42">
        <v>0.629</v>
      </c>
      <c r="P42">
        <v>0.43</v>
      </c>
      <c r="Q42">
        <v>0.443</v>
      </c>
      <c r="R42">
        <v>0.436</v>
      </c>
      <c r="S42">
        <v>0.37</v>
      </c>
      <c r="T42">
        <v>0.44700000000000001</v>
      </c>
      <c r="U42">
        <v>4.2999999999999997E-2</v>
      </c>
      <c r="V42">
        <v>228</v>
      </c>
      <c r="W42">
        <v>0.27300000000000002</v>
      </c>
      <c r="X42">
        <v>908</v>
      </c>
      <c r="Y42">
        <v>0.78200000000000003</v>
      </c>
      <c r="Z42">
        <v>0.189</v>
      </c>
      <c r="AA42">
        <v>0.39</v>
      </c>
    </row>
    <row r="43" spans="1:39">
      <c r="A43" t="str">
        <f>SUBSTITUTE(Opponent_Shooting[[#This Row],[Team]],"*","")</f>
        <v>Chicago Bulls</v>
      </c>
      <c r="B43">
        <v>4</v>
      </c>
      <c r="C43" s="1" t="s">
        <v>676</v>
      </c>
      <c r="D43">
        <v>70</v>
      </c>
      <c r="E43">
        <v>16975</v>
      </c>
      <c r="F43">
        <v>0.47</v>
      </c>
      <c r="G43">
        <v>13.6</v>
      </c>
      <c r="H43">
        <v>0.63500000000000001</v>
      </c>
      <c r="I43">
        <v>0.29099999999999998</v>
      </c>
      <c r="J43">
        <v>0.126</v>
      </c>
      <c r="K43">
        <v>9.1999999999999998E-2</v>
      </c>
      <c r="L43">
        <v>0.126</v>
      </c>
      <c r="M43">
        <v>0.36499999999999999</v>
      </c>
      <c r="N43">
        <v>0.52900000000000003</v>
      </c>
      <c r="O43">
        <v>0.68200000000000005</v>
      </c>
      <c r="P43">
        <v>0.38800000000000001</v>
      </c>
      <c r="Q43">
        <v>0.42099999999999999</v>
      </c>
      <c r="R43">
        <v>0.39300000000000002</v>
      </c>
      <c r="S43">
        <v>0.36799999999999999</v>
      </c>
      <c r="T43">
        <v>0.52800000000000002</v>
      </c>
      <c r="U43">
        <v>0.05</v>
      </c>
      <c r="V43">
        <v>272</v>
      </c>
      <c r="W43">
        <v>0.26700000000000002</v>
      </c>
      <c r="X43">
        <v>948</v>
      </c>
      <c r="Y43">
        <v>0.86399999999999999</v>
      </c>
      <c r="Z43">
        <v>0.21099999999999999</v>
      </c>
      <c r="AA43">
        <v>0.38700000000000001</v>
      </c>
    </row>
    <row r="44" spans="1:39">
      <c r="A44" t="str">
        <f>SUBSTITUTE(Opponent_Shooting[[#This Row],[Team]],"*","")</f>
        <v>Charlotte Hornets</v>
      </c>
      <c r="B44">
        <v>5</v>
      </c>
      <c r="C44" s="1" t="s">
        <v>677</v>
      </c>
      <c r="D44">
        <v>71</v>
      </c>
      <c r="E44">
        <v>17115</v>
      </c>
      <c r="F44">
        <v>0.47</v>
      </c>
      <c r="G44">
        <v>13.6</v>
      </c>
      <c r="H44">
        <v>0.65700000000000003</v>
      </c>
      <c r="I44">
        <v>0.26400000000000001</v>
      </c>
      <c r="J44">
        <v>0.14499999999999999</v>
      </c>
      <c r="K44">
        <v>0.115</v>
      </c>
      <c r="L44">
        <v>0.13200000000000001</v>
      </c>
      <c r="M44">
        <v>0.34300000000000003</v>
      </c>
      <c r="N44">
        <v>0.51900000000000002</v>
      </c>
      <c r="O44">
        <v>0.68400000000000005</v>
      </c>
      <c r="P44">
        <v>0.39800000000000002</v>
      </c>
      <c r="Q44">
        <v>0.443</v>
      </c>
      <c r="R44">
        <v>0.38600000000000001</v>
      </c>
      <c r="S44">
        <v>0.377</v>
      </c>
      <c r="T44">
        <v>0.51200000000000001</v>
      </c>
      <c r="U44">
        <v>0.05</v>
      </c>
      <c r="V44">
        <v>275</v>
      </c>
      <c r="W44">
        <v>0.25800000000000001</v>
      </c>
      <c r="X44">
        <v>898</v>
      </c>
      <c r="Y44">
        <v>0.84699999999999998</v>
      </c>
      <c r="Z44">
        <v>0.19400000000000001</v>
      </c>
      <c r="AA44">
        <v>0.433</v>
      </c>
    </row>
    <row r="45" spans="1:39">
      <c r="A45" t="str">
        <f>SUBSTITUTE(Opponent_Shooting[[#This Row],[Team]],"*","")</f>
        <v>Cleveland Cavaliers</v>
      </c>
      <c r="B45">
        <v>6</v>
      </c>
      <c r="C45" s="1" t="s">
        <v>817</v>
      </c>
      <c r="D45">
        <v>70</v>
      </c>
      <c r="E45">
        <v>16850</v>
      </c>
      <c r="F45">
        <v>0.47199999999999998</v>
      </c>
      <c r="G45">
        <v>13.4</v>
      </c>
      <c r="H45">
        <v>0.64</v>
      </c>
      <c r="I45">
        <v>0.29499999999999998</v>
      </c>
      <c r="J45">
        <v>0.13600000000000001</v>
      </c>
      <c r="K45">
        <v>0.10199999999999999</v>
      </c>
      <c r="L45">
        <v>0.105</v>
      </c>
      <c r="M45">
        <v>0.36</v>
      </c>
      <c r="N45">
        <v>0.52900000000000003</v>
      </c>
      <c r="O45">
        <v>0.66800000000000004</v>
      </c>
      <c r="P45">
        <v>0.39700000000000002</v>
      </c>
      <c r="Q45">
        <v>0.42899999999999999</v>
      </c>
      <c r="R45">
        <v>0.40799999999999997</v>
      </c>
      <c r="S45">
        <v>0.37</v>
      </c>
      <c r="T45">
        <v>0.53400000000000003</v>
      </c>
      <c r="U45">
        <v>5.5E-2</v>
      </c>
      <c r="V45">
        <v>303</v>
      </c>
      <c r="W45">
        <v>0.27600000000000002</v>
      </c>
      <c r="X45">
        <v>957</v>
      </c>
      <c r="Y45">
        <v>0.82399999999999995</v>
      </c>
      <c r="Z45">
        <v>0.214</v>
      </c>
      <c r="AA45">
        <v>0.44600000000000001</v>
      </c>
    </row>
    <row r="46" spans="1:39">
      <c r="A46" t="str">
        <f>SUBSTITUTE(Opponent_Shooting[[#This Row],[Team]],"*","")</f>
        <v>Dallas Mavericks</v>
      </c>
      <c r="B46">
        <v>7</v>
      </c>
      <c r="C46" s="1" t="s">
        <v>678</v>
      </c>
      <c r="D46">
        <v>70</v>
      </c>
      <c r="E46">
        <v>16900</v>
      </c>
      <c r="F46">
        <v>0.46800000000000003</v>
      </c>
      <c r="G46">
        <v>13.9</v>
      </c>
      <c r="H46">
        <v>0.64500000000000002</v>
      </c>
      <c r="I46">
        <v>0.23599999999999999</v>
      </c>
      <c r="J46">
        <v>0.16400000000000001</v>
      </c>
      <c r="K46">
        <v>0.11600000000000001</v>
      </c>
      <c r="L46">
        <v>0.127</v>
      </c>
      <c r="M46">
        <v>0.35499999999999998</v>
      </c>
      <c r="N46">
        <v>0.52500000000000002</v>
      </c>
      <c r="O46">
        <v>0.69799999999999995</v>
      </c>
      <c r="P46">
        <v>0.41599999999999998</v>
      </c>
      <c r="Q46">
        <v>0.44800000000000001</v>
      </c>
      <c r="R46">
        <v>0.41799999999999998</v>
      </c>
      <c r="S46">
        <v>0.36499999999999999</v>
      </c>
      <c r="T46">
        <v>0.504</v>
      </c>
      <c r="U46">
        <v>0.05</v>
      </c>
      <c r="V46">
        <v>259</v>
      </c>
      <c r="W46">
        <v>0.215</v>
      </c>
      <c r="X46">
        <v>730</v>
      </c>
      <c r="Y46">
        <v>0.81899999999999995</v>
      </c>
      <c r="Z46">
        <v>0.189</v>
      </c>
      <c r="AA46">
        <v>0.379</v>
      </c>
    </row>
    <row r="47" spans="1:39">
      <c r="A47" t="str">
        <f>SUBSTITUTE(Opponent_Shooting[[#This Row],[Team]],"*","")</f>
        <v>Denver Nuggets</v>
      </c>
      <c r="B47">
        <v>8</v>
      </c>
      <c r="C47" s="1" t="s">
        <v>679</v>
      </c>
      <c r="D47">
        <v>71</v>
      </c>
      <c r="E47">
        <v>17165</v>
      </c>
      <c r="F47">
        <v>0.47899999999999998</v>
      </c>
      <c r="G47">
        <v>12.9</v>
      </c>
      <c r="H47">
        <v>0.66600000000000004</v>
      </c>
      <c r="I47">
        <v>0.25900000000000001</v>
      </c>
      <c r="J47">
        <v>0.19400000000000001</v>
      </c>
      <c r="K47">
        <v>0.10100000000000001</v>
      </c>
      <c r="L47">
        <v>0.112</v>
      </c>
      <c r="M47">
        <v>0.33400000000000002</v>
      </c>
      <c r="N47">
        <v>0.53100000000000003</v>
      </c>
      <c r="O47">
        <v>0.69</v>
      </c>
      <c r="P47">
        <v>0.42</v>
      </c>
      <c r="Q47">
        <v>0.45500000000000002</v>
      </c>
      <c r="R47">
        <v>0.42499999999999999</v>
      </c>
      <c r="S47">
        <v>0.374</v>
      </c>
      <c r="T47">
        <v>0.51400000000000001</v>
      </c>
      <c r="U47">
        <v>4.8000000000000001E-2</v>
      </c>
      <c r="V47">
        <v>255</v>
      </c>
      <c r="W47">
        <v>0.29399999999999998</v>
      </c>
      <c r="X47">
        <v>1014</v>
      </c>
      <c r="Y47">
        <v>0.82799999999999996</v>
      </c>
      <c r="Z47">
        <v>0.24199999999999999</v>
      </c>
      <c r="AA47">
        <v>0.39300000000000002</v>
      </c>
    </row>
    <row r="48" spans="1:39">
      <c r="A48" t="str">
        <f>SUBSTITUTE(Opponent_Shooting[[#This Row],[Team]],"*","")</f>
        <v>Detroit Pistons</v>
      </c>
      <c r="B48">
        <v>9</v>
      </c>
      <c r="C48" s="1" t="s">
        <v>680</v>
      </c>
      <c r="D48">
        <v>70</v>
      </c>
      <c r="E48">
        <v>16875</v>
      </c>
      <c r="F48">
        <v>0.46200000000000002</v>
      </c>
      <c r="G48">
        <v>13.5</v>
      </c>
      <c r="H48">
        <v>0.64300000000000002</v>
      </c>
      <c r="I48">
        <v>0.253</v>
      </c>
      <c r="J48">
        <v>0.17799999999999999</v>
      </c>
      <c r="K48">
        <v>0.106</v>
      </c>
      <c r="L48">
        <v>0.106</v>
      </c>
      <c r="M48">
        <v>0.35699999999999998</v>
      </c>
      <c r="N48">
        <v>0.51300000000000001</v>
      </c>
      <c r="O48">
        <v>0.70499999999999996</v>
      </c>
      <c r="P48">
        <v>0.36599999999999999</v>
      </c>
      <c r="Q48">
        <v>0.40400000000000003</v>
      </c>
      <c r="R48">
        <v>0.41199999999999998</v>
      </c>
      <c r="S48">
        <v>0.37</v>
      </c>
      <c r="T48">
        <v>0.53100000000000003</v>
      </c>
      <c r="U48">
        <v>4.4999999999999998E-2</v>
      </c>
      <c r="V48">
        <v>233</v>
      </c>
      <c r="W48">
        <v>0.27300000000000002</v>
      </c>
      <c r="X48">
        <v>893</v>
      </c>
      <c r="Y48">
        <v>0.90800000000000003</v>
      </c>
      <c r="Z48">
        <v>0.23599999999999999</v>
      </c>
      <c r="AA48">
        <v>0.38900000000000001</v>
      </c>
    </row>
    <row r="49" spans="1:27">
      <c r="A49" t="str">
        <f>SUBSTITUTE(Opponent_Shooting[[#This Row],[Team]],"*","")</f>
        <v>Golden State Warriors</v>
      </c>
      <c r="B49">
        <v>10</v>
      </c>
      <c r="C49" s="1" t="s">
        <v>1266</v>
      </c>
      <c r="D49">
        <v>71</v>
      </c>
      <c r="E49">
        <v>17090</v>
      </c>
      <c r="F49">
        <v>0.442</v>
      </c>
      <c r="G49">
        <v>12.9</v>
      </c>
      <c r="H49">
        <v>0.67700000000000005</v>
      </c>
      <c r="I49">
        <v>0.27800000000000002</v>
      </c>
      <c r="J49">
        <v>0.16600000000000001</v>
      </c>
      <c r="K49">
        <v>0.111</v>
      </c>
      <c r="L49">
        <v>0.12</v>
      </c>
      <c r="M49">
        <v>0.32300000000000001</v>
      </c>
      <c r="N49">
        <v>0.48399999999999999</v>
      </c>
      <c r="O49">
        <v>0.64500000000000002</v>
      </c>
      <c r="P49">
        <v>0.36899999999999999</v>
      </c>
      <c r="Q49">
        <v>0.38</v>
      </c>
      <c r="R49">
        <v>0.36599999999999999</v>
      </c>
      <c r="S49">
        <v>0.35599999999999998</v>
      </c>
      <c r="T49">
        <v>0.50900000000000001</v>
      </c>
      <c r="U49">
        <v>0.05</v>
      </c>
      <c r="V49">
        <v>285</v>
      </c>
      <c r="W49">
        <v>0.27200000000000002</v>
      </c>
      <c r="X49">
        <v>922</v>
      </c>
      <c r="Y49">
        <v>0.78400000000000003</v>
      </c>
      <c r="Z49">
        <v>0.185</v>
      </c>
      <c r="AA49">
        <v>0.376</v>
      </c>
    </row>
    <row r="50" spans="1:27">
      <c r="A50" t="str">
        <f>SUBSTITUTE(Opponent_Shooting[[#This Row],[Team]],"*","")</f>
        <v>Houston Rockets</v>
      </c>
      <c r="B50">
        <v>11</v>
      </c>
      <c r="C50" s="1" t="s">
        <v>1218</v>
      </c>
      <c r="D50">
        <v>70</v>
      </c>
      <c r="E50">
        <v>16850</v>
      </c>
      <c r="F50">
        <v>0.46500000000000002</v>
      </c>
      <c r="G50">
        <v>12.8</v>
      </c>
      <c r="H50">
        <v>0.66400000000000003</v>
      </c>
      <c r="I50">
        <v>0.308</v>
      </c>
      <c r="J50">
        <v>0.156</v>
      </c>
      <c r="K50">
        <v>9.5000000000000001E-2</v>
      </c>
      <c r="L50">
        <v>0.104</v>
      </c>
      <c r="M50">
        <v>0.33600000000000002</v>
      </c>
      <c r="N50">
        <v>0.51900000000000002</v>
      </c>
      <c r="O50">
        <v>0.67</v>
      </c>
      <c r="P50">
        <v>0.41099999999999998</v>
      </c>
      <c r="Q50">
        <v>0.38100000000000001</v>
      </c>
      <c r="R50">
        <v>0.36099999999999999</v>
      </c>
      <c r="S50">
        <v>0.36</v>
      </c>
      <c r="T50">
        <v>0.49199999999999999</v>
      </c>
      <c r="U50">
        <v>0.05</v>
      </c>
      <c r="V50">
        <v>274</v>
      </c>
      <c r="W50">
        <v>0.29899999999999999</v>
      </c>
      <c r="X50">
        <v>1034</v>
      </c>
      <c r="Y50">
        <v>0.80200000000000005</v>
      </c>
      <c r="Z50">
        <v>0.21099999999999999</v>
      </c>
      <c r="AA50">
        <v>0.4</v>
      </c>
    </row>
    <row r="51" spans="1:27">
      <c r="A51" t="str">
        <f>SUBSTITUTE(Opponent_Shooting[[#This Row],[Team]],"*","")</f>
        <v>Indiana Pacers</v>
      </c>
      <c r="B51">
        <v>12</v>
      </c>
      <c r="C51" s="1" t="s">
        <v>683</v>
      </c>
      <c r="D51">
        <v>71</v>
      </c>
      <c r="E51">
        <v>17090</v>
      </c>
      <c r="F51">
        <v>0.46400000000000002</v>
      </c>
      <c r="G51">
        <v>13.6</v>
      </c>
      <c r="H51">
        <v>0.63900000000000001</v>
      </c>
      <c r="I51">
        <v>0.28599999999999998</v>
      </c>
      <c r="J51">
        <v>0.13300000000000001</v>
      </c>
      <c r="K51">
        <v>0.1</v>
      </c>
      <c r="L51">
        <v>0.11899999999999999</v>
      </c>
      <c r="M51">
        <v>0.36099999999999999</v>
      </c>
      <c r="N51">
        <v>0.52900000000000003</v>
      </c>
      <c r="O51">
        <v>0.66800000000000004</v>
      </c>
      <c r="P51">
        <v>0.435</v>
      </c>
      <c r="Q51">
        <v>0.41799999999999998</v>
      </c>
      <c r="R51">
        <v>0.39300000000000002</v>
      </c>
      <c r="S51">
        <v>0.34799999999999998</v>
      </c>
      <c r="T51">
        <v>0.47899999999999998</v>
      </c>
      <c r="U51">
        <v>5.5E-2</v>
      </c>
      <c r="V51">
        <v>286</v>
      </c>
      <c r="W51">
        <v>0.27100000000000002</v>
      </c>
      <c r="X51">
        <v>930</v>
      </c>
      <c r="Y51">
        <v>0.85699999999999998</v>
      </c>
      <c r="Z51">
        <v>0.19700000000000001</v>
      </c>
      <c r="AA51">
        <v>0.41199999999999998</v>
      </c>
    </row>
    <row r="52" spans="1:27">
      <c r="A52" t="str">
        <f>SUBSTITUTE(Opponent_Shooting[[#This Row],[Team]],"*","")</f>
        <v>Los Angeles Clippers</v>
      </c>
      <c r="B52">
        <v>13</v>
      </c>
      <c r="C52" s="1" t="s">
        <v>684</v>
      </c>
      <c r="D52">
        <v>69</v>
      </c>
      <c r="E52">
        <v>16585</v>
      </c>
      <c r="F52">
        <v>0.45300000000000001</v>
      </c>
      <c r="G52">
        <v>13.5</v>
      </c>
      <c r="H52">
        <v>0.65300000000000002</v>
      </c>
      <c r="I52">
        <v>0.27600000000000002</v>
      </c>
      <c r="J52">
        <v>0.13800000000000001</v>
      </c>
      <c r="K52">
        <v>0.109</v>
      </c>
      <c r="L52">
        <v>0.129</v>
      </c>
      <c r="M52">
        <v>0.34699999999999998</v>
      </c>
      <c r="N52">
        <v>0.50600000000000001</v>
      </c>
      <c r="O52">
        <v>0.64600000000000002</v>
      </c>
      <c r="P52">
        <v>0.39500000000000002</v>
      </c>
      <c r="Q52">
        <v>0.42099999999999999</v>
      </c>
      <c r="R52">
        <v>0.39600000000000002</v>
      </c>
      <c r="S52">
        <v>0.35499999999999998</v>
      </c>
      <c r="T52">
        <v>0.53600000000000003</v>
      </c>
      <c r="U52">
        <v>5.5E-2</v>
      </c>
      <c r="V52">
        <v>300</v>
      </c>
      <c r="W52">
        <v>0.252</v>
      </c>
      <c r="X52">
        <v>854</v>
      </c>
      <c r="Y52">
        <v>0.80900000000000005</v>
      </c>
      <c r="Z52">
        <v>0.22900000000000001</v>
      </c>
      <c r="AA52">
        <v>0.379</v>
      </c>
    </row>
    <row r="53" spans="1:27">
      <c r="A53" t="str">
        <f>SUBSTITUTE(Opponent_Shooting[[#This Row],[Team]],"*","")</f>
        <v>Los Angeles Lakers</v>
      </c>
      <c r="B53">
        <v>14</v>
      </c>
      <c r="C53" s="1" t="s">
        <v>685</v>
      </c>
      <c r="D53">
        <v>70</v>
      </c>
      <c r="E53">
        <v>16975</v>
      </c>
      <c r="F53">
        <v>0.45700000000000002</v>
      </c>
      <c r="G53">
        <v>12.9</v>
      </c>
      <c r="H53">
        <v>0.66400000000000003</v>
      </c>
      <c r="I53">
        <v>0.308</v>
      </c>
      <c r="J53">
        <v>0.151</v>
      </c>
      <c r="K53">
        <v>9.2999999999999999E-2</v>
      </c>
      <c r="L53">
        <v>0.112</v>
      </c>
      <c r="M53">
        <v>0.33600000000000002</v>
      </c>
      <c r="N53">
        <v>0.51100000000000001</v>
      </c>
      <c r="O53">
        <v>0.64800000000000002</v>
      </c>
      <c r="P53">
        <v>0.38500000000000001</v>
      </c>
      <c r="Q53">
        <v>0.38800000000000001</v>
      </c>
      <c r="R53">
        <v>0.40600000000000003</v>
      </c>
      <c r="S53">
        <v>0.35</v>
      </c>
      <c r="T53">
        <v>0.49199999999999999</v>
      </c>
      <c r="U53">
        <v>5.7000000000000002E-2</v>
      </c>
      <c r="V53">
        <v>313</v>
      </c>
      <c r="W53">
        <v>0.28199999999999997</v>
      </c>
      <c r="X53">
        <v>969</v>
      </c>
      <c r="Y53">
        <v>0.80600000000000005</v>
      </c>
      <c r="Z53">
        <v>0.186</v>
      </c>
      <c r="AA53">
        <v>0.35799999999999998</v>
      </c>
    </row>
    <row r="54" spans="1:27">
      <c r="A54" t="str">
        <f>SUBSTITUTE(Opponent_Shooting[[#This Row],[Team]],"*","")</f>
        <v>Memphis Grizzlies</v>
      </c>
      <c r="B54">
        <v>15</v>
      </c>
      <c r="C54" s="1" t="s">
        <v>686</v>
      </c>
      <c r="D54">
        <v>70</v>
      </c>
      <c r="E54">
        <v>16825</v>
      </c>
      <c r="F54">
        <v>0.45800000000000002</v>
      </c>
      <c r="G54">
        <v>13.2</v>
      </c>
      <c r="H54">
        <v>0.64900000000000002</v>
      </c>
      <c r="I54">
        <v>0.28999999999999998</v>
      </c>
      <c r="J54">
        <v>0.13300000000000001</v>
      </c>
      <c r="K54">
        <v>0.105</v>
      </c>
      <c r="L54">
        <v>0.12</v>
      </c>
      <c r="M54">
        <v>0.35099999999999998</v>
      </c>
      <c r="N54">
        <v>0.50900000000000001</v>
      </c>
      <c r="O54">
        <v>0.65700000000000003</v>
      </c>
      <c r="P54">
        <v>0.38400000000000001</v>
      </c>
      <c r="Q54">
        <v>0.39700000000000002</v>
      </c>
      <c r="R54">
        <v>0.38300000000000001</v>
      </c>
      <c r="S54">
        <v>0.36399999999999999</v>
      </c>
      <c r="T54">
        <v>0.497</v>
      </c>
      <c r="U54">
        <v>5.5E-2</v>
      </c>
      <c r="V54">
        <v>275</v>
      </c>
      <c r="W54">
        <v>0.26800000000000002</v>
      </c>
      <c r="X54">
        <v>833</v>
      </c>
      <c r="Y54">
        <v>0.82399999999999995</v>
      </c>
      <c r="Z54">
        <v>0.214</v>
      </c>
      <c r="AA54">
        <v>0.40100000000000002</v>
      </c>
    </row>
    <row r="55" spans="1:27">
      <c r="A55" t="str">
        <f>SUBSTITUTE(Opponent_Shooting[[#This Row],[Team]],"*","")</f>
        <v>Miami Heat</v>
      </c>
      <c r="B55">
        <v>16</v>
      </c>
      <c r="C55" s="1" t="s">
        <v>687</v>
      </c>
      <c r="D55">
        <v>71</v>
      </c>
      <c r="E55">
        <v>17215</v>
      </c>
      <c r="F55">
        <v>0.45300000000000001</v>
      </c>
      <c r="G55">
        <v>12.6</v>
      </c>
      <c r="H55">
        <v>0.68799999999999994</v>
      </c>
      <c r="I55">
        <v>0.27800000000000002</v>
      </c>
      <c r="J55">
        <v>0.191</v>
      </c>
      <c r="K55">
        <v>0.104</v>
      </c>
      <c r="L55">
        <v>0.115</v>
      </c>
      <c r="M55">
        <v>0.312</v>
      </c>
      <c r="N55">
        <v>0.49399999999999999</v>
      </c>
      <c r="O55">
        <v>0.623</v>
      </c>
      <c r="P55">
        <v>0.39100000000000001</v>
      </c>
      <c r="Q55">
        <v>0.41199999999999998</v>
      </c>
      <c r="R55">
        <v>0.42899999999999999</v>
      </c>
      <c r="S55">
        <v>0.36299999999999999</v>
      </c>
      <c r="T55">
        <v>0.46300000000000002</v>
      </c>
      <c r="U55">
        <v>5.0999999999999997E-2</v>
      </c>
      <c r="V55">
        <v>264</v>
      </c>
      <c r="W55">
        <v>0.27300000000000002</v>
      </c>
      <c r="X55">
        <v>839</v>
      </c>
      <c r="Y55">
        <v>0.81499999999999995</v>
      </c>
      <c r="Z55">
        <v>0.185</v>
      </c>
      <c r="AA55">
        <v>0.36099999999999999</v>
      </c>
    </row>
    <row r="56" spans="1:27">
      <c r="A56" t="str">
        <f>SUBSTITUTE(Opponent_Shooting[[#This Row],[Team]],"*","")</f>
        <v>Milwaukee Bucks</v>
      </c>
      <c r="B56">
        <v>17</v>
      </c>
      <c r="C56" s="1" t="s">
        <v>688</v>
      </c>
      <c r="D56">
        <v>70</v>
      </c>
      <c r="E56">
        <v>16900</v>
      </c>
      <c r="F56">
        <v>0.46600000000000003</v>
      </c>
      <c r="G56">
        <v>12.6</v>
      </c>
      <c r="H56">
        <v>0.67500000000000004</v>
      </c>
      <c r="I56">
        <v>0.32500000000000001</v>
      </c>
      <c r="J56">
        <v>0.14199999999999999</v>
      </c>
      <c r="K56">
        <v>0.10199999999999999</v>
      </c>
      <c r="L56">
        <v>0.106</v>
      </c>
      <c r="M56">
        <v>0.32500000000000001</v>
      </c>
      <c r="N56">
        <v>0.51300000000000001</v>
      </c>
      <c r="O56">
        <v>0.67400000000000004</v>
      </c>
      <c r="P56">
        <v>0.32100000000000001</v>
      </c>
      <c r="Q56">
        <v>0.40799999999999997</v>
      </c>
      <c r="R56">
        <v>0.378</v>
      </c>
      <c r="S56">
        <v>0.36799999999999999</v>
      </c>
      <c r="T56">
        <v>0.51500000000000001</v>
      </c>
      <c r="U56">
        <v>5.6000000000000001E-2</v>
      </c>
      <c r="V56">
        <v>277</v>
      </c>
      <c r="W56">
        <v>0.318</v>
      </c>
      <c r="X56">
        <v>1000</v>
      </c>
      <c r="Y56">
        <v>0.85099999999999998</v>
      </c>
      <c r="Z56">
        <v>0.22</v>
      </c>
      <c r="AA56">
        <v>0.42699999999999999</v>
      </c>
    </row>
    <row r="57" spans="1:27">
      <c r="A57" t="str">
        <f>SUBSTITUTE(Opponent_Shooting[[#This Row],[Team]],"*","")</f>
        <v>Minnesota Timberwolves</v>
      </c>
      <c r="B57">
        <v>18</v>
      </c>
      <c r="C57" s="1" t="s">
        <v>689</v>
      </c>
      <c r="D57">
        <v>71</v>
      </c>
      <c r="E57">
        <v>17140</v>
      </c>
      <c r="F57">
        <v>0.47799999999999998</v>
      </c>
      <c r="G57">
        <v>13.1</v>
      </c>
      <c r="H57">
        <v>0.64700000000000002</v>
      </c>
      <c r="I57">
        <v>0.29699999999999999</v>
      </c>
      <c r="J57">
        <v>0.14000000000000001</v>
      </c>
      <c r="K57">
        <v>9.5000000000000001E-2</v>
      </c>
      <c r="L57">
        <v>0.114</v>
      </c>
      <c r="M57">
        <v>0.35299999999999998</v>
      </c>
      <c r="N57">
        <v>0.54</v>
      </c>
      <c r="O57">
        <v>0.69799999999999995</v>
      </c>
      <c r="P57">
        <v>0.38700000000000001</v>
      </c>
      <c r="Q57">
        <v>0.41399999999999998</v>
      </c>
      <c r="R57">
        <v>0.42599999999999999</v>
      </c>
      <c r="S57">
        <v>0.36399999999999999</v>
      </c>
      <c r="T57">
        <v>0.502</v>
      </c>
      <c r="U57">
        <v>6.2E-2</v>
      </c>
      <c r="V57">
        <v>346</v>
      </c>
      <c r="W57">
        <v>0.27300000000000002</v>
      </c>
      <c r="X57">
        <v>973</v>
      </c>
      <c r="Y57">
        <v>0.84699999999999998</v>
      </c>
      <c r="Z57">
        <v>0.22900000000000001</v>
      </c>
      <c r="AA57">
        <v>0.36799999999999999</v>
      </c>
    </row>
    <row r="58" spans="1:27">
      <c r="A58" t="str">
        <f>SUBSTITUTE(Opponent_Shooting[[#This Row],[Team]],"*","")</f>
        <v>New Orleans Pelicans</v>
      </c>
      <c r="B58">
        <v>19</v>
      </c>
      <c r="C58" s="1" t="s">
        <v>690</v>
      </c>
      <c r="D58">
        <v>70</v>
      </c>
      <c r="E58">
        <v>17075</v>
      </c>
      <c r="F58">
        <v>0.45600000000000002</v>
      </c>
      <c r="G58">
        <v>13.2</v>
      </c>
      <c r="H58">
        <v>0.66700000000000004</v>
      </c>
      <c r="I58">
        <v>0.28199999999999997</v>
      </c>
      <c r="J58">
        <v>0.151</v>
      </c>
      <c r="K58">
        <v>0.109</v>
      </c>
      <c r="L58">
        <v>0.125</v>
      </c>
      <c r="M58">
        <v>0.33300000000000002</v>
      </c>
      <c r="N58">
        <v>0.505</v>
      </c>
      <c r="O58">
        <v>0.65200000000000002</v>
      </c>
      <c r="P58">
        <v>0.40600000000000003</v>
      </c>
      <c r="Q58">
        <v>0.39</v>
      </c>
      <c r="R58">
        <v>0.39100000000000001</v>
      </c>
      <c r="S58">
        <v>0.35799999999999998</v>
      </c>
      <c r="T58">
        <v>0.47899999999999998</v>
      </c>
      <c r="U58">
        <v>5.6000000000000001E-2</v>
      </c>
      <c r="V58">
        <v>318</v>
      </c>
      <c r="W58">
        <v>0.27700000000000002</v>
      </c>
      <c r="X58">
        <v>970</v>
      </c>
      <c r="Y58">
        <v>0.84099999999999997</v>
      </c>
      <c r="Z58">
        <v>0.20499999999999999</v>
      </c>
      <c r="AA58">
        <v>0.38300000000000001</v>
      </c>
    </row>
    <row r="59" spans="1:27">
      <c r="A59" t="str">
        <f>SUBSTITUTE(Opponent_Shooting[[#This Row],[Team]],"*","")</f>
        <v>New York Knicks</v>
      </c>
      <c r="B59">
        <v>20</v>
      </c>
      <c r="C59" s="1" t="s">
        <v>691</v>
      </c>
      <c r="D59">
        <v>71</v>
      </c>
      <c r="E59">
        <v>17165</v>
      </c>
      <c r="F59">
        <v>0.45700000000000002</v>
      </c>
      <c r="G59">
        <v>13.4</v>
      </c>
      <c r="H59">
        <v>0.64400000000000002</v>
      </c>
      <c r="I59">
        <v>0.28999999999999998</v>
      </c>
      <c r="J59">
        <v>0.14099999999999999</v>
      </c>
      <c r="K59">
        <v>9.0999999999999998E-2</v>
      </c>
      <c r="L59">
        <v>0.121</v>
      </c>
      <c r="M59">
        <v>0.35599999999999998</v>
      </c>
      <c r="N59">
        <v>0.503</v>
      </c>
      <c r="O59">
        <v>0.626</v>
      </c>
      <c r="P59">
        <v>0.372</v>
      </c>
      <c r="Q59">
        <v>0.42</v>
      </c>
      <c r="R59">
        <v>0.42499999999999999</v>
      </c>
      <c r="S59">
        <v>0.373</v>
      </c>
      <c r="T59">
        <v>0.50600000000000001</v>
      </c>
      <c r="U59">
        <v>5.8000000000000003E-2</v>
      </c>
      <c r="V59">
        <v>302</v>
      </c>
      <c r="W59">
        <v>0.27300000000000002</v>
      </c>
      <c r="X59">
        <v>854</v>
      </c>
      <c r="Y59">
        <v>0.84299999999999997</v>
      </c>
      <c r="Z59">
        <v>0.23899999999999999</v>
      </c>
      <c r="AA59">
        <v>0.41599999999999998</v>
      </c>
    </row>
    <row r="60" spans="1:27">
      <c r="A60" t="str">
        <f>SUBSTITUTE(Opponent_Shooting[[#This Row],[Team]],"*","")</f>
        <v>Oklahoma City Thunder</v>
      </c>
      <c r="B60">
        <v>21</v>
      </c>
      <c r="C60" s="1" t="s">
        <v>692</v>
      </c>
      <c r="D60">
        <v>72</v>
      </c>
      <c r="E60">
        <v>17405</v>
      </c>
      <c r="F60">
        <v>0.45800000000000002</v>
      </c>
      <c r="G60">
        <v>13</v>
      </c>
      <c r="H60">
        <v>0.63600000000000001</v>
      </c>
      <c r="I60">
        <v>0.30099999999999999</v>
      </c>
      <c r="J60">
        <v>0.14299999999999999</v>
      </c>
      <c r="K60">
        <v>9.4E-2</v>
      </c>
      <c r="L60">
        <v>9.4E-2</v>
      </c>
      <c r="M60">
        <v>0.36399999999999999</v>
      </c>
      <c r="N60">
        <v>0.50900000000000001</v>
      </c>
      <c r="O60">
        <v>0.64500000000000002</v>
      </c>
      <c r="P60">
        <v>0.36899999999999999</v>
      </c>
      <c r="Q60">
        <v>0.42499999999999999</v>
      </c>
      <c r="R60">
        <v>0.371</v>
      </c>
      <c r="S60">
        <v>0.36899999999999999</v>
      </c>
      <c r="T60">
        <v>0.50900000000000001</v>
      </c>
      <c r="U60">
        <v>5.8000000000000003E-2</v>
      </c>
      <c r="V60">
        <v>302</v>
      </c>
      <c r="W60">
        <v>0.27300000000000002</v>
      </c>
      <c r="X60">
        <v>902</v>
      </c>
      <c r="Y60">
        <v>0.84299999999999997</v>
      </c>
      <c r="Z60">
        <v>0.23599999999999999</v>
      </c>
      <c r="AA60">
        <v>0.41199999999999998</v>
      </c>
    </row>
    <row r="61" spans="1:27">
      <c r="A61" t="str">
        <f>SUBSTITUTE(Opponent_Shooting[[#This Row],[Team]],"*","")</f>
        <v>Orlando Magic</v>
      </c>
      <c r="B61">
        <v>22</v>
      </c>
      <c r="C61" s="1" t="s">
        <v>693</v>
      </c>
      <c r="D61">
        <v>70</v>
      </c>
      <c r="E61">
        <v>16850</v>
      </c>
      <c r="F61">
        <v>0.47299999999999998</v>
      </c>
      <c r="G61">
        <v>12.6</v>
      </c>
      <c r="H61">
        <v>0.69699999999999995</v>
      </c>
      <c r="I61">
        <v>0.28100000000000003</v>
      </c>
      <c r="J61">
        <v>0.182</v>
      </c>
      <c r="K61">
        <v>0.104</v>
      </c>
      <c r="L61">
        <v>0.13</v>
      </c>
      <c r="M61">
        <v>0.30299999999999999</v>
      </c>
      <c r="N61">
        <v>0.52</v>
      </c>
      <c r="O61">
        <v>0.68500000000000005</v>
      </c>
      <c r="P61">
        <v>0.39400000000000002</v>
      </c>
      <c r="Q61">
        <v>0.44700000000000001</v>
      </c>
      <c r="R61">
        <v>0.39600000000000002</v>
      </c>
      <c r="S61">
        <v>0.36499999999999999</v>
      </c>
      <c r="T61">
        <v>0.51300000000000001</v>
      </c>
      <c r="U61">
        <v>5.7000000000000002E-2</v>
      </c>
      <c r="V61">
        <v>312</v>
      </c>
      <c r="W61">
        <v>0.29799999999999999</v>
      </c>
      <c r="X61">
        <v>1036</v>
      </c>
      <c r="Y61">
        <v>0.83199999999999996</v>
      </c>
      <c r="Z61">
        <v>0.22700000000000001</v>
      </c>
      <c r="AA61">
        <v>0.434</v>
      </c>
    </row>
    <row r="62" spans="1:27">
      <c r="A62" t="str">
        <f>SUBSTITUTE(Opponent_Shooting[[#This Row],[Team]],"*","")</f>
        <v>Philadelphia 76ers</v>
      </c>
      <c r="B62">
        <v>23</v>
      </c>
      <c r="C62" s="1" t="s">
        <v>694</v>
      </c>
      <c r="D62">
        <v>69</v>
      </c>
      <c r="E62">
        <v>16660</v>
      </c>
      <c r="F62">
        <v>0.439</v>
      </c>
      <c r="G62">
        <v>13.6</v>
      </c>
      <c r="H62">
        <v>0.66600000000000004</v>
      </c>
      <c r="I62">
        <v>0.24</v>
      </c>
      <c r="J62">
        <v>0.17100000000000001</v>
      </c>
      <c r="K62">
        <v>0.121</v>
      </c>
      <c r="L62">
        <v>0.13200000000000001</v>
      </c>
      <c r="M62">
        <v>0.33400000000000002</v>
      </c>
      <c r="N62">
        <v>0.48699999999999999</v>
      </c>
      <c r="O62">
        <v>0.65800000000000003</v>
      </c>
      <c r="P62">
        <v>0.36699999999999999</v>
      </c>
      <c r="Q62">
        <v>0.42</v>
      </c>
      <c r="R62">
        <v>0.39200000000000002</v>
      </c>
      <c r="S62">
        <v>0.34399999999999997</v>
      </c>
      <c r="T62">
        <v>0.47899999999999998</v>
      </c>
      <c r="U62">
        <v>4.9000000000000002E-2</v>
      </c>
      <c r="V62">
        <v>258</v>
      </c>
      <c r="W62">
        <v>0.254</v>
      </c>
      <c r="X62">
        <v>773</v>
      </c>
      <c r="Y62">
        <v>0.79900000000000004</v>
      </c>
      <c r="Z62">
        <v>0.189</v>
      </c>
      <c r="AA62">
        <v>0.377</v>
      </c>
    </row>
    <row r="63" spans="1:27">
      <c r="A63" t="str">
        <f>SUBSTITUTE(Opponent_Shooting[[#This Row],[Team]],"*","")</f>
        <v>Phoenix Suns</v>
      </c>
      <c r="B63">
        <v>24</v>
      </c>
      <c r="C63" s="1" t="s">
        <v>695</v>
      </c>
      <c r="D63">
        <v>71</v>
      </c>
      <c r="E63">
        <v>17065</v>
      </c>
      <c r="F63">
        <v>0.47299999999999998</v>
      </c>
      <c r="G63">
        <v>12.9</v>
      </c>
      <c r="H63">
        <v>0.67200000000000004</v>
      </c>
      <c r="I63">
        <v>0.307</v>
      </c>
      <c r="J63">
        <v>0.13400000000000001</v>
      </c>
      <c r="K63">
        <v>0.106</v>
      </c>
      <c r="L63">
        <v>0.125</v>
      </c>
      <c r="M63">
        <v>0.32800000000000001</v>
      </c>
      <c r="N63">
        <v>0.52300000000000002</v>
      </c>
      <c r="O63">
        <v>0.64500000000000002</v>
      </c>
      <c r="P63">
        <v>0.41699999999999998</v>
      </c>
      <c r="Q63">
        <v>0.442</v>
      </c>
      <c r="R63">
        <v>0.40699999999999997</v>
      </c>
      <c r="S63">
        <v>0.371</v>
      </c>
      <c r="T63">
        <v>0.45800000000000002</v>
      </c>
      <c r="U63">
        <v>5.3999999999999999E-2</v>
      </c>
      <c r="V63">
        <v>307</v>
      </c>
      <c r="W63">
        <v>0.27900000000000003</v>
      </c>
      <c r="X63">
        <v>988</v>
      </c>
      <c r="Y63">
        <v>0.81699999999999995</v>
      </c>
      <c r="Z63">
        <v>0.19900000000000001</v>
      </c>
      <c r="AA63">
        <v>0.39700000000000002</v>
      </c>
    </row>
    <row r="64" spans="1:27">
      <c r="A64" t="str">
        <f>SUBSTITUTE(Opponent_Shooting[[#This Row],[Team]],"*","")</f>
        <v>Portland Trail Blazers</v>
      </c>
      <c r="B64">
        <v>25</v>
      </c>
      <c r="C64" s="1" t="s">
        <v>696</v>
      </c>
      <c r="D64">
        <v>70</v>
      </c>
      <c r="E64">
        <v>16875</v>
      </c>
      <c r="F64">
        <v>0.44600000000000001</v>
      </c>
      <c r="G64">
        <v>13</v>
      </c>
      <c r="H64">
        <v>0.69099999999999995</v>
      </c>
      <c r="I64">
        <v>0.28100000000000003</v>
      </c>
      <c r="J64">
        <v>0.14699999999999999</v>
      </c>
      <c r="K64">
        <v>0.122</v>
      </c>
      <c r="L64">
        <v>0.14000000000000001</v>
      </c>
      <c r="M64">
        <v>0.309</v>
      </c>
      <c r="N64">
        <v>0.48399999999999999</v>
      </c>
      <c r="O64">
        <v>0.58299999999999996</v>
      </c>
      <c r="P64">
        <v>0.41099999999999998</v>
      </c>
      <c r="Q64">
        <v>0.41499999999999998</v>
      </c>
      <c r="R64">
        <v>0.42199999999999999</v>
      </c>
      <c r="S64">
        <v>0.36199999999999999</v>
      </c>
      <c r="T64">
        <v>0.42099999999999999</v>
      </c>
      <c r="U64">
        <v>3.5000000000000003E-2</v>
      </c>
      <c r="V64">
        <v>180</v>
      </c>
      <c r="W64">
        <v>0.26400000000000001</v>
      </c>
      <c r="X64">
        <v>827</v>
      </c>
      <c r="Y64">
        <v>0.83599999999999997</v>
      </c>
      <c r="Z64">
        <v>0.188</v>
      </c>
      <c r="AA64">
        <v>0.40300000000000002</v>
      </c>
    </row>
    <row r="65" spans="1:27">
      <c r="A65" t="str">
        <f>SUBSTITUTE(Opponent_Shooting[[#This Row],[Team]],"*","")</f>
        <v>Sacramento Kings</v>
      </c>
      <c r="B65">
        <v>26</v>
      </c>
      <c r="C65" s="1" t="s">
        <v>697</v>
      </c>
      <c r="D65">
        <v>72</v>
      </c>
      <c r="E65">
        <v>17355</v>
      </c>
      <c r="F65">
        <v>0.47299999999999998</v>
      </c>
      <c r="G65">
        <v>13.8</v>
      </c>
      <c r="H65">
        <v>0.61599999999999999</v>
      </c>
      <c r="I65">
        <v>0.25900000000000001</v>
      </c>
      <c r="J65">
        <v>0.16600000000000001</v>
      </c>
      <c r="K65">
        <v>8.1000000000000003E-2</v>
      </c>
      <c r="L65">
        <v>0.109</v>
      </c>
      <c r="M65">
        <v>0.38400000000000001</v>
      </c>
      <c r="N65">
        <v>0.52900000000000003</v>
      </c>
      <c r="O65">
        <v>0.68200000000000005</v>
      </c>
      <c r="P65">
        <v>0.43</v>
      </c>
      <c r="Q65">
        <v>0.40600000000000003</v>
      </c>
      <c r="R65">
        <v>0.40500000000000003</v>
      </c>
      <c r="S65">
        <v>0.38400000000000001</v>
      </c>
      <c r="T65">
        <v>0.51900000000000002</v>
      </c>
      <c r="U65">
        <v>5.1999999999999998E-2</v>
      </c>
      <c r="V65">
        <v>276</v>
      </c>
      <c r="W65">
        <v>0.27200000000000002</v>
      </c>
      <c r="X65">
        <v>903</v>
      </c>
      <c r="Y65">
        <v>0.83499999999999996</v>
      </c>
      <c r="Z65">
        <v>0.20300000000000001</v>
      </c>
      <c r="AA65">
        <v>0.41299999999999998</v>
      </c>
    </row>
    <row r="66" spans="1:27">
      <c r="A66" t="str">
        <f>SUBSTITUTE(Opponent_Shooting[[#This Row],[Team]],"*","")</f>
        <v>San Antonio Spurs</v>
      </c>
      <c r="B66">
        <v>27</v>
      </c>
      <c r="C66" s="1" t="s">
        <v>698</v>
      </c>
      <c r="D66">
        <v>71</v>
      </c>
      <c r="E66">
        <v>17040</v>
      </c>
      <c r="F66">
        <v>0.45</v>
      </c>
      <c r="G66">
        <v>12.9</v>
      </c>
      <c r="H66">
        <v>0.68400000000000005</v>
      </c>
      <c r="I66">
        <v>0.28399999999999997</v>
      </c>
      <c r="J66">
        <v>0.152</v>
      </c>
      <c r="K66">
        <v>0.122</v>
      </c>
      <c r="L66">
        <v>0.125</v>
      </c>
      <c r="M66">
        <v>0.316</v>
      </c>
      <c r="N66">
        <v>0.498</v>
      </c>
      <c r="O66">
        <v>0.63200000000000001</v>
      </c>
      <c r="P66">
        <v>0.38900000000000001</v>
      </c>
      <c r="Q66">
        <v>0.41599999999999998</v>
      </c>
      <c r="R66">
        <v>0.40400000000000003</v>
      </c>
      <c r="S66">
        <v>0.34799999999999998</v>
      </c>
      <c r="T66">
        <v>0.48299999999999998</v>
      </c>
      <c r="U66">
        <v>5.6000000000000001E-2</v>
      </c>
      <c r="V66">
        <v>292</v>
      </c>
      <c r="W66">
        <v>0.26500000000000001</v>
      </c>
      <c r="X66">
        <v>816</v>
      </c>
      <c r="Y66">
        <v>0.83199999999999996</v>
      </c>
      <c r="Z66">
        <v>0.21099999999999999</v>
      </c>
      <c r="AA66">
        <v>0.36799999999999999</v>
      </c>
    </row>
    <row r="67" spans="1:27">
      <c r="A67" t="str">
        <f>SUBSTITUTE(Opponent_Shooting[[#This Row],[Team]],"*","")</f>
        <v>Toronto Raptors</v>
      </c>
      <c r="B67">
        <v>28</v>
      </c>
      <c r="C67" s="1" t="s">
        <v>1200</v>
      </c>
      <c r="D67">
        <v>70</v>
      </c>
      <c r="E67">
        <v>16925</v>
      </c>
      <c r="F67">
        <v>0.44900000000000001</v>
      </c>
      <c r="G67">
        <v>12.3</v>
      </c>
      <c r="H67">
        <v>0.70699999999999996</v>
      </c>
      <c r="I67">
        <v>0.30299999999999999</v>
      </c>
      <c r="J67">
        <v>0.17</v>
      </c>
      <c r="K67">
        <v>0.11899999999999999</v>
      </c>
      <c r="L67">
        <v>0.115</v>
      </c>
      <c r="M67">
        <v>0.29299999999999998</v>
      </c>
      <c r="N67">
        <v>0.48899999999999999</v>
      </c>
      <c r="O67">
        <v>0.61499999999999999</v>
      </c>
      <c r="P67">
        <v>0.36299999999999999</v>
      </c>
      <c r="Q67">
        <v>0.434</v>
      </c>
      <c r="R67">
        <v>0.40300000000000002</v>
      </c>
      <c r="S67">
        <v>0.35299999999999998</v>
      </c>
      <c r="T67">
        <v>0.499</v>
      </c>
      <c r="U67">
        <v>4.8000000000000001E-2</v>
      </c>
      <c r="V67">
        <v>248</v>
      </c>
      <c r="W67">
        <v>0.29399999999999998</v>
      </c>
      <c r="X67">
        <v>908</v>
      </c>
      <c r="Y67">
        <v>0.81599999999999995</v>
      </c>
      <c r="Z67">
        <v>0.19500000000000001</v>
      </c>
      <c r="AA67">
        <v>0.36299999999999999</v>
      </c>
    </row>
    <row r="68" spans="1:27">
      <c r="A68" t="str">
        <f>SUBSTITUTE(Opponent_Shooting[[#This Row],[Team]],"*","")</f>
        <v>Utah Jazz</v>
      </c>
      <c r="B68">
        <v>29</v>
      </c>
      <c r="C68" s="1" t="s">
        <v>700</v>
      </c>
      <c r="D68">
        <v>70</v>
      </c>
      <c r="E68">
        <v>16850</v>
      </c>
      <c r="F68">
        <v>0.45100000000000001</v>
      </c>
      <c r="G68">
        <v>13.2</v>
      </c>
      <c r="H68">
        <v>0.67900000000000005</v>
      </c>
      <c r="I68">
        <v>0.25900000000000001</v>
      </c>
      <c r="J68">
        <v>0.17399999999999999</v>
      </c>
      <c r="K68">
        <v>0.11700000000000001</v>
      </c>
      <c r="L68">
        <v>0.128</v>
      </c>
      <c r="M68">
        <v>0.32100000000000001</v>
      </c>
      <c r="N68">
        <v>0.49199999999999999</v>
      </c>
      <c r="O68">
        <v>0.65800000000000003</v>
      </c>
      <c r="P68">
        <v>0.38600000000000001</v>
      </c>
      <c r="Q68">
        <v>0.37</v>
      </c>
      <c r="R68">
        <v>0.41199999999999998</v>
      </c>
      <c r="S68">
        <v>0.36399999999999999</v>
      </c>
      <c r="T68">
        <v>0.44400000000000001</v>
      </c>
      <c r="U68">
        <v>5.3999999999999999E-2</v>
      </c>
      <c r="V68">
        <v>279</v>
      </c>
      <c r="W68">
        <v>0.26</v>
      </c>
      <c r="X68">
        <v>810</v>
      </c>
      <c r="Y68">
        <v>0.79400000000000004</v>
      </c>
      <c r="Z68">
        <v>0.185</v>
      </c>
      <c r="AA68">
        <v>0.40400000000000003</v>
      </c>
    </row>
    <row r="69" spans="1:27">
      <c r="A69" t="str">
        <f>SUBSTITUTE(Opponent_Shooting[[#This Row],[Team]],"*","")</f>
        <v>Washington Wizards</v>
      </c>
      <c r="B69">
        <v>30</v>
      </c>
      <c r="C69" s="1" t="s">
        <v>701</v>
      </c>
      <c r="D69">
        <v>70</v>
      </c>
      <c r="E69">
        <v>16975</v>
      </c>
      <c r="F69">
        <v>0.46</v>
      </c>
      <c r="G69">
        <v>13.3</v>
      </c>
      <c r="H69">
        <v>0.65600000000000003</v>
      </c>
      <c r="I69">
        <v>0.28199999999999997</v>
      </c>
      <c r="J69">
        <v>0.152</v>
      </c>
      <c r="K69">
        <v>9.8000000000000004E-2</v>
      </c>
      <c r="L69">
        <v>0.122</v>
      </c>
      <c r="M69">
        <v>0.34399999999999997</v>
      </c>
      <c r="N69">
        <v>0.52200000000000002</v>
      </c>
      <c r="O69">
        <v>0.69</v>
      </c>
      <c r="P69">
        <v>0.39600000000000002</v>
      </c>
      <c r="Q69">
        <v>0.39600000000000002</v>
      </c>
      <c r="R69">
        <v>0.39900000000000002</v>
      </c>
      <c r="S69">
        <v>0.34300000000000003</v>
      </c>
      <c r="T69">
        <v>0.47699999999999998</v>
      </c>
      <c r="U69">
        <v>5.3999999999999999E-2</v>
      </c>
      <c r="V69">
        <v>302</v>
      </c>
      <c r="W69">
        <v>0.28999999999999998</v>
      </c>
      <c r="X69">
        <v>971</v>
      </c>
      <c r="Y69">
        <v>0.80800000000000005</v>
      </c>
      <c r="Z69">
        <v>0.19400000000000001</v>
      </c>
      <c r="AA69">
        <v>0.36199999999999999</v>
      </c>
    </row>
    <row r="70" spans="1:27" s="73" customFormat="1">
      <c r="A70" s="362"/>
      <c r="D70" s="74"/>
    </row>
    <row r="71" spans="1:27" s="73" customFormat="1">
      <c r="A71" s="362"/>
      <c r="D71" s="74"/>
    </row>
    <row r="72" spans="1:27" s="73" customFormat="1">
      <c r="A72" s="362"/>
      <c r="D72" s="74"/>
    </row>
    <row r="73" spans="1:27" s="73" customFormat="1">
      <c r="A73" s="362"/>
      <c r="D73" s="74"/>
    </row>
  </sheetData>
  <mergeCells count="6">
    <mergeCell ref="C1:E1"/>
    <mergeCell ref="H3:M3"/>
    <mergeCell ref="N3:AE3"/>
    <mergeCell ref="H38:M38"/>
    <mergeCell ref="N38:AA38"/>
    <mergeCell ref="C36:G36"/>
  </mergeCells>
  <pageMargins left="0.7" right="0.7" top="0.75" bottom="0.75" header="0.3" footer="0.3"/>
  <pageSetup orientation="portrait" r:id="rId1"/>
  <drawing r:id="rId2"/>
  <tableParts count="2">
    <tablePart r:id="rId3"/>
    <tablePart r:id="rId4"/>
  </tableParts>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AU36"/>
  <sheetViews>
    <sheetView zoomScaleNormal="100" workbookViewId="0"/>
  </sheetViews>
  <sheetFormatPr defaultColWidth="8.85546875" defaultRowHeight="15"/>
  <cols>
    <col min="1" max="1" width="9.85546875" style="2" customWidth="1"/>
    <col min="2" max="2" width="23.85546875" style="224" hidden="1" customWidth="1"/>
    <col min="3" max="3" width="23.85546875" style="224" customWidth="1"/>
    <col min="4" max="4" width="8.140625" style="224" bestFit="1" customWidth="1"/>
    <col min="5" max="5" width="7.5703125" style="224" bestFit="1" customWidth="1"/>
    <col min="6" max="6" width="6.42578125" style="224" bestFit="1" customWidth="1"/>
    <col min="7" max="7" width="11.140625" style="224" bestFit="1" customWidth="1"/>
    <col min="8" max="8" width="11.140625" hidden="1" customWidth="1"/>
    <col min="9" max="9" width="9.140625" bestFit="1" customWidth="1"/>
    <col min="10" max="12" width="8.85546875" customWidth="1"/>
    <col min="13" max="13" width="23.85546875" bestFit="1" customWidth="1"/>
    <col min="14" max="14" width="11.28515625" customWidth="1"/>
    <col min="15" max="16" width="8.85546875" customWidth="1"/>
    <col min="17" max="17" width="10.7109375" customWidth="1"/>
    <col min="18" max="18" width="13" customWidth="1"/>
    <col min="19" max="19" width="13.42578125" hidden="1" customWidth="1"/>
    <col min="20" max="20" width="23.85546875" hidden="1" customWidth="1"/>
    <col min="21" max="21" width="5.85546875" hidden="1" customWidth="1"/>
    <col min="22" max="22" width="5.28515625" hidden="1" customWidth="1"/>
    <col min="23" max="23" width="4.140625" hidden="1" customWidth="1"/>
    <col min="24" max="24" width="8.85546875" hidden="1" customWidth="1"/>
    <col min="25" max="25" width="7.140625" hidden="1" customWidth="1"/>
    <col min="26" max="26" width="6.42578125" hidden="1" customWidth="1"/>
    <col min="27" max="27" width="7.5703125" hidden="1" customWidth="1"/>
    <col min="28" max="28" width="7" hidden="1" customWidth="1"/>
    <col min="29" max="30" width="7.28515625" hidden="1" customWidth="1"/>
    <col min="31" max="31" width="6.7109375" hidden="1" customWidth="1"/>
    <col min="32" max="32" width="7" hidden="1" customWidth="1"/>
    <col min="33" max="33" width="7.140625" hidden="1" customWidth="1"/>
    <col min="34" max="34" width="6.5703125" hidden="1" customWidth="1"/>
    <col min="35" max="35" width="6.85546875" hidden="1" customWidth="1"/>
    <col min="36" max="36" width="8" hidden="1" customWidth="1"/>
    <col min="37" max="37" width="7.85546875" hidden="1" customWidth="1"/>
    <col min="38" max="39" width="6.5703125" hidden="1" customWidth="1"/>
    <col min="40" max="40" width="7" hidden="1" customWidth="1"/>
    <col min="41" max="41" width="6.140625" hidden="1" customWidth="1"/>
    <col min="42" max="42" width="6.42578125" hidden="1" customWidth="1"/>
    <col min="43" max="43" width="7.7109375" hidden="1" customWidth="1"/>
    <col min="44" max="44" width="5.42578125" hidden="1" customWidth="1"/>
    <col min="45" max="45" width="6.7109375" hidden="1" customWidth="1"/>
    <col min="46" max="46" width="5.85546875" hidden="1" customWidth="1"/>
  </cols>
  <sheetData>
    <row r="1" spans="1:46">
      <c r="A1" s="224"/>
    </row>
    <row r="2" spans="1:46" ht="15" customHeight="1">
      <c r="A2" s="214"/>
      <c r="D2" s="109"/>
      <c r="E2" s="109"/>
      <c r="F2" s="109"/>
      <c r="G2" s="109"/>
      <c r="K2" s="109"/>
      <c r="L2" s="109"/>
      <c r="M2" t="s">
        <v>1206</v>
      </c>
    </row>
    <row r="3" spans="1:46" ht="15.75" customHeight="1">
      <c r="A3" s="22"/>
      <c r="B3" s="22"/>
      <c r="C3" s="22"/>
      <c r="D3" s="109"/>
      <c r="E3" s="109"/>
      <c r="F3" s="109"/>
      <c r="G3" s="109"/>
    </row>
    <row r="4" spans="1:46">
      <c r="A4" s="22"/>
      <c r="B4" s="22"/>
      <c r="C4" s="22"/>
      <c r="D4" s="22"/>
      <c r="E4" s="22"/>
      <c r="F4" s="22"/>
      <c r="G4" s="22"/>
      <c r="M4" s="259" t="s">
        <v>921</v>
      </c>
      <c r="N4" s="266" t="s">
        <v>923</v>
      </c>
      <c r="O4" s="266" t="s">
        <v>1101</v>
      </c>
      <c r="P4" s="266" t="s">
        <v>1103</v>
      </c>
      <c r="Q4" s="266" t="s">
        <v>1102</v>
      </c>
      <c r="S4" t="s">
        <v>1003</v>
      </c>
      <c r="T4" t="s">
        <v>916</v>
      </c>
      <c r="U4" t="s">
        <v>251</v>
      </c>
      <c r="V4" t="s">
        <v>917</v>
      </c>
      <c r="W4" t="s">
        <v>918</v>
      </c>
      <c r="X4" t="s">
        <v>919</v>
      </c>
      <c r="Y4" t="s">
        <v>56</v>
      </c>
      <c r="Z4" t="s">
        <v>805</v>
      </c>
      <c r="AA4" t="s">
        <v>1165</v>
      </c>
      <c r="AB4" t="s">
        <v>265</v>
      </c>
      <c r="AC4" t="s">
        <v>266</v>
      </c>
      <c r="AD4" t="s">
        <v>1166</v>
      </c>
      <c r="AE4" t="s">
        <v>268</v>
      </c>
      <c r="AF4" t="s">
        <v>269</v>
      </c>
      <c r="AG4" t="s">
        <v>1167</v>
      </c>
      <c r="AH4" t="s">
        <v>275</v>
      </c>
      <c r="AI4" t="s">
        <v>276</v>
      </c>
      <c r="AJ4" t="s">
        <v>1168</v>
      </c>
      <c r="AK4" t="s">
        <v>1169</v>
      </c>
      <c r="AL4" t="s">
        <v>1170</v>
      </c>
      <c r="AM4" t="s">
        <v>280</v>
      </c>
      <c r="AN4" t="s">
        <v>283</v>
      </c>
      <c r="AO4" t="s">
        <v>281</v>
      </c>
      <c r="AP4" t="s">
        <v>282</v>
      </c>
      <c r="AQ4" t="s">
        <v>1171</v>
      </c>
      <c r="AR4" t="s">
        <v>38</v>
      </c>
      <c r="AS4" t="s">
        <v>1172</v>
      </c>
      <c r="AT4" t="s">
        <v>1173</v>
      </c>
    </row>
    <row r="5" spans="1:46">
      <c r="B5" s="341" t="s">
        <v>916</v>
      </c>
      <c r="C5" s="347" t="s">
        <v>1106</v>
      </c>
      <c r="D5" s="348" t="s">
        <v>251</v>
      </c>
      <c r="E5" s="348" t="s">
        <v>917</v>
      </c>
      <c r="F5" s="348" t="s">
        <v>918</v>
      </c>
      <c r="G5" s="349" t="s">
        <v>919</v>
      </c>
      <c r="H5" s="350" t="s">
        <v>1003</v>
      </c>
      <c r="I5" s="346" t="s">
        <v>1066</v>
      </c>
      <c r="L5" s="50" t="str">
        <f>1&amp;IF(M5&lt;&gt;VLOOKUP(M5,'Team Stats'!$V$5:$X$34,3,FALSE),"*","")</f>
        <v>1*</v>
      </c>
      <c r="M5" s="260" t="str">
        <f t="array" ref="M5">INDEX(Standings!$C$6:$C$35,SMALL(IF($H$6:$H$35="w",ROW($H$6:$H$35)-ROW($G$6)+1),ROWS(M$5:M5)))</f>
        <v>Houston Rockets</v>
      </c>
      <c r="N5" s="261">
        <f>VLOOKUP(M5,Standings!$C$6:$G$35,5,FALSE)</f>
        <v>0.8</v>
      </c>
      <c r="O5" s="384">
        <f t="shared" ref="O5:O19" si="0">AVERAGE(Q5,P5)</f>
        <v>0</v>
      </c>
      <c r="P5" s="269">
        <f>$E$6-VLOOKUP(M5,Standings!$C$6:$G$35,3,FALSE)</f>
        <v>0</v>
      </c>
      <c r="Q5" s="384">
        <f>VLOOKUP(M5,Standings!$C$6:$G$35,4,FALSE)-VLOOKUP($M$5,Standings!$C$6:$G$35,4,FALSE)</f>
        <v>0</v>
      </c>
      <c r="S5">
        <v>1</v>
      </c>
      <c r="T5" s="1" t="s">
        <v>682</v>
      </c>
      <c r="U5">
        <v>70</v>
      </c>
      <c r="V5">
        <v>56</v>
      </c>
      <c r="W5">
        <v>14</v>
      </c>
      <c r="X5">
        <v>0.8</v>
      </c>
      <c r="Y5">
        <v>48.1</v>
      </c>
      <c r="Z5">
        <v>113.6</v>
      </c>
      <c r="AA5">
        <v>39</v>
      </c>
      <c r="AB5">
        <v>84.2</v>
      </c>
      <c r="AC5">
        <v>46.3</v>
      </c>
      <c r="AD5">
        <v>15.4</v>
      </c>
      <c r="AE5">
        <v>42.1</v>
      </c>
      <c r="AF5">
        <v>36.5</v>
      </c>
      <c r="AG5">
        <v>20.3</v>
      </c>
      <c r="AH5">
        <v>25.8</v>
      </c>
      <c r="AI5">
        <v>78.8</v>
      </c>
      <c r="AJ5">
        <v>9.1999999999999993</v>
      </c>
      <c r="AK5">
        <v>34.200000000000003</v>
      </c>
      <c r="AL5">
        <v>43.4</v>
      </c>
      <c r="AM5">
        <v>21.8</v>
      </c>
      <c r="AN5">
        <v>13.9</v>
      </c>
      <c r="AO5">
        <v>8.6</v>
      </c>
      <c r="AP5">
        <v>4.8</v>
      </c>
      <c r="AQ5">
        <v>4.5</v>
      </c>
      <c r="AR5">
        <v>19.8</v>
      </c>
      <c r="AS5">
        <v>20.8</v>
      </c>
      <c r="AT5">
        <v>8.9</v>
      </c>
    </row>
    <row r="6" spans="1:46">
      <c r="B6" s="342" t="str">
        <f>T5</f>
        <v>Houston Rockets</v>
      </c>
      <c r="C6" s="351" t="str">
        <f>IF(Standings!$B6="LA Clippers","Los Angeles Clippers",B6)</f>
        <v>Houston Rockets</v>
      </c>
      <c r="D6" s="359">
        <f>U5</f>
        <v>70</v>
      </c>
      <c r="E6" s="359">
        <f t="shared" ref="E6:F6" si="1">V5</f>
        <v>56</v>
      </c>
      <c r="F6" s="359">
        <f t="shared" si="1"/>
        <v>14</v>
      </c>
      <c r="G6" s="359">
        <f>X5</f>
        <v>0.8</v>
      </c>
      <c r="H6" s="271" t="str">
        <f>IF(OR(Table2[[#This Row],[Team ]]="Houston Rockets",Table2[[#This Row],[Team ]]="Golden State Warriors",Table2[[#This Row],[Team ]]="Portland Trail Blazers",Table2[[#This Row],[Team ]]="New Orleans Pelicans",Table2[[#This Row],[Team ]]="San Antonio Spurs",Table2[[#This Row],[Team ]]="Minnesota Timberwolves",Table2[[#This Row],[Team ]]="Oklahoma City Thunder",Table2[[#This Row],[Team ]]="Los Angeles Clippers",Table2[[#This Row],[Team ]]="Denver Nuggets",Table2[[#This Row],[Team ]]="Utah Jazz",Table2[[#This Row],[Team ]]="Los Angeles Lakers",Table2[[#This Row],[Team ]]="Dallas Mavericks",Table2[[#This Row],[Team ]]="Sacramento Kings",Table2[[#This Row],[Team ]]="Phoenix Suns",Table2[[#This Row],[Team ]]="Memphis Grizzlies"),"w","e")</f>
        <v>w</v>
      </c>
      <c r="I6" s="271" t="str">
        <f>IFERROR(IFERROR(IF(VLOOKUP(C6,$M$5:$M$12,1,FALSE)=C6,"X - W"),IF(VLOOKUP(B6,$M$22:$M$29,1,FALSE)=B6,"X - E")),"")</f>
        <v>X - W</v>
      </c>
      <c r="L6" s="50" t="str">
        <f>2&amp;IF(M6&lt;&gt;VLOOKUP(M6,'Team Stats'!$V$5:$X$34,3,FALSE),"*","")</f>
        <v>2*</v>
      </c>
      <c r="M6" s="275" t="str">
        <f t="array" ref="M6">INDEX(Standings!$C$6:$C$35,SMALL(IF($H$6:$H$35="w",ROW($H$6:$H$35)-ROW($G$6)+1),ROWS(M$5:M6)))</f>
        <v>Golden State Warriors</v>
      </c>
      <c r="N6" s="276">
        <f>VLOOKUP(M6,Standings!$C$6:$G$35,5,FALSE)</f>
        <v>0.746</v>
      </c>
      <c r="O6" s="384">
        <f t="shared" si="0"/>
        <v>3.5</v>
      </c>
      <c r="P6" s="269">
        <f>$E$6-VLOOKUP(M6,Standings!$C$6:$G$35,3,FALSE)</f>
        <v>3</v>
      </c>
      <c r="Q6" s="384">
        <f>VLOOKUP(M6,Standings!$C$6:$G$35,4,FALSE)-VLOOKUP($M$5,Standings!$C$6:$G$35,4,FALSE)</f>
        <v>4</v>
      </c>
      <c r="S6">
        <v>2</v>
      </c>
      <c r="T6" s="1" t="s">
        <v>681</v>
      </c>
      <c r="U6">
        <v>71</v>
      </c>
      <c r="V6">
        <v>53</v>
      </c>
      <c r="W6">
        <v>18</v>
      </c>
      <c r="X6">
        <v>0.746</v>
      </c>
      <c r="Y6">
        <v>48.1</v>
      </c>
      <c r="Z6">
        <v>114.9</v>
      </c>
      <c r="AA6">
        <v>43.1</v>
      </c>
      <c r="AB6">
        <v>84.9</v>
      </c>
      <c r="AC6">
        <v>50.7</v>
      </c>
      <c r="AD6">
        <v>11.6</v>
      </c>
      <c r="AE6">
        <v>29.5</v>
      </c>
      <c r="AF6">
        <v>39.299999999999997</v>
      </c>
      <c r="AG6">
        <v>17.100000000000001</v>
      </c>
      <c r="AH6">
        <v>21.1</v>
      </c>
      <c r="AI6">
        <v>81.3</v>
      </c>
      <c r="AJ6">
        <v>8.4</v>
      </c>
      <c r="AK6">
        <v>35.5</v>
      </c>
      <c r="AL6">
        <v>43.8</v>
      </c>
      <c r="AM6">
        <v>29.8</v>
      </c>
      <c r="AN6">
        <v>15.7</v>
      </c>
      <c r="AO6">
        <v>8</v>
      </c>
      <c r="AP6">
        <v>7.7</v>
      </c>
      <c r="AQ6">
        <v>3.6</v>
      </c>
      <c r="AR6">
        <v>19.899999999999999</v>
      </c>
      <c r="AS6">
        <v>18.600000000000001</v>
      </c>
      <c r="AT6">
        <v>7.5</v>
      </c>
    </row>
    <row r="7" spans="1:46">
      <c r="B7" s="344" t="str">
        <f t="shared" ref="B7:B35" si="2">T6</f>
        <v>Golden State Warriors</v>
      </c>
      <c r="C7" s="352" t="str">
        <f>IF(Standings!$B7="LA Clippers","Los Angeles Clippers",B7)</f>
        <v>Golden State Warriors</v>
      </c>
      <c r="D7" s="360">
        <f t="shared" ref="D7:D35" si="3">U6</f>
        <v>71</v>
      </c>
      <c r="E7" s="360">
        <f t="shared" ref="E7:E35" si="4">V6</f>
        <v>53</v>
      </c>
      <c r="F7" s="360">
        <f t="shared" ref="F7:F35" si="5">W6</f>
        <v>18</v>
      </c>
      <c r="G7" s="345">
        <f t="shared" ref="G7:G35" si="6">X6</f>
        <v>0.746</v>
      </c>
      <c r="H7" s="272" t="str">
        <f>IF(OR(Table2[[#This Row],[Team ]]="Houston Rockets",Table2[[#This Row],[Team ]]="Golden State Warriors",Table2[[#This Row],[Team ]]="Portland Trail Blazers",Table2[[#This Row],[Team ]]="New Orleans Pelicans",Table2[[#This Row],[Team ]]="San Antonio Spurs",Table2[[#This Row],[Team ]]="Minnesota Timberwolves",Table2[[#This Row],[Team ]]="Oklahoma City Thunder",Table2[[#This Row],[Team ]]="Los Angeles Clippers",Table2[[#This Row],[Team ]]="Denver Nuggets",Table2[[#This Row],[Team ]]="Utah Jazz",Table2[[#This Row],[Team ]]="Los Angeles Lakers",Table2[[#This Row],[Team ]]="Dallas Mavericks",Table2[[#This Row],[Team ]]="Sacramento Kings",Table2[[#This Row],[Team ]]="Phoenix Suns",Table2[[#This Row],[Team ]]="Memphis Grizzlies"),"w","e")</f>
        <v>w</v>
      </c>
      <c r="I7" s="272" t="str">
        <f t="shared" ref="I7:I35" si="7">IFERROR(IFERROR(IF(VLOOKUP(C7,$M$5:$M$12,1,FALSE)=C7,"X - W"),IF(VLOOKUP(B7,$M$22:$M$29,1,FALSE)=B7,"X - E")),"")</f>
        <v>X - W</v>
      </c>
      <c r="L7" s="50" t="str">
        <f>3&amp;IF(M7&lt;&gt;VLOOKUP(M7,'Team Stats'!$V$5:$X$34,3,FALSE),"*","")</f>
        <v>3</v>
      </c>
      <c r="M7" s="260" t="str">
        <f t="array" ref="M7">INDEX(Standings!$C$6:$C$35,SMALL(IF($H$6:$H$35="w",ROW($H$6:$H$35)-ROW($G$6)+1),ROWS(M$5:M7)))</f>
        <v>Portland Trail Blazers</v>
      </c>
      <c r="N7" s="261">
        <f>VLOOKUP(M7,Standings!$C$6:$G$35,5,FALSE)</f>
        <v>0.629</v>
      </c>
      <c r="O7" s="384">
        <f t="shared" si="0"/>
        <v>12</v>
      </c>
      <c r="P7" s="269">
        <f>$E$6-VLOOKUP(M7,Standings!$C$6:$G$35,3,FALSE)</f>
        <v>12</v>
      </c>
      <c r="Q7" s="384">
        <f>VLOOKUP(M7,Standings!$C$6:$G$35,4,FALSE)-VLOOKUP($M$5,Standings!$C$6:$G$35,4,FALSE)</f>
        <v>12</v>
      </c>
      <c r="S7">
        <v>3</v>
      </c>
      <c r="T7" s="1" t="s">
        <v>699</v>
      </c>
      <c r="U7">
        <v>70</v>
      </c>
      <c r="V7">
        <v>52</v>
      </c>
      <c r="W7">
        <v>18</v>
      </c>
      <c r="X7">
        <v>0.74299999999999999</v>
      </c>
      <c r="Y7">
        <v>48.4</v>
      </c>
      <c r="Z7">
        <v>112.5</v>
      </c>
      <c r="AA7">
        <v>41.3</v>
      </c>
      <c r="AB7">
        <v>87.5</v>
      </c>
      <c r="AC7">
        <v>47.2</v>
      </c>
      <c r="AD7">
        <v>11.7</v>
      </c>
      <c r="AE7">
        <v>32.799999999999997</v>
      </c>
      <c r="AF7">
        <v>35.700000000000003</v>
      </c>
      <c r="AG7">
        <v>18.2</v>
      </c>
      <c r="AH7">
        <v>22.7</v>
      </c>
      <c r="AI7">
        <v>80.3</v>
      </c>
      <c r="AJ7">
        <v>9.9</v>
      </c>
      <c r="AK7">
        <v>33.9</v>
      </c>
      <c r="AL7">
        <v>43.8</v>
      </c>
      <c r="AM7">
        <v>24</v>
      </c>
      <c r="AN7">
        <v>13.3</v>
      </c>
      <c r="AO7">
        <v>8</v>
      </c>
      <c r="AP7">
        <v>6</v>
      </c>
      <c r="AQ7">
        <v>4.8</v>
      </c>
      <c r="AR7">
        <v>21.9</v>
      </c>
      <c r="AS7">
        <v>20.3</v>
      </c>
      <c r="AT7">
        <v>8.6</v>
      </c>
    </row>
    <row r="8" spans="1:46">
      <c r="B8" s="342" t="str">
        <f t="shared" si="2"/>
        <v>Toronto Raptors</v>
      </c>
      <c r="C8" s="353" t="str">
        <f>IF(Standings!$B8="LA Clippers","Los Angeles Clippers",B8)</f>
        <v>Toronto Raptors</v>
      </c>
      <c r="D8" s="359">
        <f t="shared" si="3"/>
        <v>70</v>
      </c>
      <c r="E8" s="359">
        <f t="shared" si="4"/>
        <v>52</v>
      </c>
      <c r="F8" s="359">
        <f t="shared" si="5"/>
        <v>18</v>
      </c>
      <c r="G8" s="343">
        <f t="shared" si="6"/>
        <v>0.74299999999999999</v>
      </c>
      <c r="H8" s="271" t="str">
        <f>IF(OR(Table2[[#This Row],[Team ]]="Houston Rockets",Table2[[#This Row],[Team ]]="Golden State Warriors",Table2[[#This Row],[Team ]]="Portland Trail Blazers",Table2[[#This Row],[Team ]]="New Orleans Pelicans",Table2[[#This Row],[Team ]]="San Antonio Spurs",Table2[[#This Row],[Team ]]="Minnesota Timberwolves",Table2[[#This Row],[Team ]]="Oklahoma City Thunder",Table2[[#This Row],[Team ]]="Los Angeles Clippers",Table2[[#This Row],[Team ]]="Denver Nuggets",Table2[[#This Row],[Team ]]="Utah Jazz",Table2[[#This Row],[Team ]]="Los Angeles Lakers",Table2[[#This Row],[Team ]]="Dallas Mavericks",Table2[[#This Row],[Team ]]="Sacramento Kings",Table2[[#This Row],[Team ]]="Phoenix Suns",Table2[[#This Row],[Team ]]="Memphis Grizzlies"),"w","e")</f>
        <v>e</v>
      </c>
      <c r="I8" s="271" t="str">
        <f t="shared" si="7"/>
        <v>X - E</v>
      </c>
      <c r="L8" s="50" t="str">
        <f>4&amp;IF(M8&lt;&gt;VLOOKUP(M8,'Team Stats'!$V$5:$X$34,3,FALSE),"*","")</f>
        <v>4</v>
      </c>
      <c r="M8" s="275" t="str">
        <f t="array" ref="M8">INDEX(Standings!$C$6:$C$35,SMALL(IF($H$6:$H$35="w",ROW($H$6:$H$35)-ROW($G$6)+1),ROWS(M$5:M8)))</f>
        <v>Oklahoma City Thunder</v>
      </c>
      <c r="N8" s="276">
        <f>VLOOKUP(M8,Standings!$C$6:$G$35,5,FALSE)</f>
        <v>0.59699999999999998</v>
      </c>
      <c r="O8" s="384">
        <f t="shared" si="0"/>
        <v>14</v>
      </c>
      <c r="P8" s="269">
        <f>$E$6-VLOOKUP(M8,Standings!$C$6:$G$35,3,FALSE)</f>
        <v>13</v>
      </c>
      <c r="Q8" s="384">
        <f>VLOOKUP(M8,Standings!$C$6:$G$35,4,FALSE)-VLOOKUP($M$5,Standings!$C$6:$G$35,4,FALSE)</f>
        <v>15</v>
      </c>
      <c r="S8">
        <v>4</v>
      </c>
      <c r="T8" s="1" t="s">
        <v>675</v>
      </c>
      <c r="U8">
        <v>70</v>
      </c>
      <c r="V8">
        <v>47</v>
      </c>
      <c r="W8">
        <v>23</v>
      </c>
      <c r="X8">
        <v>0.67100000000000004</v>
      </c>
      <c r="Y8">
        <v>48.4</v>
      </c>
      <c r="Z8">
        <v>104.3</v>
      </c>
      <c r="AA8">
        <v>38.4</v>
      </c>
      <c r="AB8">
        <v>85.4</v>
      </c>
      <c r="AC8">
        <v>45</v>
      </c>
      <c r="AD8">
        <v>11.7</v>
      </c>
      <c r="AE8">
        <v>31.3</v>
      </c>
      <c r="AF8">
        <v>37.4</v>
      </c>
      <c r="AG8">
        <v>15.8</v>
      </c>
      <c r="AH8">
        <v>20.7</v>
      </c>
      <c r="AI8">
        <v>76.599999999999994</v>
      </c>
      <c r="AJ8">
        <v>9.3000000000000007</v>
      </c>
      <c r="AK8">
        <v>35.200000000000003</v>
      </c>
      <c r="AL8">
        <v>44.5</v>
      </c>
      <c r="AM8">
        <v>22.4</v>
      </c>
      <c r="AN8">
        <v>13.9</v>
      </c>
      <c r="AO8">
        <v>7.2</v>
      </c>
      <c r="AP8">
        <v>4.7</v>
      </c>
      <c r="AQ8">
        <v>4.5</v>
      </c>
      <c r="AR8">
        <v>20.100000000000001</v>
      </c>
      <c r="AS8">
        <v>19</v>
      </c>
      <c r="AT8">
        <v>3.9</v>
      </c>
    </row>
    <row r="9" spans="1:46">
      <c r="B9" s="344" t="str">
        <f t="shared" si="2"/>
        <v>Boston Celtics</v>
      </c>
      <c r="C9" s="354" t="str">
        <f>IF(Standings!$B9="LA Clippers","Los Angeles Clippers",B9)</f>
        <v>Boston Celtics</v>
      </c>
      <c r="D9" s="360">
        <f t="shared" si="3"/>
        <v>70</v>
      </c>
      <c r="E9" s="360">
        <f t="shared" si="4"/>
        <v>47</v>
      </c>
      <c r="F9" s="360">
        <f t="shared" si="5"/>
        <v>23</v>
      </c>
      <c r="G9" s="345">
        <f t="shared" si="6"/>
        <v>0.67100000000000004</v>
      </c>
      <c r="H9" s="272" t="str">
        <f>IF(OR(Table2[[#This Row],[Team ]]="Houston Rockets",Table2[[#This Row],[Team ]]="Golden State Warriors",Table2[[#This Row],[Team ]]="Portland Trail Blazers",Table2[[#This Row],[Team ]]="New Orleans Pelicans",Table2[[#This Row],[Team ]]="San Antonio Spurs",Table2[[#This Row],[Team ]]="Minnesota Timberwolves",Table2[[#This Row],[Team ]]="Oklahoma City Thunder",Table2[[#This Row],[Team ]]="Los Angeles Clippers",Table2[[#This Row],[Team ]]="Denver Nuggets",Table2[[#This Row],[Team ]]="Utah Jazz",Table2[[#This Row],[Team ]]="Los Angeles Lakers",Table2[[#This Row],[Team ]]="Dallas Mavericks",Table2[[#This Row],[Team ]]="Sacramento Kings",Table2[[#This Row],[Team ]]="Phoenix Suns",Table2[[#This Row],[Team ]]="Memphis Grizzlies"),"w","e")</f>
        <v>e</v>
      </c>
      <c r="I9" s="272" t="str">
        <f t="shared" si="7"/>
        <v>X - E</v>
      </c>
      <c r="L9" s="50" t="str">
        <f>5&amp;IF(M9&lt;&gt;VLOOKUP(M9,'Team Stats'!$V$5:$X$34,3,FALSE),"*","")</f>
        <v>5</v>
      </c>
      <c r="M9" s="260" t="str">
        <f t="array" ref="M9">INDEX(Standings!$C$6:$C$35,SMALL(IF($H$6:$H$35="w",ROW($H$6:$H$35)-ROW($G$6)+1),ROWS(M$5:M9)))</f>
        <v>San Antonio Spurs</v>
      </c>
      <c r="N9" s="261">
        <f>VLOOKUP(M9,Standings!$C$6:$G$35,5,FALSE)</f>
        <v>0.57699999999999996</v>
      </c>
      <c r="O9" s="384">
        <f t="shared" si="0"/>
        <v>15.5</v>
      </c>
      <c r="P9" s="269">
        <f>$E$6-VLOOKUP(M9,Standings!$C$6:$G$35,3,FALSE)</f>
        <v>15</v>
      </c>
      <c r="Q9" s="384">
        <f>VLOOKUP(M9,Standings!$C$6:$G$35,4,FALSE)-VLOOKUP($M$5,Standings!$C$6:$G$35,4,FALSE)</f>
        <v>16</v>
      </c>
      <c r="S9">
        <v>5</v>
      </c>
      <c r="T9" s="1" t="s">
        <v>696</v>
      </c>
      <c r="U9">
        <v>70</v>
      </c>
      <c r="V9">
        <v>44</v>
      </c>
      <c r="W9">
        <v>26</v>
      </c>
      <c r="X9">
        <v>0.629</v>
      </c>
      <c r="Y9">
        <v>48.2</v>
      </c>
      <c r="Z9">
        <v>106</v>
      </c>
      <c r="AA9">
        <v>39.200000000000003</v>
      </c>
      <c r="AB9">
        <v>86.6</v>
      </c>
      <c r="AC9">
        <v>45.3</v>
      </c>
      <c r="AD9">
        <v>10.5</v>
      </c>
      <c r="AE9">
        <v>27.7</v>
      </c>
      <c r="AF9">
        <v>38</v>
      </c>
      <c r="AG9">
        <v>17.100000000000001</v>
      </c>
      <c r="AH9">
        <v>21.3</v>
      </c>
      <c r="AI9">
        <v>80.2</v>
      </c>
      <c r="AJ9">
        <v>10</v>
      </c>
      <c r="AK9">
        <v>35.4</v>
      </c>
      <c r="AL9">
        <v>45.4</v>
      </c>
      <c r="AM9">
        <v>19.399999999999999</v>
      </c>
      <c r="AN9">
        <v>13.7</v>
      </c>
      <c r="AO9">
        <v>6.8</v>
      </c>
      <c r="AP9">
        <v>5.0999999999999996</v>
      </c>
      <c r="AQ9">
        <v>5.0999999999999996</v>
      </c>
      <c r="AR9">
        <v>19.399999999999999</v>
      </c>
      <c r="AS9">
        <v>19.2</v>
      </c>
      <c r="AT9">
        <v>3</v>
      </c>
    </row>
    <row r="10" spans="1:46">
      <c r="B10" s="342" t="str">
        <f t="shared" si="2"/>
        <v>Portland Trail Blazers</v>
      </c>
      <c r="C10" s="353" t="str">
        <f>IF(Standings!$B10="LA Clippers","Los Angeles Clippers",B10)</f>
        <v>Portland Trail Blazers</v>
      </c>
      <c r="D10" s="359">
        <f t="shared" si="3"/>
        <v>70</v>
      </c>
      <c r="E10" s="359">
        <f t="shared" si="4"/>
        <v>44</v>
      </c>
      <c r="F10" s="359">
        <f t="shared" si="5"/>
        <v>26</v>
      </c>
      <c r="G10" s="343">
        <f t="shared" si="6"/>
        <v>0.629</v>
      </c>
      <c r="H10" s="271" t="str">
        <f>IF(OR(Table2[[#This Row],[Team ]]="Houston Rockets",Table2[[#This Row],[Team ]]="Golden State Warriors",Table2[[#This Row],[Team ]]="Portland Trail Blazers",Table2[[#This Row],[Team ]]="New Orleans Pelicans",Table2[[#This Row],[Team ]]="San Antonio Spurs",Table2[[#This Row],[Team ]]="Minnesota Timberwolves",Table2[[#This Row],[Team ]]="Oklahoma City Thunder",Table2[[#This Row],[Team ]]="Los Angeles Clippers",Table2[[#This Row],[Team ]]="Denver Nuggets",Table2[[#This Row],[Team ]]="Utah Jazz",Table2[[#This Row],[Team ]]="Los Angeles Lakers",Table2[[#This Row],[Team ]]="Dallas Mavericks",Table2[[#This Row],[Team ]]="Sacramento Kings",Table2[[#This Row],[Team ]]="Phoenix Suns",Table2[[#This Row],[Team ]]="Memphis Grizzlies"),"w","e")</f>
        <v>w</v>
      </c>
      <c r="I10" s="271" t="str">
        <f t="shared" si="7"/>
        <v>X - W</v>
      </c>
      <c r="L10" s="50" t="str">
        <f>6&amp;IF(M10&lt;&gt;VLOOKUP(M10,'Team Stats'!$V$5:$X$34,3,FALSE),"*","")</f>
        <v>6</v>
      </c>
      <c r="M10" s="275" t="str">
        <f t="array" ref="M10">INDEX(Standings!$C$6:$C$35,SMALL(IF($H$6:$H$35="w",ROW($H$6:$H$35)-ROW($G$6)+1),ROWS(M$5:M10)))</f>
        <v>New Orleans Pelicans</v>
      </c>
      <c r="N10" s="276">
        <f>VLOOKUP(M10,Standings!$C$6:$G$35,5,FALSE)</f>
        <v>0.57099999999999995</v>
      </c>
      <c r="O10" s="384">
        <f t="shared" si="0"/>
        <v>16</v>
      </c>
      <c r="P10" s="269">
        <f>$E$6-VLOOKUP(M10,Standings!$C$6:$G$35,3,FALSE)</f>
        <v>16</v>
      </c>
      <c r="Q10" s="384">
        <f>VLOOKUP(M10,Standings!$C$6:$G$35,4,FALSE)-VLOOKUP($M$5,Standings!$C$6:$G$35,4,FALSE)</f>
        <v>16</v>
      </c>
      <c r="S10">
        <v>6</v>
      </c>
      <c r="T10" s="1" t="s">
        <v>692</v>
      </c>
      <c r="U10">
        <v>72</v>
      </c>
      <c r="V10">
        <v>43</v>
      </c>
      <c r="W10">
        <v>29</v>
      </c>
      <c r="X10">
        <v>0.59699999999999998</v>
      </c>
      <c r="Y10">
        <v>48.3</v>
      </c>
      <c r="Z10">
        <v>107.4</v>
      </c>
      <c r="AA10">
        <v>40.1</v>
      </c>
      <c r="AB10">
        <v>87.9</v>
      </c>
      <c r="AC10">
        <v>45.6</v>
      </c>
      <c r="AD10">
        <v>10.6</v>
      </c>
      <c r="AE10">
        <v>29.9</v>
      </c>
      <c r="AF10">
        <v>35.299999999999997</v>
      </c>
      <c r="AG10">
        <v>16.7</v>
      </c>
      <c r="AH10">
        <v>23.4</v>
      </c>
      <c r="AI10">
        <v>71.2</v>
      </c>
      <c r="AJ10">
        <v>12.5</v>
      </c>
      <c r="AK10">
        <v>32.4</v>
      </c>
      <c r="AL10">
        <v>44.8</v>
      </c>
      <c r="AM10">
        <v>21.4</v>
      </c>
      <c r="AN10">
        <v>14.2</v>
      </c>
      <c r="AO10">
        <v>9</v>
      </c>
      <c r="AP10">
        <v>5.2</v>
      </c>
      <c r="AQ10">
        <v>4.5999999999999996</v>
      </c>
      <c r="AR10">
        <v>20.100000000000001</v>
      </c>
      <c r="AS10">
        <v>21.2</v>
      </c>
      <c r="AT10">
        <v>3.3</v>
      </c>
    </row>
    <row r="11" spans="1:46">
      <c r="B11" s="344" t="str">
        <f t="shared" si="2"/>
        <v>Oklahoma City Thunder</v>
      </c>
      <c r="C11" s="354" t="str">
        <f>IF(Standings!$B11="LA Clippers","Los Angeles Clippers",B11)</f>
        <v>Oklahoma City Thunder</v>
      </c>
      <c r="D11" s="360">
        <f t="shared" si="3"/>
        <v>72</v>
      </c>
      <c r="E11" s="360">
        <f t="shared" si="4"/>
        <v>43</v>
      </c>
      <c r="F11" s="360">
        <f t="shared" si="5"/>
        <v>29</v>
      </c>
      <c r="G11" s="345">
        <f t="shared" si="6"/>
        <v>0.59699999999999998</v>
      </c>
      <c r="H11" s="272" t="str">
        <f>IF(OR(Table2[[#This Row],[Team ]]="Houston Rockets",Table2[[#This Row],[Team ]]="Golden State Warriors",Table2[[#This Row],[Team ]]="Portland Trail Blazers",Table2[[#This Row],[Team ]]="New Orleans Pelicans",Table2[[#This Row],[Team ]]="San Antonio Spurs",Table2[[#This Row],[Team ]]="Minnesota Timberwolves",Table2[[#This Row],[Team ]]="Oklahoma City Thunder",Table2[[#This Row],[Team ]]="Los Angeles Clippers",Table2[[#This Row],[Team ]]="Denver Nuggets",Table2[[#This Row],[Team ]]="Utah Jazz",Table2[[#This Row],[Team ]]="Los Angeles Lakers",Table2[[#This Row],[Team ]]="Dallas Mavericks",Table2[[#This Row],[Team ]]="Sacramento Kings",Table2[[#This Row],[Team ]]="Phoenix Suns",Table2[[#This Row],[Team ]]="Memphis Grizzlies"),"w","e")</f>
        <v>w</v>
      </c>
      <c r="I11" s="272" t="str">
        <f t="shared" si="7"/>
        <v>X - W</v>
      </c>
      <c r="L11" s="50" t="str">
        <f>7&amp;IF(M11&lt;&gt;VLOOKUP(M11,'Team Stats'!$V$5:$X$34,3,FALSE),"*","")</f>
        <v>7</v>
      </c>
      <c r="M11" s="260" t="str">
        <f t="array" ref="M11">INDEX(Standings!$C$6:$C$35,SMALL(IF($H$6:$H$35="w",ROW($H$6:$H$35)-ROW($G$6)+1),ROWS(M$5:M11)))</f>
        <v>Utah Jazz</v>
      </c>
      <c r="N11" s="261">
        <f>VLOOKUP(M11,Standings!$C$6:$G$35,5,FALSE)</f>
        <v>0.57099999999999995</v>
      </c>
      <c r="O11" s="384">
        <f t="shared" si="0"/>
        <v>16</v>
      </c>
      <c r="P11" s="269">
        <f>$E$6-VLOOKUP(M11,Standings!$C$6:$G$35,3,FALSE)</f>
        <v>16</v>
      </c>
      <c r="Q11" s="384">
        <f>VLOOKUP(M11,Standings!$C$6:$G$35,4,FALSE)-VLOOKUP($M$5,Standings!$C$6:$G$35,4,FALSE)</f>
        <v>16</v>
      </c>
      <c r="S11">
        <v>7</v>
      </c>
      <c r="T11" s="1" t="s">
        <v>817</v>
      </c>
      <c r="U11">
        <v>70</v>
      </c>
      <c r="V11">
        <v>41</v>
      </c>
      <c r="W11">
        <v>29</v>
      </c>
      <c r="X11">
        <v>0.58599999999999997</v>
      </c>
      <c r="Y11">
        <v>48.1</v>
      </c>
      <c r="Z11">
        <v>110.5</v>
      </c>
      <c r="AA11">
        <v>40.200000000000003</v>
      </c>
      <c r="AB11">
        <v>84.5</v>
      </c>
      <c r="AC11">
        <v>47.6</v>
      </c>
      <c r="AD11">
        <v>12</v>
      </c>
      <c r="AE11">
        <v>32.700000000000003</v>
      </c>
      <c r="AF11">
        <v>36.799999999999997</v>
      </c>
      <c r="AG11">
        <v>18</v>
      </c>
      <c r="AH11">
        <v>23</v>
      </c>
      <c r="AI11">
        <v>78</v>
      </c>
      <c r="AJ11">
        <v>8.3000000000000007</v>
      </c>
      <c r="AK11">
        <v>33.6</v>
      </c>
      <c r="AL11">
        <v>41.9</v>
      </c>
      <c r="AM11">
        <v>23.5</v>
      </c>
      <c r="AN11">
        <v>14</v>
      </c>
      <c r="AO11">
        <v>7</v>
      </c>
      <c r="AP11">
        <v>4</v>
      </c>
      <c r="AQ11">
        <v>4.0999999999999996</v>
      </c>
      <c r="AR11">
        <v>19</v>
      </c>
      <c r="AS11">
        <v>20.6</v>
      </c>
      <c r="AT11">
        <v>0.3</v>
      </c>
    </row>
    <row r="12" spans="1:46" ht="15.75" thickBot="1">
      <c r="B12" s="342" t="str">
        <f t="shared" si="2"/>
        <v>Cleveland Cavaliers</v>
      </c>
      <c r="C12" s="353" t="str">
        <f>IF(Standings!$B12="LA Clippers","Los Angeles Clippers",B12)</f>
        <v>Cleveland Cavaliers</v>
      </c>
      <c r="D12" s="359">
        <f t="shared" si="3"/>
        <v>70</v>
      </c>
      <c r="E12" s="359">
        <f t="shared" si="4"/>
        <v>41</v>
      </c>
      <c r="F12" s="359">
        <f t="shared" si="5"/>
        <v>29</v>
      </c>
      <c r="G12" s="343">
        <f t="shared" si="6"/>
        <v>0.58599999999999997</v>
      </c>
      <c r="H12" s="271" t="str">
        <f>IF(OR(Table2[[#This Row],[Team ]]="Houston Rockets",Table2[[#This Row],[Team ]]="Golden State Warriors",Table2[[#This Row],[Team ]]="Portland Trail Blazers",Table2[[#This Row],[Team ]]="New Orleans Pelicans",Table2[[#This Row],[Team ]]="San Antonio Spurs",Table2[[#This Row],[Team ]]="Minnesota Timberwolves",Table2[[#This Row],[Team ]]="Oklahoma City Thunder",Table2[[#This Row],[Team ]]="Los Angeles Clippers",Table2[[#This Row],[Team ]]="Denver Nuggets",Table2[[#This Row],[Team ]]="Utah Jazz",Table2[[#This Row],[Team ]]="Los Angeles Lakers",Table2[[#This Row],[Team ]]="Dallas Mavericks",Table2[[#This Row],[Team ]]="Sacramento Kings",Table2[[#This Row],[Team ]]="Phoenix Suns",Table2[[#This Row],[Team ]]="Memphis Grizzlies"),"w","e")</f>
        <v>e</v>
      </c>
      <c r="I12" s="271" t="str">
        <f t="shared" si="7"/>
        <v>X - E</v>
      </c>
      <c r="L12" s="50" t="str">
        <f>8&amp;IF(M12&lt;&gt;VLOOKUP(M12,'Team Stats'!$V$5:$X$34,3,FALSE),"*","")</f>
        <v>8</v>
      </c>
      <c r="M12" s="357" t="str">
        <f t="array" ref="M12">INDEX(Standings!$C$6:$C$35,SMALL(IF($H$6:$H$35="w",ROW($H$6:$H$35)-ROW($G$6)+1),ROWS(M$5:M12)))</f>
        <v>Minnesota Timberwolves</v>
      </c>
      <c r="N12" s="358">
        <f>VLOOKUP(M12,Standings!$C$6:$G$35,5,FALSE)</f>
        <v>0.56299999999999994</v>
      </c>
      <c r="O12" s="385">
        <f t="shared" si="0"/>
        <v>16.5</v>
      </c>
      <c r="P12" s="270">
        <f>$E$6-VLOOKUP(M12,Standings!$C$6:$G$35,3,FALSE)</f>
        <v>16</v>
      </c>
      <c r="Q12" s="385">
        <f>VLOOKUP(M12,Standings!$C$6:$G$35,4,FALSE)-VLOOKUP($M$5,Standings!$C$6:$G$35,4,FALSE)</f>
        <v>17</v>
      </c>
      <c r="S12">
        <v>8</v>
      </c>
      <c r="T12" s="1" t="s">
        <v>683</v>
      </c>
      <c r="U12">
        <v>71</v>
      </c>
      <c r="V12">
        <v>41</v>
      </c>
      <c r="W12">
        <v>30</v>
      </c>
      <c r="X12">
        <v>0.57699999999999996</v>
      </c>
      <c r="Y12">
        <v>48.1</v>
      </c>
      <c r="Z12">
        <v>105.8</v>
      </c>
      <c r="AA12">
        <v>40.799999999999997</v>
      </c>
      <c r="AB12">
        <v>86</v>
      </c>
      <c r="AC12">
        <v>47.4</v>
      </c>
      <c r="AD12">
        <v>9</v>
      </c>
      <c r="AE12">
        <v>24.4</v>
      </c>
      <c r="AF12">
        <v>37</v>
      </c>
      <c r="AG12">
        <v>15.2</v>
      </c>
      <c r="AH12">
        <v>19.600000000000001</v>
      </c>
      <c r="AI12">
        <v>77.7</v>
      </c>
      <c r="AJ12">
        <v>9.4</v>
      </c>
      <c r="AK12">
        <v>32.9</v>
      </c>
      <c r="AL12">
        <v>42.3</v>
      </c>
      <c r="AM12">
        <v>22</v>
      </c>
      <c r="AN12">
        <v>13.4</v>
      </c>
      <c r="AO12">
        <v>8.6999999999999993</v>
      </c>
      <c r="AP12">
        <v>4.2</v>
      </c>
      <c r="AQ12">
        <v>5.0999999999999996</v>
      </c>
      <c r="AR12">
        <v>18.899999999999999</v>
      </c>
      <c r="AS12">
        <v>18.600000000000001</v>
      </c>
      <c r="AT12">
        <v>1.5</v>
      </c>
    </row>
    <row r="13" spans="1:46">
      <c r="B13" s="344" t="str">
        <f t="shared" si="2"/>
        <v>Indiana Pacers</v>
      </c>
      <c r="C13" s="354" t="str">
        <f>IF(Standings!$B13="LA Clippers","Los Angeles Clippers",B13)</f>
        <v>Indiana Pacers</v>
      </c>
      <c r="D13" s="360">
        <f t="shared" si="3"/>
        <v>71</v>
      </c>
      <c r="E13" s="360">
        <f t="shared" si="4"/>
        <v>41</v>
      </c>
      <c r="F13" s="360">
        <f t="shared" si="5"/>
        <v>30</v>
      </c>
      <c r="G13" s="345">
        <f t="shared" si="6"/>
        <v>0.57699999999999996</v>
      </c>
      <c r="H13" s="272" t="str">
        <f>IF(OR(Table2[[#This Row],[Team ]]="Houston Rockets",Table2[[#This Row],[Team ]]="Golden State Warriors",Table2[[#This Row],[Team ]]="Portland Trail Blazers",Table2[[#This Row],[Team ]]="New Orleans Pelicans",Table2[[#This Row],[Team ]]="San Antonio Spurs",Table2[[#This Row],[Team ]]="Minnesota Timberwolves",Table2[[#This Row],[Team ]]="Oklahoma City Thunder",Table2[[#This Row],[Team ]]="Los Angeles Clippers",Table2[[#This Row],[Team ]]="Denver Nuggets",Table2[[#This Row],[Team ]]="Utah Jazz",Table2[[#This Row],[Team ]]="Los Angeles Lakers",Table2[[#This Row],[Team ]]="Dallas Mavericks",Table2[[#This Row],[Team ]]="Sacramento Kings",Table2[[#This Row],[Team ]]="Phoenix Suns",Table2[[#This Row],[Team ]]="Memphis Grizzlies"),"w","e")</f>
        <v>e</v>
      </c>
      <c r="I13" s="272" t="str">
        <f t="shared" si="7"/>
        <v>X - E</v>
      </c>
      <c r="L13">
        <v>9</v>
      </c>
      <c r="M13" s="355" t="str">
        <f t="array" ref="M13">INDEX(Standings!$C$6:$C$35,SMALL(IF($H$6:$H$35="w",ROW($H$6:$H$35)-ROW($G$6)+1),ROWS(M$5:M13)))</f>
        <v>Los Angeles Clippers</v>
      </c>
      <c r="N13" s="356">
        <f>VLOOKUP(M13,Standings!$C$6:$G$35,5,FALSE)</f>
        <v>0.53600000000000003</v>
      </c>
      <c r="O13" s="386">
        <f t="shared" si="0"/>
        <v>18.5</v>
      </c>
      <c r="P13" s="269">
        <f>$E$6-VLOOKUP(M13,Standings!$C$6:$G$35,3,FALSE)</f>
        <v>19</v>
      </c>
      <c r="Q13" s="384">
        <f>VLOOKUP(M13,Standings!$C$6:$G$35,4,FALSE)-VLOOKUP($M$5,Standings!$C$6:$G$35,4,FALSE)</f>
        <v>18</v>
      </c>
      <c r="S13">
        <v>8</v>
      </c>
      <c r="T13" s="1" t="s">
        <v>698</v>
      </c>
      <c r="U13">
        <v>71</v>
      </c>
      <c r="V13">
        <v>41</v>
      </c>
      <c r="W13">
        <v>30</v>
      </c>
      <c r="X13">
        <v>0.57699999999999996</v>
      </c>
      <c r="Y13">
        <v>48</v>
      </c>
      <c r="Z13">
        <v>102.2</v>
      </c>
      <c r="AA13">
        <v>38.9</v>
      </c>
      <c r="AB13">
        <v>85.1</v>
      </c>
      <c r="AC13">
        <v>45.7</v>
      </c>
      <c r="AD13">
        <v>8.6</v>
      </c>
      <c r="AE13">
        <v>24.3</v>
      </c>
      <c r="AF13">
        <v>35.4</v>
      </c>
      <c r="AG13">
        <v>15.8</v>
      </c>
      <c r="AH13">
        <v>20.3</v>
      </c>
      <c r="AI13">
        <v>77.7</v>
      </c>
      <c r="AJ13">
        <v>10.199999999999999</v>
      </c>
      <c r="AK13">
        <v>34.1</v>
      </c>
      <c r="AL13">
        <v>44.3</v>
      </c>
      <c r="AM13">
        <v>23</v>
      </c>
      <c r="AN13">
        <v>13.3</v>
      </c>
      <c r="AO13">
        <v>7.5</v>
      </c>
      <c r="AP13">
        <v>5.6</v>
      </c>
      <c r="AQ13">
        <v>3.9</v>
      </c>
      <c r="AR13">
        <v>17</v>
      </c>
      <c r="AS13">
        <v>19.5</v>
      </c>
      <c r="AT13">
        <v>3.2</v>
      </c>
    </row>
    <row r="14" spans="1:46">
      <c r="B14" s="342" t="str">
        <f t="shared" si="2"/>
        <v>San Antonio Spurs</v>
      </c>
      <c r="C14" s="353" t="str">
        <f>IF(Standings!$B14="LA Clippers","Los Angeles Clippers",B14)</f>
        <v>San Antonio Spurs</v>
      </c>
      <c r="D14" s="359">
        <f t="shared" si="3"/>
        <v>71</v>
      </c>
      <c r="E14" s="359">
        <f t="shared" si="4"/>
        <v>41</v>
      </c>
      <c r="F14" s="359">
        <f t="shared" si="5"/>
        <v>30</v>
      </c>
      <c r="G14" s="343">
        <f t="shared" si="6"/>
        <v>0.57699999999999996</v>
      </c>
      <c r="H14" s="271" t="str">
        <f>IF(OR(Table2[[#This Row],[Team ]]="Houston Rockets",Table2[[#This Row],[Team ]]="Golden State Warriors",Table2[[#This Row],[Team ]]="Portland Trail Blazers",Table2[[#This Row],[Team ]]="New Orleans Pelicans",Table2[[#This Row],[Team ]]="San Antonio Spurs",Table2[[#This Row],[Team ]]="Minnesota Timberwolves",Table2[[#This Row],[Team ]]="Oklahoma City Thunder",Table2[[#This Row],[Team ]]="Los Angeles Clippers",Table2[[#This Row],[Team ]]="Denver Nuggets",Table2[[#This Row],[Team ]]="Utah Jazz",Table2[[#This Row],[Team ]]="Los Angeles Lakers",Table2[[#This Row],[Team ]]="Dallas Mavericks",Table2[[#This Row],[Team ]]="Sacramento Kings",Table2[[#This Row],[Team ]]="Phoenix Suns",Table2[[#This Row],[Team ]]="Memphis Grizzlies"),"w","e")</f>
        <v>w</v>
      </c>
      <c r="I14" s="271" t="str">
        <f t="shared" si="7"/>
        <v>X - W</v>
      </c>
      <c r="L14">
        <v>10</v>
      </c>
      <c r="M14" s="275" t="str">
        <f t="array" ref="M14">INDEX(Standings!$C$6:$C$35,SMALL(IF($H$6:$H$35="w",ROW($H$6:$H$35)-ROW($G$6)+1),ROWS(M$5:M14)))</f>
        <v>Denver Nuggets</v>
      </c>
      <c r="N14" s="276">
        <f>VLOOKUP(M14,Standings!$C$6:$G$35,5,FALSE)</f>
        <v>0.53500000000000003</v>
      </c>
      <c r="O14" s="386">
        <f t="shared" si="0"/>
        <v>18.5</v>
      </c>
      <c r="P14" s="269">
        <f>$E$6-VLOOKUP(M14,Standings!$C$6:$G$35,3,FALSE)</f>
        <v>18</v>
      </c>
      <c r="Q14" s="384">
        <f>VLOOKUP(M14,Standings!$C$6:$G$35,4,FALSE)-VLOOKUP($M$5,Standings!$C$6:$G$35,4,FALSE)</f>
        <v>19</v>
      </c>
      <c r="S14">
        <v>10</v>
      </c>
      <c r="T14" s="1" t="s">
        <v>690</v>
      </c>
      <c r="U14">
        <v>70</v>
      </c>
      <c r="V14">
        <v>40</v>
      </c>
      <c r="W14">
        <v>30</v>
      </c>
      <c r="X14">
        <v>0.57099999999999995</v>
      </c>
      <c r="Y14">
        <v>48.8</v>
      </c>
      <c r="Z14">
        <v>111.7</v>
      </c>
      <c r="AA14">
        <v>42.4</v>
      </c>
      <c r="AB14">
        <v>88</v>
      </c>
      <c r="AC14">
        <v>48.2</v>
      </c>
      <c r="AD14">
        <v>10.3</v>
      </c>
      <c r="AE14">
        <v>28.4</v>
      </c>
      <c r="AF14">
        <v>36.299999999999997</v>
      </c>
      <c r="AG14">
        <v>16.5</v>
      </c>
      <c r="AH14">
        <v>21.4</v>
      </c>
      <c r="AI14">
        <v>77.099999999999994</v>
      </c>
      <c r="AJ14">
        <v>8.6</v>
      </c>
      <c r="AK14">
        <v>35.4</v>
      </c>
      <c r="AL14">
        <v>43.9</v>
      </c>
      <c r="AM14">
        <v>26.5</v>
      </c>
      <c r="AN14">
        <v>15</v>
      </c>
      <c r="AO14">
        <v>7.7</v>
      </c>
      <c r="AP14">
        <v>5.9</v>
      </c>
      <c r="AQ14">
        <v>4.3</v>
      </c>
      <c r="AR14">
        <v>19.3</v>
      </c>
      <c r="AS14">
        <v>20.7</v>
      </c>
      <c r="AT14">
        <v>0.5</v>
      </c>
    </row>
    <row r="15" spans="1:46">
      <c r="B15" s="344" t="str">
        <f t="shared" si="2"/>
        <v>New Orleans Pelicans</v>
      </c>
      <c r="C15" s="354" t="str">
        <f>IF(Standings!$B15="LA Clippers","Los Angeles Clippers",B15)</f>
        <v>New Orleans Pelicans</v>
      </c>
      <c r="D15" s="360">
        <f t="shared" si="3"/>
        <v>70</v>
      </c>
      <c r="E15" s="360">
        <f t="shared" si="4"/>
        <v>40</v>
      </c>
      <c r="F15" s="360">
        <f t="shared" si="5"/>
        <v>30</v>
      </c>
      <c r="G15" s="345">
        <f t="shared" si="6"/>
        <v>0.57099999999999995</v>
      </c>
      <c r="H15" s="272" t="str">
        <f>IF(OR(Table2[[#This Row],[Team ]]="Houston Rockets",Table2[[#This Row],[Team ]]="Golden State Warriors",Table2[[#This Row],[Team ]]="Portland Trail Blazers",Table2[[#This Row],[Team ]]="New Orleans Pelicans",Table2[[#This Row],[Team ]]="San Antonio Spurs",Table2[[#This Row],[Team ]]="Minnesota Timberwolves",Table2[[#This Row],[Team ]]="Oklahoma City Thunder",Table2[[#This Row],[Team ]]="Los Angeles Clippers",Table2[[#This Row],[Team ]]="Denver Nuggets",Table2[[#This Row],[Team ]]="Utah Jazz",Table2[[#This Row],[Team ]]="Los Angeles Lakers",Table2[[#This Row],[Team ]]="Dallas Mavericks",Table2[[#This Row],[Team ]]="Sacramento Kings",Table2[[#This Row],[Team ]]="Phoenix Suns",Table2[[#This Row],[Team ]]="Memphis Grizzlies"),"w","e")</f>
        <v>w</v>
      </c>
      <c r="I15" s="272" t="str">
        <f t="shared" si="7"/>
        <v>X - W</v>
      </c>
      <c r="L15">
        <v>11</v>
      </c>
      <c r="M15" s="260" t="str">
        <f t="array" ref="M15">INDEX(Standings!$C$6:$C$35,SMALL(IF($H$6:$H$35="w",ROW($H$6:$H$35)-ROW($G$6)+1),ROWS(M$5:M15)))</f>
        <v>Los Angeles Lakers</v>
      </c>
      <c r="N15" s="261">
        <f>VLOOKUP(M15,Standings!$C$6:$G$35,5,FALSE)</f>
        <v>0.443</v>
      </c>
      <c r="O15" s="386">
        <f t="shared" si="0"/>
        <v>25</v>
      </c>
      <c r="P15" s="269">
        <f>$E$6-VLOOKUP(M15,Standings!$C$6:$G$35,3,FALSE)</f>
        <v>25</v>
      </c>
      <c r="Q15" s="384">
        <f>VLOOKUP(M15,Standings!$C$6:$G$35,4,FALSE)-VLOOKUP($M$5,Standings!$C$6:$G$35,4,FALSE)</f>
        <v>25</v>
      </c>
      <c r="S15">
        <v>10</v>
      </c>
      <c r="T15" s="1" t="s">
        <v>700</v>
      </c>
      <c r="U15">
        <v>70</v>
      </c>
      <c r="V15">
        <v>40</v>
      </c>
      <c r="W15">
        <v>30</v>
      </c>
      <c r="X15">
        <v>0.57099999999999995</v>
      </c>
      <c r="Y15">
        <v>48.1</v>
      </c>
      <c r="Z15">
        <v>103.1</v>
      </c>
      <c r="AA15">
        <v>37.799999999999997</v>
      </c>
      <c r="AB15">
        <v>82.6</v>
      </c>
      <c r="AC15">
        <v>45.8</v>
      </c>
      <c r="AD15">
        <v>10.8</v>
      </c>
      <c r="AE15">
        <v>29.4</v>
      </c>
      <c r="AF15">
        <v>36.700000000000003</v>
      </c>
      <c r="AG15">
        <v>16.7</v>
      </c>
      <c r="AH15">
        <v>21.3</v>
      </c>
      <c r="AI15">
        <v>78.5</v>
      </c>
      <c r="AJ15">
        <v>8.9</v>
      </c>
      <c r="AK15">
        <v>34.1</v>
      </c>
      <c r="AL15">
        <v>43</v>
      </c>
      <c r="AM15">
        <v>21.8</v>
      </c>
      <c r="AN15">
        <v>14.7</v>
      </c>
      <c r="AO15">
        <v>8.6999999999999993</v>
      </c>
      <c r="AP15">
        <v>5</v>
      </c>
      <c r="AQ15">
        <v>4.5999999999999996</v>
      </c>
      <c r="AR15">
        <v>19.5</v>
      </c>
      <c r="AS15">
        <v>20.5</v>
      </c>
      <c r="AT15">
        <v>3.3</v>
      </c>
    </row>
    <row r="16" spans="1:46">
      <c r="B16" s="342" t="str">
        <f t="shared" si="2"/>
        <v>Utah Jazz</v>
      </c>
      <c r="C16" s="353" t="str">
        <f>IF(Standings!$B16="LA Clippers","Los Angeles Clippers",B16)</f>
        <v>Utah Jazz</v>
      </c>
      <c r="D16" s="359">
        <f t="shared" si="3"/>
        <v>70</v>
      </c>
      <c r="E16" s="359">
        <f t="shared" si="4"/>
        <v>40</v>
      </c>
      <c r="F16" s="359">
        <f t="shared" si="5"/>
        <v>30</v>
      </c>
      <c r="G16" s="343">
        <f t="shared" si="6"/>
        <v>0.57099999999999995</v>
      </c>
      <c r="H16" s="271" t="str">
        <f>IF(OR(Table2[[#This Row],[Team ]]="Houston Rockets",Table2[[#This Row],[Team ]]="Golden State Warriors",Table2[[#This Row],[Team ]]="Portland Trail Blazers",Table2[[#This Row],[Team ]]="New Orleans Pelicans",Table2[[#This Row],[Team ]]="San Antonio Spurs",Table2[[#This Row],[Team ]]="Minnesota Timberwolves",Table2[[#This Row],[Team ]]="Oklahoma City Thunder",Table2[[#This Row],[Team ]]="Los Angeles Clippers",Table2[[#This Row],[Team ]]="Denver Nuggets",Table2[[#This Row],[Team ]]="Utah Jazz",Table2[[#This Row],[Team ]]="Los Angeles Lakers",Table2[[#This Row],[Team ]]="Dallas Mavericks",Table2[[#This Row],[Team ]]="Sacramento Kings",Table2[[#This Row],[Team ]]="Phoenix Suns",Table2[[#This Row],[Team ]]="Memphis Grizzlies"),"w","e")</f>
        <v>w</v>
      </c>
      <c r="I16" s="271" t="str">
        <f t="shared" si="7"/>
        <v>X - W</v>
      </c>
      <c r="L16">
        <v>12</v>
      </c>
      <c r="M16" s="275" t="str">
        <f t="array" ref="M16">INDEX(Standings!$C$6:$C$35,SMALL(IF($H$6:$H$35="w",ROW($H$6:$H$35)-ROW($G$6)+1),ROWS(M$5:M16)))</f>
        <v>Sacramento Kings</v>
      </c>
      <c r="N16" s="276">
        <f>VLOOKUP(M16,Standings!$C$6:$G$35,5,FALSE)</f>
        <v>0.31900000000000001</v>
      </c>
      <c r="O16" s="386">
        <f t="shared" si="0"/>
        <v>34</v>
      </c>
      <c r="P16" s="269">
        <f>$E$6-VLOOKUP(M16,Standings!$C$6:$G$35,3,FALSE)</f>
        <v>33</v>
      </c>
      <c r="Q16" s="384">
        <f>VLOOKUP(M16,Standings!$C$6:$G$35,4,FALSE)-VLOOKUP($M$5,Standings!$C$6:$G$35,4,FALSE)</f>
        <v>35</v>
      </c>
      <c r="S16">
        <v>10</v>
      </c>
      <c r="T16" s="1" t="s">
        <v>701</v>
      </c>
      <c r="U16">
        <v>70</v>
      </c>
      <c r="V16">
        <v>40</v>
      </c>
      <c r="W16">
        <v>30</v>
      </c>
      <c r="X16">
        <v>0.57099999999999995</v>
      </c>
      <c r="Y16">
        <v>48.5</v>
      </c>
      <c r="Z16">
        <v>107.5</v>
      </c>
      <c r="AA16">
        <v>40.200000000000003</v>
      </c>
      <c r="AB16">
        <v>85.6</v>
      </c>
      <c r="AC16">
        <v>46.9</v>
      </c>
      <c r="AD16">
        <v>9.8000000000000007</v>
      </c>
      <c r="AE16">
        <v>26.3</v>
      </c>
      <c r="AF16">
        <v>37.4</v>
      </c>
      <c r="AG16">
        <v>17.3</v>
      </c>
      <c r="AH16">
        <v>22.4</v>
      </c>
      <c r="AI16">
        <v>77.400000000000006</v>
      </c>
      <c r="AJ16">
        <v>10</v>
      </c>
      <c r="AK16">
        <v>33</v>
      </c>
      <c r="AL16">
        <v>43</v>
      </c>
      <c r="AM16">
        <v>24.9</v>
      </c>
      <c r="AN16">
        <v>14.5</v>
      </c>
      <c r="AO16">
        <v>8</v>
      </c>
      <c r="AP16">
        <v>4.3</v>
      </c>
      <c r="AQ16">
        <v>4.7</v>
      </c>
      <c r="AR16">
        <v>21.5</v>
      </c>
      <c r="AS16">
        <v>20.399999999999999</v>
      </c>
      <c r="AT16">
        <v>1.4</v>
      </c>
    </row>
    <row r="17" spans="2:47">
      <c r="B17" s="344" t="str">
        <f t="shared" si="2"/>
        <v>Washington Wizards</v>
      </c>
      <c r="C17" s="354" t="str">
        <f>IF(Standings!$B17="LA Clippers","Los Angeles Clippers",B17)</f>
        <v>Washington Wizards</v>
      </c>
      <c r="D17" s="360">
        <f t="shared" si="3"/>
        <v>70</v>
      </c>
      <c r="E17" s="360">
        <f t="shared" si="4"/>
        <v>40</v>
      </c>
      <c r="F17" s="360">
        <f t="shared" si="5"/>
        <v>30</v>
      </c>
      <c r="G17" s="345">
        <f t="shared" si="6"/>
        <v>0.57099999999999995</v>
      </c>
      <c r="H17" s="272" t="str">
        <f>IF(OR(Table2[[#This Row],[Team ]]="Houston Rockets",Table2[[#This Row],[Team ]]="Golden State Warriors",Table2[[#This Row],[Team ]]="Portland Trail Blazers",Table2[[#This Row],[Team ]]="New Orleans Pelicans",Table2[[#This Row],[Team ]]="San Antonio Spurs",Table2[[#This Row],[Team ]]="Minnesota Timberwolves",Table2[[#This Row],[Team ]]="Oklahoma City Thunder",Table2[[#This Row],[Team ]]="Los Angeles Clippers",Table2[[#This Row],[Team ]]="Denver Nuggets",Table2[[#This Row],[Team ]]="Utah Jazz",Table2[[#This Row],[Team ]]="Los Angeles Lakers",Table2[[#This Row],[Team ]]="Dallas Mavericks",Table2[[#This Row],[Team ]]="Sacramento Kings",Table2[[#This Row],[Team ]]="Phoenix Suns",Table2[[#This Row],[Team ]]="Memphis Grizzlies"),"w","e")</f>
        <v>e</v>
      </c>
      <c r="I17" s="272" t="str">
        <f t="shared" si="7"/>
        <v>X - E</v>
      </c>
      <c r="L17">
        <v>13</v>
      </c>
      <c r="M17" s="260" t="str">
        <f t="array" ref="M17">INDEX(Standings!$C$6:$C$35,SMALL(IF($H$6:$H$35="w",ROW($H$6:$H$35)-ROW($G$6)+1),ROWS(M$5:M17)))</f>
        <v>Dallas Mavericks</v>
      </c>
      <c r="N17" s="261">
        <f>VLOOKUP(M17,Standings!$C$6:$G$35,5,FALSE)</f>
        <v>0.314</v>
      </c>
      <c r="O17" s="386">
        <f t="shared" si="0"/>
        <v>34</v>
      </c>
      <c r="P17" s="269">
        <f>$E$6-VLOOKUP(M17,Standings!$C$6:$G$35,3,FALSE)</f>
        <v>34</v>
      </c>
      <c r="Q17" s="384">
        <f>VLOOKUP(M17,Standings!$C$6:$G$35,4,FALSE)-VLOOKUP($M$5,Standings!$C$6:$G$35,4,FALSE)</f>
        <v>34</v>
      </c>
      <c r="S17">
        <v>13</v>
      </c>
      <c r="T17" s="1" t="s">
        <v>694</v>
      </c>
      <c r="U17">
        <v>69</v>
      </c>
      <c r="V17">
        <v>39</v>
      </c>
      <c r="W17">
        <v>30</v>
      </c>
      <c r="X17">
        <v>0.56499999999999995</v>
      </c>
      <c r="Y17">
        <v>48.3</v>
      </c>
      <c r="Z17">
        <v>108.1</v>
      </c>
      <c r="AA17">
        <v>39.9</v>
      </c>
      <c r="AB17">
        <v>85.4</v>
      </c>
      <c r="AC17">
        <v>46.7</v>
      </c>
      <c r="AD17">
        <v>10.8</v>
      </c>
      <c r="AE17">
        <v>29.3</v>
      </c>
      <c r="AF17">
        <v>36.700000000000003</v>
      </c>
      <c r="AG17">
        <v>17.5</v>
      </c>
      <c r="AH17">
        <v>23.1</v>
      </c>
      <c r="AI17">
        <v>75.8</v>
      </c>
      <c r="AJ17">
        <v>11.1</v>
      </c>
      <c r="AK17">
        <v>35.700000000000003</v>
      </c>
      <c r="AL17">
        <v>46.8</v>
      </c>
      <c r="AM17">
        <v>26</v>
      </c>
      <c r="AN17">
        <v>17</v>
      </c>
      <c r="AO17">
        <v>8</v>
      </c>
      <c r="AP17">
        <v>5</v>
      </c>
      <c r="AQ17">
        <v>5.2</v>
      </c>
      <c r="AR17">
        <v>22.3</v>
      </c>
      <c r="AS17">
        <v>20.8</v>
      </c>
      <c r="AT17">
        <v>2.5</v>
      </c>
    </row>
    <row r="18" spans="2:47">
      <c r="B18" s="342" t="str">
        <f t="shared" si="2"/>
        <v>Philadelphia 76ers</v>
      </c>
      <c r="C18" s="353" t="str">
        <f>IF(Standings!$B18="LA Clippers","Los Angeles Clippers",B18)</f>
        <v>Philadelphia 76ers</v>
      </c>
      <c r="D18" s="359">
        <f t="shared" si="3"/>
        <v>69</v>
      </c>
      <c r="E18" s="359">
        <f t="shared" si="4"/>
        <v>39</v>
      </c>
      <c r="F18" s="359">
        <f t="shared" si="5"/>
        <v>30</v>
      </c>
      <c r="G18" s="343">
        <f t="shared" si="6"/>
        <v>0.56499999999999995</v>
      </c>
      <c r="H18" s="271" t="str">
        <f>IF(OR(Table2[[#This Row],[Team ]]="Houston Rockets",Table2[[#This Row],[Team ]]="Golden State Warriors",Table2[[#This Row],[Team ]]="Portland Trail Blazers",Table2[[#This Row],[Team ]]="New Orleans Pelicans",Table2[[#This Row],[Team ]]="San Antonio Spurs",Table2[[#This Row],[Team ]]="Minnesota Timberwolves",Table2[[#This Row],[Team ]]="Oklahoma City Thunder",Table2[[#This Row],[Team ]]="Los Angeles Clippers",Table2[[#This Row],[Team ]]="Denver Nuggets",Table2[[#This Row],[Team ]]="Utah Jazz",Table2[[#This Row],[Team ]]="Los Angeles Lakers",Table2[[#This Row],[Team ]]="Dallas Mavericks",Table2[[#This Row],[Team ]]="Sacramento Kings",Table2[[#This Row],[Team ]]="Phoenix Suns",Table2[[#This Row],[Team ]]="Memphis Grizzlies"),"w","e")</f>
        <v>e</v>
      </c>
      <c r="I18" s="271" t="str">
        <f t="shared" si="7"/>
        <v>X - E</v>
      </c>
      <c r="L18">
        <v>14</v>
      </c>
      <c r="M18" s="275" t="str">
        <f t="array" ref="M18">INDEX(Standings!$C$6:$C$35,SMALL(IF($H$6:$H$35="w",ROW($H$6:$H$35)-ROW($G$6)+1),ROWS(M$5:M18)))</f>
        <v>Memphis Grizzlies</v>
      </c>
      <c r="N18" s="276">
        <f>VLOOKUP(M18,Standings!$C$6:$G$35,5,FALSE)</f>
        <v>0.27100000000000002</v>
      </c>
      <c r="O18" s="386">
        <f t="shared" si="0"/>
        <v>37</v>
      </c>
      <c r="P18" s="269">
        <f>$E$6-VLOOKUP(M18,Standings!$C$6:$G$35,3,FALSE)</f>
        <v>37</v>
      </c>
      <c r="Q18" s="384">
        <f>VLOOKUP(M18,Standings!$C$6:$G$35,4,FALSE)-VLOOKUP($M$5,Standings!$C$6:$G$35,4,FALSE)</f>
        <v>37</v>
      </c>
      <c r="S18">
        <v>14</v>
      </c>
      <c r="T18" s="1" t="s">
        <v>689</v>
      </c>
      <c r="U18">
        <v>71</v>
      </c>
      <c r="V18">
        <v>40</v>
      </c>
      <c r="W18">
        <v>31</v>
      </c>
      <c r="X18">
        <v>0.56299999999999994</v>
      </c>
      <c r="Y18">
        <v>48.3</v>
      </c>
      <c r="Z18">
        <v>109.8</v>
      </c>
      <c r="AA18">
        <v>41.2</v>
      </c>
      <c r="AB18">
        <v>85.9</v>
      </c>
      <c r="AC18">
        <v>48</v>
      </c>
      <c r="AD18">
        <v>8</v>
      </c>
      <c r="AE18">
        <v>22.2</v>
      </c>
      <c r="AF18">
        <v>35.9</v>
      </c>
      <c r="AG18">
        <v>19.399999999999999</v>
      </c>
      <c r="AH18">
        <v>24.2</v>
      </c>
      <c r="AI18">
        <v>80.2</v>
      </c>
      <c r="AJ18">
        <v>10.4</v>
      </c>
      <c r="AK18">
        <v>31.4</v>
      </c>
      <c r="AL18">
        <v>41.8</v>
      </c>
      <c r="AM18">
        <v>22.7</v>
      </c>
      <c r="AN18">
        <v>12.5</v>
      </c>
      <c r="AO18">
        <v>8.4</v>
      </c>
      <c r="AP18">
        <v>4.2</v>
      </c>
      <c r="AQ18">
        <v>4.7</v>
      </c>
      <c r="AR18">
        <v>18.100000000000001</v>
      </c>
      <c r="AS18">
        <v>20.7</v>
      </c>
      <c r="AT18">
        <v>2.2000000000000002</v>
      </c>
    </row>
    <row r="19" spans="2:47">
      <c r="B19" s="344" t="str">
        <f t="shared" si="2"/>
        <v>Minnesota Timberwolves</v>
      </c>
      <c r="C19" s="354" t="str">
        <f>IF(Standings!$B19="LA Clippers","Los Angeles Clippers",B19)</f>
        <v>Minnesota Timberwolves</v>
      </c>
      <c r="D19" s="360">
        <f t="shared" si="3"/>
        <v>71</v>
      </c>
      <c r="E19" s="360">
        <f t="shared" si="4"/>
        <v>40</v>
      </c>
      <c r="F19" s="360">
        <f t="shared" si="5"/>
        <v>31</v>
      </c>
      <c r="G19" s="345">
        <f t="shared" si="6"/>
        <v>0.56299999999999994</v>
      </c>
      <c r="H19" s="272" t="str">
        <f>IF(OR(Table2[[#This Row],[Team ]]="Houston Rockets",Table2[[#This Row],[Team ]]="Golden State Warriors",Table2[[#This Row],[Team ]]="Portland Trail Blazers",Table2[[#This Row],[Team ]]="New Orleans Pelicans",Table2[[#This Row],[Team ]]="San Antonio Spurs",Table2[[#This Row],[Team ]]="Minnesota Timberwolves",Table2[[#This Row],[Team ]]="Oklahoma City Thunder",Table2[[#This Row],[Team ]]="Los Angeles Clippers",Table2[[#This Row],[Team ]]="Denver Nuggets",Table2[[#This Row],[Team ]]="Utah Jazz",Table2[[#This Row],[Team ]]="Los Angeles Lakers",Table2[[#This Row],[Team ]]="Dallas Mavericks",Table2[[#This Row],[Team ]]="Sacramento Kings",Table2[[#This Row],[Team ]]="Phoenix Suns",Table2[[#This Row],[Team ]]="Memphis Grizzlies"),"w","e")</f>
        <v>w</v>
      </c>
      <c r="I19" s="272" t="str">
        <f t="shared" si="7"/>
        <v>X - W</v>
      </c>
      <c r="L19">
        <v>15</v>
      </c>
      <c r="M19" s="260" t="str">
        <f t="array" ref="M19">INDEX(Standings!$C$6:$C$35,SMALL(IF($H$6:$H$35="w",ROW($H$6:$H$35)-ROW($G$6)+1),ROWS(M$5:M19)))</f>
        <v>Phoenix Suns</v>
      </c>
      <c r="N19" s="261">
        <f>VLOOKUP(M19,Standings!$C$6:$G$35,5,FALSE)</f>
        <v>0.26800000000000002</v>
      </c>
      <c r="O19" s="387">
        <f t="shared" si="0"/>
        <v>37.5</v>
      </c>
      <c r="P19" s="388">
        <f>$E$6-VLOOKUP(M19,Standings!$C$6:$G$35,3,FALSE)</f>
        <v>37</v>
      </c>
      <c r="Q19" s="389">
        <f>VLOOKUP(M19,Standings!$C$6:$G$35,4,FALSE)-VLOOKUP($M$5,Standings!$C$6:$G$35,4,FALSE)</f>
        <v>38</v>
      </c>
      <c r="S19">
        <v>15</v>
      </c>
      <c r="T19" s="1" t="s">
        <v>920</v>
      </c>
      <c r="U19">
        <v>69</v>
      </c>
      <c r="V19">
        <v>37</v>
      </c>
      <c r="W19">
        <v>32</v>
      </c>
      <c r="X19">
        <v>0.53600000000000003</v>
      </c>
      <c r="Y19">
        <v>48.1</v>
      </c>
      <c r="Z19">
        <v>109.3</v>
      </c>
      <c r="AA19">
        <v>40.1</v>
      </c>
      <c r="AB19">
        <v>85.3</v>
      </c>
      <c r="AC19">
        <v>47</v>
      </c>
      <c r="AD19">
        <v>9.8000000000000007</v>
      </c>
      <c r="AE19">
        <v>28</v>
      </c>
      <c r="AF19">
        <v>35.1</v>
      </c>
      <c r="AG19">
        <v>19.2</v>
      </c>
      <c r="AH19">
        <v>25.4</v>
      </c>
      <c r="AI19">
        <v>75.5</v>
      </c>
      <c r="AJ19">
        <v>9.9</v>
      </c>
      <c r="AK19">
        <v>34.1</v>
      </c>
      <c r="AL19">
        <v>44</v>
      </c>
      <c r="AM19">
        <v>22.3</v>
      </c>
      <c r="AN19">
        <v>14.7</v>
      </c>
      <c r="AO19">
        <v>7.8</v>
      </c>
      <c r="AP19">
        <v>4.7</v>
      </c>
      <c r="AQ19">
        <v>5.4</v>
      </c>
      <c r="AR19">
        <v>20.100000000000001</v>
      </c>
      <c r="AS19">
        <v>22.2</v>
      </c>
      <c r="AT19">
        <v>1</v>
      </c>
    </row>
    <row r="20" spans="2:47">
      <c r="B20" s="342" t="str">
        <f t="shared" si="2"/>
        <v>LA Clippers</v>
      </c>
      <c r="C20" s="353" t="str">
        <f>IF(Standings!$B20="LA Clippers","Los Angeles Clippers",B20)</f>
        <v>Los Angeles Clippers</v>
      </c>
      <c r="D20" s="359">
        <f t="shared" si="3"/>
        <v>69</v>
      </c>
      <c r="E20" s="359">
        <f t="shared" si="4"/>
        <v>37</v>
      </c>
      <c r="F20" s="359">
        <f t="shared" si="5"/>
        <v>32</v>
      </c>
      <c r="G20" s="343">
        <f t="shared" si="6"/>
        <v>0.53600000000000003</v>
      </c>
      <c r="H20" s="271" t="str">
        <f>IF(OR(Table2[[#This Row],[Team ]]="Houston Rockets",Table2[[#This Row],[Team ]]="Golden State Warriors",Table2[[#This Row],[Team ]]="Portland Trail Blazers",Table2[[#This Row],[Team ]]="New Orleans Pelicans",Table2[[#This Row],[Team ]]="San Antonio Spurs",Table2[[#This Row],[Team ]]="Minnesota Timberwolves",Table2[[#This Row],[Team ]]="Oklahoma City Thunder",Table2[[#This Row],[Team ]]="Los Angeles Clippers",Table2[[#This Row],[Team ]]="Denver Nuggets",Table2[[#This Row],[Team ]]="Utah Jazz",Table2[[#This Row],[Team ]]="Los Angeles Lakers",Table2[[#This Row],[Team ]]="Dallas Mavericks",Table2[[#This Row],[Team ]]="Sacramento Kings",Table2[[#This Row],[Team ]]="Phoenix Suns",Table2[[#This Row],[Team ]]="Memphis Grizzlies"),"w","e")</f>
        <v>w</v>
      </c>
      <c r="I20" s="271" t="str">
        <f t="shared" si="7"/>
        <v/>
      </c>
      <c r="O20" s="214"/>
      <c r="P20" s="214"/>
      <c r="Q20" s="214"/>
      <c r="S20">
        <v>16</v>
      </c>
      <c r="T20" s="1" t="s">
        <v>679</v>
      </c>
      <c r="U20">
        <v>71</v>
      </c>
      <c r="V20">
        <v>38</v>
      </c>
      <c r="W20">
        <v>33</v>
      </c>
      <c r="X20">
        <v>0.53500000000000003</v>
      </c>
      <c r="Y20">
        <v>48.4</v>
      </c>
      <c r="Z20">
        <v>109.5</v>
      </c>
      <c r="AA20">
        <v>40.6</v>
      </c>
      <c r="AB20">
        <v>86.5</v>
      </c>
      <c r="AC20">
        <v>46.9</v>
      </c>
      <c r="AD20">
        <v>11.4</v>
      </c>
      <c r="AE20">
        <v>30.8</v>
      </c>
      <c r="AF20">
        <v>36.9</v>
      </c>
      <c r="AG20">
        <v>17</v>
      </c>
      <c r="AH20">
        <v>22.2</v>
      </c>
      <c r="AI20">
        <v>76.400000000000006</v>
      </c>
      <c r="AJ20">
        <v>11.1</v>
      </c>
      <c r="AK20">
        <v>33.299999999999997</v>
      </c>
      <c r="AL20">
        <v>44.3</v>
      </c>
      <c r="AM20">
        <v>24.8</v>
      </c>
      <c r="AN20">
        <v>15.1</v>
      </c>
      <c r="AO20">
        <v>7.9</v>
      </c>
      <c r="AP20">
        <v>4.7</v>
      </c>
      <c r="AQ20">
        <v>4.9000000000000004</v>
      </c>
      <c r="AR20">
        <v>18.600000000000001</v>
      </c>
      <c r="AS20">
        <v>20.3</v>
      </c>
      <c r="AT20">
        <v>1</v>
      </c>
    </row>
    <row r="21" spans="2:47">
      <c r="B21" s="344" t="str">
        <f t="shared" si="2"/>
        <v>Denver Nuggets</v>
      </c>
      <c r="C21" s="354" t="str">
        <f>IF(Standings!$B21="LA Clippers","Los Angeles Clippers",B21)</f>
        <v>Denver Nuggets</v>
      </c>
      <c r="D21" s="360">
        <f t="shared" si="3"/>
        <v>71</v>
      </c>
      <c r="E21" s="360">
        <f t="shared" si="4"/>
        <v>38</v>
      </c>
      <c r="F21" s="360">
        <f t="shared" si="5"/>
        <v>33</v>
      </c>
      <c r="G21" s="345">
        <f t="shared" si="6"/>
        <v>0.53500000000000003</v>
      </c>
      <c r="H21" s="272" t="str">
        <f>IF(OR(Table2[[#This Row],[Team ]]="Houston Rockets",Table2[[#This Row],[Team ]]="Golden State Warriors",Table2[[#This Row],[Team ]]="Portland Trail Blazers",Table2[[#This Row],[Team ]]="New Orleans Pelicans",Table2[[#This Row],[Team ]]="San Antonio Spurs",Table2[[#This Row],[Team ]]="Minnesota Timberwolves",Table2[[#This Row],[Team ]]="Oklahoma City Thunder",Table2[[#This Row],[Team ]]="Los Angeles Clippers",Table2[[#This Row],[Team ]]="Denver Nuggets",Table2[[#This Row],[Team ]]="Utah Jazz",Table2[[#This Row],[Team ]]="Los Angeles Lakers",Table2[[#This Row],[Team ]]="Dallas Mavericks",Table2[[#This Row],[Team ]]="Sacramento Kings",Table2[[#This Row],[Team ]]="Phoenix Suns",Table2[[#This Row],[Team ]]="Memphis Grizzlies"),"w","e")</f>
        <v>w</v>
      </c>
      <c r="I21" s="272" t="str">
        <f t="shared" si="7"/>
        <v/>
      </c>
      <c r="M21" s="262" t="s">
        <v>922</v>
      </c>
      <c r="N21" s="267" t="s">
        <v>923</v>
      </c>
      <c r="O21" s="267" t="s">
        <v>1101</v>
      </c>
      <c r="P21" s="267" t="s">
        <v>1103</v>
      </c>
      <c r="Q21" s="267" t="s">
        <v>1102</v>
      </c>
      <c r="S21">
        <v>16</v>
      </c>
      <c r="T21" s="1" t="s">
        <v>687</v>
      </c>
      <c r="U21">
        <v>71</v>
      </c>
      <c r="V21">
        <v>38</v>
      </c>
      <c r="W21">
        <v>33</v>
      </c>
      <c r="X21">
        <v>0.53500000000000003</v>
      </c>
      <c r="Y21">
        <v>48.5</v>
      </c>
      <c r="Z21">
        <v>103.1</v>
      </c>
      <c r="AA21">
        <v>38.6</v>
      </c>
      <c r="AB21">
        <v>84.8</v>
      </c>
      <c r="AC21">
        <v>45.5</v>
      </c>
      <c r="AD21">
        <v>11.1</v>
      </c>
      <c r="AE21">
        <v>30.8</v>
      </c>
      <c r="AF21">
        <v>36.1</v>
      </c>
      <c r="AG21">
        <v>14.7</v>
      </c>
      <c r="AH21">
        <v>19.7</v>
      </c>
      <c r="AI21">
        <v>74.900000000000006</v>
      </c>
      <c r="AJ21">
        <v>9.3000000000000007</v>
      </c>
      <c r="AK21">
        <v>34</v>
      </c>
      <c r="AL21">
        <v>43.3</v>
      </c>
      <c r="AM21">
        <v>22.6</v>
      </c>
      <c r="AN21">
        <v>14.5</v>
      </c>
      <c r="AO21">
        <v>7.5</v>
      </c>
      <c r="AP21">
        <v>5.3</v>
      </c>
      <c r="AQ21">
        <v>4.7</v>
      </c>
      <c r="AR21">
        <v>20.100000000000001</v>
      </c>
      <c r="AS21">
        <v>19.399999999999999</v>
      </c>
      <c r="AT21">
        <v>0.1</v>
      </c>
    </row>
    <row r="22" spans="2:47">
      <c r="B22" s="342" t="str">
        <f t="shared" si="2"/>
        <v>Miami Heat</v>
      </c>
      <c r="C22" s="353" t="str">
        <f>IF(Standings!$B22="LA Clippers","Los Angeles Clippers",B22)</f>
        <v>Miami Heat</v>
      </c>
      <c r="D22" s="359">
        <f t="shared" si="3"/>
        <v>71</v>
      </c>
      <c r="E22" s="359">
        <f t="shared" si="4"/>
        <v>38</v>
      </c>
      <c r="F22" s="359">
        <f t="shared" si="5"/>
        <v>33</v>
      </c>
      <c r="G22" s="343">
        <f t="shared" si="6"/>
        <v>0.53500000000000003</v>
      </c>
      <c r="H22" s="271" t="str">
        <f>IF(OR(Table2[[#This Row],[Team ]]="Houston Rockets",Table2[[#This Row],[Team ]]="Golden State Warriors",Table2[[#This Row],[Team ]]="Portland Trail Blazers",Table2[[#This Row],[Team ]]="New Orleans Pelicans",Table2[[#This Row],[Team ]]="San Antonio Spurs",Table2[[#This Row],[Team ]]="Minnesota Timberwolves",Table2[[#This Row],[Team ]]="Oklahoma City Thunder",Table2[[#This Row],[Team ]]="Los Angeles Clippers",Table2[[#This Row],[Team ]]="Denver Nuggets",Table2[[#This Row],[Team ]]="Utah Jazz",Table2[[#This Row],[Team ]]="Los Angeles Lakers",Table2[[#This Row],[Team ]]="Dallas Mavericks",Table2[[#This Row],[Team ]]="Sacramento Kings",Table2[[#This Row],[Team ]]="Phoenix Suns",Table2[[#This Row],[Team ]]="Memphis Grizzlies"),"w","e")</f>
        <v>e</v>
      </c>
      <c r="I22" s="271" t="str">
        <f t="shared" si="7"/>
        <v>X - E</v>
      </c>
      <c r="L22" s="50" t="str">
        <f>1&amp;IF(M22&lt;&gt;VLOOKUP(M22,'Team Stats'!$V$5:$X$34,3,FALSE),"*","")</f>
        <v>1*</v>
      </c>
      <c r="M22" s="263" t="str">
        <f t="array" ref="M22">INDEX(Standings!$C$6:$C$35,SMALL(IF($H$6:$H$35="e",ROW($H$6:$H$35)-ROW($H$6)+1),ROWS(M$22:M22)))</f>
        <v>Toronto Raptors</v>
      </c>
      <c r="N22" s="392">
        <f>VLOOKUP(M22,Standings!$C$6:$G$35,5,FALSE)</f>
        <v>0.74299999999999999</v>
      </c>
      <c r="O22" s="396">
        <f t="shared" ref="O22:O36" si="8">AVERAGE(Q22,P22)</f>
        <v>0</v>
      </c>
      <c r="P22" s="396">
        <f>VLOOKUP($M$22,Standings!$C$6:$G$35,3,FALSE)-VLOOKUP(M22,Standings!$C$6:$G$35,3,FALSE)</f>
        <v>0</v>
      </c>
      <c r="Q22" s="400">
        <f>VLOOKUP(M22,Standings!$C$6:$G$35,4,FALSE)-VLOOKUP($M$22,Standings!$C$6:$G$35,4,FALSE)</f>
        <v>0</v>
      </c>
      <c r="S22">
        <v>18</v>
      </c>
      <c r="T22" s="1" t="s">
        <v>688</v>
      </c>
      <c r="U22">
        <v>70</v>
      </c>
      <c r="V22">
        <v>37</v>
      </c>
      <c r="W22">
        <v>33</v>
      </c>
      <c r="X22">
        <v>0.52900000000000003</v>
      </c>
      <c r="Y22">
        <v>48.3</v>
      </c>
      <c r="Z22">
        <v>105.6</v>
      </c>
      <c r="AA22">
        <v>39.200000000000003</v>
      </c>
      <c r="AB22">
        <v>81.900000000000006</v>
      </c>
      <c r="AC22">
        <v>47.8</v>
      </c>
      <c r="AD22">
        <v>8.6999999999999993</v>
      </c>
      <c r="AE22">
        <v>24.6</v>
      </c>
      <c r="AF22">
        <v>35.5</v>
      </c>
      <c r="AG22">
        <v>18.600000000000001</v>
      </c>
      <c r="AH22">
        <v>23.9</v>
      </c>
      <c r="AI22">
        <v>77.900000000000006</v>
      </c>
      <c r="AJ22">
        <v>8.1999999999999993</v>
      </c>
      <c r="AK22">
        <v>31.3</v>
      </c>
      <c r="AL22">
        <v>39.5</v>
      </c>
      <c r="AM22">
        <v>22.7</v>
      </c>
      <c r="AN22">
        <v>14</v>
      </c>
      <c r="AO22">
        <v>8.6</v>
      </c>
      <c r="AP22">
        <v>5.4</v>
      </c>
      <c r="AQ22">
        <v>4.3</v>
      </c>
      <c r="AR22">
        <v>21.6</v>
      </c>
      <c r="AS22">
        <v>20.100000000000001</v>
      </c>
      <c r="AT22">
        <v>-0.4</v>
      </c>
    </row>
    <row r="23" spans="2:47">
      <c r="B23" s="344" t="str">
        <f t="shared" si="2"/>
        <v>Milwaukee Bucks</v>
      </c>
      <c r="C23" s="354" t="str">
        <f>IF(Standings!$B23="LA Clippers","Los Angeles Clippers",B23)</f>
        <v>Milwaukee Bucks</v>
      </c>
      <c r="D23" s="360">
        <f t="shared" si="3"/>
        <v>70</v>
      </c>
      <c r="E23" s="360">
        <f t="shared" si="4"/>
        <v>37</v>
      </c>
      <c r="F23" s="360">
        <f t="shared" si="5"/>
        <v>33</v>
      </c>
      <c r="G23" s="345">
        <f t="shared" si="6"/>
        <v>0.52900000000000003</v>
      </c>
      <c r="H23" s="272" t="str">
        <f>IF(OR(Table2[[#This Row],[Team ]]="Houston Rockets",Table2[[#This Row],[Team ]]="Golden State Warriors",Table2[[#This Row],[Team ]]="Portland Trail Blazers",Table2[[#This Row],[Team ]]="New Orleans Pelicans",Table2[[#This Row],[Team ]]="San Antonio Spurs",Table2[[#This Row],[Team ]]="Minnesota Timberwolves",Table2[[#This Row],[Team ]]="Oklahoma City Thunder",Table2[[#This Row],[Team ]]="Los Angeles Clippers",Table2[[#This Row],[Team ]]="Denver Nuggets",Table2[[#This Row],[Team ]]="Utah Jazz",Table2[[#This Row],[Team ]]="Los Angeles Lakers",Table2[[#This Row],[Team ]]="Dallas Mavericks",Table2[[#This Row],[Team ]]="Sacramento Kings",Table2[[#This Row],[Team ]]="Phoenix Suns",Table2[[#This Row],[Team ]]="Memphis Grizzlies"),"w","e")</f>
        <v>e</v>
      </c>
      <c r="I23" s="272" t="str">
        <f t="shared" si="7"/>
        <v>X - E</v>
      </c>
      <c r="L23" s="50" t="str">
        <f>2&amp;IF(M23&lt;&gt;VLOOKUP(M23,'Team Stats'!$V$5:$X$34,3,FALSE),"*","")</f>
        <v>2*</v>
      </c>
      <c r="M23" s="264" t="str">
        <f t="array" ref="M23">INDEX(Standings!$C$6:$C$35,SMALL(IF($H$6:$H$35="e",ROW($H$6:$H$35)-ROW($H$6)+1),ROWS(M$22:M23)))</f>
        <v>Boston Celtics</v>
      </c>
      <c r="N23" s="393">
        <f>VLOOKUP(M23,Standings!$C$6:$G$35,5,FALSE)</f>
        <v>0.67100000000000004</v>
      </c>
      <c r="O23" s="397">
        <f t="shared" si="8"/>
        <v>5</v>
      </c>
      <c r="P23" s="397">
        <f>VLOOKUP($M$22,Standings!$C$6:$G$35,3,FALSE)-VLOOKUP(M23,Standings!$C$6:$G$35,3,FALSE)</f>
        <v>5</v>
      </c>
      <c r="Q23" s="390">
        <f>VLOOKUP(M23,Standings!$C$6:$G$35,4,FALSE)-VLOOKUP($M$22,Standings!$C$6:$G$35,4,FALSE)</f>
        <v>5</v>
      </c>
      <c r="S23">
        <v>19</v>
      </c>
      <c r="T23" s="1" t="s">
        <v>680</v>
      </c>
      <c r="U23">
        <v>70</v>
      </c>
      <c r="V23">
        <v>31</v>
      </c>
      <c r="W23">
        <v>39</v>
      </c>
      <c r="X23">
        <v>0.443</v>
      </c>
      <c r="Y23">
        <v>48.2</v>
      </c>
      <c r="Z23">
        <v>102.7</v>
      </c>
      <c r="AA23">
        <v>38.700000000000003</v>
      </c>
      <c r="AB23">
        <v>86.5</v>
      </c>
      <c r="AC23">
        <v>44.7</v>
      </c>
      <c r="AD23">
        <v>10.5</v>
      </c>
      <c r="AE23">
        <v>28.3</v>
      </c>
      <c r="AF23">
        <v>37.200000000000003</v>
      </c>
      <c r="AG23">
        <v>14.7</v>
      </c>
      <c r="AH23">
        <v>19.7</v>
      </c>
      <c r="AI23">
        <v>74.599999999999994</v>
      </c>
      <c r="AJ23">
        <v>10.1</v>
      </c>
      <c r="AK23">
        <v>33</v>
      </c>
      <c r="AL23">
        <v>43.2</v>
      </c>
      <c r="AM23">
        <v>22.4</v>
      </c>
      <c r="AN23">
        <v>13.7</v>
      </c>
      <c r="AO23">
        <v>7.6</v>
      </c>
      <c r="AP23">
        <v>3.8</v>
      </c>
      <c r="AQ23">
        <v>5</v>
      </c>
      <c r="AR23">
        <v>18.600000000000001</v>
      </c>
      <c r="AS23">
        <v>18.399999999999999</v>
      </c>
      <c r="AT23">
        <v>-1.4</v>
      </c>
      <c r="AU23" t="str">
        <f>IF(M23&lt;&gt;VLOOKUP(M23,'Team Stats'!$V$5:$X$34,3,FALSE),"hi","")</f>
        <v>hi</v>
      </c>
    </row>
    <row r="24" spans="2:47">
      <c r="B24" s="342" t="str">
        <f t="shared" si="2"/>
        <v>Detroit Pistons</v>
      </c>
      <c r="C24" s="353" t="str">
        <f>IF(Standings!$B24="LA Clippers","Los Angeles Clippers",B24)</f>
        <v>Detroit Pistons</v>
      </c>
      <c r="D24" s="359">
        <f t="shared" si="3"/>
        <v>70</v>
      </c>
      <c r="E24" s="359">
        <f t="shared" si="4"/>
        <v>31</v>
      </c>
      <c r="F24" s="359">
        <f t="shared" si="5"/>
        <v>39</v>
      </c>
      <c r="G24" s="343">
        <f t="shared" si="6"/>
        <v>0.443</v>
      </c>
      <c r="H24" s="271" t="str">
        <f>IF(OR(Table2[[#This Row],[Team ]]="Houston Rockets",Table2[[#This Row],[Team ]]="Golden State Warriors",Table2[[#This Row],[Team ]]="Portland Trail Blazers",Table2[[#This Row],[Team ]]="New Orleans Pelicans",Table2[[#This Row],[Team ]]="San Antonio Spurs",Table2[[#This Row],[Team ]]="Minnesota Timberwolves",Table2[[#This Row],[Team ]]="Oklahoma City Thunder",Table2[[#This Row],[Team ]]="Los Angeles Clippers",Table2[[#This Row],[Team ]]="Denver Nuggets",Table2[[#This Row],[Team ]]="Utah Jazz",Table2[[#This Row],[Team ]]="Los Angeles Lakers",Table2[[#This Row],[Team ]]="Dallas Mavericks",Table2[[#This Row],[Team ]]="Sacramento Kings",Table2[[#This Row],[Team ]]="Phoenix Suns",Table2[[#This Row],[Team ]]="Memphis Grizzlies"),"w","e")</f>
        <v>e</v>
      </c>
      <c r="I24" s="271" t="str">
        <f t="shared" si="7"/>
        <v/>
      </c>
      <c r="L24" s="50" t="str">
        <f>3&amp;IF(M24&lt;&gt;VLOOKUP(M24,'Team Stats'!$V$5:$X$34,3,FALSE),"*","")</f>
        <v>3</v>
      </c>
      <c r="M24" s="263" t="str">
        <f t="array" ref="M24">INDEX(Standings!$C$6:$C$35,SMALL(IF($H$6:$H$35="e",ROW($H$6:$H$35)-ROW($H$6)+1),ROWS(M$22:M24)))</f>
        <v>Cleveland Cavaliers</v>
      </c>
      <c r="N24" s="392">
        <f>VLOOKUP(M24,Standings!$C$6:$G$35,5,FALSE)</f>
        <v>0.58599999999999997</v>
      </c>
      <c r="O24" s="397">
        <f t="shared" si="8"/>
        <v>11</v>
      </c>
      <c r="P24" s="397">
        <f>VLOOKUP($M$22,Standings!$C$6:$G$35,3,FALSE)-VLOOKUP(M24,Standings!$C$6:$G$35,3,FALSE)</f>
        <v>11</v>
      </c>
      <c r="Q24" s="390">
        <f>VLOOKUP(M24,Standings!$C$6:$G$35,4,FALSE)-VLOOKUP($M$22,Standings!$C$6:$G$35,4,FALSE)</f>
        <v>11</v>
      </c>
      <c r="S24">
        <v>19</v>
      </c>
      <c r="T24" s="1" t="s">
        <v>685</v>
      </c>
      <c r="U24">
        <v>70</v>
      </c>
      <c r="V24">
        <v>31</v>
      </c>
      <c r="W24">
        <v>39</v>
      </c>
      <c r="X24">
        <v>0.443</v>
      </c>
      <c r="Y24">
        <v>48.5</v>
      </c>
      <c r="Z24">
        <v>108.3</v>
      </c>
      <c r="AA24">
        <v>41.1</v>
      </c>
      <c r="AB24">
        <v>89.1</v>
      </c>
      <c r="AC24">
        <v>46.1</v>
      </c>
      <c r="AD24">
        <v>9.9</v>
      </c>
      <c r="AE24">
        <v>28.8</v>
      </c>
      <c r="AF24">
        <v>34.5</v>
      </c>
      <c r="AG24">
        <v>16.3</v>
      </c>
      <c r="AH24">
        <v>23</v>
      </c>
      <c r="AI24">
        <v>70.7</v>
      </c>
      <c r="AJ24">
        <v>10.9</v>
      </c>
      <c r="AK24">
        <v>35.4</v>
      </c>
      <c r="AL24">
        <v>46.3</v>
      </c>
      <c r="AM24">
        <v>23.8</v>
      </c>
      <c r="AN24">
        <v>15.8</v>
      </c>
      <c r="AO24">
        <v>8</v>
      </c>
      <c r="AP24">
        <v>4.8</v>
      </c>
      <c r="AQ24">
        <v>5.6</v>
      </c>
      <c r="AR24">
        <v>21.3</v>
      </c>
      <c r="AS24">
        <v>20.3</v>
      </c>
      <c r="AT24">
        <v>-1.6</v>
      </c>
      <c r="AU24" t="str">
        <f>IF(M24&lt;&gt;VLOOKUP(M24,'Team Stats'!$V$5:$X$34,3,FALSE),"hi","")</f>
        <v/>
      </c>
    </row>
    <row r="25" spans="2:47">
      <c r="B25" s="344" t="str">
        <f t="shared" si="2"/>
        <v>Los Angeles Lakers</v>
      </c>
      <c r="C25" s="354" t="str">
        <f>IF(Standings!$B25="LA Clippers","Los Angeles Clippers",B25)</f>
        <v>Los Angeles Lakers</v>
      </c>
      <c r="D25" s="360">
        <f t="shared" si="3"/>
        <v>70</v>
      </c>
      <c r="E25" s="360">
        <f t="shared" si="4"/>
        <v>31</v>
      </c>
      <c r="F25" s="360">
        <f t="shared" si="5"/>
        <v>39</v>
      </c>
      <c r="G25" s="345">
        <f t="shared" si="6"/>
        <v>0.443</v>
      </c>
      <c r="H25" s="272" t="str">
        <f>IF(OR(Table2[[#This Row],[Team ]]="Houston Rockets",Table2[[#This Row],[Team ]]="Golden State Warriors",Table2[[#This Row],[Team ]]="Portland Trail Blazers",Table2[[#This Row],[Team ]]="New Orleans Pelicans",Table2[[#This Row],[Team ]]="San Antonio Spurs",Table2[[#This Row],[Team ]]="Minnesota Timberwolves",Table2[[#This Row],[Team ]]="Oklahoma City Thunder",Table2[[#This Row],[Team ]]="Los Angeles Clippers",Table2[[#This Row],[Team ]]="Denver Nuggets",Table2[[#This Row],[Team ]]="Utah Jazz",Table2[[#This Row],[Team ]]="Los Angeles Lakers",Table2[[#This Row],[Team ]]="Dallas Mavericks",Table2[[#This Row],[Team ]]="Sacramento Kings",Table2[[#This Row],[Team ]]="Phoenix Suns",Table2[[#This Row],[Team ]]="Memphis Grizzlies"),"w","e")</f>
        <v>w</v>
      </c>
      <c r="I25" s="272" t="str">
        <f t="shared" si="7"/>
        <v/>
      </c>
      <c r="L25" s="50" t="str">
        <f>4&amp;IF(M25&lt;&gt;VLOOKUP(M25,'Team Stats'!$V$5:$X$34,3,FALSE),"*","")</f>
        <v>4</v>
      </c>
      <c r="M25" s="264" t="str">
        <f t="array" ref="M25">INDEX(Standings!$C$6:$C$35,SMALL(IF($H$6:$H$35="e",ROW($H$6:$H$35)-ROW($H$6)+1),ROWS(M$22:M25)))</f>
        <v>Indiana Pacers</v>
      </c>
      <c r="N25" s="393">
        <f>VLOOKUP(M25,Standings!$C$6:$G$35,5,FALSE)</f>
        <v>0.57699999999999996</v>
      </c>
      <c r="O25" s="397">
        <f t="shared" si="8"/>
        <v>11.5</v>
      </c>
      <c r="P25" s="397">
        <f>VLOOKUP($M$22,Standings!$C$6:$G$35,3,FALSE)-VLOOKUP(M25,Standings!$C$6:$G$35,3,FALSE)</f>
        <v>11</v>
      </c>
      <c r="Q25" s="390">
        <f>VLOOKUP(M25,Standings!$C$6:$G$35,4,FALSE)-VLOOKUP($M$22,Standings!$C$6:$G$35,4,FALSE)</f>
        <v>12</v>
      </c>
      <c r="S25">
        <v>21</v>
      </c>
      <c r="T25" s="1" t="s">
        <v>677</v>
      </c>
      <c r="U25">
        <v>71</v>
      </c>
      <c r="V25">
        <v>30</v>
      </c>
      <c r="W25">
        <v>41</v>
      </c>
      <c r="X25">
        <v>0.42299999999999999</v>
      </c>
      <c r="Y25">
        <v>48.2</v>
      </c>
      <c r="Z25">
        <v>107</v>
      </c>
      <c r="AA25">
        <v>38.700000000000003</v>
      </c>
      <c r="AB25">
        <v>86.7</v>
      </c>
      <c r="AC25">
        <v>44.6</v>
      </c>
      <c r="AD25">
        <v>9.9</v>
      </c>
      <c r="AE25">
        <v>26.9</v>
      </c>
      <c r="AF25">
        <v>36.6</v>
      </c>
      <c r="AG25">
        <v>19.8</v>
      </c>
      <c r="AH25">
        <v>26.8</v>
      </c>
      <c r="AI25">
        <v>73.900000000000006</v>
      </c>
      <c r="AJ25">
        <v>10</v>
      </c>
      <c r="AK25">
        <v>34.9</v>
      </c>
      <c r="AL25">
        <v>44.9</v>
      </c>
      <c r="AM25">
        <v>21.3</v>
      </c>
      <c r="AN25">
        <v>12.5</v>
      </c>
      <c r="AO25">
        <v>7</v>
      </c>
      <c r="AP25">
        <v>4.5999999999999996</v>
      </c>
      <c r="AQ25">
        <v>5</v>
      </c>
      <c r="AR25">
        <v>17.600000000000001</v>
      </c>
      <c r="AS25">
        <v>22.4</v>
      </c>
      <c r="AT25">
        <v>-0.9</v>
      </c>
      <c r="AU25" t="str">
        <f>IF(M25&lt;&gt;VLOOKUP(M25,'Team Stats'!$V$5:$X$34,3,FALSE),"hi","")</f>
        <v/>
      </c>
    </row>
    <row r="26" spans="2:47">
      <c r="B26" s="342" t="str">
        <f t="shared" si="2"/>
        <v>Charlotte Hornets</v>
      </c>
      <c r="C26" s="353" t="str">
        <f>IF(Standings!$B26="LA Clippers","Los Angeles Clippers",B26)</f>
        <v>Charlotte Hornets</v>
      </c>
      <c r="D26" s="359">
        <f t="shared" si="3"/>
        <v>71</v>
      </c>
      <c r="E26" s="359">
        <f t="shared" si="4"/>
        <v>30</v>
      </c>
      <c r="F26" s="359">
        <f t="shared" si="5"/>
        <v>41</v>
      </c>
      <c r="G26" s="343">
        <f t="shared" si="6"/>
        <v>0.42299999999999999</v>
      </c>
      <c r="H26" s="271" t="str">
        <f>IF(OR(Table2[[#This Row],[Team ]]="Houston Rockets",Table2[[#This Row],[Team ]]="Golden State Warriors",Table2[[#This Row],[Team ]]="Portland Trail Blazers",Table2[[#This Row],[Team ]]="New Orleans Pelicans",Table2[[#This Row],[Team ]]="San Antonio Spurs",Table2[[#This Row],[Team ]]="Minnesota Timberwolves",Table2[[#This Row],[Team ]]="Oklahoma City Thunder",Table2[[#This Row],[Team ]]="Los Angeles Clippers",Table2[[#This Row],[Team ]]="Denver Nuggets",Table2[[#This Row],[Team ]]="Utah Jazz",Table2[[#This Row],[Team ]]="Los Angeles Lakers",Table2[[#This Row],[Team ]]="Dallas Mavericks",Table2[[#This Row],[Team ]]="Sacramento Kings",Table2[[#This Row],[Team ]]="Phoenix Suns",Table2[[#This Row],[Team ]]="Memphis Grizzlies"),"w","e")</f>
        <v>e</v>
      </c>
      <c r="I26" s="271" t="str">
        <f t="shared" si="7"/>
        <v/>
      </c>
      <c r="L26" s="50" t="str">
        <f>5&amp;IF(M26&lt;&gt;VLOOKUP(M26,'Team Stats'!$V$5:$X$34,3,FALSE),"*","")</f>
        <v>5</v>
      </c>
      <c r="M26" s="263" t="str">
        <f t="array" ref="M26">INDEX(Standings!$C$6:$C$35,SMALL(IF($H$6:$H$35="e",ROW($H$6:$H$35)-ROW($H$6)+1),ROWS(M$22:M26)))</f>
        <v>Washington Wizards</v>
      </c>
      <c r="N26" s="392">
        <f>VLOOKUP(M26,Standings!$C$6:$G$35,5,FALSE)</f>
        <v>0.57099999999999995</v>
      </c>
      <c r="O26" s="397">
        <f t="shared" si="8"/>
        <v>12</v>
      </c>
      <c r="P26" s="397">
        <f>VLOOKUP($M$22,Standings!$C$6:$G$35,3,FALSE)-VLOOKUP(M26,Standings!$C$6:$G$35,3,FALSE)</f>
        <v>12</v>
      </c>
      <c r="Q26" s="390">
        <f>VLOOKUP(M26,Standings!$C$6:$G$35,4,FALSE)-VLOOKUP($M$22,Standings!$C$6:$G$35,4,FALSE)</f>
        <v>12</v>
      </c>
      <c r="S26">
        <v>22</v>
      </c>
      <c r="T26" s="1" t="s">
        <v>691</v>
      </c>
      <c r="U26">
        <v>71</v>
      </c>
      <c r="V26">
        <v>26</v>
      </c>
      <c r="W26">
        <v>45</v>
      </c>
      <c r="X26">
        <v>0.36599999999999999</v>
      </c>
      <c r="Y26">
        <v>48.4</v>
      </c>
      <c r="Z26">
        <v>104.4</v>
      </c>
      <c r="AA26">
        <v>40.5</v>
      </c>
      <c r="AB26">
        <v>87.2</v>
      </c>
      <c r="AC26">
        <v>46.4</v>
      </c>
      <c r="AD26">
        <v>7.9</v>
      </c>
      <c r="AE26">
        <v>22.5</v>
      </c>
      <c r="AF26">
        <v>35</v>
      </c>
      <c r="AG26">
        <v>15.5</v>
      </c>
      <c r="AH26">
        <v>19.7</v>
      </c>
      <c r="AI26">
        <v>78.599999999999994</v>
      </c>
      <c r="AJ26">
        <v>10.6</v>
      </c>
      <c r="AK26">
        <v>33.700000000000003</v>
      </c>
      <c r="AL26">
        <v>44.3</v>
      </c>
      <c r="AM26">
        <v>22.9</v>
      </c>
      <c r="AN26">
        <v>14.9</v>
      </c>
      <c r="AO26">
        <v>6.8</v>
      </c>
      <c r="AP26">
        <v>5.3</v>
      </c>
      <c r="AQ26">
        <v>4.7</v>
      </c>
      <c r="AR26">
        <v>20.5</v>
      </c>
      <c r="AS26">
        <v>18.899999999999999</v>
      </c>
      <c r="AT26">
        <v>-3.2</v>
      </c>
      <c r="AU26" t="str">
        <f>IF(M26&lt;&gt;VLOOKUP(M26,'Team Stats'!$V$5:$X$34,3,FALSE),"hi","")</f>
        <v/>
      </c>
    </row>
    <row r="27" spans="2:47">
      <c r="B27" s="344" t="str">
        <f t="shared" si="2"/>
        <v>New York Knicks</v>
      </c>
      <c r="C27" s="354" t="str">
        <f>IF(Standings!$B27="LA Clippers","Los Angeles Clippers",B27)</f>
        <v>New York Knicks</v>
      </c>
      <c r="D27" s="360">
        <f t="shared" si="3"/>
        <v>71</v>
      </c>
      <c r="E27" s="360">
        <f t="shared" si="4"/>
        <v>26</v>
      </c>
      <c r="F27" s="360">
        <f t="shared" si="5"/>
        <v>45</v>
      </c>
      <c r="G27" s="345">
        <f t="shared" si="6"/>
        <v>0.36599999999999999</v>
      </c>
      <c r="H27" s="272" t="str">
        <f>IF(OR(Table2[[#This Row],[Team ]]="Houston Rockets",Table2[[#This Row],[Team ]]="Golden State Warriors",Table2[[#This Row],[Team ]]="Portland Trail Blazers",Table2[[#This Row],[Team ]]="New Orleans Pelicans",Table2[[#This Row],[Team ]]="San Antonio Spurs",Table2[[#This Row],[Team ]]="Minnesota Timberwolves",Table2[[#This Row],[Team ]]="Oklahoma City Thunder",Table2[[#This Row],[Team ]]="Los Angeles Clippers",Table2[[#This Row],[Team ]]="Denver Nuggets",Table2[[#This Row],[Team ]]="Utah Jazz",Table2[[#This Row],[Team ]]="Los Angeles Lakers",Table2[[#This Row],[Team ]]="Dallas Mavericks",Table2[[#This Row],[Team ]]="Sacramento Kings",Table2[[#This Row],[Team ]]="Phoenix Suns",Table2[[#This Row],[Team ]]="Memphis Grizzlies"),"w","e")</f>
        <v>e</v>
      </c>
      <c r="I27" s="272" t="str">
        <f t="shared" si="7"/>
        <v/>
      </c>
      <c r="L27" s="50" t="str">
        <f>6&amp;IF(M27&lt;&gt;VLOOKUP(M27,'Team Stats'!$V$5:$X$34,3,FALSE),"*","")</f>
        <v>6</v>
      </c>
      <c r="M27" s="264" t="str">
        <f t="array" ref="M27">INDEX(Standings!$C$6:$C$35,SMALL(IF($H$6:$H$35="e",ROW($H$6:$H$35)-ROW($H$6)+1),ROWS(M$22:M27)))</f>
        <v>Philadelphia 76ers</v>
      </c>
      <c r="N27" s="393">
        <f>VLOOKUP(M27,Standings!$C$6:$G$35,5,FALSE)</f>
        <v>0.56499999999999995</v>
      </c>
      <c r="O27" s="397">
        <f t="shared" si="8"/>
        <v>12.5</v>
      </c>
      <c r="P27" s="397">
        <f>VLOOKUP($M$22,Standings!$C$6:$G$35,3,FALSE)-VLOOKUP(M27,Standings!$C$6:$G$35,3,FALSE)</f>
        <v>13</v>
      </c>
      <c r="Q27" s="390">
        <f>VLOOKUP(M27,Standings!$C$6:$G$35,4,FALSE)-VLOOKUP($M$22,Standings!$C$6:$G$35,4,FALSE)</f>
        <v>12</v>
      </c>
      <c r="S27">
        <v>23</v>
      </c>
      <c r="T27" s="1" t="s">
        <v>676</v>
      </c>
      <c r="U27">
        <v>70</v>
      </c>
      <c r="V27">
        <v>24</v>
      </c>
      <c r="W27">
        <v>46</v>
      </c>
      <c r="X27">
        <v>0.34300000000000003</v>
      </c>
      <c r="Y27">
        <v>48.5</v>
      </c>
      <c r="Z27">
        <v>103.5</v>
      </c>
      <c r="AA27">
        <v>38.799999999999997</v>
      </c>
      <c r="AB27">
        <v>88.8</v>
      </c>
      <c r="AC27">
        <v>43.7</v>
      </c>
      <c r="AD27">
        <v>10.9</v>
      </c>
      <c r="AE27">
        <v>30.8</v>
      </c>
      <c r="AF27">
        <v>35.5</v>
      </c>
      <c r="AG27">
        <v>14.9</v>
      </c>
      <c r="AH27">
        <v>19.5</v>
      </c>
      <c r="AI27">
        <v>76.3</v>
      </c>
      <c r="AJ27">
        <v>9.4</v>
      </c>
      <c r="AK27">
        <v>35.299999999999997</v>
      </c>
      <c r="AL27">
        <v>44.7</v>
      </c>
      <c r="AM27">
        <v>23.6</v>
      </c>
      <c r="AN27">
        <v>13.7</v>
      </c>
      <c r="AO27">
        <v>7.4</v>
      </c>
      <c r="AP27">
        <v>3.7</v>
      </c>
      <c r="AQ27">
        <v>5</v>
      </c>
      <c r="AR27">
        <v>19.3</v>
      </c>
      <c r="AS27">
        <v>17.600000000000001</v>
      </c>
      <c r="AT27">
        <v>-6</v>
      </c>
      <c r="AU27" t="str">
        <f>IF(M27&lt;&gt;VLOOKUP(M27,'Team Stats'!$V$5:$X$34,3,FALSE),"hi","")</f>
        <v/>
      </c>
    </row>
    <row r="28" spans="2:47">
      <c r="B28" s="342" t="str">
        <f t="shared" si="2"/>
        <v>Chicago Bulls</v>
      </c>
      <c r="C28" s="353" t="str">
        <f>IF(Standings!$B28="LA Clippers","Los Angeles Clippers",B28)</f>
        <v>Chicago Bulls</v>
      </c>
      <c r="D28" s="359">
        <f t="shared" si="3"/>
        <v>70</v>
      </c>
      <c r="E28" s="359">
        <f t="shared" si="4"/>
        <v>24</v>
      </c>
      <c r="F28" s="359">
        <f t="shared" si="5"/>
        <v>46</v>
      </c>
      <c r="G28" s="343">
        <f t="shared" si="6"/>
        <v>0.34300000000000003</v>
      </c>
      <c r="H28" s="271" t="str">
        <f>IF(OR(Table2[[#This Row],[Team ]]="Houston Rockets",Table2[[#This Row],[Team ]]="Golden State Warriors",Table2[[#This Row],[Team ]]="Portland Trail Blazers",Table2[[#This Row],[Team ]]="New Orleans Pelicans",Table2[[#This Row],[Team ]]="San Antonio Spurs",Table2[[#This Row],[Team ]]="Minnesota Timberwolves",Table2[[#This Row],[Team ]]="Oklahoma City Thunder",Table2[[#This Row],[Team ]]="Los Angeles Clippers",Table2[[#This Row],[Team ]]="Denver Nuggets",Table2[[#This Row],[Team ]]="Utah Jazz",Table2[[#This Row],[Team ]]="Los Angeles Lakers",Table2[[#This Row],[Team ]]="Dallas Mavericks",Table2[[#This Row],[Team ]]="Sacramento Kings",Table2[[#This Row],[Team ]]="Phoenix Suns",Table2[[#This Row],[Team ]]="Memphis Grizzlies"),"w","e")</f>
        <v>e</v>
      </c>
      <c r="I28" s="271" t="str">
        <f t="shared" si="7"/>
        <v/>
      </c>
      <c r="L28" s="50" t="str">
        <f>7&amp;IF(M28&lt;&gt;VLOOKUP(M28,'Team Stats'!$V$5:$X$34,3,FALSE),"*","")</f>
        <v>7</v>
      </c>
      <c r="M28" s="263" t="str">
        <f t="array" ref="M28">INDEX(Standings!$C$6:$C$35,SMALL(IF($H$6:$H$35="e",ROW($H$6:$H$35)-ROW($H$6)+1),ROWS(M$22:M28)))</f>
        <v>Miami Heat</v>
      </c>
      <c r="N28" s="392">
        <f>VLOOKUP(M28,Standings!$C$6:$G$35,5,FALSE)</f>
        <v>0.53500000000000003</v>
      </c>
      <c r="O28" s="397">
        <f t="shared" si="8"/>
        <v>14.5</v>
      </c>
      <c r="P28" s="44">
        <f>VLOOKUP($M$22,Standings!$C$6:$G$35,3,FALSE)-VLOOKUP(M28,Standings!$C$6:$G$35,3,FALSE)</f>
        <v>14</v>
      </c>
      <c r="Q28" s="397">
        <f>VLOOKUP(M28,Standings!$C$6:$G$35,4,FALSE)-VLOOKUP($M$22,Standings!$C$6:$G$35,4,FALSE)</f>
        <v>15</v>
      </c>
      <c r="S28">
        <v>24</v>
      </c>
      <c r="T28" s="1" t="s">
        <v>709</v>
      </c>
      <c r="U28">
        <v>71</v>
      </c>
      <c r="V28">
        <v>23</v>
      </c>
      <c r="W28">
        <v>48</v>
      </c>
      <c r="X28">
        <v>0.32400000000000001</v>
      </c>
      <c r="Y28">
        <v>48.4</v>
      </c>
      <c r="Z28">
        <v>106.3</v>
      </c>
      <c r="AA28">
        <v>38.1</v>
      </c>
      <c r="AB28">
        <v>86.9</v>
      </c>
      <c r="AC28">
        <v>43.8</v>
      </c>
      <c r="AD28">
        <v>12.4</v>
      </c>
      <c r="AE28">
        <v>35.1</v>
      </c>
      <c r="AF28">
        <v>35.200000000000003</v>
      </c>
      <c r="AG28">
        <v>17.8</v>
      </c>
      <c r="AH28">
        <v>22.8</v>
      </c>
      <c r="AI28">
        <v>77.8</v>
      </c>
      <c r="AJ28">
        <v>10.1</v>
      </c>
      <c r="AK28">
        <v>34.700000000000003</v>
      </c>
      <c r="AL28">
        <v>44.8</v>
      </c>
      <c r="AM28">
        <v>23.2</v>
      </c>
      <c r="AN28">
        <v>15.3</v>
      </c>
      <c r="AO28">
        <v>6.1</v>
      </c>
      <c r="AP28">
        <v>4.3</v>
      </c>
      <c r="AQ28">
        <v>5.6</v>
      </c>
      <c r="AR28">
        <v>20.6</v>
      </c>
      <c r="AS28">
        <v>19.899999999999999</v>
      </c>
      <c r="AT28">
        <v>-4.0999999999999996</v>
      </c>
      <c r="AU28" t="str">
        <f>IF(M28&lt;&gt;VLOOKUP(M28,'Team Stats'!$V$5:$X$34,3,FALSE),"hi","")</f>
        <v/>
      </c>
    </row>
    <row r="29" spans="2:47" ht="15.75" thickBot="1">
      <c r="B29" s="344" t="str">
        <f t="shared" si="2"/>
        <v>Brooklyn Nets</v>
      </c>
      <c r="C29" s="354" t="str">
        <f>IF(Standings!$B29="LA Clippers","Los Angeles Clippers",B29)</f>
        <v>Brooklyn Nets</v>
      </c>
      <c r="D29" s="360">
        <f t="shared" si="3"/>
        <v>71</v>
      </c>
      <c r="E29" s="360">
        <f t="shared" si="4"/>
        <v>23</v>
      </c>
      <c r="F29" s="360">
        <f t="shared" si="5"/>
        <v>48</v>
      </c>
      <c r="G29" s="345">
        <f t="shared" si="6"/>
        <v>0.32400000000000001</v>
      </c>
      <c r="H29" s="272" t="str">
        <f>IF(OR(Table2[[#This Row],[Team ]]="Houston Rockets",Table2[[#This Row],[Team ]]="Golden State Warriors",Table2[[#This Row],[Team ]]="Portland Trail Blazers",Table2[[#This Row],[Team ]]="New Orleans Pelicans",Table2[[#This Row],[Team ]]="San Antonio Spurs",Table2[[#This Row],[Team ]]="Minnesota Timberwolves",Table2[[#This Row],[Team ]]="Oklahoma City Thunder",Table2[[#This Row],[Team ]]="Los Angeles Clippers",Table2[[#This Row],[Team ]]="Denver Nuggets",Table2[[#This Row],[Team ]]="Utah Jazz",Table2[[#This Row],[Team ]]="Los Angeles Lakers",Table2[[#This Row],[Team ]]="Dallas Mavericks",Table2[[#This Row],[Team ]]="Sacramento Kings",Table2[[#This Row],[Team ]]="Phoenix Suns",Table2[[#This Row],[Team ]]="Memphis Grizzlies"),"w","e")</f>
        <v>e</v>
      </c>
      <c r="I29" s="272" t="str">
        <f t="shared" si="7"/>
        <v/>
      </c>
      <c r="L29" s="50" t="str">
        <f>8&amp;IF(M29&lt;&gt;VLOOKUP(M29,'Team Stats'!$V$5:$X$34,3,FALSE),"*","")</f>
        <v>8</v>
      </c>
      <c r="M29" s="264" t="str">
        <f t="array" ref="M29">INDEX(Standings!$C$6:$C$35,SMALL(IF($H$6:$H$35="e",ROW($H$6:$H$35)-ROW($H$6)+1),ROWS(M$22:M29)))</f>
        <v>Milwaukee Bucks</v>
      </c>
      <c r="N29" s="393">
        <f>VLOOKUP(M29,Standings!$C$6:$G$35,5,FALSE)</f>
        <v>0.52900000000000003</v>
      </c>
      <c r="O29" s="398">
        <f t="shared" si="8"/>
        <v>15</v>
      </c>
      <c r="P29" s="398">
        <f>VLOOKUP($M$22,Standings!$C$6:$G$35,3,FALSE)-VLOOKUP(M29,Standings!$C$6:$G$35,3,FALSE)</f>
        <v>15</v>
      </c>
      <c r="Q29" s="391">
        <f>VLOOKUP(M29,Standings!$C$6:$G$35,4,FALSE)-VLOOKUP($M$22,Standings!$C$6:$G$35,4,FALSE)</f>
        <v>15</v>
      </c>
      <c r="S29">
        <v>25</v>
      </c>
      <c r="T29" s="1" t="s">
        <v>697</v>
      </c>
      <c r="U29">
        <v>72</v>
      </c>
      <c r="V29">
        <v>23</v>
      </c>
      <c r="W29">
        <v>49</v>
      </c>
      <c r="X29">
        <v>0.31900000000000001</v>
      </c>
      <c r="Y29">
        <v>48.2</v>
      </c>
      <c r="Z29">
        <v>99.4</v>
      </c>
      <c r="AA29">
        <v>38.9</v>
      </c>
      <c r="AB29">
        <v>86.2</v>
      </c>
      <c r="AC29">
        <v>45.2</v>
      </c>
      <c r="AD29">
        <v>9.1</v>
      </c>
      <c r="AE29">
        <v>23.9</v>
      </c>
      <c r="AF29">
        <v>38.1</v>
      </c>
      <c r="AG29">
        <v>12.4</v>
      </c>
      <c r="AH29">
        <v>16.899999999999999</v>
      </c>
      <c r="AI29">
        <v>73.5</v>
      </c>
      <c r="AJ29">
        <v>9.4</v>
      </c>
      <c r="AK29">
        <v>31.2</v>
      </c>
      <c r="AL29">
        <v>40.6</v>
      </c>
      <c r="AM29">
        <v>21.5</v>
      </c>
      <c r="AN29">
        <v>13.8</v>
      </c>
      <c r="AO29">
        <v>8.1</v>
      </c>
      <c r="AP29">
        <v>4.0999999999999996</v>
      </c>
      <c r="AQ29">
        <v>4.7</v>
      </c>
      <c r="AR29">
        <v>19.899999999999999</v>
      </c>
      <c r="AS29">
        <v>17.5</v>
      </c>
      <c r="AT29">
        <v>-7.7</v>
      </c>
      <c r="AU29" t="str">
        <f>IF(M29&lt;&gt;VLOOKUP(M29,'Team Stats'!$V$5:$X$34,3,FALSE),"hi","")</f>
        <v/>
      </c>
    </row>
    <row r="30" spans="2:47">
      <c r="B30" s="342" t="str">
        <f t="shared" si="2"/>
        <v>Sacramento Kings</v>
      </c>
      <c r="C30" s="353" t="str">
        <f>IF(Standings!$B30="LA Clippers","Los Angeles Clippers",B30)</f>
        <v>Sacramento Kings</v>
      </c>
      <c r="D30" s="359">
        <f t="shared" si="3"/>
        <v>72</v>
      </c>
      <c r="E30" s="359">
        <f t="shared" si="4"/>
        <v>23</v>
      </c>
      <c r="F30" s="359">
        <f t="shared" si="5"/>
        <v>49</v>
      </c>
      <c r="G30" s="343">
        <f t="shared" si="6"/>
        <v>0.31900000000000001</v>
      </c>
      <c r="H30" s="271" t="str">
        <f>IF(OR(Table2[[#This Row],[Team ]]="Houston Rockets",Table2[[#This Row],[Team ]]="Golden State Warriors",Table2[[#This Row],[Team ]]="Portland Trail Blazers",Table2[[#This Row],[Team ]]="New Orleans Pelicans",Table2[[#This Row],[Team ]]="San Antonio Spurs",Table2[[#This Row],[Team ]]="Minnesota Timberwolves",Table2[[#This Row],[Team ]]="Oklahoma City Thunder",Table2[[#This Row],[Team ]]="Los Angeles Clippers",Table2[[#This Row],[Team ]]="Denver Nuggets",Table2[[#This Row],[Team ]]="Utah Jazz",Table2[[#This Row],[Team ]]="Los Angeles Lakers",Table2[[#This Row],[Team ]]="Dallas Mavericks",Table2[[#This Row],[Team ]]="Sacramento Kings",Table2[[#This Row],[Team ]]="Phoenix Suns",Table2[[#This Row],[Team ]]="Memphis Grizzlies"),"w","e")</f>
        <v>w</v>
      </c>
      <c r="I30" s="271" t="str">
        <f t="shared" si="7"/>
        <v/>
      </c>
      <c r="L30" s="7">
        <v>9</v>
      </c>
      <c r="M30" s="265" t="str">
        <f t="array" ref="M30">INDEX(Standings!$C$6:$C$35,SMALL(IF($H$6:$H$35="e",ROW($H$6:$H$35)-ROW($H$6)+1),ROWS(M$22:M30)))</f>
        <v>Detroit Pistons</v>
      </c>
      <c r="N30" s="394">
        <f>VLOOKUP(M30,Standings!$C$6:$G$35,5,FALSE)</f>
        <v>0.443</v>
      </c>
      <c r="O30" s="397">
        <f t="shared" si="8"/>
        <v>21</v>
      </c>
      <c r="P30" s="397">
        <f>VLOOKUP($M$22,Standings!$C$6:$G$35,3,FALSE)-VLOOKUP(M30,Standings!$C$6:$G$35,3,FALSE)</f>
        <v>21</v>
      </c>
      <c r="Q30" s="390">
        <f>VLOOKUP(M30,Standings!$C$6:$G$35,4,FALSE)-VLOOKUP($M$22,Standings!$C$6:$G$35,4,FALSE)</f>
        <v>21</v>
      </c>
      <c r="S30">
        <v>26</v>
      </c>
      <c r="T30" s="1" t="s">
        <v>678</v>
      </c>
      <c r="U30">
        <v>70</v>
      </c>
      <c r="V30">
        <v>22</v>
      </c>
      <c r="W30">
        <v>48</v>
      </c>
      <c r="X30">
        <v>0.314</v>
      </c>
      <c r="Y30">
        <v>48.3</v>
      </c>
      <c r="Z30">
        <v>102.6</v>
      </c>
      <c r="AA30">
        <v>38.1</v>
      </c>
      <c r="AB30">
        <v>85.5</v>
      </c>
      <c r="AC30">
        <v>44.6</v>
      </c>
      <c r="AD30">
        <v>11.7</v>
      </c>
      <c r="AE30">
        <v>32.1</v>
      </c>
      <c r="AF30">
        <v>36.4</v>
      </c>
      <c r="AG30">
        <v>14.7</v>
      </c>
      <c r="AH30">
        <v>19.100000000000001</v>
      </c>
      <c r="AI30">
        <v>77</v>
      </c>
      <c r="AJ30">
        <v>8.1</v>
      </c>
      <c r="AK30">
        <v>33</v>
      </c>
      <c r="AL30">
        <v>41.1</v>
      </c>
      <c r="AM30">
        <v>22.7</v>
      </c>
      <c r="AN30">
        <v>12.4</v>
      </c>
      <c r="AO30">
        <v>7.1</v>
      </c>
      <c r="AP30">
        <v>3.7</v>
      </c>
      <c r="AQ30">
        <v>4.5</v>
      </c>
      <c r="AR30">
        <v>19.5</v>
      </c>
      <c r="AS30">
        <v>20.100000000000001</v>
      </c>
      <c r="AT30">
        <v>-2.4</v>
      </c>
    </row>
    <row r="31" spans="2:47">
      <c r="B31" s="344" t="str">
        <f t="shared" si="2"/>
        <v>Dallas Mavericks</v>
      </c>
      <c r="C31" s="354" t="str">
        <f>IF(Standings!$B31="LA Clippers","Los Angeles Clippers",B31)</f>
        <v>Dallas Mavericks</v>
      </c>
      <c r="D31" s="360">
        <f t="shared" si="3"/>
        <v>70</v>
      </c>
      <c r="E31" s="360">
        <f t="shared" si="4"/>
        <v>22</v>
      </c>
      <c r="F31" s="360">
        <f t="shared" si="5"/>
        <v>48</v>
      </c>
      <c r="G31" s="345">
        <f t="shared" si="6"/>
        <v>0.314</v>
      </c>
      <c r="H31" s="272" t="str">
        <f>IF(OR(Table2[[#This Row],[Team ]]="Houston Rockets",Table2[[#This Row],[Team ]]="Golden State Warriors",Table2[[#This Row],[Team ]]="Portland Trail Blazers",Table2[[#This Row],[Team ]]="New Orleans Pelicans",Table2[[#This Row],[Team ]]="San Antonio Spurs",Table2[[#This Row],[Team ]]="Minnesota Timberwolves",Table2[[#This Row],[Team ]]="Oklahoma City Thunder",Table2[[#This Row],[Team ]]="Los Angeles Clippers",Table2[[#This Row],[Team ]]="Denver Nuggets",Table2[[#This Row],[Team ]]="Utah Jazz",Table2[[#This Row],[Team ]]="Los Angeles Lakers",Table2[[#This Row],[Team ]]="Dallas Mavericks",Table2[[#This Row],[Team ]]="Sacramento Kings",Table2[[#This Row],[Team ]]="Phoenix Suns",Table2[[#This Row],[Team ]]="Memphis Grizzlies"),"w","e")</f>
        <v>w</v>
      </c>
      <c r="I31" s="272" t="str">
        <f t="shared" si="7"/>
        <v/>
      </c>
      <c r="L31" s="7">
        <v>10</v>
      </c>
      <c r="M31" s="264" t="str">
        <f t="array" ref="M31">INDEX(Standings!$C$6:$C$35,SMALL(IF($H$6:$H$35="e",ROW($H$6:$H$35)-ROW($H$6)+1),ROWS(M$22:M31)))</f>
        <v>Charlotte Hornets</v>
      </c>
      <c r="N31" s="393">
        <f>VLOOKUP(M31,Standings!$C$6:$G$35,5,FALSE)</f>
        <v>0.42299999999999999</v>
      </c>
      <c r="O31" s="397">
        <f t="shared" si="8"/>
        <v>22.5</v>
      </c>
      <c r="P31" s="397">
        <f>VLOOKUP($M$22,Standings!$C$6:$G$35,3,FALSE)-VLOOKUP(M31,Standings!$C$6:$G$35,3,FALSE)</f>
        <v>22</v>
      </c>
      <c r="Q31" s="390">
        <f>VLOOKUP(M31,Standings!$C$6:$G$35,4,FALSE)-VLOOKUP($M$22,Standings!$C$6:$G$35,4,FALSE)</f>
        <v>23</v>
      </c>
      <c r="S31">
        <v>27</v>
      </c>
      <c r="T31" s="1" t="s">
        <v>693</v>
      </c>
      <c r="U31">
        <v>70</v>
      </c>
      <c r="V31">
        <v>21</v>
      </c>
      <c r="W31">
        <v>49</v>
      </c>
      <c r="X31">
        <v>0.3</v>
      </c>
      <c r="Y31">
        <v>48.1</v>
      </c>
      <c r="Z31">
        <v>104.7</v>
      </c>
      <c r="AA31">
        <v>39.1</v>
      </c>
      <c r="AB31">
        <v>85.4</v>
      </c>
      <c r="AC31">
        <v>45.8</v>
      </c>
      <c r="AD31">
        <v>10.5</v>
      </c>
      <c r="AE31">
        <v>29.2</v>
      </c>
      <c r="AF31">
        <v>35.9</v>
      </c>
      <c r="AG31">
        <v>15.9</v>
      </c>
      <c r="AH31">
        <v>20.8</v>
      </c>
      <c r="AI31">
        <v>76.3</v>
      </c>
      <c r="AJ31">
        <v>8.6</v>
      </c>
      <c r="AK31">
        <v>32.4</v>
      </c>
      <c r="AL31">
        <v>41</v>
      </c>
      <c r="AM31">
        <v>23.3</v>
      </c>
      <c r="AN31">
        <v>14.8</v>
      </c>
      <c r="AO31">
        <v>7.5</v>
      </c>
      <c r="AP31">
        <v>4.8</v>
      </c>
      <c r="AQ31">
        <v>5</v>
      </c>
      <c r="AR31">
        <v>19.7</v>
      </c>
      <c r="AS31">
        <v>19.2</v>
      </c>
      <c r="AT31">
        <v>-4.7</v>
      </c>
    </row>
    <row r="32" spans="2:47">
      <c r="B32" s="342" t="str">
        <f t="shared" si="2"/>
        <v>Orlando Magic</v>
      </c>
      <c r="C32" s="353" t="str">
        <f>IF(Standings!$B32="LA Clippers","Los Angeles Clippers",B32)</f>
        <v>Orlando Magic</v>
      </c>
      <c r="D32" s="359">
        <f t="shared" si="3"/>
        <v>70</v>
      </c>
      <c r="E32" s="359">
        <f t="shared" si="4"/>
        <v>21</v>
      </c>
      <c r="F32" s="359">
        <f t="shared" si="5"/>
        <v>49</v>
      </c>
      <c r="G32" s="343">
        <f t="shared" si="6"/>
        <v>0.3</v>
      </c>
      <c r="H32" s="271" t="str">
        <f>IF(OR(Table2[[#This Row],[Team ]]="Houston Rockets",Table2[[#This Row],[Team ]]="Golden State Warriors",Table2[[#This Row],[Team ]]="Portland Trail Blazers",Table2[[#This Row],[Team ]]="New Orleans Pelicans",Table2[[#This Row],[Team ]]="San Antonio Spurs",Table2[[#This Row],[Team ]]="Minnesota Timberwolves",Table2[[#This Row],[Team ]]="Oklahoma City Thunder",Table2[[#This Row],[Team ]]="Los Angeles Clippers",Table2[[#This Row],[Team ]]="Denver Nuggets",Table2[[#This Row],[Team ]]="Utah Jazz",Table2[[#This Row],[Team ]]="Los Angeles Lakers",Table2[[#This Row],[Team ]]="Dallas Mavericks",Table2[[#This Row],[Team ]]="Sacramento Kings",Table2[[#This Row],[Team ]]="Phoenix Suns",Table2[[#This Row],[Team ]]="Memphis Grizzlies"),"w","e")</f>
        <v>e</v>
      </c>
      <c r="I32" s="271" t="str">
        <f t="shared" si="7"/>
        <v/>
      </c>
      <c r="L32" s="7">
        <v>11</v>
      </c>
      <c r="M32" s="263" t="str">
        <f t="array" ref="M32">INDEX(Standings!$C$6:$C$35,SMALL(IF($H$6:$H$35="e",ROW($H$6:$H$35)-ROW($H$6)+1),ROWS(M$22:M32)))</f>
        <v>New York Knicks</v>
      </c>
      <c r="N32" s="392">
        <f>VLOOKUP(M32,Standings!$C$6:$G$35,5,FALSE)</f>
        <v>0.36599999999999999</v>
      </c>
      <c r="O32" s="397">
        <f t="shared" si="8"/>
        <v>26.5</v>
      </c>
      <c r="P32" s="397">
        <f>VLOOKUP($M$22,Standings!$C$6:$G$35,3,FALSE)-VLOOKUP(M32,Standings!$C$6:$G$35,3,FALSE)</f>
        <v>26</v>
      </c>
      <c r="Q32" s="390">
        <f>VLOOKUP(M32,Standings!$C$6:$G$35,4,FALSE)-VLOOKUP($M$22,Standings!$C$6:$G$35,4,FALSE)</f>
        <v>27</v>
      </c>
      <c r="S32">
        <v>28</v>
      </c>
      <c r="T32" s="1" t="s">
        <v>674</v>
      </c>
      <c r="U32">
        <v>70</v>
      </c>
      <c r="V32">
        <v>20</v>
      </c>
      <c r="W32">
        <v>50</v>
      </c>
      <c r="X32">
        <v>0.28599999999999998</v>
      </c>
      <c r="Y32">
        <v>48.1</v>
      </c>
      <c r="Z32">
        <v>104</v>
      </c>
      <c r="AA32">
        <v>38.200000000000003</v>
      </c>
      <c r="AB32">
        <v>85.2</v>
      </c>
      <c r="AC32">
        <v>44.8</v>
      </c>
      <c r="AD32">
        <v>11.1</v>
      </c>
      <c r="AE32">
        <v>30.5</v>
      </c>
      <c r="AF32">
        <v>36.6</v>
      </c>
      <c r="AG32">
        <v>16.5</v>
      </c>
      <c r="AH32">
        <v>20.7</v>
      </c>
      <c r="AI32">
        <v>79.599999999999994</v>
      </c>
      <c r="AJ32">
        <v>9.3000000000000007</v>
      </c>
      <c r="AK32">
        <v>31.9</v>
      </c>
      <c r="AL32">
        <v>41.2</v>
      </c>
      <c r="AM32">
        <v>23.8</v>
      </c>
      <c r="AN32">
        <v>15.7</v>
      </c>
      <c r="AO32">
        <v>8</v>
      </c>
      <c r="AP32">
        <v>4.4000000000000004</v>
      </c>
      <c r="AQ32">
        <v>5.4</v>
      </c>
      <c r="AR32">
        <v>20</v>
      </c>
      <c r="AS32">
        <v>20.8</v>
      </c>
      <c r="AT32">
        <v>-5.2</v>
      </c>
    </row>
    <row r="33" spans="2:46">
      <c r="B33" s="344" t="str">
        <f t="shared" si="2"/>
        <v>Atlanta Hawks</v>
      </c>
      <c r="C33" s="354" t="str">
        <f>IF(Standings!$B33="LA Clippers","Los Angeles Clippers",B33)</f>
        <v>Atlanta Hawks</v>
      </c>
      <c r="D33" s="360">
        <f t="shared" si="3"/>
        <v>70</v>
      </c>
      <c r="E33" s="360">
        <f t="shared" si="4"/>
        <v>20</v>
      </c>
      <c r="F33" s="360">
        <f t="shared" si="5"/>
        <v>50</v>
      </c>
      <c r="G33" s="345">
        <f t="shared" si="6"/>
        <v>0.28599999999999998</v>
      </c>
      <c r="H33" s="272" t="str">
        <f>IF(OR(Table2[[#This Row],[Team ]]="Houston Rockets",Table2[[#This Row],[Team ]]="Golden State Warriors",Table2[[#This Row],[Team ]]="Portland Trail Blazers",Table2[[#This Row],[Team ]]="New Orleans Pelicans",Table2[[#This Row],[Team ]]="San Antonio Spurs",Table2[[#This Row],[Team ]]="Minnesota Timberwolves",Table2[[#This Row],[Team ]]="Oklahoma City Thunder",Table2[[#This Row],[Team ]]="Los Angeles Clippers",Table2[[#This Row],[Team ]]="Denver Nuggets",Table2[[#This Row],[Team ]]="Utah Jazz",Table2[[#This Row],[Team ]]="Los Angeles Lakers",Table2[[#This Row],[Team ]]="Dallas Mavericks",Table2[[#This Row],[Team ]]="Sacramento Kings",Table2[[#This Row],[Team ]]="Phoenix Suns",Table2[[#This Row],[Team ]]="Memphis Grizzlies"),"w","e")</f>
        <v>e</v>
      </c>
      <c r="I33" s="272" t="str">
        <f t="shared" si="7"/>
        <v/>
      </c>
      <c r="L33" s="7">
        <v>12</v>
      </c>
      <c r="M33" s="264" t="str">
        <f t="array" ref="M33">INDEX(Standings!$C$6:$C$35,SMALL(IF($H$6:$H$35="e",ROW($H$6:$H$35)-ROW($H$6)+1),ROWS(M$22:M33)))</f>
        <v>Chicago Bulls</v>
      </c>
      <c r="N33" s="393">
        <f>VLOOKUP(M33,Standings!$C$6:$G$35,5,FALSE)</f>
        <v>0.34300000000000003</v>
      </c>
      <c r="O33" s="397">
        <f t="shared" si="8"/>
        <v>28</v>
      </c>
      <c r="P33" s="397">
        <f>VLOOKUP($M$22,Standings!$C$6:$G$35,3,FALSE)-VLOOKUP(M33,Standings!$C$6:$G$35,3,FALSE)</f>
        <v>28</v>
      </c>
      <c r="Q33" s="390">
        <f>VLOOKUP(M33,Standings!$C$6:$G$35,4,FALSE)-VLOOKUP($M$22,Standings!$C$6:$G$35,4,FALSE)</f>
        <v>28</v>
      </c>
      <c r="S33">
        <v>29</v>
      </c>
      <c r="T33" s="1" t="s">
        <v>686</v>
      </c>
      <c r="U33">
        <v>70</v>
      </c>
      <c r="V33">
        <v>19</v>
      </c>
      <c r="W33">
        <v>51</v>
      </c>
      <c r="X33">
        <v>0.27100000000000002</v>
      </c>
      <c r="Y33">
        <v>48.1</v>
      </c>
      <c r="Z33">
        <v>99</v>
      </c>
      <c r="AA33">
        <v>36.4</v>
      </c>
      <c r="AB33">
        <v>82.2</v>
      </c>
      <c r="AC33">
        <v>44.3</v>
      </c>
      <c r="AD33">
        <v>9.1999999999999993</v>
      </c>
      <c r="AE33">
        <v>26.3</v>
      </c>
      <c r="AF33">
        <v>35</v>
      </c>
      <c r="AG33">
        <v>17</v>
      </c>
      <c r="AH33">
        <v>21.5</v>
      </c>
      <c r="AI33">
        <v>79</v>
      </c>
      <c r="AJ33">
        <v>9.4</v>
      </c>
      <c r="AK33">
        <v>31.2</v>
      </c>
      <c r="AL33">
        <v>40.6</v>
      </c>
      <c r="AM33">
        <v>21.4</v>
      </c>
      <c r="AN33">
        <v>14.9</v>
      </c>
      <c r="AO33">
        <v>7.4</v>
      </c>
      <c r="AP33">
        <v>5</v>
      </c>
      <c r="AQ33">
        <v>5.3</v>
      </c>
      <c r="AR33">
        <v>23.7</v>
      </c>
      <c r="AS33">
        <v>20.7</v>
      </c>
      <c r="AT33">
        <v>-5.2</v>
      </c>
    </row>
    <row r="34" spans="2:46">
      <c r="B34" s="342" t="str">
        <f t="shared" si="2"/>
        <v>Memphis Grizzlies</v>
      </c>
      <c r="C34" s="353" t="str">
        <f>IF(Standings!$B34="LA Clippers","Los Angeles Clippers",B34)</f>
        <v>Memphis Grizzlies</v>
      </c>
      <c r="D34" s="359">
        <f t="shared" si="3"/>
        <v>70</v>
      </c>
      <c r="E34" s="359">
        <f t="shared" si="4"/>
        <v>19</v>
      </c>
      <c r="F34" s="359">
        <f t="shared" si="5"/>
        <v>51</v>
      </c>
      <c r="G34" s="343">
        <f t="shared" si="6"/>
        <v>0.27100000000000002</v>
      </c>
      <c r="H34" s="271" t="str">
        <f>IF(OR(Table2[[#This Row],[Team ]]="Houston Rockets",Table2[[#This Row],[Team ]]="Golden State Warriors",Table2[[#This Row],[Team ]]="Portland Trail Blazers",Table2[[#This Row],[Team ]]="New Orleans Pelicans",Table2[[#This Row],[Team ]]="San Antonio Spurs",Table2[[#This Row],[Team ]]="Minnesota Timberwolves",Table2[[#This Row],[Team ]]="Oklahoma City Thunder",Table2[[#This Row],[Team ]]="Los Angeles Clippers",Table2[[#This Row],[Team ]]="Denver Nuggets",Table2[[#This Row],[Team ]]="Utah Jazz",Table2[[#This Row],[Team ]]="Los Angeles Lakers",Table2[[#This Row],[Team ]]="Dallas Mavericks",Table2[[#This Row],[Team ]]="Sacramento Kings",Table2[[#This Row],[Team ]]="Phoenix Suns",Table2[[#This Row],[Team ]]="Memphis Grizzlies"),"w","e")</f>
        <v>w</v>
      </c>
      <c r="I34" s="271" t="str">
        <f t="shared" si="7"/>
        <v/>
      </c>
      <c r="L34" s="7">
        <v>13</v>
      </c>
      <c r="M34" s="263" t="str">
        <f t="array" ref="M34">INDEX(Standings!$C$6:$C$35,SMALL(IF($H$6:$H$35="e",ROW($H$6:$H$35)-ROW($H$6)+1),ROWS(M$22:M34)))</f>
        <v>Brooklyn Nets</v>
      </c>
      <c r="N34" s="392">
        <f>VLOOKUP(M34,Standings!$C$6:$G$35,5,FALSE)</f>
        <v>0.32400000000000001</v>
      </c>
      <c r="O34" s="397">
        <f t="shared" si="8"/>
        <v>29.5</v>
      </c>
      <c r="P34" s="397">
        <f>VLOOKUP($M$22,Standings!$C$6:$G$35,3,FALSE)-VLOOKUP(M34,Standings!$C$6:$G$35,3,FALSE)</f>
        <v>29</v>
      </c>
      <c r="Q34" s="390">
        <f>VLOOKUP(M34,Standings!$C$6:$G$35,4,FALSE)-VLOOKUP($M$22,Standings!$C$6:$G$35,4,FALSE)</f>
        <v>30</v>
      </c>
      <c r="S34">
        <v>30</v>
      </c>
      <c r="T34" s="1" t="s">
        <v>695</v>
      </c>
      <c r="U34">
        <v>71</v>
      </c>
      <c r="V34">
        <v>19</v>
      </c>
      <c r="W34">
        <v>52</v>
      </c>
      <c r="X34">
        <v>0.26800000000000002</v>
      </c>
      <c r="Y34">
        <v>48.1</v>
      </c>
      <c r="Z34">
        <v>104.4</v>
      </c>
      <c r="AA34">
        <v>38.5</v>
      </c>
      <c r="AB34">
        <v>87.2</v>
      </c>
      <c r="AC34">
        <v>44.1</v>
      </c>
      <c r="AD34">
        <v>9.3000000000000007</v>
      </c>
      <c r="AE34">
        <v>27.5</v>
      </c>
      <c r="AF34">
        <v>33.799999999999997</v>
      </c>
      <c r="AG34">
        <v>18.2</v>
      </c>
      <c r="AH34">
        <v>24.4</v>
      </c>
      <c r="AI34">
        <v>74.599999999999994</v>
      </c>
      <c r="AJ34">
        <v>10.5</v>
      </c>
      <c r="AK34">
        <v>33.6</v>
      </c>
      <c r="AL34">
        <v>44.1</v>
      </c>
      <c r="AM34">
        <v>21.1</v>
      </c>
      <c r="AN34">
        <v>15.7</v>
      </c>
      <c r="AO34">
        <v>6.8</v>
      </c>
      <c r="AP34">
        <v>4.5</v>
      </c>
      <c r="AQ34">
        <v>5.9</v>
      </c>
      <c r="AR34">
        <v>22.6</v>
      </c>
      <c r="AS34">
        <v>21.5</v>
      </c>
      <c r="AT34">
        <v>-9.5</v>
      </c>
    </row>
    <row r="35" spans="2:46">
      <c r="B35" s="340" t="str">
        <f t="shared" si="2"/>
        <v>Phoenix Suns</v>
      </c>
      <c r="C35" s="354" t="str">
        <f>IF(Standings!$B35="LA Clippers","Los Angeles Clippers",B35)</f>
        <v>Phoenix Suns</v>
      </c>
      <c r="D35" s="360">
        <f t="shared" si="3"/>
        <v>71</v>
      </c>
      <c r="E35" s="360">
        <f t="shared" si="4"/>
        <v>19</v>
      </c>
      <c r="F35" s="360">
        <f t="shared" si="5"/>
        <v>52</v>
      </c>
      <c r="G35" s="345">
        <f t="shared" si="6"/>
        <v>0.26800000000000002</v>
      </c>
      <c r="H35" s="272" t="str">
        <f>IF(OR(Table2[[#This Row],[Team ]]="Houston Rockets",Table2[[#This Row],[Team ]]="Golden State Warriors",Table2[[#This Row],[Team ]]="Portland Trail Blazers",Table2[[#This Row],[Team ]]="New Orleans Pelicans",Table2[[#This Row],[Team ]]="San Antonio Spurs",Table2[[#This Row],[Team ]]="Minnesota Timberwolves",Table2[[#This Row],[Team ]]="Oklahoma City Thunder",Table2[[#This Row],[Team ]]="Los Angeles Clippers",Table2[[#This Row],[Team ]]="Denver Nuggets",Table2[[#This Row],[Team ]]="Utah Jazz",Table2[[#This Row],[Team ]]="Los Angeles Lakers",Table2[[#This Row],[Team ]]="Dallas Mavericks",Table2[[#This Row],[Team ]]="Sacramento Kings",Table2[[#This Row],[Team ]]="Phoenix Suns",Table2[[#This Row],[Team ]]="Memphis Grizzlies"),"w","e")</f>
        <v>w</v>
      </c>
      <c r="I35" s="272" t="str">
        <f t="shared" si="7"/>
        <v/>
      </c>
      <c r="L35" s="7">
        <v>14</v>
      </c>
      <c r="M35" s="264" t="str">
        <f t="array" ref="M35">INDEX(Standings!$C$6:$C$35,SMALL(IF($H$6:$H$35="e",ROW($H$6:$H$35)-ROW($H$6)+1),ROWS(M$22:M35)))</f>
        <v>Orlando Magic</v>
      </c>
      <c r="N35" s="393">
        <f>VLOOKUP(M35,Standings!$C$6:$G$35,5,FALSE)</f>
        <v>0.3</v>
      </c>
      <c r="O35" s="397">
        <f t="shared" si="8"/>
        <v>31</v>
      </c>
      <c r="P35" s="397">
        <f>VLOOKUP($M$22,Standings!$C$6:$G$35,3,FALSE)-VLOOKUP(M35,Standings!$C$6:$G$35,3,FALSE)</f>
        <v>31</v>
      </c>
      <c r="Q35" s="390">
        <f>VLOOKUP(M35,Standings!$C$6:$G$35,4,FALSE)-VLOOKUP($M$22,Standings!$C$6:$G$35,4,FALSE)</f>
        <v>31</v>
      </c>
      <c r="V35" s="1"/>
      <c r="X35" s="1"/>
    </row>
    <row r="36" spans="2:46">
      <c r="L36" s="7">
        <v>15</v>
      </c>
      <c r="M36" s="258" t="str">
        <f t="array" ref="M36">INDEX(Standings!$C$6:$C$35,SMALL(IF($H$6:$H$35="e",ROW($H$6:$H$35)-ROW($H$6)+1),ROWS(M$22:M36)))</f>
        <v>Atlanta Hawks</v>
      </c>
      <c r="N36" s="395">
        <f>VLOOKUP(M36,Standings!$C$6:$G$35,5,FALSE)</f>
        <v>0.28599999999999998</v>
      </c>
      <c r="O36" s="399">
        <f t="shared" si="8"/>
        <v>32</v>
      </c>
      <c r="P36" s="399">
        <f>VLOOKUP($M$22,Standings!$C$6:$G$35,3,FALSE)-VLOOKUP(M36,Standings!$C$6:$G$35,3,FALSE)</f>
        <v>32</v>
      </c>
      <c r="Q36" s="401">
        <f>VLOOKUP(M36,Standings!$C$6:$G$35,4,FALSE)-VLOOKUP($M$22,Standings!$C$6:$G$35,4,FALSE)</f>
        <v>32</v>
      </c>
      <c r="W36" s="1"/>
      <c r="X36" s="1"/>
      <c r="Y36" s="1"/>
      <c r="Z36" s="1"/>
      <c r="AA36" s="1"/>
      <c r="AB36" s="1"/>
      <c r="AC36" s="1"/>
    </row>
  </sheetData>
  <pageMargins left="0.7" right="0.7" top="0.75" bottom="0.75" header="0.3" footer="0.3"/>
  <pageSetup orientation="portrait" r:id="rId1"/>
  <drawing r:id="rId2"/>
  <legacyDrawing r:id="rId3"/>
  <tableParts count="2">
    <tablePart r:id="rId4"/>
    <tablePart r:id="rId5"/>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8"/>
  <dimension ref="A4:W86"/>
  <sheetViews>
    <sheetView workbookViewId="0">
      <selection activeCell="A7" sqref="A7"/>
    </sheetView>
  </sheetViews>
  <sheetFormatPr defaultColWidth="8.85546875" defaultRowHeight="15"/>
  <cols>
    <col min="1" max="1" width="17.5703125" bestFit="1" customWidth="1"/>
    <col min="2" max="2" width="4.7109375" bestFit="1" customWidth="1"/>
    <col min="3" max="3" width="4.42578125" bestFit="1" customWidth="1"/>
    <col min="4" max="4" width="4.140625" bestFit="1" customWidth="1"/>
    <col min="5" max="5" width="5.85546875" bestFit="1" customWidth="1"/>
    <col min="6" max="6" width="12.5703125" style="32" bestFit="1" customWidth="1"/>
    <col min="7" max="7" width="7.140625" bestFit="1" customWidth="1"/>
    <col min="9" max="9" width="24.85546875" bestFit="1" customWidth="1"/>
    <col min="10" max="10" width="4.7109375" bestFit="1" customWidth="1"/>
    <col min="11" max="11" width="4.42578125" bestFit="1" customWidth="1"/>
    <col min="12" max="12" width="4.140625" bestFit="1" customWidth="1"/>
    <col min="13" max="13" width="5.85546875" bestFit="1" customWidth="1"/>
    <col min="14" max="14" width="12.5703125" style="32" bestFit="1" customWidth="1"/>
    <col min="15" max="15" width="7.140625" bestFit="1" customWidth="1"/>
    <col min="17" max="17" width="19.140625" bestFit="1" customWidth="1"/>
    <col min="18" max="18" width="4.7109375" bestFit="1" customWidth="1"/>
    <col min="19" max="19" width="4.42578125" bestFit="1" customWidth="1"/>
    <col min="20" max="20" width="4.140625" bestFit="1" customWidth="1"/>
    <col min="21" max="21" width="5.85546875" bestFit="1" customWidth="1"/>
    <col min="22" max="22" width="12.5703125" style="32" bestFit="1" customWidth="1"/>
    <col min="23" max="23" width="7.140625" bestFit="1" customWidth="1"/>
  </cols>
  <sheetData>
    <row r="4" spans="1:23" ht="15" customHeight="1">
      <c r="A4" s="274"/>
      <c r="B4" s="274"/>
      <c r="I4" s="274"/>
      <c r="J4" s="274"/>
      <c r="Q4" s="274"/>
      <c r="R4" s="274"/>
    </row>
    <row r="5" spans="1:23" ht="15" customHeight="1">
      <c r="A5" s="274"/>
      <c r="B5" s="274"/>
      <c r="I5" s="274"/>
      <c r="J5" s="274"/>
      <c r="Q5" s="274"/>
      <c r="R5" s="274"/>
    </row>
    <row r="6" spans="1:23">
      <c r="A6" t="s">
        <v>258</v>
      </c>
      <c r="B6" t="s">
        <v>889</v>
      </c>
      <c r="C6" t="s">
        <v>255</v>
      </c>
      <c r="D6" t="s">
        <v>254</v>
      </c>
      <c r="E6" t="s">
        <v>256</v>
      </c>
      <c r="F6" s="273" t="s">
        <v>890</v>
      </c>
      <c r="G6" t="s">
        <v>891</v>
      </c>
      <c r="I6" t="s">
        <v>258</v>
      </c>
      <c r="J6" t="s">
        <v>889</v>
      </c>
      <c r="K6" t="s">
        <v>255</v>
      </c>
      <c r="L6" t="s">
        <v>254</v>
      </c>
      <c r="M6" t="s">
        <v>256</v>
      </c>
      <c r="N6" s="273" t="s">
        <v>890</v>
      </c>
      <c r="O6" t="s">
        <v>891</v>
      </c>
      <c r="Q6" t="s">
        <v>258</v>
      </c>
      <c r="R6" t="s">
        <v>889</v>
      </c>
      <c r="S6" t="s">
        <v>255</v>
      </c>
      <c r="T6" t="s">
        <v>254</v>
      </c>
      <c r="U6" t="s">
        <v>256</v>
      </c>
      <c r="V6" s="273" t="s">
        <v>890</v>
      </c>
      <c r="W6" t="s">
        <v>891</v>
      </c>
    </row>
    <row r="7" spans="1:23">
      <c r="A7" s="1" t="s">
        <v>511</v>
      </c>
      <c r="B7" s="1" t="s">
        <v>83</v>
      </c>
      <c r="C7">
        <v>28</v>
      </c>
      <c r="D7">
        <v>4</v>
      </c>
      <c r="E7" s="1" t="s">
        <v>149</v>
      </c>
      <c r="F7" s="32">
        <v>6300000</v>
      </c>
      <c r="G7" s="1" t="s">
        <v>258</v>
      </c>
      <c r="I7" s="1" t="s">
        <v>407</v>
      </c>
      <c r="J7" s="1" t="s">
        <v>38</v>
      </c>
      <c r="K7">
        <v>34</v>
      </c>
      <c r="L7">
        <v>11</v>
      </c>
      <c r="M7" s="1" t="s">
        <v>61</v>
      </c>
      <c r="N7" s="32">
        <v>30500000</v>
      </c>
      <c r="O7" s="1" t="s">
        <v>893</v>
      </c>
      <c r="Q7" s="1" t="s">
        <v>322</v>
      </c>
      <c r="R7" s="1" t="s">
        <v>20</v>
      </c>
      <c r="S7">
        <v>32</v>
      </c>
      <c r="T7">
        <v>10</v>
      </c>
      <c r="U7" s="1" t="s">
        <v>128</v>
      </c>
      <c r="V7" s="32">
        <v>34502130</v>
      </c>
      <c r="W7" s="1" t="s">
        <v>892</v>
      </c>
    </row>
    <row r="8" spans="1:23">
      <c r="A8" s="1" t="s">
        <v>492</v>
      </c>
      <c r="B8" s="1" t="s">
        <v>38</v>
      </c>
      <c r="C8">
        <v>26</v>
      </c>
      <c r="D8">
        <v>4</v>
      </c>
      <c r="E8" s="1" t="s">
        <v>149</v>
      </c>
      <c r="F8" s="32">
        <v>5000000</v>
      </c>
      <c r="G8" s="1" t="s">
        <v>258</v>
      </c>
      <c r="I8" s="1" t="s">
        <v>417</v>
      </c>
      <c r="J8" s="1" t="s">
        <v>83</v>
      </c>
      <c r="K8">
        <v>32</v>
      </c>
      <c r="L8">
        <v>10</v>
      </c>
      <c r="M8" s="1" t="s">
        <v>87</v>
      </c>
      <c r="N8" s="32">
        <v>30123014</v>
      </c>
      <c r="O8" s="1" t="s">
        <v>258</v>
      </c>
      <c r="Q8" s="1" t="s">
        <v>635</v>
      </c>
      <c r="R8" s="1" t="s">
        <v>26</v>
      </c>
      <c r="S8">
        <v>29</v>
      </c>
      <c r="T8">
        <v>7</v>
      </c>
      <c r="U8" s="1" t="s">
        <v>87</v>
      </c>
      <c r="V8" s="32">
        <v>34187085</v>
      </c>
      <c r="W8" s="1" t="s">
        <v>258</v>
      </c>
    </row>
    <row r="9" spans="1:23">
      <c r="A9" s="1" t="s">
        <v>354</v>
      </c>
      <c r="B9" s="1" t="s">
        <v>46</v>
      </c>
      <c r="C9">
        <v>33</v>
      </c>
      <c r="D9">
        <v>14</v>
      </c>
      <c r="E9" s="1" t="s">
        <v>102</v>
      </c>
      <c r="F9" s="32">
        <v>35607969</v>
      </c>
      <c r="G9" s="1" t="s">
        <v>258</v>
      </c>
      <c r="I9" s="1" t="s">
        <v>574</v>
      </c>
      <c r="J9" s="1" t="s">
        <v>83</v>
      </c>
      <c r="K9">
        <v>29</v>
      </c>
      <c r="L9">
        <v>5</v>
      </c>
      <c r="M9" s="1" t="s">
        <v>50</v>
      </c>
      <c r="N9" s="32">
        <v>27093019</v>
      </c>
      <c r="O9" s="1" t="s">
        <v>258</v>
      </c>
      <c r="Q9" s="1" t="s">
        <v>578</v>
      </c>
      <c r="R9" s="1" t="s">
        <v>83</v>
      </c>
      <c r="S9">
        <v>26</v>
      </c>
      <c r="T9">
        <v>5</v>
      </c>
      <c r="U9" s="1" t="s">
        <v>157</v>
      </c>
      <c r="V9" s="32">
        <v>28751775</v>
      </c>
      <c r="W9" s="1" t="s">
        <v>258</v>
      </c>
    </row>
    <row r="10" spans="1:23">
      <c r="A10" s="1" t="s">
        <v>327</v>
      </c>
      <c r="B10" s="1" t="s">
        <v>26</v>
      </c>
      <c r="C10">
        <v>31</v>
      </c>
      <c r="D10">
        <v>8</v>
      </c>
      <c r="E10" s="1" t="s">
        <v>33</v>
      </c>
      <c r="F10" s="32">
        <v>18622513</v>
      </c>
      <c r="G10" s="1" t="s">
        <v>258</v>
      </c>
      <c r="I10" s="1" t="s">
        <v>375</v>
      </c>
      <c r="J10" s="1" t="s">
        <v>83</v>
      </c>
      <c r="K10">
        <v>34</v>
      </c>
      <c r="L10">
        <v>9</v>
      </c>
      <c r="M10" s="1" t="s">
        <v>128</v>
      </c>
      <c r="N10" s="32">
        <v>25595700</v>
      </c>
      <c r="O10" s="1" t="s">
        <v>258</v>
      </c>
      <c r="Q10" s="1" t="s">
        <v>903</v>
      </c>
      <c r="R10" s="1" t="s">
        <v>46</v>
      </c>
      <c r="S10">
        <v>26</v>
      </c>
      <c r="T10">
        <v>4</v>
      </c>
      <c r="U10" s="1" t="s">
        <v>27</v>
      </c>
      <c r="V10" s="32">
        <v>28489238</v>
      </c>
      <c r="W10" s="1" t="s">
        <v>258</v>
      </c>
    </row>
    <row r="11" spans="1:23">
      <c r="A11" s="1" t="s">
        <v>385</v>
      </c>
      <c r="B11" s="1" t="s">
        <v>38</v>
      </c>
      <c r="C11">
        <v>39</v>
      </c>
      <c r="D11">
        <v>19</v>
      </c>
      <c r="E11" s="1" t="s">
        <v>33</v>
      </c>
      <c r="F11" s="32">
        <v>5000000</v>
      </c>
      <c r="G11" s="1" t="s">
        <v>893</v>
      </c>
      <c r="I11" s="1" t="s">
        <v>390</v>
      </c>
      <c r="J11" s="1" t="s">
        <v>46</v>
      </c>
      <c r="K11">
        <v>26</v>
      </c>
      <c r="L11">
        <v>5</v>
      </c>
      <c r="M11" s="1" t="s">
        <v>33</v>
      </c>
      <c r="N11" s="32">
        <v>25102513</v>
      </c>
      <c r="O11" s="1" t="s">
        <v>258</v>
      </c>
      <c r="Q11" s="1" t="s">
        <v>419</v>
      </c>
      <c r="R11" s="1" t="s">
        <v>26</v>
      </c>
      <c r="S11">
        <v>30</v>
      </c>
      <c r="T11">
        <v>8</v>
      </c>
      <c r="U11" s="1" t="s">
        <v>47</v>
      </c>
      <c r="V11" s="32">
        <v>27739975</v>
      </c>
      <c r="W11" s="1" t="s">
        <v>258</v>
      </c>
    </row>
    <row r="12" spans="1:23">
      <c r="A12" s="1" t="s">
        <v>495</v>
      </c>
      <c r="B12" s="1" t="s">
        <v>38</v>
      </c>
      <c r="C12">
        <v>26</v>
      </c>
      <c r="E12" s="1" t="s">
        <v>33</v>
      </c>
      <c r="F12" s="32">
        <v>1378242</v>
      </c>
      <c r="G12" s="1" t="s">
        <v>893</v>
      </c>
      <c r="I12" s="1" t="s">
        <v>317</v>
      </c>
      <c r="J12" s="1" t="s">
        <v>20</v>
      </c>
      <c r="K12">
        <v>26</v>
      </c>
      <c r="L12">
        <v>6</v>
      </c>
      <c r="M12" s="1" t="s">
        <v>87</v>
      </c>
      <c r="N12" s="32">
        <v>21329750</v>
      </c>
      <c r="O12" s="1" t="s">
        <v>258</v>
      </c>
      <c r="Q12" s="1" t="s">
        <v>395</v>
      </c>
      <c r="R12" s="1" t="s">
        <v>26</v>
      </c>
      <c r="S12">
        <v>31</v>
      </c>
      <c r="T12">
        <v>9</v>
      </c>
      <c r="U12" s="1" t="s">
        <v>53</v>
      </c>
      <c r="V12" s="32">
        <v>27130435</v>
      </c>
      <c r="W12" s="1" t="s">
        <v>258</v>
      </c>
    </row>
    <row r="13" spans="1:23">
      <c r="A13" s="1" t="s">
        <v>412</v>
      </c>
      <c r="B13" s="1" t="s">
        <v>46</v>
      </c>
      <c r="C13">
        <v>30</v>
      </c>
      <c r="D13">
        <v>10</v>
      </c>
      <c r="E13" s="1" t="s">
        <v>61</v>
      </c>
      <c r="F13" s="32">
        <v>12800562</v>
      </c>
      <c r="G13" s="1" t="s">
        <v>258</v>
      </c>
      <c r="I13" s="1" t="s">
        <v>373</v>
      </c>
      <c r="J13" s="1" t="s">
        <v>46</v>
      </c>
      <c r="K13">
        <v>27</v>
      </c>
      <c r="L13">
        <v>6</v>
      </c>
      <c r="M13" s="1" t="s">
        <v>140</v>
      </c>
      <c r="N13" s="32">
        <v>21329750</v>
      </c>
      <c r="O13" s="1" t="s">
        <v>258</v>
      </c>
      <c r="Q13" s="1" t="s">
        <v>904</v>
      </c>
      <c r="R13" s="1" t="s">
        <v>26</v>
      </c>
      <c r="S13">
        <v>28</v>
      </c>
      <c r="T13">
        <v>4</v>
      </c>
      <c r="U13" s="1" t="s">
        <v>21</v>
      </c>
      <c r="V13" s="32">
        <v>18975000</v>
      </c>
      <c r="W13" s="1" t="s">
        <v>258</v>
      </c>
    </row>
    <row r="14" spans="1:23">
      <c r="A14" s="1" t="s">
        <v>620</v>
      </c>
      <c r="B14" s="1" t="s">
        <v>38</v>
      </c>
      <c r="C14">
        <v>29</v>
      </c>
      <c r="D14">
        <v>9</v>
      </c>
      <c r="E14" s="1" t="s">
        <v>61</v>
      </c>
      <c r="F14" s="32">
        <v>7464912</v>
      </c>
      <c r="G14" s="1" t="s">
        <v>258</v>
      </c>
      <c r="I14" s="1" t="s">
        <v>13</v>
      </c>
      <c r="J14" s="1" t="s">
        <v>26</v>
      </c>
      <c r="K14">
        <v>29</v>
      </c>
      <c r="L14">
        <v>6</v>
      </c>
      <c r="M14" s="1" t="s">
        <v>56</v>
      </c>
      <c r="N14" s="32">
        <v>19841627</v>
      </c>
      <c r="O14" s="1" t="s">
        <v>258</v>
      </c>
      <c r="Q14" s="1" t="s">
        <v>343</v>
      </c>
      <c r="R14" s="1" t="s">
        <v>26</v>
      </c>
      <c r="S14">
        <v>27</v>
      </c>
      <c r="T14">
        <v>5</v>
      </c>
      <c r="U14" s="1" t="s">
        <v>75</v>
      </c>
      <c r="V14" s="32">
        <v>17000000</v>
      </c>
      <c r="W14" s="1" t="s">
        <v>258</v>
      </c>
    </row>
    <row r="15" spans="1:23">
      <c r="A15" s="1" t="s">
        <v>409</v>
      </c>
      <c r="B15" s="1" t="s">
        <v>83</v>
      </c>
      <c r="C15">
        <v>23</v>
      </c>
      <c r="D15">
        <v>2</v>
      </c>
      <c r="E15" s="1" t="s">
        <v>61</v>
      </c>
      <c r="F15" s="32">
        <v>1600520</v>
      </c>
      <c r="G15" s="1" t="s">
        <v>893</v>
      </c>
      <c r="I15" s="1" t="s">
        <v>382</v>
      </c>
      <c r="J15" s="1" t="s">
        <v>46</v>
      </c>
      <c r="K15">
        <v>29</v>
      </c>
      <c r="L15">
        <v>5</v>
      </c>
      <c r="M15" s="1" t="s">
        <v>149</v>
      </c>
      <c r="N15" s="32">
        <v>19269662</v>
      </c>
      <c r="O15" s="1" t="s">
        <v>258</v>
      </c>
      <c r="Q15" s="1" t="s">
        <v>444</v>
      </c>
      <c r="R15" s="1" t="s">
        <v>38</v>
      </c>
      <c r="S15">
        <v>33</v>
      </c>
      <c r="T15">
        <v>8</v>
      </c>
      <c r="U15" s="1" t="s">
        <v>50</v>
      </c>
      <c r="V15" s="32">
        <v>16047100</v>
      </c>
      <c r="W15" s="1" t="s">
        <v>258</v>
      </c>
    </row>
    <row r="16" spans="1:23">
      <c r="A16" s="1" t="s">
        <v>326</v>
      </c>
      <c r="B16" s="1" t="s">
        <v>46</v>
      </c>
      <c r="C16">
        <v>29</v>
      </c>
      <c r="D16">
        <v>10</v>
      </c>
      <c r="E16" s="1" t="s">
        <v>73</v>
      </c>
      <c r="F16" s="32">
        <v>26250000</v>
      </c>
      <c r="G16" s="1" t="s">
        <v>258</v>
      </c>
      <c r="I16" s="1" t="s">
        <v>376</v>
      </c>
      <c r="J16" s="1" t="s">
        <v>20</v>
      </c>
      <c r="K16">
        <v>32</v>
      </c>
      <c r="L16">
        <v>9</v>
      </c>
      <c r="M16" s="1" t="s">
        <v>50</v>
      </c>
      <c r="N16" s="32">
        <v>19217900</v>
      </c>
      <c r="O16" s="1" t="s">
        <v>258</v>
      </c>
      <c r="Q16" s="1" t="s">
        <v>617</v>
      </c>
      <c r="R16" s="1" t="s">
        <v>20</v>
      </c>
      <c r="S16">
        <v>21</v>
      </c>
      <c r="U16" s="1" t="s">
        <v>118</v>
      </c>
      <c r="V16" s="32">
        <v>12288697</v>
      </c>
      <c r="W16" s="1" t="s">
        <v>893</v>
      </c>
    </row>
    <row r="17" spans="1:23">
      <c r="A17" s="1" t="s">
        <v>453</v>
      </c>
      <c r="B17" s="1" t="s">
        <v>38</v>
      </c>
      <c r="C17">
        <v>29</v>
      </c>
      <c r="D17">
        <v>10</v>
      </c>
      <c r="E17" s="1" t="s">
        <v>30</v>
      </c>
      <c r="F17" s="32">
        <v>13764045</v>
      </c>
      <c r="G17" s="1" t="s">
        <v>258</v>
      </c>
      <c r="I17" s="1" t="s">
        <v>12</v>
      </c>
      <c r="J17" s="1" t="s">
        <v>20</v>
      </c>
      <c r="K17">
        <v>30</v>
      </c>
      <c r="L17">
        <v>8</v>
      </c>
      <c r="M17" s="1" t="s">
        <v>56</v>
      </c>
      <c r="N17" s="32">
        <v>19000000</v>
      </c>
      <c r="O17" s="1" t="s">
        <v>258</v>
      </c>
      <c r="Q17" s="1" t="s">
        <v>433</v>
      </c>
      <c r="R17" s="1" t="s">
        <v>83</v>
      </c>
      <c r="S17">
        <v>28</v>
      </c>
      <c r="T17">
        <v>4</v>
      </c>
      <c r="U17" s="1" t="s">
        <v>50</v>
      </c>
      <c r="V17" s="32">
        <v>12198244</v>
      </c>
      <c r="W17" s="1" t="s">
        <v>258</v>
      </c>
    </row>
    <row r="18" spans="1:23">
      <c r="A18" s="1" t="s">
        <v>461</v>
      </c>
      <c r="B18" s="1" t="s">
        <v>20</v>
      </c>
      <c r="C18">
        <v>26</v>
      </c>
      <c r="D18">
        <v>6</v>
      </c>
      <c r="E18" s="1" t="s">
        <v>30</v>
      </c>
      <c r="F18" s="32">
        <v>7945000</v>
      </c>
      <c r="G18" s="1" t="s">
        <v>258</v>
      </c>
      <c r="I18" s="1" t="s">
        <v>314</v>
      </c>
      <c r="J18" s="1" t="s">
        <v>26</v>
      </c>
      <c r="K18">
        <v>26</v>
      </c>
      <c r="L18">
        <v>4</v>
      </c>
      <c r="M18" s="1" t="s">
        <v>110</v>
      </c>
      <c r="N18" s="32">
        <v>18500000</v>
      </c>
      <c r="O18" s="1" t="s">
        <v>258</v>
      </c>
      <c r="Q18" s="1" t="s">
        <v>401</v>
      </c>
      <c r="R18" s="1" t="s">
        <v>26</v>
      </c>
      <c r="S18">
        <v>28</v>
      </c>
      <c r="T18">
        <v>4</v>
      </c>
      <c r="U18" s="1" t="s">
        <v>41</v>
      </c>
      <c r="V18" s="32">
        <v>12178571</v>
      </c>
      <c r="W18" s="1" t="s">
        <v>258</v>
      </c>
    </row>
    <row r="19" spans="1:23">
      <c r="A19" s="1" t="s">
        <v>458</v>
      </c>
      <c r="B19" s="1" t="s">
        <v>26</v>
      </c>
      <c r="C19">
        <v>27</v>
      </c>
      <c r="D19">
        <v>7</v>
      </c>
      <c r="E19" s="1" t="s">
        <v>30</v>
      </c>
      <c r="F19" s="32">
        <v>4360000</v>
      </c>
      <c r="G19" s="1" t="s">
        <v>893</v>
      </c>
      <c r="I19" s="1" t="s">
        <v>554</v>
      </c>
      <c r="J19" s="1" t="s">
        <v>83</v>
      </c>
      <c r="K19">
        <v>26</v>
      </c>
      <c r="L19">
        <v>5</v>
      </c>
      <c r="M19" s="1" t="s">
        <v>47</v>
      </c>
      <c r="N19" s="32">
        <v>17617978</v>
      </c>
      <c r="O19" s="1" t="s">
        <v>258</v>
      </c>
      <c r="Q19" s="1" t="s">
        <v>346</v>
      </c>
      <c r="R19" s="1" t="s">
        <v>20</v>
      </c>
      <c r="S19">
        <v>22</v>
      </c>
      <c r="U19" s="1" t="s">
        <v>78</v>
      </c>
      <c r="V19" s="32">
        <v>11003782</v>
      </c>
      <c r="W19" s="1" t="s">
        <v>893</v>
      </c>
    </row>
    <row r="20" spans="1:23">
      <c r="A20" s="1" t="s">
        <v>894</v>
      </c>
      <c r="B20" s="1" t="s">
        <v>20</v>
      </c>
      <c r="C20">
        <v>25</v>
      </c>
      <c r="D20">
        <v>2</v>
      </c>
      <c r="E20" s="1" t="s">
        <v>30</v>
      </c>
      <c r="F20" s="32">
        <v>1600520</v>
      </c>
      <c r="G20" s="1" t="s">
        <v>893</v>
      </c>
      <c r="I20" s="1" t="s">
        <v>591</v>
      </c>
      <c r="J20" s="1" t="s">
        <v>83</v>
      </c>
      <c r="K20">
        <v>26</v>
      </c>
      <c r="L20">
        <v>6</v>
      </c>
      <c r="M20" s="1" t="s">
        <v>75</v>
      </c>
      <c r="N20" s="32">
        <v>17000000</v>
      </c>
      <c r="O20" s="1" t="s">
        <v>258</v>
      </c>
      <c r="Q20" s="1" t="s">
        <v>431</v>
      </c>
      <c r="R20" s="1" t="s">
        <v>46</v>
      </c>
      <c r="S20">
        <v>22</v>
      </c>
      <c r="U20" s="1" t="s">
        <v>87</v>
      </c>
      <c r="V20" s="32">
        <v>9897120</v>
      </c>
      <c r="W20" s="1" t="s">
        <v>893</v>
      </c>
    </row>
    <row r="21" spans="1:23">
      <c r="A21" s="1" t="s">
        <v>606</v>
      </c>
      <c r="B21" s="1" t="s">
        <v>83</v>
      </c>
      <c r="C21">
        <v>29</v>
      </c>
      <c r="D21">
        <v>9</v>
      </c>
      <c r="E21" s="1" t="s">
        <v>64</v>
      </c>
      <c r="F21" s="32">
        <v>24119025</v>
      </c>
      <c r="G21" s="1" t="s">
        <v>258</v>
      </c>
      <c r="I21" s="1" t="s">
        <v>408</v>
      </c>
      <c r="J21" s="1" t="s">
        <v>38</v>
      </c>
      <c r="K21">
        <v>32</v>
      </c>
      <c r="L21">
        <v>12</v>
      </c>
      <c r="M21" s="1" t="s">
        <v>53</v>
      </c>
      <c r="N21" s="32">
        <v>15006250</v>
      </c>
      <c r="O21" s="1" t="s">
        <v>258</v>
      </c>
      <c r="Q21" s="1" t="s">
        <v>459</v>
      </c>
      <c r="R21" s="1" t="s">
        <v>46</v>
      </c>
      <c r="S21">
        <v>23</v>
      </c>
      <c r="U21" s="1" t="s">
        <v>190</v>
      </c>
      <c r="V21" s="32">
        <v>8930242</v>
      </c>
      <c r="W21" s="1" t="s">
        <v>893</v>
      </c>
    </row>
    <row r="22" spans="1:23">
      <c r="A22" s="1" t="s">
        <v>324</v>
      </c>
      <c r="B22" s="1" t="s">
        <v>26</v>
      </c>
      <c r="C22">
        <v>27</v>
      </c>
      <c r="D22">
        <v>5</v>
      </c>
      <c r="E22" s="1" t="s">
        <v>64</v>
      </c>
      <c r="F22" s="32">
        <v>12650000</v>
      </c>
      <c r="G22" s="1" t="s">
        <v>258</v>
      </c>
      <c r="I22" s="1" t="s">
        <v>338</v>
      </c>
      <c r="J22" s="1" t="s">
        <v>46</v>
      </c>
      <c r="K22">
        <v>27</v>
      </c>
      <c r="L22">
        <v>5</v>
      </c>
      <c r="M22" s="1" t="s">
        <v>41</v>
      </c>
      <c r="N22" s="32">
        <v>13000000</v>
      </c>
      <c r="O22" s="1" t="s">
        <v>258</v>
      </c>
      <c r="Q22" s="1" t="s">
        <v>503</v>
      </c>
      <c r="R22" s="1" t="s">
        <v>20</v>
      </c>
      <c r="S22">
        <v>22</v>
      </c>
      <c r="U22" s="1" t="s">
        <v>100</v>
      </c>
      <c r="V22" s="32">
        <v>8099627</v>
      </c>
      <c r="W22" s="1" t="s">
        <v>893</v>
      </c>
    </row>
    <row r="23" spans="1:23">
      <c r="A23" s="1" t="s">
        <v>342</v>
      </c>
      <c r="B23" s="1" t="s">
        <v>20</v>
      </c>
      <c r="C23">
        <v>31</v>
      </c>
      <c r="E23" s="1" t="s">
        <v>64</v>
      </c>
      <c r="F23" s="32">
        <v>6300000</v>
      </c>
      <c r="G23" s="1" t="s">
        <v>258</v>
      </c>
      <c r="I23" s="1" t="s">
        <v>576</v>
      </c>
      <c r="J23" s="1" t="s">
        <v>46</v>
      </c>
      <c r="K23">
        <v>25</v>
      </c>
      <c r="L23">
        <v>5</v>
      </c>
      <c r="M23" s="1" t="s">
        <v>53</v>
      </c>
      <c r="N23" s="32">
        <v>13000000</v>
      </c>
      <c r="O23" s="1" t="s">
        <v>258</v>
      </c>
      <c r="Q23" s="1" t="s">
        <v>522</v>
      </c>
      <c r="R23" s="1" t="s">
        <v>46</v>
      </c>
      <c r="S23">
        <v>22</v>
      </c>
      <c r="U23" s="1" t="s">
        <v>75</v>
      </c>
      <c r="V23" s="32">
        <v>7362566</v>
      </c>
      <c r="W23" s="1" t="s">
        <v>893</v>
      </c>
    </row>
    <row r="24" spans="1:23">
      <c r="A24" s="1" t="s">
        <v>439</v>
      </c>
      <c r="B24" s="1" t="s">
        <v>46</v>
      </c>
      <c r="C24">
        <v>30</v>
      </c>
      <c r="D24">
        <v>7</v>
      </c>
      <c r="E24" s="1" t="s">
        <v>64</v>
      </c>
      <c r="F24" s="32">
        <v>6134520</v>
      </c>
      <c r="G24" s="1" t="s">
        <v>258</v>
      </c>
      <c r="I24" s="1" t="s">
        <v>611</v>
      </c>
      <c r="J24" s="1" t="s">
        <v>83</v>
      </c>
      <c r="K24">
        <v>32</v>
      </c>
      <c r="L24">
        <v>7</v>
      </c>
      <c r="M24" s="1" t="s">
        <v>43</v>
      </c>
      <c r="N24" s="32">
        <v>11977527</v>
      </c>
      <c r="O24" s="1" t="s">
        <v>892</v>
      </c>
      <c r="Q24" s="1" t="s">
        <v>897</v>
      </c>
      <c r="R24" s="1" t="s">
        <v>38</v>
      </c>
      <c r="S24">
        <v>22</v>
      </c>
      <c r="U24" s="1" t="s">
        <v>43</v>
      </c>
      <c r="V24" s="32">
        <v>6731508</v>
      </c>
      <c r="W24" s="1" t="s">
        <v>893</v>
      </c>
    </row>
    <row r="25" spans="1:23">
      <c r="A25" s="1" t="s">
        <v>116</v>
      </c>
      <c r="B25" s="1" t="s">
        <v>38</v>
      </c>
      <c r="C25">
        <v>23</v>
      </c>
      <c r="D25">
        <v>2</v>
      </c>
      <c r="E25" s="1" t="s">
        <v>50</v>
      </c>
      <c r="F25" s="32">
        <v>1600520</v>
      </c>
      <c r="G25" s="1" t="s">
        <v>893</v>
      </c>
      <c r="I25" s="1" t="s">
        <v>526</v>
      </c>
      <c r="J25" s="1" t="s">
        <v>38</v>
      </c>
      <c r="K25">
        <v>27</v>
      </c>
      <c r="L25">
        <v>3</v>
      </c>
      <c r="M25" s="1" t="s">
        <v>33</v>
      </c>
      <c r="N25" s="32">
        <v>10259375</v>
      </c>
      <c r="O25" s="1" t="s">
        <v>258</v>
      </c>
      <c r="Q25" s="1" t="s">
        <v>487</v>
      </c>
      <c r="R25" s="1" t="s">
        <v>20</v>
      </c>
      <c r="S25">
        <v>21</v>
      </c>
      <c r="U25" s="1" t="s">
        <v>21</v>
      </c>
      <c r="V25" s="32">
        <v>6176578</v>
      </c>
      <c r="W25" s="1" t="s">
        <v>893</v>
      </c>
    </row>
    <row r="26" spans="1:23">
      <c r="A26" s="1" t="s">
        <v>7</v>
      </c>
      <c r="B26" s="1" t="s">
        <v>26</v>
      </c>
      <c r="C26">
        <v>37</v>
      </c>
      <c r="D26">
        <v>17</v>
      </c>
      <c r="E26" s="1" t="s">
        <v>56</v>
      </c>
      <c r="F26" s="32">
        <v>4544400</v>
      </c>
      <c r="G26" s="1" t="s">
        <v>258</v>
      </c>
      <c r="I26" s="1" t="s">
        <v>617</v>
      </c>
      <c r="J26" s="1" t="s">
        <v>20</v>
      </c>
      <c r="K26">
        <v>20</v>
      </c>
      <c r="M26" s="1" t="s">
        <v>118</v>
      </c>
      <c r="N26" s="32">
        <v>9745200</v>
      </c>
      <c r="O26" s="1" t="s">
        <v>893</v>
      </c>
      <c r="Q26" s="1" t="s">
        <v>898</v>
      </c>
      <c r="R26" s="1" t="s">
        <v>20</v>
      </c>
      <c r="S26">
        <v>22</v>
      </c>
      <c r="U26" s="1" t="s">
        <v>33</v>
      </c>
      <c r="V26" s="32">
        <v>5686677</v>
      </c>
      <c r="W26" s="1" t="s">
        <v>893</v>
      </c>
    </row>
    <row r="27" spans="1:23">
      <c r="A27" s="1" t="s">
        <v>564</v>
      </c>
      <c r="B27" s="1" t="s">
        <v>83</v>
      </c>
      <c r="C27">
        <v>25</v>
      </c>
      <c r="D27">
        <v>6</v>
      </c>
      <c r="E27" s="1" t="s">
        <v>21</v>
      </c>
      <c r="F27" s="32">
        <v>18622513</v>
      </c>
      <c r="G27" s="1" t="s">
        <v>258</v>
      </c>
      <c r="I27" s="1" t="s">
        <v>325</v>
      </c>
      <c r="J27" s="1" t="s">
        <v>46</v>
      </c>
      <c r="K27">
        <v>32</v>
      </c>
      <c r="L27">
        <v>12</v>
      </c>
      <c r="M27" s="1" t="s">
        <v>47</v>
      </c>
      <c r="N27" s="32">
        <v>8730159</v>
      </c>
      <c r="O27" s="1" t="s">
        <v>258</v>
      </c>
      <c r="Q27" s="1" t="s">
        <v>517</v>
      </c>
      <c r="R27" s="1" t="s">
        <v>83</v>
      </c>
      <c r="S27">
        <v>22</v>
      </c>
      <c r="U27" s="1" t="s">
        <v>96</v>
      </c>
      <c r="V27" s="32">
        <v>5406255</v>
      </c>
      <c r="W27" s="1" t="s">
        <v>893</v>
      </c>
    </row>
    <row r="28" spans="1:23">
      <c r="A28" s="1" t="s">
        <v>523</v>
      </c>
      <c r="B28" s="1" t="s">
        <v>26</v>
      </c>
      <c r="C28">
        <v>24</v>
      </c>
      <c r="D28">
        <v>1</v>
      </c>
      <c r="E28" s="1" t="s">
        <v>21</v>
      </c>
      <c r="F28" s="32">
        <v>4544400</v>
      </c>
      <c r="G28" s="1" t="s">
        <v>258</v>
      </c>
      <c r="I28" s="1" t="s">
        <v>346</v>
      </c>
      <c r="J28" s="1" t="s">
        <v>20</v>
      </c>
      <c r="K28">
        <v>21</v>
      </c>
      <c r="M28" s="1" t="s">
        <v>78</v>
      </c>
      <c r="N28" s="32">
        <v>8719320</v>
      </c>
      <c r="O28" s="1" t="s">
        <v>893</v>
      </c>
      <c r="Q28" s="1" t="s">
        <v>415</v>
      </c>
      <c r="R28" s="1" t="s">
        <v>26</v>
      </c>
      <c r="S28">
        <v>22</v>
      </c>
      <c r="U28" s="1" t="s">
        <v>53</v>
      </c>
      <c r="V28" s="32">
        <v>5345687</v>
      </c>
      <c r="W28" s="1" t="s">
        <v>893</v>
      </c>
    </row>
    <row r="29" spans="1:23">
      <c r="A29" s="1" t="s">
        <v>568</v>
      </c>
      <c r="B29" s="1" t="s">
        <v>83</v>
      </c>
      <c r="C29">
        <v>27</v>
      </c>
      <c r="D29">
        <v>5</v>
      </c>
      <c r="E29" s="1" t="s">
        <v>21</v>
      </c>
      <c r="F29" s="32">
        <v>4256250</v>
      </c>
      <c r="G29" s="1" t="s">
        <v>258</v>
      </c>
      <c r="I29" s="1" t="s">
        <v>559</v>
      </c>
      <c r="J29" s="1" t="s">
        <v>20</v>
      </c>
      <c r="K29">
        <v>22</v>
      </c>
      <c r="L29">
        <v>1</v>
      </c>
      <c r="M29" s="1" t="s">
        <v>118</v>
      </c>
      <c r="N29" s="32">
        <v>8113930</v>
      </c>
      <c r="O29" s="1" t="s">
        <v>893</v>
      </c>
      <c r="Q29" s="1" t="s">
        <v>460</v>
      </c>
      <c r="R29" s="1" t="s">
        <v>26</v>
      </c>
      <c r="S29">
        <v>23</v>
      </c>
      <c r="U29" s="1" t="s">
        <v>157</v>
      </c>
      <c r="V29" s="32">
        <v>5273826</v>
      </c>
      <c r="W29" s="1" t="s">
        <v>893</v>
      </c>
    </row>
    <row r="30" spans="1:23">
      <c r="A30" s="1" t="s">
        <v>329</v>
      </c>
      <c r="B30" s="1" t="s">
        <v>46</v>
      </c>
      <c r="C30">
        <v>33</v>
      </c>
      <c r="D30">
        <v>14</v>
      </c>
      <c r="E30" s="1" t="s">
        <v>58</v>
      </c>
      <c r="F30" s="32">
        <v>27928140</v>
      </c>
      <c r="G30" s="1" t="s">
        <v>892</v>
      </c>
      <c r="I30" s="1" t="s">
        <v>431</v>
      </c>
      <c r="J30" s="1" t="s">
        <v>46</v>
      </c>
      <c r="K30">
        <v>21</v>
      </c>
      <c r="M30" s="1" t="s">
        <v>87</v>
      </c>
      <c r="N30" s="32">
        <v>7830000</v>
      </c>
      <c r="O30" s="1" t="s">
        <v>893</v>
      </c>
      <c r="Q30" s="1" t="s">
        <v>319</v>
      </c>
      <c r="R30" s="1" t="s">
        <v>26</v>
      </c>
      <c r="S30">
        <v>23</v>
      </c>
      <c r="U30" s="1" t="s">
        <v>36</v>
      </c>
      <c r="V30" s="32">
        <v>5195501</v>
      </c>
      <c r="W30" s="1" t="s">
        <v>893</v>
      </c>
    </row>
    <row r="31" spans="1:23">
      <c r="A31" s="1" t="s">
        <v>307</v>
      </c>
      <c r="B31" s="1" t="s">
        <v>46</v>
      </c>
      <c r="C31">
        <v>27</v>
      </c>
      <c r="D31">
        <v>7</v>
      </c>
      <c r="E31" s="1" t="s">
        <v>58</v>
      </c>
      <c r="F31" s="32">
        <v>20703384</v>
      </c>
      <c r="G31" s="1" t="s">
        <v>258</v>
      </c>
      <c r="I31" s="1" t="s">
        <v>459</v>
      </c>
      <c r="J31" s="1" t="s">
        <v>46</v>
      </c>
      <c r="K31">
        <v>22</v>
      </c>
      <c r="M31" s="1" t="s">
        <v>190</v>
      </c>
      <c r="N31" s="32">
        <v>7059480</v>
      </c>
      <c r="O31" s="1" t="s">
        <v>893</v>
      </c>
      <c r="Q31" s="1" t="s">
        <v>900</v>
      </c>
      <c r="R31" s="1" t="s">
        <v>38</v>
      </c>
      <c r="S31">
        <v>22</v>
      </c>
      <c r="U31" s="1" t="s">
        <v>50</v>
      </c>
      <c r="V31" s="32">
        <v>5115492</v>
      </c>
      <c r="W31" s="1" t="s">
        <v>893</v>
      </c>
    </row>
    <row r="32" spans="1:23">
      <c r="A32" s="1" t="s">
        <v>541</v>
      </c>
      <c r="B32" s="1" t="s">
        <v>38</v>
      </c>
      <c r="C32">
        <v>24</v>
      </c>
      <c r="D32">
        <v>2</v>
      </c>
      <c r="E32" s="1" t="s">
        <v>118</v>
      </c>
      <c r="F32" s="32">
        <v>1600520</v>
      </c>
      <c r="G32" s="1" t="s">
        <v>893</v>
      </c>
      <c r="I32" s="1" t="s">
        <v>369</v>
      </c>
      <c r="J32" s="1" t="s">
        <v>46</v>
      </c>
      <c r="K32">
        <v>22</v>
      </c>
      <c r="L32">
        <v>1</v>
      </c>
      <c r="M32" s="1" t="s">
        <v>87</v>
      </c>
      <c r="N32" s="32">
        <v>6534829</v>
      </c>
      <c r="O32" s="1" t="s">
        <v>893</v>
      </c>
      <c r="Q32" s="1" t="s">
        <v>452</v>
      </c>
      <c r="R32" s="1" t="s">
        <v>46</v>
      </c>
      <c r="S32">
        <v>24</v>
      </c>
      <c r="U32" s="1" t="s">
        <v>100</v>
      </c>
      <c r="V32" s="32">
        <v>5029650</v>
      </c>
      <c r="W32" s="1" t="s">
        <v>893</v>
      </c>
    </row>
    <row r="33" spans="1:23">
      <c r="A33" s="1" t="s">
        <v>539</v>
      </c>
      <c r="B33" s="1" t="s">
        <v>20</v>
      </c>
      <c r="C33">
        <v>25</v>
      </c>
      <c r="D33">
        <v>2</v>
      </c>
      <c r="E33" s="1" t="s">
        <v>118</v>
      </c>
      <c r="F33" s="32">
        <v>1600520</v>
      </c>
      <c r="G33" s="1" t="s">
        <v>893</v>
      </c>
      <c r="I33" s="1" t="s">
        <v>503</v>
      </c>
      <c r="J33" s="1" t="s">
        <v>20</v>
      </c>
      <c r="K33">
        <v>21</v>
      </c>
      <c r="M33" s="1" t="s">
        <v>100</v>
      </c>
      <c r="N33" s="32">
        <v>6392760</v>
      </c>
      <c r="O33" s="1" t="s">
        <v>893</v>
      </c>
      <c r="Q33" s="1" t="s">
        <v>4</v>
      </c>
      <c r="R33" s="1" t="s">
        <v>83</v>
      </c>
      <c r="S33">
        <v>22</v>
      </c>
      <c r="U33" s="1" t="s">
        <v>56</v>
      </c>
      <c r="V33" s="32">
        <v>4781846</v>
      </c>
      <c r="W33" s="1" t="s">
        <v>893</v>
      </c>
    </row>
    <row r="34" spans="1:23">
      <c r="A34" s="1" t="s">
        <v>486</v>
      </c>
      <c r="B34" s="1" t="s">
        <v>26</v>
      </c>
      <c r="C34">
        <v>27</v>
      </c>
      <c r="D34">
        <v>6</v>
      </c>
      <c r="E34" s="1" t="s">
        <v>100</v>
      </c>
      <c r="F34" s="32">
        <v>11011236</v>
      </c>
      <c r="G34" s="1" t="s">
        <v>258</v>
      </c>
      <c r="I34" s="1" t="s">
        <v>402</v>
      </c>
      <c r="J34" s="1" t="s">
        <v>38</v>
      </c>
      <c r="K34">
        <v>21</v>
      </c>
      <c r="L34">
        <v>1</v>
      </c>
      <c r="M34" s="1" t="s">
        <v>190</v>
      </c>
      <c r="N34" s="32">
        <v>5896519</v>
      </c>
      <c r="O34" s="1" t="s">
        <v>893</v>
      </c>
      <c r="Q34" s="1" t="s">
        <v>298</v>
      </c>
      <c r="R34" s="1" t="s">
        <v>38</v>
      </c>
      <c r="S34">
        <v>24</v>
      </c>
      <c r="U34" s="1" t="s">
        <v>87</v>
      </c>
      <c r="V34" s="32">
        <v>4781846</v>
      </c>
      <c r="W34" s="1" t="s">
        <v>893</v>
      </c>
    </row>
    <row r="35" spans="1:23">
      <c r="A35" s="1" t="s">
        <v>618</v>
      </c>
      <c r="B35" s="1" t="s">
        <v>83</v>
      </c>
      <c r="C35">
        <v>29</v>
      </c>
      <c r="D35">
        <v>9</v>
      </c>
      <c r="E35" s="1" t="s">
        <v>100</v>
      </c>
      <c r="F35" s="32">
        <v>8739500</v>
      </c>
      <c r="G35" s="1" t="s">
        <v>258</v>
      </c>
      <c r="I35" s="1" t="s">
        <v>522</v>
      </c>
      <c r="J35" s="1" t="s">
        <v>46</v>
      </c>
      <c r="K35">
        <v>21</v>
      </c>
      <c r="M35" s="1" t="s">
        <v>75</v>
      </c>
      <c r="N35" s="32">
        <v>5806440</v>
      </c>
      <c r="O35" s="1" t="s">
        <v>893</v>
      </c>
      <c r="Q35" s="1" t="s">
        <v>901</v>
      </c>
      <c r="R35" s="1" t="s">
        <v>38</v>
      </c>
      <c r="S35">
        <v>24</v>
      </c>
      <c r="U35" s="1" t="s">
        <v>41</v>
      </c>
      <c r="V35" s="32">
        <v>4548280</v>
      </c>
      <c r="W35" s="1" t="s">
        <v>893</v>
      </c>
    </row>
    <row r="36" spans="1:23">
      <c r="A36" s="1" t="s">
        <v>403</v>
      </c>
      <c r="B36" s="1" t="s">
        <v>26</v>
      </c>
      <c r="C36">
        <v>31</v>
      </c>
      <c r="D36">
        <v>7</v>
      </c>
      <c r="E36" s="1" t="s">
        <v>100</v>
      </c>
      <c r="F36" s="32">
        <v>8000000</v>
      </c>
      <c r="G36" s="1" t="s">
        <v>258</v>
      </c>
      <c r="I36" s="1" t="s">
        <v>484</v>
      </c>
      <c r="J36" s="1" t="s">
        <v>38</v>
      </c>
      <c r="K36">
        <v>30</v>
      </c>
      <c r="L36">
        <v>7</v>
      </c>
      <c r="M36" s="1" t="s">
        <v>58</v>
      </c>
      <c r="N36" s="32">
        <v>5711200</v>
      </c>
      <c r="O36" s="1" t="s">
        <v>258</v>
      </c>
      <c r="Q36" s="1" t="s">
        <v>902</v>
      </c>
      <c r="R36" s="1" t="s">
        <v>38</v>
      </c>
      <c r="S36">
        <v>22</v>
      </c>
      <c r="U36" s="1" t="s">
        <v>30</v>
      </c>
      <c r="V36" s="32">
        <v>4326825</v>
      </c>
      <c r="W36" s="1" t="s">
        <v>893</v>
      </c>
    </row>
    <row r="37" spans="1:23">
      <c r="A37" s="1" t="s">
        <v>371</v>
      </c>
      <c r="B37" s="1" t="s">
        <v>26</v>
      </c>
      <c r="C37">
        <v>30</v>
      </c>
      <c r="D37">
        <v>8</v>
      </c>
      <c r="E37" s="1" t="s">
        <v>140</v>
      </c>
      <c r="F37" s="32">
        <v>10000000</v>
      </c>
      <c r="G37" s="1" t="s">
        <v>258</v>
      </c>
      <c r="I37" s="1" t="s">
        <v>451</v>
      </c>
      <c r="J37" s="1" t="s">
        <v>20</v>
      </c>
      <c r="K37">
        <v>25</v>
      </c>
      <c r="L37">
        <v>1</v>
      </c>
      <c r="M37" s="1" t="s">
        <v>43</v>
      </c>
      <c r="N37" s="32">
        <v>5348007</v>
      </c>
      <c r="O37" s="1" t="s">
        <v>893</v>
      </c>
      <c r="Q37" s="1" t="s">
        <v>571</v>
      </c>
      <c r="R37" s="1" t="s">
        <v>38</v>
      </c>
      <c r="S37">
        <v>22</v>
      </c>
      <c r="U37" s="1" t="s">
        <v>149</v>
      </c>
      <c r="V37" s="32">
        <v>4137302</v>
      </c>
      <c r="W37" s="1" t="s">
        <v>893</v>
      </c>
    </row>
    <row r="38" spans="1:23">
      <c r="A38" s="1" t="s">
        <v>482</v>
      </c>
      <c r="B38" s="1" t="s">
        <v>46</v>
      </c>
      <c r="C38">
        <v>31</v>
      </c>
      <c r="D38">
        <v>11</v>
      </c>
      <c r="E38" s="1" t="s">
        <v>140</v>
      </c>
      <c r="F38" s="32">
        <v>8826300</v>
      </c>
      <c r="G38" s="1" t="s">
        <v>258</v>
      </c>
      <c r="I38" s="1" t="s">
        <v>607</v>
      </c>
      <c r="J38" s="1" t="s">
        <v>46</v>
      </c>
      <c r="K38">
        <v>30</v>
      </c>
      <c r="L38">
        <v>5</v>
      </c>
      <c r="M38" s="1" t="s">
        <v>58</v>
      </c>
      <c r="N38" s="32">
        <v>5333500</v>
      </c>
      <c r="O38" s="1" t="s">
        <v>893</v>
      </c>
      <c r="Q38" s="1" t="s">
        <v>770</v>
      </c>
      <c r="R38" s="1" t="s">
        <v>38</v>
      </c>
      <c r="S38">
        <v>21</v>
      </c>
      <c r="U38" s="1" t="s">
        <v>100</v>
      </c>
      <c r="V38" s="32">
        <v>3976510</v>
      </c>
      <c r="W38" s="1" t="s">
        <v>893</v>
      </c>
    </row>
    <row r="39" spans="1:23">
      <c r="A39" s="1" t="s">
        <v>562</v>
      </c>
      <c r="B39" s="1" t="s">
        <v>38</v>
      </c>
      <c r="C39">
        <v>26</v>
      </c>
      <c r="D39">
        <v>3</v>
      </c>
      <c r="E39" s="1" t="s">
        <v>140</v>
      </c>
      <c r="F39" s="32">
        <v>1656092</v>
      </c>
      <c r="G39" s="1" t="s">
        <v>258</v>
      </c>
      <c r="I39" s="1" t="s">
        <v>897</v>
      </c>
      <c r="J39" s="1" t="s">
        <v>38</v>
      </c>
      <c r="K39">
        <v>21</v>
      </c>
      <c r="M39" s="1" t="s">
        <v>43</v>
      </c>
      <c r="N39" s="32">
        <v>5300400</v>
      </c>
      <c r="O39" s="1" t="s">
        <v>893</v>
      </c>
      <c r="Q39" s="1" t="s">
        <v>499</v>
      </c>
      <c r="R39" s="1" t="s">
        <v>26</v>
      </c>
      <c r="S39">
        <v>21</v>
      </c>
      <c r="U39" s="1" t="s">
        <v>58</v>
      </c>
      <c r="V39" s="32">
        <v>3944013</v>
      </c>
      <c r="W39" s="1" t="s">
        <v>893</v>
      </c>
    </row>
    <row r="40" spans="1:23">
      <c r="A40" s="1" t="s">
        <v>291</v>
      </c>
      <c r="B40" s="1" t="s">
        <v>38</v>
      </c>
      <c r="C40">
        <v>32</v>
      </c>
      <c r="D40">
        <v>9</v>
      </c>
      <c r="E40" s="1" t="s">
        <v>27</v>
      </c>
      <c r="F40" s="32">
        <v>5450000</v>
      </c>
      <c r="G40" s="1" t="s">
        <v>258</v>
      </c>
      <c r="I40" s="1" t="s">
        <v>359</v>
      </c>
      <c r="J40" s="1" t="s">
        <v>26</v>
      </c>
      <c r="K40">
        <v>25</v>
      </c>
      <c r="L40">
        <v>1</v>
      </c>
      <c r="M40" s="1" t="s">
        <v>100</v>
      </c>
      <c r="N40" s="32">
        <v>4861208</v>
      </c>
      <c r="O40" s="1" t="s">
        <v>893</v>
      </c>
      <c r="Q40" s="1" t="s">
        <v>561</v>
      </c>
      <c r="R40" s="1" t="s">
        <v>83</v>
      </c>
      <c r="S40">
        <v>21</v>
      </c>
      <c r="U40" s="1" t="s">
        <v>110</v>
      </c>
      <c r="V40" s="32">
        <v>3909902</v>
      </c>
      <c r="W40" s="1" t="s">
        <v>893</v>
      </c>
    </row>
    <row r="41" spans="1:23">
      <c r="A41" s="1" t="s">
        <v>436</v>
      </c>
      <c r="B41" s="1" t="s">
        <v>26</v>
      </c>
      <c r="C41">
        <v>30</v>
      </c>
      <c r="D41">
        <v>8</v>
      </c>
      <c r="E41" s="1" t="s">
        <v>27</v>
      </c>
      <c r="F41" s="32">
        <v>3454500</v>
      </c>
      <c r="G41" s="1" t="s">
        <v>258</v>
      </c>
      <c r="I41" s="1" t="s">
        <v>487</v>
      </c>
      <c r="J41" s="1" t="s">
        <v>20</v>
      </c>
      <c r="K41">
        <v>20</v>
      </c>
      <c r="M41" s="1" t="s">
        <v>21</v>
      </c>
      <c r="N41" s="32">
        <v>4855800</v>
      </c>
      <c r="O41" s="1" t="s">
        <v>893</v>
      </c>
      <c r="Q41" s="1" t="s">
        <v>427</v>
      </c>
      <c r="R41" s="1" t="s">
        <v>46</v>
      </c>
      <c r="S41">
        <v>22</v>
      </c>
      <c r="U41" s="1" t="s">
        <v>47</v>
      </c>
      <c r="V41" s="32">
        <v>3872215</v>
      </c>
      <c r="W41" s="1" t="s">
        <v>893</v>
      </c>
    </row>
    <row r="42" spans="1:23">
      <c r="I42" s="1" t="s">
        <v>898</v>
      </c>
      <c r="J42" s="1" t="s">
        <v>20</v>
      </c>
      <c r="K42">
        <v>21</v>
      </c>
      <c r="M42" s="1" t="s">
        <v>33</v>
      </c>
      <c r="N42" s="32">
        <v>4463640</v>
      </c>
      <c r="O42" s="1" t="s">
        <v>893</v>
      </c>
      <c r="Q42" s="1" t="s">
        <v>513</v>
      </c>
      <c r="R42" s="1" t="s">
        <v>83</v>
      </c>
      <c r="S42">
        <v>23</v>
      </c>
      <c r="U42" s="1" t="s">
        <v>102</v>
      </c>
      <c r="V42" s="32">
        <v>3872215</v>
      </c>
      <c r="W42" s="1" t="s">
        <v>893</v>
      </c>
    </row>
    <row r="43" spans="1:23">
      <c r="I43" s="1" t="s">
        <v>347</v>
      </c>
      <c r="J43" s="1" t="s">
        <v>20</v>
      </c>
      <c r="K43">
        <v>22</v>
      </c>
      <c r="L43">
        <v>1</v>
      </c>
      <c r="M43" s="1" t="s">
        <v>61</v>
      </c>
      <c r="N43" s="32">
        <v>4444746</v>
      </c>
      <c r="O43" s="1" t="s">
        <v>893</v>
      </c>
      <c r="Q43" s="1" t="s">
        <v>649</v>
      </c>
      <c r="R43" s="1" t="s">
        <v>38</v>
      </c>
      <c r="S43">
        <v>23</v>
      </c>
      <c r="U43" s="1" t="s">
        <v>61</v>
      </c>
      <c r="V43" s="32">
        <v>3831569</v>
      </c>
      <c r="W43" s="1" t="s">
        <v>893</v>
      </c>
    </row>
    <row r="44" spans="1:23">
      <c r="I44" s="1" t="s">
        <v>517</v>
      </c>
      <c r="J44" s="1" t="s">
        <v>83</v>
      </c>
      <c r="K44">
        <v>21</v>
      </c>
      <c r="M44" s="1" t="s">
        <v>96</v>
      </c>
      <c r="N44" s="32">
        <v>4240200</v>
      </c>
      <c r="O44" s="1" t="s">
        <v>893</v>
      </c>
      <c r="Q44" s="1" t="s">
        <v>300</v>
      </c>
      <c r="R44" s="1" t="s">
        <v>26</v>
      </c>
      <c r="S44">
        <v>22</v>
      </c>
      <c r="U44" s="1" t="s">
        <v>118</v>
      </c>
      <c r="V44" s="32">
        <v>3665787</v>
      </c>
      <c r="W44" s="1" t="s">
        <v>893</v>
      </c>
    </row>
    <row r="45" spans="1:23">
      <c r="I45" s="1" t="s">
        <v>441</v>
      </c>
      <c r="J45" s="1" t="s">
        <v>38</v>
      </c>
      <c r="K45">
        <v>21</v>
      </c>
      <c r="L45">
        <v>1</v>
      </c>
      <c r="M45" s="1" t="s">
        <v>190</v>
      </c>
      <c r="N45" s="32">
        <v>4078236</v>
      </c>
      <c r="O45" s="1" t="s">
        <v>893</v>
      </c>
      <c r="Q45" s="1" t="s">
        <v>565</v>
      </c>
      <c r="R45" s="1" t="s">
        <v>38</v>
      </c>
      <c r="S45">
        <v>22</v>
      </c>
      <c r="U45" s="1" t="s">
        <v>96</v>
      </c>
      <c r="V45" s="32">
        <v>3665787</v>
      </c>
      <c r="W45" s="1" t="s">
        <v>893</v>
      </c>
    </row>
    <row r="46" spans="1:23">
      <c r="I46" s="1" t="s">
        <v>415</v>
      </c>
      <c r="J46" s="1" t="s">
        <v>26</v>
      </c>
      <c r="K46">
        <v>21</v>
      </c>
      <c r="M46" s="1" t="s">
        <v>53</v>
      </c>
      <c r="N46" s="32">
        <v>4028400</v>
      </c>
      <c r="O46" s="1" t="s">
        <v>893</v>
      </c>
      <c r="Q46" s="1" t="s">
        <v>345</v>
      </c>
      <c r="R46" s="1" t="s">
        <v>38</v>
      </c>
      <c r="S46">
        <v>24</v>
      </c>
      <c r="U46" s="1" t="s">
        <v>78</v>
      </c>
      <c r="V46" s="32">
        <v>3562178</v>
      </c>
      <c r="W46" s="1" t="s">
        <v>893</v>
      </c>
    </row>
    <row r="47" spans="1:23">
      <c r="I47" s="1" t="s">
        <v>460</v>
      </c>
      <c r="J47" s="1" t="s">
        <v>26</v>
      </c>
      <c r="K47">
        <v>22</v>
      </c>
      <c r="M47" s="1" t="s">
        <v>157</v>
      </c>
      <c r="N47" s="32">
        <v>3827160</v>
      </c>
      <c r="O47" s="1" t="s">
        <v>893</v>
      </c>
      <c r="Q47" s="1" t="s">
        <v>304</v>
      </c>
      <c r="R47" s="1" t="s">
        <v>83</v>
      </c>
      <c r="S47">
        <v>22</v>
      </c>
      <c r="U47" s="1" t="s">
        <v>36</v>
      </c>
      <c r="V47" s="32">
        <v>3542060</v>
      </c>
      <c r="W47" s="1" t="s">
        <v>893</v>
      </c>
    </row>
    <row r="48" spans="1:23">
      <c r="I48" s="1" t="s">
        <v>583</v>
      </c>
      <c r="J48" s="1" t="s">
        <v>83</v>
      </c>
      <c r="K48">
        <v>23</v>
      </c>
      <c r="L48">
        <v>1</v>
      </c>
      <c r="M48" s="1" t="s">
        <v>47</v>
      </c>
      <c r="N48" s="32">
        <v>3754886</v>
      </c>
      <c r="O48" s="1" t="s">
        <v>893</v>
      </c>
      <c r="Q48" s="1" t="s">
        <v>572</v>
      </c>
      <c r="R48" s="1" t="s">
        <v>20</v>
      </c>
      <c r="S48">
        <v>25</v>
      </c>
      <c r="U48" s="1" t="s">
        <v>140</v>
      </c>
      <c r="V48" s="32">
        <v>3516284</v>
      </c>
      <c r="W48" s="1" t="s">
        <v>893</v>
      </c>
    </row>
    <row r="49" spans="9:23">
      <c r="I49" s="1" t="s">
        <v>319</v>
      </c>
      <c r="J49" s="1" t="s">
        <v>26</v>
      </c>
      <c r="K49">
        <v>22</v>
      </c>
      <c r="M49" s="1" t="s">
        <v>36</v>
      </c>
      <c r="N49" s="32">
        <v>3635760</v>
      </c>
      <c r="O49" s="1" t="s">
        <v>893</v>
      </c>
      <c r="Q49" s="1" t="s">
        <v>464</v>
      </c>
      <c r="R49" s="1" t="s">
        <v>26</v>
      </c>
      <c r="S49">
        <v>25</v>
      </c>
      <c r="U49" s="1" t="s">
        <v>78</v>
      </c>
      <c r="V49" s="32">
        <v>3491159</v>
      </c>
      <c r="W49" s="1" t="s">
        <v>893</v>
      </c>
    </row>
    <row r="50" spans="9:23">
      <c r="I50" s="1" t="s">
        <v>519</v>
      </c>
      <c r="J50" s="1" t="s">
        <v>38</v>
      </c>
      <c r="K50">
        <v>22</v>
      </c>
      <c r="L50">
        <v>1</v>
      </c>
      <c r="M50" s="1" t="s">
        <v>41</v>
      </c>
      <c r="N50" s="32">
        <v>3569643</v>
      </c>
      <c r="O50" s="1" t="s">
        <v>893</v>
      </c>
      <c r="Q50" s="1" t="s">
        <v>615</v>
      </c>
      <c r="R50" s="1" t="s">
        <v>46</v>
      </c>
      <c r="S50">
        <v>26</v>
      </c>
      <c r="U50" s="1" t="s">
        <v>87</v>
      </c>
      <c r="V50" s="32">
        <v>1752950</v>
      </c>
      <c r="W50" s="1" t="s">
        <v>893</v>
      </c>
    </row>
    <row r="51" spans="9:23">
      <c r="I51" s="1" t="s">
        <v>555</v>
      </c>
      <c r="J51" s="1" t="s">
        <v>38</v>
      </c>
      <c r="K51">
        <v>22</v>
      </c>
      <c r="L51">
        <v>1</v>
      </c>
      <c r="M51" s="1" t="s">
        <v>30</v>
      </c>
      <c r="N51" s="32">
        <v>3529555</v>
      </c>
      <c r="O51" s="1" t="s">
        <v>893</v>
      </c>
    </row>
    <row r="52" spans="9:23">
      <c r="I52" s="1" t="s">
        <v>352</v>
      </c>
      <c r="J52" s="1" t="s">
        <v>46</v>
      </c>
      <c r="K52">
        <v>24</v>
      </c>
      <c r="L52">
        <v>1</v>
      </c>
      <c r="M52" s="1" t="s">
        <v>118</v>
      </c>
      <c r="N52" s="32">
        <v>3481986</v>
      </c>
      <c r="O52" s="1" t="s">
        <v>893</v>
      </c>
    </row>
    <row r="53" spans="9:23">
      <c r="I53" s="1" t="s">
        <v>899</v>
      </c>
      <c r="J53" s="1" t="s">
        <v>46</v>
      </c>
      <c r="K53">
        <v>24</v>
      </c>
      <c r="L53">
        <v>1</v>
      </c>
      <c r="M53" s="1" t="s">
        <v>149</v>
      </c>
      <c r="N53" s="32">
        <v>3481986</v>
      </c>
      <c r="O53" s="1" t="s">
        <v>893</v>
      </c>
    </row>
    <row r="54" spans="9:23">
      <c r="I54" s="1" t="s">
        <v>900</v>
      </c>
      <c r="J54" s="1" t="s">
        <v>38</v>
      </c>
      <c r="K54">
        <v>21</v>
      </c>
      <c r="M54" s="1" t="s">
        <v>50</v>
      </c>
      <c r="N54" s="32">
        <v>3454080</v>
      </c>
      <c r="O54" s="1" t="s">
        <v>893</v>
      </c>
    </row>
    <row r="55" spans="9:23">
      <c r="I55" s="1" t="s">
        <v>361</v>
      </c>
      <c r="J55" s="1" t="s">
        <v>26</v>
      </c>
      <c r="K55">
        <v>25</v>
      </c>
      <c r="L55">
        <v>1</v>
      </c>
      <c r="M55" s="1" t="s">
        <v>43</v>
      </c>
      <c r="N55" s="32">
        <v>3377569</v>
      </c>
      <c r="O55" s="1" t="s">
        <v>893</v>
      </c>
    </row>
    <row r="56" spans="9:23">
      <c r="I56" s="1" t="s">
        <v>474</v>
      </c>
      <c r="J56" s="1" t="s">
        <v>38</v>
      </c>
      <c r="K56">
        <v>23</v>
      </c>
      <c r="L56">
        <v>1</v>
      </c>
      <c r="M56" s="1" t="s">
        <v>61</v>
      </c>
      <c r="N56" s="32">
        <v>3321030</v>
      </c>
      <c r="O56" s="1" t="s">
        <v>893</v>
      </c>
    </row>
    <row r="57" spans="9:23">
      <c r="I57" s="1" t="s">
        <v>452</v>
      </c>
      <c r="J57" s="1" t="s">
        <v>46</v>
      </c>
      <c r="K57">
        <v>23</v>
      </c>
      <c r="M57" s="1" t="s">
        <v>100</v>
      </c>
      <c r="N57" s="32">
        <v>3280920</v>
      </c>
      <c r="O57" s="1" t="s">
        <v>893</v>
      </c>
    </row>
    <row r="58" spans="9:23">
      <c r="I58" s="1" t="s">
        <v>4</v>
      </c>
      <c r="J58" s="1" t="s">
        <v>83</v>
      </c>
      <c r="K58">
        <v>21</v>
      </c>
      <c r="M58" s="1" t="s">
        <v>56</v>
      </c>
      <c r="N58" s="32">
        <v>3117240</v>
      </c>
      <c r="O58" s="1" t="s">
        <v>893</v>
      </c>
    </row>
    <row r="59" spans="9:23">
      <c r="I59" s="1" t="s">
        <v>298</v>
      </c>
      <c r="J59" s="1" t="s">
        <v>38</v>
      </c>
      <c r="K59">
        <v>23</v>
      </c>
      <c r="M59" s="1" t="s">
        <v>87</v>
      </c>
      <c r="N59" s="32">
        <v>3117240</v>
      </c>
      <c r="O59" s="1" t="s">
        <v>893</v>
      </c>
    </row>
    <row r="60" spans="9:23">
      <c r="I60" s="1" t="s">
        <v>901</v>
      </c>
      <c r="J60" s="1" t="s">
        <v>38</v>
      </c>
      <c r="K60">
        <v>23</v>
      </c>
      <c r="M60" s="1" t="s">
        <v>41</v>
      </c>
      <c r="N60" s="32">
        <v>2961120</v>
      </c>
      <c r="O60" s="1" t="s">
        <v>893</v>
      </c>
    </row>
    <row r="61" spans="9:23">
      <c r="I61" s="1" t="s">
        <v>614</v>
      </c>
      <c r="J61" s="1" t="s">
        <v>38</v>
      </c>
      <c r="K61">
        <v>22</v>
      </c>
      <c r="L61">
        <v>1</v>
      </c>
      <c r="M61" s="1" t="s">
        <v>157</v>
      </c>
      <c r="N61" s="32">
        <v>2856804</v>
      </c>
      <c r="O61" s="1" t="s">
        <v>893</v>
      </c>
    </row>
    <row r="62" spans="9:23">
      <c r="I62" s="1" t="s">
        <v>902</v>
      </c>
      <c r="J62" s="1" t="s">
        <v>38</v>
      </c>
      <c r="K62">
        <v>21</v>
      </c>
      <c r="M62" s="1" t="s">
        <v>30</v>
      </c>
      <c r="N62" s="32">
        <v>2813280</v>
      </c>
      <c r="O62" s="1" t="s">
        <v>893</v>
      </c>
    </row>
    <row r="63" spans="9:23">
      <c r="I63" s="1" t="s">
        <v>571</v>
      </c>
      <c r="J63" s="1" t="s">
        <v>38</v>
      </c>
      <c r="K63">
        <v>21</v>
      </c>
      <c r="M63" s="1" t="s">
        <v>149</v>
      </c>
      <c r="N63" s="32">
        <v>2686560</v>
      </c>
      <c r="O63" s="1" t="s">
        <v>893</v>
      </c>
    </row>
    <row r="64" spans="9:23">
      <c r="I64" s="1" t="s">
        <v>528</v>
      </c>
      <c r="J64" s="1" t="s">
        <v>26</v>
      </c>
      <c r="K64">
        <v>24</v>
      </c>
      <c r="L64">
        <v>1</v>
      </c>
      <c r="M64" s="1" t="s">
        <v>149</v>
      </c>
      <c r="N64" s="32">
        <v>2603982</v>
      </c>
      <c r="O64" s="1" t="s">
        <v>893</v>
      </c>
    </row>
    <row r="65" spans="9:15">
      <c r="I65" s="1" t="s">
        <v>500</v>
      </c>
      <c r="J65" s="1" t="s">
        <v>26</v>
      </c>
      <c r="K65">
        <v>23</v>
      </c>
      <c r="L65">
        <v>1</v>
      </c>
      <c r="M65" s="1" t="s">
        <v>47</v>
      </c>
      <c r="N65" s="32">
        <v>2581597</v>
      </c>
      <c r="O65" s="1" t="s">
        <v>893</v>
      </c>
    </row>
    <row r="66" spans="9:15">
      <c r="I66" s="1" t="s">
        <v>770</v>
      </c>
      <c r="J66" s="1" t="s">
        <v>38</v>
      </c>
      <c r="K66">
        <v>20</v>
      </c>
      <c r="M66" s="1" t="s">
        <v>100</v>
      </c>
      <c r="N66" s="32">
        <v>2578800</v>
      </c>
      <c r="O66" s="1" t="s">
        <v>893</v>
      </c>
    </row>
    <row r="67" spans="9:15">
      <c r="I67" s="1" t="s">
        <v>425</v>
      </c>
      <c r="J67" s="1" t="s">
        <v>26</v>
      </c>
      <c r="K67">
        <v>23</v>
      </c>
      <c r="L67">
        <v>1</v>
      </c>
      <c r="M67" s="1" t="s">
        <v>118</v>
      </c>
      <c r="N67" s="32">
        <v>2529684</v>
      </c>
      <c r="O67" s="1" t="s">
        <v>893</v>
      </c>
    </row>
    <row r="68" spans="9:15">
      <c r="I68" s="1" t="s">
        <v>499</v>
      </c>
      <c r="J68" s="1" t="s">
        <v>26</v>
      </c>
      <c r="K68">
        <v>20</v>
      </c>
      <c r="M68" s="1" t="s">
        <v>58</v>
      </c>
      <c r="N68" s="32">
        <v>2475840</v>
      </c>
      <c r="O68" s="1" t="s">
        <v>893</v>
      </c>
    </row>
    <row r="69" spans="9:15">
      <c r="I69" s="1" t="s">
        <v>561</v>
      </c>
      <c r="J69" s="1" t="s">
        <v>83</v>
      </c>
      <c r="K69">
        <v>20</v>
      </c>
      <c r="M69" s="1" t="s">
        <v>110</v>
      </c>
      <c r="N69" s="32">
        <v>2376840</v>
      </c>
      <c r="O69" s="1" t="s">
        <v>893</v>
      </c>
    </row>
    <row r="70" spans="9:15">
      <c r="I70" s="1" t="s">
        <v>483</v>
      </c>
      <c r="J70" s="1" t="s">
        <v>38</v>
      </c>
      <c r="K70">
        <v>25</v>
      </c>
      <c r="L70">
        <v>1</v>
      </c>
      <c r="M70" s="1" t="s">
        <v>47</v>
      </c>
      <c r="N70" s="32">
        <v>2351839</v>
      </c>
      <c r="O70" s="1" t="s">
        <v>893</v>
      </c>
    </row>
    <row r="71" spans="9:15">
      <c r="I71" s="1" t="s">
        <v>557</v>
      </c>
      <c r="J71" s="1" t="s">
        <v>38</v>
      </c>
      <c r="K71">
        <v>23</v>
      </c>
      <c r="L71">
        <v>1</v>
      </c>
      <c r="M71" s="1" t="s">
        <v>100</v>
      </c>
      <c r="N71" s="32">
        <v>2338847</v>
      </c>
      <c r="O71" s="1" t="s">
        <v>893</v>
      </c>
    </row>
    <row r="72" spans="9:15">
      <c r="I72" s="1" t="s">
        <v>637</v>
      </c>
      <c r="J72" s="1" t="s">
        <v>83</v>
      </c>
      <c r="K72">
        <v>23</v>
      </c>
      <c r="L72">
        <v>1</v>
      </c>
      <c r="M72" s="1" t="s">
        <v>73</v>
      </c>
      <c r="N72" s="32">
        <v>2305057</v>
      </c>
      <c r="O72" s="1" t="s">
        <v>893</v>
      </c>
    </row>
    <row r="73" spans="9:15">
      <c r="I73" s="1" t="s">
        <v>427</v>
      </c>
      <c r="J73" s="1" t="s">
        <v>46</v>
      </c>
      <c r="K73">
        <v>21</v>
      </c>
      <c r="M73" s="1" t="s">
        <v>47</v>
      </c>
      <c r="N73" s="32">
        <v>2281800</v>
      </c>
      <c r="O73" s="1" t="s">
        <v>893</v>
      </c>
    </row>
    <row r="74" spans="9:15">
      <c r="I74" s="1" t="s">
        <v>513</v>
      </c>
      <c r="J74" s="1" t="s">
        <v>83</v>
      </c>
      <c r="K74">
        <v>22</v>
      </c>
      <c r="M74" s="1" t="s">
        <v>102</v>
      </c>
      <c r="N74" s="32">
        <v>2281800</v>
      </c>
      <c r="O74" s="1" t="s">
        <v>893</v>
      </c>
    </row>
    <row r="75" spans="9:15">
      <c r="I75" s="1" t="s">
        <v>649</v>
      </c>
      <c r="J75" s="1" t="s">
        <v>38</v>
      </c>
      <c r="K75">
        <v>22</v>
      </c>
      <c r="M75" s="1" t="s">
        <v>61</v>
      </c>
      <c r="N75" s="32">
        <v>2190720</v>
      </c>
      <c r="O75" s="1" t="s">
        <v>893</v>
      </c>
    </row>
    <row r="76" spans="9:15">
      <c r="I76" s="1" t="s">
        <v>300</v>
      </c>
      <c r="J76" s="1" t="s">
        <v>26</v>
      </c>
      <c r="K76">
        <v>21</v>
      </c>
      <c r="M76" s="1" t="s">
        <v>118</v>
      </c>
      <c r="N76" s="32">
        <v>2033160</v>
      </c>
      <c r="O76" s="1" t="s">
        <v>893</v>
      </c>
    </row>
    <row r="77" spans="9:15">
      <c r="I77" s="1" t="s">
        <v>565</v>
      </c>
      <c r="J77" s="1" t="s">
        <v>38</v>
      </c>
      <c r="K77">
        <v>21</v>
      </c>
      <c r="M77" s="1" t="s">
        <v>96</v>
      </c>
      <c r="N77" s="32">
        <v>2033160</v>
      </c>
      <c r="O77" s="1" t="s">
        <v>893</v>
      </c>
    </row>
    <row r="78" spans="9:15">
      <c r="I78" s="1" t="s">
        <v>345</v>
      </c>
      <c r="J78" s="1" t="s">
        <v>38</v>
      </c>
      <c r="K78">
        <v>23</v>
      </c>
      <c r="M78" s="1" t="s">
        <v>78</v>
      </c>
      <c r="N78" s="32">
        <v>1974600</v>
      </c>
      <c r="O78" s="1" t="s">
        <v>893</v>
      </c>
    </row>
    <row r="79" spans="9:15">
      <c r="I79" s="1" t="s">
        <v>304</v>
      </c>
      <c r="J79" s="1" t="s">
        <v>83</v>
      </c>
      <c r="K79">
        <v>21</v>
      </c>
      <c r="M79" s="1" t="s">
        <v>36</v>
      </c>
      <c r="N79" s="32">
        <v>1962360</v>
      </c>
      <c r="O79" s="1" t="s">
        <v>893</v>
      </c>
    </row>
    <row r="80" spans="9:15">
      <c r="I80" s="1" t="s">
        <v>572</v>
      </c>
      <c r="J80" s="1" t="s">
        <v>20</v>
      </c>
      <c r="K80">
        <v>24</v>
      </c>
      <c r="M80" s="1" t="s">
        <v>140</v>
      </c>
      <c r="N80" s="32">
        <v>1948080</v>
      </c>
      <c r="O80" s="1" t="s">
        <v>893</v>
      </c>
    </row>
    <row r="81" spans="9:15">
      <c r="I81" s="1" t="s">
        <v>464</v>
      </c>
      <c r="J81" s="1" t="s">
        <v>26</v>
      </c>
      <c r="K81">
        <v>24</v>
      </c>
      <c r="M81" s="1" t="s">
        <v>78</v>
      </c>
      <c r="N81" s="32">
        <v>1934160</v>
      </c>
      <c r="O81" s="1" t="s">
        <v>893</v>
      </c>
    </row>
    <row r="82" spans="9:15">
      <c r="I82" s="1" t="s">
        <v>558</v>
      </c>
      <c r="J82" s="1" t="s">
        <v>20</v>
      </c>
      <c r="K82">
        <v>22</v>
      </c>
      <c r="L82">
        <v>1</v>
      </c>
      <c r="M82" s="1" t="s">
        <v>140</v>
      </c>
      <c r="N82" s="32">
        <v>1676735</v>
      </c>
      <c r="O82" s="1" t="s">
        <v>893</v>
      </c>
    </row>
    <row r="83" spans="9:15">
      <c r="I83" s="1" t="s">
        <v>497</v>
      </c>
      <c r="J83" s="1" t="s">
        <v>46</v>
      </c>
      <c r="K83">
        <v>25</v>
      </c>
      <c r="L83">
        <v>1</v>
      </c>
      <c r="M83" s="1" t="s">
        <v>43</v>
      </c>
      <c r="N83" s="32">
        <v>1676735</v>
      </c>
      <c r="O83" s="1" t="s">
        <v>893</v>
      </c>
    </row>
    <row r="84" spans="9:15">
      <c r="I84" s="1" t="s">
        <v>550</v>
      </c>
      <c r="J84" s="1" t="s">
        <v>26</v>
      </c>
      <c r="K84">
        <v>24</v>
      </c>
      <c r="M84" s="1" t="s">
        <v>75</v>
      </c>
      <c r="N84" s="32">
        <v>1618520</v>
      </c>
      <c r="O84" s="1" t="s">
        <v>893</v>
      </c>
    </row>
    <row r="85" spans="9:15">
      <c r="I85" s="1" t="s">
        <v>518</v>
      </c>
      <c r="J85" s="1" t="s">
        <v>20</v>
      </c>
      <c r="K85">
        <v>22</v>
      </c>
      <c r="M85" s="1" t="s">
        <v>64</v>
      </c>
      <c r="N85" s="32">
        <v>1618520</v>
      </c>
      <c r="O85" s="1" t="s">
        <v>893</v>
      </c>
    </row>
    <row r="86" spans="9:15">
      <c r="I86" s="1" t="s">
        <v>630</v>
      </c>
      <c r="J86" s="1" t="s">
        <v>38</v>
      </c>
      <c r="K86">
        <v>22</v>
      </c>
      <c r="M86" s="1" t="s">
        <v>128</v>
      </c>
      <c r="N86" s="32">
        <v>1618520</v>
      </c>
      <c r="O86" s="1" t="s">
        <v>893</v>
      </c>
    </row>
  </sheetData>
  <pageMargins left="0.7" right="0.7" top="0.75" bottom="0.75" header="0.3" footer="0.3"/>
  <pageSetup orientation="portrait" r:id="rId1"/>
  <drawing r:id="rId2"/>
  <tableParts count="3">
    <tablePart r:id="rId3"/>
    <tablePart r:id="rId4"/>
    <tablePart r:id="rId5"/>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9"/>
  <dimension ref="A1:L31"/>
  <sheetViews>
    <sheetView workbookViewId="0">
      <selection activeCell="G18" sqref="G18"/>
    </sheetView>
  </sheetViews>
  <sheetFormatPr defaultColWidth="8.85546875" defaultRowHeight="15"/>
  <cols>
    <col min="9" max="9" width="18.85546875" bestFit="1" customWidth="1"/>
    <col min="12" max="12" width="15.28515625" style="2" bestFit="1" customWidth="1"/>
    <col min="14" max="14" width="13.85546875" bestFit="1" customWidth="1"/>
  </cols>
  <sheetData>
    <row r="1" spans="1:12">
      <c r="A1" s="60"/>
      <c r="B1" s="60"/>
      <c r="C1" s="60"/>
      <c r="D1" s="60"/>
      <c r="E1" s="61"/>
      <c r="F1" s="60"/>
    </row>
    <row r="2" spans="1:12">
      <c r="A2" s="60" t="s">
        <v>768</v>
      </c>
      <c r="B2" s="60"/>
      <c r="C2" s="60"/>
      <c r="D2" s="60"/>
      <c r="E2" s="61" t="s">
        <v>19</v>
      </c>
      <c r="F2" s="60"/>
      <c r="G2" s="57"/>
    </row>
    <row r="3" spans="1:12">
      <c r="A3" s="60"/>
      <c r="B3" s="60"/>
      <c r="C3" s="60"/>
      <c r="D3" s="60"/>
      <c r="E3" s="61"/>
      <c r="F3" s="60"/>
      <c r="G3" s="2"/>
      <c r="L3" s="50"/>
    </row>
    <row r="4" spans="1:12">
      <c r="A4" s="60" t="s">
        <v>874</v>
      </c>
      <c r="B4" s="60"/>
      <c r="C4" s="60"/>
      <c r="D4" s="60"/>
      <c r="E4" s="61" t="s">
        <v>25</v>
      </c>
      <c r="F4" s="60"/>
      <c r="G4" s="2"/>
      <c r="L4" s="59"/>
    </row>
    <row r="5" spans="1:12">
      <c r="A5" s="60" t="s">
        <v>754</v>
      </c>
      <c r="B5" s="60"/>
      <c r="C5" s="60" t="s">
        <v>876</v>
      </c>
      <c r="D5" s="60"/>
      <c r="E5" s="61" t="s">
        <v>25</v>
      </c>
      <c r="F5" s="60"/>
      <c r="G5" s="2"/>
      <c r="L5" s="59"/>
    </row>
    <row r="6" spans="1:12">
      <c r="A6" s="60"/>
      <c r="B6" s="60"/>
      <c r="C6" s="60" t="s">
        <v>875</v>
      </c>
      <c r="D6" s="60"/>
      <c r="E6" s="61" t="s">
        <v>19</v>
      </c>
      <c r="F6" s="60"/>
      <c r="G6" s="2"/>
      <c r="L6" s="59"/>
    </row>
    <row r="7" spans="1:12">
      <c r="A7" s="60"/>
      <c r="B7" s="60"/>
      <c r="C7" s="60"/>
      <c r="D7" s="60"/>
      <c r="E7" s="61"/>
      <c r="F7" s="60"/>
      <c r="G7" s="2"/>
      <c r="L7" s="59"/>
    </row>
    <row r="8" spans="1:12">
      <c r="A8" s="60" t="s">
        <v>877</v>
      </c>
      <c r="B8" s="60"/>
      <c r="C8" s="60"/>
      <c r="D8" s="60"/>
      <c r="E8" s="61" t="s">
        <v>19</v>
      </c>
      <c r="F8" s="60"/>
      <c r="G8" s="2"/>
      <c r="L8" s="59"/>
    </row>
    <row r="9" spans="1:12">
      <c r="A9" s="60"/>
      <c r="B9" s="60"/>
      <c r="C9" s="60"/>
      <c r="D9" s="60"/>
      <c r="E9" s="61"/>
      <c r="F9" s="60"/>
      <c r="G9" s="2"/>
      <c r="L9" s="59"/>
    </row>
    <row r="10" spans="1:12">
      <c r="A10" s="60" t="s">
        <v>768</v>
      </c>
      <c r="B10" s="60"/>
      <c r="C10" s="60"/>
      <c r="D10" s="60"/>
      <c r="E10" s="61" t="s">
        <v>19</v>
      </c>
      <c r="F10" s="60"/>
      <c r="G10" s="2"/>
      <c r="L10" s="59"/>
    </row>
    <row r="11" spans="1:12">
      <c r="A11" s="60"/>
      <c r="B11" s="60"/>
      <c r="C11" s="60"/>
      <c r="D11" s="60"/>
      <c r="E11" s="61"/>
      <c r="F11" s="60"/>
      <c r="G11" s="2"/>
      <c r="L11" s="59"/>
    </row>
    <row r="12" spans="1:12">
      <c r="A12" s="60" t="s">
        <v>746</v>
      </c>
      <c r="B12" s="60"/>
      <c r="C12" s="60" t="s">
        <v>879</v>
      </c>
      <c r="D12" s="60"/>
      <c r="E12" s="61" t="s">
        <v>25</v>
      </c>
      <c r="F12" s="60"/>
      <c r="G12" s="2"/>
      <c r="L12" s="59"/>
    </row>
    <row r="13" spans="1:12">
      <c r="A13" s="60"/>
      <c r="B13" s="60" t="s">
        <v>880</v>
      </c>
      <c r="C13" s="60" t="s">
        <v>878</v>
      </c>
      <c r="D13" s="60"/>
      <c r="E13" s="61" t="s">
        <v>19</v>
      </c>
      <c r="F13" s="60"/>
      <c r="G13" s="2"/>
      <c r="L13" s="59"/>
    </row>
    <row r="14" spans="1:12">
      <c r="A14" s="60"/>
      <c r="B14" s="60"/>
      <c r="C14" s="60"/>
      <c r="D14" s="60"/>
      <c r="E14" s="61"/>
      <c r="F14" s="60"/>
      <c r="G14" s="2"/>
      <c r="L14" s="59"/>
    </row>
    <row r="15" spans="1:12">
      <c r="A15" s="60" t="s">
        <v>881</v>
      </c>
      <c r="B15" s="60"/>
      <c r="C15" s="60"/>
      <c r="D15" s="60"/>
      <c r="E15" s="61" t="s">
        <v>19</v>
      </c>
      <c r="F15" s="60"/>
      <c r="G15" s="2"/>
      <c r="L15" s="59"/>
    </row>
    <row r="16" spans="1:12">
      <c r="A16" s="60" t="s">
        <v>882</v>
      </c>
      <c r="B16" s="60"/>
      <c r="C16" s="60"/>
      <c r="D16" s="60"/>
      <c r="E16" s="61" t="s">
        <v>19</v>
      </c>
      <c r="F16" s="60"/>
      <c r="G16" s="2"/>
      <c r="L16" s="59"/>
    </row>
    <row r="17" spans="1:12">
      <c r="A17" s="60"/>
      <c r="B17" s="60"/>
      <c r="C17" s="60"/>
      <c r="D17" s="60"/>
      <c r="E17" s="61"/>
      <c r="F17" s="60"/>
      <c r="G17" s="2"/>
      <c r="L17" s="59"/>
    </row>
    <row r="18" spans="1:12">
      <c r="A18" s="60" t="s">
        <v>883</v>
      </c>
      <c r="B18" s="60"/>
      <c r="C18" s="60"/>
      <c r="D18" s="60"/>
      <c r="E18" s="61" t="s">
        <v>19</v>
      </c>
      <c r="F18" s="60"/>
      <c r="G18" s="2"/>
      <c r="L18" s="59"/>
    </row>
    <row r="19" spans="1:12">
      <c r="A19" s="60"/>
      <c r="B19" s="60"/>
      <c r="C19" s="60"/>
      <c r="D19" s="60"/>
      <c r="E19" s="61"/>
      <c r="F19" s="60"/>
      <c r="G19" s="2"/>
      <c r="L19" s="59"/>
    </row>
    <row r="20" spans="1:12">
      <c r="A20" s="60" t="s">
        <v>737</v>
      </c>
      <c r="B20" s="60"/>
      <c r="C20" s="60" t="s">
        <v>879</v>
      </c>
      <c r="D20" s="60"/>
      <c r="E20" s="61" t="s">
        <v>25</v>
      </c>
      <c r="F20" s="60"/>
      <c r="G20" s="2"/>
      <c r="L20" s="59"/>
    </row>
    <row r="21" spans="1:12">
      <c r="A21" s="60"/>
      <c r="B21" s="60"/>
      <c r="C21" s="60" t="s">
        <v>878</v>
      </c>
      <c r="D21" s="60"/>
      <c r="E21" s="61" t="s">
        <v>19</v>
      </c>
      <c r="F21" s="60"/>
      <c r="G21" s="2"/>
      <c r="L21" s="59"/>
    </row>
    <row r="22" spans="1:12">
      <c r="A22" s="60"/>
      <c r="B22" s="60"/>
      <c r="C22" s="60"/>
      <c r="D22" s="60"/>
      <c r="E22" s="61"/>
      <c r="F22" s="60"/>
      <c r="G22" s="2"/>
      <c r="L22" s="59"/>
    </row>
    <row r="23" spans="1:12">
      <c r="A23" s="60" t="s">
        <v>757</v>
      </c>
      <c r="B23" s="60"/>
      <c r="C23" s="60"/>
      <c r="D23" s="60"/>
      <c r="E23" s="61" t="s">
        <v>19</v>
      </c>
      <c r="F23" s="60"/>
      <c r="G23" s="2"/>
      <c r="L23" s="59"/>
    </row>
    <row r="24" spans="1:12">
      <c r="A24" s="60"/>
      <c r="B24" s="60"/>
      <c r="C24" s="60"/>
      <c r="D24" s="60"/>
      <c r="E24" s="61"/>
      <c r="F24" s="60"/>
      <c r="G24" s="2"/>
      <c r="L24" s="59"/>
    </row>
    <row r="25" spans="1:12">
      <c r="A25" s="60" t="s">
        <v>884</v>
      </c>
      <c r="B25" s="60"/>
      <c r="C25" s="60"/>
      <c r="D25" s="60"/>
      <c r="E25" s="61" t="s">
        <v>19</v>
      </c>
      <c r="F25" s="60"/>
      <c r="G25" s="2"/>
    </row>
    <row r="26" spans="1:12">
      <c r="A26" s="60"/>
      <c r="B26" s="60"/>
      <c r="C26" s="60"/>
      <c r="D26" s="60"/>
      <c r="E26" s="61"/>
      <c r="F26" s="60"/>
      <c r="G26" s="2"/>
    </row>
    <row r="27" spans="1:12">
      <c r="A27" s="60" t="s">
        <v>761</v>
      </c>
      <c r="B27" s="60"/>
      <c r="C27" s="60"/>
      <c r="D27" s="60"/>
      <c r="E27" s="61" t="s">
        <v>19</v>
      </c>
      <c r="F27" s="60"/>
      <c r="G27" s="2"/>
    </row>
    <row r="28" spans="1:12">
      <c r="A28" s="60"/>
      <c r="B28" s="60"/>
      <c r="C28" s="60"/>
      <c r="D28" s="60"/>
      <c r="E28" s="61"/>
      <c r="F28" s="60"/>
      <c r="G28" s="2"/>
    </row>
    <row r="29" spans="1:12">
      <c r="A29" s="60" t="s">
        <v>788</v>
      </c>
      <c r="B29" s="60"/>
      <c r="C29" s="60"/>
      <c r="D29" s="60"/>
      <c r="E29" s="61" t="s">
        <v>19</v>
      </c>
      <c r="F29" s="60"/>
      <c r="G29" s="2"/>
    </row>
    <row r="30" spans="1:12">
      <c r="A30" s="60"/>
      <c r="B30" s="60"/>
      <c r="C30" s="60"/>
      <c r="D30" s="60"/>
      <c r="E30" s="61"/>
      <c r="F30" s="60"/>
    </row>
    <row r="31" spans="1:12">
      <c r="A31" s="60"/>
      <c r="B31" s="60"/>
      <c r="C31" s="60"/>
      <c r="D31" s="60"/>
      <c r="E31" s="61"/>
      <c r="F31" s="60"/>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4"/>
  <dimension ref="A2:K31"/>
  <sheetViews>
    <sheetView workbookViewId="0">
      <selection activeCell="F20" sqref="F20"/>
    </sheetView>
  </sheetViews>
  <sheetFormatPr defaultColWidth="8.85546875" defaultRowHeight="15"/>
  <cols>
    <col min="1" max="1" width="24.7109375" bestFit="1" customWidth="1"/>
    <col min="2" max="2" width="9.28515625" customWidth="1"/>
    <col min="5" max="5" width="20" bestFit="1" customWidth="1"/>
    <col min="6" max="6" width="7.42578125" customWidth="1"/>
  </cols>
  <sheetData>
    <row r="2" spans="1:11" ht="15.75">
      <c r="A2" s="12" t="s">
        <v>674</v>
      </c>
      <c r="B2" s="2" t="s">
        <v>149</v>
      </c>
      <c r="C2" s="12" t="s">
        <v>674</v>
      </c>
      <c r="I2" s="702" t="s">
        <v>905</v>
      </c>
      <c r="J2" s="702"/>
      <c r="K2" t="s">
        <v>707</v>
      </c>
    </row>
    <row r="3" spans="1:11" ht="15.75">
      <c r="A3" s="12" t="s">
        <v>675</v>
      </c>
      <c r="B3" s="5" t="s">
        <v>87</v>
      </c>
      <c r="C3" s="12" t="s">
        <v>675</v>
      </c>
      <c r="H3" t="s">
        <v>266</v>
      </c>
      <c r="I3" t="s">
        <v>652</v>
      </c>
      <c r="J3">
        <v>6</v>
      </c>
      <c r="K3" t="s">
        <v>671</v>
      </c>
    </row>
    <row r="4" spans="1:11" ht="15.75">
      <c r="A4" s="12" t="s">
        <v>709</v>
      </c>
      <c r="B4" s="5" t="s">
        <v>315</v>
      </c>
      <c r="C4" s="12" t="s">
        <v>709</v>
      </c>
      <c r="H4" t="s">
        <v>269</v>
      </c>
      <c r="I4" t="s">
        <v>653</v>
      </c>
      <c r="J4">
        <v>7</v>
      </c>
      <c r="K4" t="s">
        <v>273</v>
      </c>
    </row>
    <row r="5" spans="1:11" ht="15.75">
      <c r="A5" s="12" t="s">
        <v>676</v>
      </c>
      <c r="B5" s="5" t="s">
        <v>43</v>
      </c>
      <c r="C5" s="12" t="s">
        <v>676</v>
      </c>
      <c r="H5" t="s">
        <v>272</v>
      </c>
      <c r="I5" t="s">
        <v>654</v>
      </c>
      <c r="J5">
        <v>8</v>
      </c>
      <c r="K5" t="s">
        <v>799</v>
      </c>
    </row>
    <row r="6" spans="1:11" ht="15.75">
      <c r="A6" s="12" t="s">
        <v>677</v>
      </c>
      <c r="B6" s="5" t="s">
        <v>311</v>
      </c>
      <c r="C6" s="12" t="s">
        <v>677</v>
      </c>
      <c r="E6" t="s">
        <v>669</v>
      </c>
      <c r="H6" t="s">
        <v>273</v>
      </c>
      <c r="I6" t="s">
        <v>655</v>
      </c>
      <c r="J6">
        <v>9</v>
      </c>
      <c r="K6" t="s">
        <v>653</v>
      </c>
    </row>
    <row r="7" spans="1:11" ht="15.75">
      <c r="A7" s="12" t="s">
        <v>817</v>
      </c>
      <c r="B7" s="5" t="s">
        <v>102</v>
      </c>
      <c r="C7" s="12" t="s">
        <v>708</v>
      </c>
      <c r="H7" t="s">
        <v>276</v>
      </c>
      <c r="I7" t="s">
        <v>656</v>
      </c>
      <c r="J7">
        <v>10</v>
      </c>
    </row>
    <row r="8" spans="1:11" ht="15.75">
      <c r="A8" s="12" t="s">
        <v>678</v>
      </c>
      <c r="B8" s="5" t="s">
        <v>33</v>
      </c>
      <c r="C8" s="12" t="s">
        <v>678</v>
      </c>
      <c r="H8" t="s">
        <v>277</v>
      </c>
      <c r="I8" t="s">
        <v>657</v>
      </c>
      <c r="J8">
        <v>11</v>
      </c>
    </row>
    <row r="9" spans="1:11" ht="15.75">
      <c r="A9" s="12" t="s">
        <v>679</v>
      </c>
      <c r="B9" s="5" t="s">
        <v>61</v>
      </c>
      <c r="C9" s="12" t="s">
        <v>679</v>
      </c>
      <c r="H9" t="s">
        <v>278</v>
      </c>
      <c r="I9" t="s">
        <v>658</v>
      </c>
      <c r="J9">
        <v>12</v>
      </c>
    </row>
    <row r="10" spans="1:11" ht="15.75">
      <c r="A10" s="12" t="s">
        <v>680</v>
      </c>
      <c r="B10" s="5" t="s">
        <v>157</v>
      </c>
      <c r="C10" s="12" t="s">
        <v>680</v>
      </c>
      <c r="H10" t="s">
        <v>279</v>
      </c>
      <c r="I10" t="s">
        <v>659</v>
      </c>
      <c r="J10">
        <v>13</v>
      </c>
    </row>
    <row r="11" spans="1:11" ht="15.75">
      <c r="A11" s="12" t="s">
        <v>681</v>
      </c>
      <c r="B11" s="5" t="s">
        <v>73</v>
      </c>
      <c r="C11" s="12" t="s">
        <v>681</v>
      </c>
      <c r="H11" t="s">
        <v>280</v>
      </c>
      <c r="I11" t="s">
        <v>660</v>
      </c>
      <c r="J11">
        <v>14</v>
      </c>
    </row>
    <row r="12" spans="1:11" ht="15.75">
      <c r="A12" s="12" t="s">
        <v>682</v>
      </c>
      <c r="B12" s="5" t="s">
        <v>92</v>
      </c>
      <c r="C12" s="12" t="s">
        <v>682</v>
      </c>
      <c r="H12" t="s">
        <v>281</v>
      </c>
      <c r="I12" t="s">
        <v>661</v>
      </c>
      <c r="J12">
        <v>15</v>
      </c>
    </row>
    <row r="13" spans="1:11" ht="15.75">
      <c r="A13" s="12" t="s">
        <v>683</v>
      </c>
      <c r="B13" s="5" t="s">
        <v>30</v>
      </c>
      <c r="C13" s="12" t="s">
        <v>683</v>
      </c>
      <c r="H13" t="s">
        <v>282</v>
      </c>
      <c r="I13" t="s">
        <v>662</v>
      </c>
      <c r="J13">
        <v>16</v>
      </c>
    </row>
    <row r="14" spans="1:11" ht="15.75">
      <c r="A14" s="12" t="s">
        <v>684</v>
      </c>
      <c r="B14" s="5" t="s">
        <v>64</v>
      </c>
      <c r="C14" s="12" t="s">
        <v>684</v>
      </c>
      <c r="H14" t="s">
        <v>283</v>
      </c>
      <c r="I14" t="s">
        <v>663</v>
      </c>
      <c r="J14">
        <v>17</v>
      </c>
    </row>
    <row r="15" spans="1:11" ht="15.75">
      <c r="A15" s="12" t="s">
        <v>685</v>
      </c>
      <c r="B15" s="5" t="s">
        <v>78</v>
      </c>
      <c r="C15" s="12" t="s">
        <v>685</v>
      </c>
      <c r="H15" t="s">
        <v>38</v>
      </c>
      <c r="I15" t="s">
        <v>664</v>
      </c>
      <c r="J15">
        <v>18</v>
      </c>
    </row>
    <row r="16" spans="1:11" ht="15.75">
      <c r="A16" s="12" t="s">
        <v>686</v>
      </c>
      <c r="B16" s="5" t="s">
        <v>128</v>
      </c>
      <c r="C16" s="12" t="s">
        <v>686</v>
      </c>
      <c r="H16" t="s">
        <v>284</v>
      </c>
      <c r="I16" t="s">
        <v>665</v>
      </c>
      <c r="J16">
        <v>19</v>
      </c>
    </row>
    <row r="17" spans="1:10" ht="15.75">
      <c r="A17" s="12" t="s">
        <v>687</v>
      </c>
      <c r="B17" s="5" t="s">
        <v>50</v>
      </c>
      <c r="C17" s="12" t="s">
        <v>687</v>
      </c>
      <c r="I17" t="s">
        <v>666</v>
      </c>
      <c r="J17">
        <v>20</v>
      </c>
    </row>
    <row r="18" spans="1:10" ht="15.75">
      <c r="A18" s="12" t="s">
        <v>688</v>
      </c>
      <c r="B18" s="5" t="s">
        <v>41</v>
      </c>
      <c r="C18" s="12" t="s">
        <v>688</v>
      </c>
      <c r="I18" t="s">
        <v>667</v>
      </c>
      <c r="J18">
        <v>21</v>
      </c>
    </row>
    <row r="19" spans="1:10" ht="15.75">
      <c r="A19" s="12" t="s">
        <v>689</v>
      </c>
      <c r="B19" s="5" t="s">
        <v>56</v>
      </c>
      <c r="C19" s="12" t="s">
        <v>689</v>
      </c>
      <c r="I19" t="s">
        <v>668</v>
      </c>
      <c r="J19">
        <v>22</v>
      </c>
    </row>
    <row r="20" spans="1:10" ht="15.75">
      <c r="A20" s="12" t="s">
        <v>690</v>
      </c>
      <c r="B20" s="5" t="s">
        <v>112</v>
      </c>
      <c r="C20" s="12" t="s">
        <v>690</v>
      </c>
      <c r="I20" t="s">
        <v>669</v>
      </c>
      <c r="J20">
        <v>23</v>
      </c>
    </row>
    <row r="21" spans="1:10" ht="15.75">
      <c r="A21" s="12" t="s">
        <v>691</v>
      </c>
      <c r="B21" s="5" t="s">
        <v>21</v>
      </c>
      <c r="C21" s="12" t="s">
        <v>691</v>
      </c>
      <c r="I21" t="s">
        <v>670</v>
      </c>
      <c r="J21">
        <v>24</v>
      </c>
    </row>
    <row r="22" spans="1:10" ht="15.75">
      <c r="A22" s="12" t="s">
        <v>692</v>
      </c>
      <c r="B22" s="5" t="s">
        <v>58</v>
      </c>
      <c r="C22" s="12" t="s">
        <v>692</v>
      </c>
      <c r="I22" t="s">
        <v>671</v>
      </c>
      <c r="J22">
        <v>25</v>
      </c>
    </row>
    <row r="23" spans="1:10" ht="15.75">
      <c r="A23" s="12" t="s">
        <v>693</v>
      </c>
      <c r="B23" s="5" t="s">
        <v>75</v>
      </c>
      <c r="C23" s="12" t="s">
        <v>693</v>
      </c>
    </row>
    <row r="24" spans="1:10" ht="15.75">
      <c r="A24" s="12" t="s">
        <v>694</v>
      </c>
      <c r="B24" s="5" t="s">
        <v>118</v>
      </c>
      <c r="C24" s="12" t="s">
        <v>694</v>
      </c>
    </row>
    <row r="25" spans="1:10" ht="15.75">
      <c r="A25" s="12" t="s">
        <v>695</v>
      </c>
      <c r="B25" s="5" t="s">
        <v>313</v>
      </c>
      <c r="C25" s="12" t="s">
        <v>695</v>
      </c>
    </row>
    <row r="26" spans="1:10" ht="15.75">
      <c r="A26" s="12" t="s">
        <v>696</v>
      </c>
      <c r="B26" s="5" t="s">
        <v>96</v>
      </c>
      <c r="C26" s="12" t="s">
        <v>696</v>
      </c>
    </row>
    <row r="27" spans="1:10" ht="15.75">
      <c r="A27" s="12" t="s">
        <v>697</v>
      </c>
      <c r="B27" s="5" t="s">
        <v>100</v>
      </c>
      <c r="C27" s="12" t="s">
        <v>697</v>
      </c>
    </row>
    <row r="28" spans="1:10" ht="15.75">
      <c r="A28" s="12" t="s">
        <v>698</v>
      </c>
      <c r="B28" s="5" t="s">
        <v>140</v>
      </c>
      <c r="C28" s="12" t="s">
        <v>698</v>
      </c>
    </row>
    <row r="29" spans="1:10" ht="15.75">
      <c r="A29" s="12" t="s">
        <v>699</v>
      </c>
      <c r="B29" s="5" t="s">
        <v>47</v>
      </c>
      <c r="C29" s="12" t="s">
        <v>699</v>
      </c>
    </row>
    <row r="30" spans="1:10" ht="15.75">
      <c r="A30" s="12" t="s">
        <v>700</v>
      </c>
      <c r="B30" s="5" t="s">
        <v>305</v>
      </c>
      <c r="C30" s="12" t="s">
        <v>700</v>
      </c>
    </row>
    <row r="31" spans="1:10" ht="15.75">
      <c r="A31" s="12" t="s">
        <v>701</v>
      </c>
      <c r="B31" s="5" t="s">
        <v>27</v>
      </c>
      <c r="C31" s="12" t="s">
        <v>701</v>
      </c>
    </row>
  </sheetData>
  <sortState xmlns:xlrd2="http://schemas.microsoft.com/office/spreadsheetml/2017/richdata2" ref="C2:C32">
    <sortCondition ref="C2:C32"/>
  </sortState>
  <mergeCells count="1">
    <mergeCell ref="I2:J2"/>
  </mergeCells>
  <conditionalFormatting sqref="H16">
    <cfRule type="colorScale" priority="1">
      <colorScale>
        <cfvo type="min"/>
        <cfvo type="percentile" val="50"/>
        <cfvo type="max"/>
        <color rgb="FFF8696B"/>
        <color rgb="FFFCFCFF"/>
        <color rgb="FF63BE7B"/>
      </colorScale>
    </cfRule>
  </conditionalFormatting>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6"/>
  <dimension ref="A1:I34"/>
  <sheetViews>
    <sheetView workbookViewId="0"/>
  </sheetViews>
  <sheetFormatPr defaultRowHeight="15"/>
  <cols>
    <col min="3" max="3" width="25.85546875" bestFit="1" customWidth="1"/>
    <col min="4" max="4" width="13.7109375" bestFit="1" customWidth="1"/>
    <col min="5" max="5" width="27" bestFit="1" customWidth="1"/>
    <col min="6" max="6" width="21.5703125" bestFit="1" customWidth="1"/>
    <col min="7" max="7" width="27" bestFit="1" customWidth="1"/>
    <col min="8" max="8" width="21.5703125" bestFit="1" customWidth="1"/>
    <col min="10" max="10" width="13.7109375" bestFit="1" customWidth="1"/>
  </cols>
  <sheetData>
    <row r="1" spans="1:8">
      <c r="A1" t="s">
        <v>1053</v>
      </c>
    </row>
    <row r="4" spans="1:8">
      <c r="D4" t="s">
        <v>1056</v>
      </c>
    </row>
    <row r="5" spans="1:8">
      <c r="A5" t="s">
        <v>1054</v>
      </c>
    </row>
    <row r="7" spans="1:8">
      <c r="A7" t="s">
        <v>1055</v>
      </c>
    </row>
    <row r="9" spans="1:8">
      <c r="C9" t="s">
        <v>1129</v>
      </c>
    </row>
    <row r="10" spans="1:8">
      <c r="C10" s="706" t="s">
        <v>1068</v>
      </c>
      <c r="D10" s="706"/>
      <c r="E10" s="706" t="s">
        <v>1071</v>
      </c>
      <c r="F10" s="706"/>
      <c r="G10" s="706" t="s">
        <v>1072</v>
      </c>
      <c r="H10" s="706"/>
    </row>
    <row r="11" spans="1:8">
      <c r="C11" s="305" t="s">
        <v>1069</v>
      </c>
      <c r="D11" s="305" t="s">
        <v>1070</v>
      </c>
      <c r="E11" s="305" t="s">
        <v>1073</v>
      </c>
      <c r="F11" s="305" t="s">
        <v>1074</v>
      </c>
      <c r="G11" s="305" t="s">
        <v>1073</v>
      </c>
      <c r="H11" s="305" t="s">
        <v>1074</v>
      </c>
    </row>
    <row r="12" spans="1:8">
      <c r="C12" s="199">
        <v>0</v>
      </c>
      <c r="D12" s="300">
        <v>4999999</v>
      </c>
      <c r="E12" s="200">
        <v>1.5</v>
      </c>
      <c r="F12" s="300" t="s">
        <v>1075</v>
      </c>
      <c r="G12" s="303">
        <v>2.5</v>
      </c>
      <c r="H12" s="201" t="s">
        <v>1076</v>
      </c>
    </row>
    <row r="13" spans="1:8">
      <c r="C13" s="296">
        <v>5000000</v>
      </c>
      <c r="D13" s="297">
        <v>9999999</v>
      </c>
      <c r="E13" s="298">
        <v>1.75</v>
      </c>
      <c r="F13" s="297" t="s">
        <v>1077</v>
      </c>
      <c r="G13" s="298">
        <v>2.75</v>
      </c>
      <c r="H13" s="299" t="s">
        <v>1078</v>
      </c>
    </row>
    <row r="14" spans="1:8">
      <c r="C14" s="202">
        <v>10000000</v>
      </c>
      <c r="D14" s="301">
        <v>14999999</v>
      </c>
      <c r="E14" s="302">
        <v>2.5</v>
      </c>
      <c r="F14" s="204" t="s">
        <v>1076</v>
      </c>
      <c r="G14" s="203">
        <v>3.5</v>
      </c>
      <c r="H14" s="304" t="s">
        <v>1079</v>
      </c>
    </row>
    <row r="15" spans="1:8">
      <c r="C15" s="296">
        <v>15000000</v>
      </c>
      <c r="D15" s="297">
        <v>19999999</v>
      </c>
      <c r="E15" s="298">
        <v>3.25</v>
      </c>
      <c r="F15" s="297" t="s">
        <v>1080</v>
      </c>
      <c r="G15" s="298">
        <v>4.25</v>
      </c>
      <c r="H15" s="299" t="s">
        <v>1081</v>
      </c>
    </row>
    <row r="16" spans="1:8">
      <c r="C16" s="707">
        <v>20000000</v>
      </c>
      <c r="D16" s="709" t="s">
        <v>1082</v>
      </c>
      <c r="E16" s="713" t="s">
        <v>1083</v>
      </c>
      <c r="F16" s="711" t="s">
        <v>1082</v>
      </c>
      <c r="G16" s="715" t="s">
        <v>1084</v>
      </c>
      <c r="H16" s="709" t="s">
        <v>1082</v>
      </c>
    </row>
    <row r="17" spans="3:9">
      <c r="C17" s="708"/>
      <c r="D17" s="710"/>
      <c r="E17" s="714"/>
      <c r="F17" s="712"/>
      <c r="G17" s="716"/>
      <c r="H17" s="710"/>
    </row>
    <row r="19" spans="3:9">
      <c r="C19" s="7" t="s">
        <v>1126</v>
      </c>
    </row>
    <row r="20" spans="3:9">
      <c r="C20" s="706" t="s">
        <v>1127</v>
      </c>
      <c r="D20" s="703" t="s">
        <v>1130</v>
      </c>
      <c r="E20" s="704"/>
      <c r="F20" s="704"/>
      <c r="G20" s="704"/>
      <c r="H20" s="705"/>
    </row>
    <row r="21" spans="3:9">
      <c r="C21" s="706"/>
      <c r="D21" s="292">
        <v>1</v>
      </c>
      <c r="E21" s="292">
        <v>2</v>
      </c>
      <c r="F21" s="292">
        <v>3</v>
      </c>
      <c r="G21" s="292">
        <v>4</v>
      </c>
      <c r="H21" s="292">
        <v>5</v>
      </c>
    </row>
    <row r="22" spans="3:9">
      <c r="C22" s="281">
        <v>0</v>
      </c>
      <c r="D22" s="284">
        <v>815615</v>
      </c>
      <c r="E22" s="285" t="s">
        <v>17</v>
      </c>
      <c r="F22" s="286" t="s">
        <v>17</v>
      </c>
      <c r="G22" s="287" t="s">
        <v>17</v>
      </c>
      <c r="H22" s="285" t="s">
        <v>17</v>
      </c>
    </row>
    <row r="23" spans="3:9">
      <c r="C23" s="293">
        <v>1</v>
      </c>
      <c r="D23" s="294">
        <v>1312611</v>
      </c>
      <c r="E23" s="294">
        <v>1378242</v>
      </c>
      <c r="F23" s="295" t="s">
        <v>17</v>
      </c>
      <c r="G23" s="295" t="s">
        <v>17</v>
      </c>
      <c r="H23" s="295" t="s">
        <v>17</v>
      </c>
    </row>
    <row r="24" spans="3:9">
      <c r="C24" s="282">
        <v>2</v>
      </c>
      <c r="D24" s="288">
        <v>1471382</v>
      </c>
      <c r="E24" s="289">
        <v>1544951</v>
      </c>
      <c r="F24" s="289">
        <v>1618520</v>
      </c>
      <c r="G24" s="289" t="s">
        <v>17</v>
      </c>
      <c r="H24" s="289" t="s">
        <v>17</v>
      </c>
      <c r="I24" s="280"/>
    </row>
    <row r="25" spans="3:9">
      <c r="C25" s="293">
        <v>3</v>
      </c>
      <c r="D25" s="294">
        <v>1524305</v>
      </c>
      <c r="E25" s="294">
        <v>1600520</v>
      </c>
      <c r="F25" s="295">
        <v>1676735</v>
      </c>
      <c r="G25" s="295">
        <v>1752950</v>
      </c>
      <c r="H25" s="295" t="s">
        <v>17</v>
      </c>
    </row>
    <row r="26" spans="3:9">
      <c r="C26" s="282">
        <v>4</v>
      </c>
      <c r="D26" s="288">
        <v>1577230</v>
      </c>
      <c r="E26" s="289">
        <v>1656092</v>
      </c>
      <c r="F26" s="289">
        <v>1734954</v>
      </c>
      <c r="G26" s="289">
        <v>1813816</v>
      </c>
      <c r="H26" s="289">
        <v>1892678</v>
      </c>
    </row>
    <row r="27" spans="3:9">
      <c r="C27" s="293">
        <v>5</v>
      </c>
      <c r="D27" s="294">
        <v>1709538</v>
      </c>
      <c r="E27" s="294">
        <v>1795015</v>
      </c>
      <c r="F27" s="295">
        <v>1880492</v>
      </c>
      <c r="G27" s="295">
        <v>1965969</v>
      </c>
      <c r="H27" s="295">
        <v>2051446</v>
      </c>
    </row>
    <row r="28" spans="3:9">
      <c r="C28" s="282">
        <v>6</v>
      </c>
      <c r="D28" s="288">
        <v>1841849</v>
      </c>
      <c r="E28" s="289">
        <v>1933941</v>
      </c>
      <c r="F28" s="289">
        <v>2026033</v>
      </c>
      <c r="G28" s="289">
        <v>2118125</v>
      </c>
      <c r="H28" s="289">
        <v>2210217</v>
      </c>
    </row>
    <row r="29" spans="3:9">
      <c r="C29" s="293">
        <v>7</v>
      </c>
      <c r="D29" s="294">
        <v>1974159</v>
      </c>
      <c r="E29" s="294">
        <v>2072867</v>
      </c>
      <c r="F29" s="295">
        <v>2171575</v>
      </c>
      <c r="G29" s="295">
        <v>2270283</v>
      </c>
      <c r="H29" s="295">
        <v>2368991</v>
      </c>
    </row>
    <row r="30" spans="3:9">
      <c r="C30" s="282">
        <v>8</v>
      </c>
      <c r="D30" s="288">
        <v>2106470</v>
      </c>
      <c r="E30" s="289">
        <v>2211794</v>
      </c>
      <c r="F30" s="289">
        <v>2317118</v>
      </c>
      <c r="G30" s="289">
        <v>2422442</v>
      </c>
      <c r="H30" s="289">
        <v>2527766</v>
      </c>
    </row>
    <row r="31" spans="3:9">
      <c r="C31" s="293">
        <v>9</v>
      </c>
      <c r="D31" s="294">
        <v>2116955</v>
      </c>
      <c r="E31" s="294">
        <v>2222803</v>
      </c>
      <c r="F31" s="295">
        <v>2328651</v>
      </c>
      <c r="G31" s="295">
        <v>2434499</v>
      </c>
      <c r="H31" s="295">
        <v>2540347</v>
      </c>
    </row>
    <row r="32" spans="3:9">
      <c r="C32" s="283" t="s">
        <v>1128</v>
      </c>
      <c r="D32" s="290">
        <v>2328652</v>
      </c>
      <c r="E32" s="291">
        <v>2445085</v>
      </c>
      <c r="F32" s="291">
        <v>2561518</v>
      </c>
      <c r="G32" s="291">
        <v>2677951</v>
      </c>
      <c r="H32" s="291">
        <v>2794384</v>
      </c>
    </row>
    <row r="33" spans="5:5">
      <c r="E33" s="280"/>
    </row>
    <row r="34" spans="5:5">
      <c r="E34" s="280"/>
    </row>
  </sheetData>
  <mergeCells count="11">
    <mergeCell ref="D20:H20"/>
    <mergeCell ref="C20:C21"/>
    <mergeCell ref="E10:F10"/>
    <mergeCell ref="G10:H10"/>
    <mergeCell ref="C16:C17"/>
    <mergeCell ref="D16:D17"/>
    <mergeCell ref="F16:F17"/>
    <mergeCell ref="H16:H17"/>
    <mergeCell ref="E16:E17"/>
    <mergeCell ref="G16:G17"/>
    <mergeCell ref="C10:D10"/>
  </mergeCells>
  <conditionalFormatting sqref="J9">
    <cfRule type="expression" dxfId="1" priority="325">
      <formula>H$32&lt;H$26</formula>
    </cfRule>
    <cfRule type="expression" dxfId="0" priority="326">
      <formula>H$32&gt;H$26</formula>
    </cfRule>
  </conditionalFormatting>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
</file>

<file path=customXml/item3.xml>��
</file>

<file path=customXml/itemProps1.xml><?xml version="1.0" encoding="utf-8"?>
<ds:datastoreItem xmlns:ds="http://schemas.openxmlformats.org/officeDocument/2006/customXml" ds:itemID="{C2D3939B-69A1-4CD8-A436-9A118FD2E1A9}">
  <ds:schemaRefs>
    <ds:schemaRef ds:uri="http://schemas.microsoft.com/DataMashup"/>
  </ds:schemaRefs>
</ds:datastoreItem>
</file>

<file path=customXml/itemProps2.xml><?xml version="1.0" encoding="utf-8"?>
<ds:datastoreItem xmlns:ds="http://schemas.openxmlformats.org/officeDocument/2006/customXml" ds:itemID="{B67B0BB3-2DDF-4EAF-A4C2-BF588E54911C}">
  <ds:schemaRefs>
    <ds:schemaRef ds:uri="http://www.w3.org/2001/XMLSchema"/>
    <ds:schemaRef ds:uri="http://microsoft.data.visualization.engine.tours/1.0"/>
  </ds:schemaRefs>
</ds:datastoreItem>
</file>

<file path=customXml/itemProps3.xml><?xml version="1.0" encoding="utf-8"?>
<ds:datastoreItem xmlns:ds="http://schemas.openxmlformats.org/officeDocument/2006/customXml" ds:itemID="{7ECE13FF-313D-494D-A15A-5C2AFEC58FE2}">
  <ds:schemaRefs>
    <ds:schemaRef ds:uri="http://www.w3.org/2001/XMLSchema"/>
    <ds:schemaRef ds:uri="http://microsoft.data.visualization.Client.Excel/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About &amp; Tabs Info</vt:lpstr>
      <vt:lpstr>Roster Analysis</vt:lpstr>
      <vt:lpstr>Team Shooting</vt:lpstr>
      <vt:lpstr>Team Ranking</vt:lpstr>
      <vt:lpstr>2018 Free Agents</vt:lpstr>
      <vt:lpstr>Player Salaries</vt:lpstr>
      <vt:lpstr>Injury Report</vt:lpstr>
      <vt:lpstr>Glossary</vt:lpstr>
      <vt:lpstr>Player Advanced</vt:lpstr>
      <vt:lpstr>Player Per Game</vt:lpstr>
      <vt:lpstr>Player Totals</vt:lpstr>
      <vt:lpstr>Team Stats</vt:lpstr>
      <vt:lpstr>Team Shooting Raw</vt:lpstr>
      <vt:lpstr>Standings</vt:lpstr>
      <vt:lpstr>Contract Options</vt:lpstr>
      <vt:lpstr>Free Agency Guidelines</vt:lpstr>
      <vt:lpstr>Referenced Lists</vt:lpstr>
      <vt:lpstr>CBA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Jackson Strand CW</dc:creator>
  <cp:lastModifiedBy>Jackson Strand CW</cp:lastModifiedBy>
  <cp:lastPrinted>2018-07-10T15:37:42Z</cp:lastPrinted>
  <dcterms:created xsi:type="dcterms:W3CDTF">2018-01-16T13:56:35Z</dcterms:created>
  <dcterms:modified xsi:type="dcterms:W3CDTF">2020-03-10T14:10:57Z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e5ebecb1-d490-4b1c-b8a9-f1ca45421dc6_Enabled">
    <vt:lpwstr>False</vt:lpwstr>
  </property>
  <property fmtid="{D5CDD505-2E9C-101B-9397-08002B2CF9AE}" pid="3" name="MSIP_Label_e5ebecb1-d490-4b1c-b8a9-f1ca45421dc6_SiteId">
    <vt:lpwstr>facac3c4-e2a5-4257-af76-205c8a821ddb</vt:lpwstr>
  </property>
  <property fmtid="{D5CDD505-2E9C-101B-9397-08002B2CF9AE}" pid="4" name="MSIP_Label_e5ebecb1-d490-4b1c-b8a9-f1ca45421dc6_Owner">
    <vt:lpwstr>A85BGZZ@mmm.com</vt:lpwstr>
  </property>
  <property fmtid="{D5CDD505-2E9C-101B-9397-08002B2CF9AE}" pid="5" name="MSIP_Label_e5ebecb1-d490-4b1c-b8a9-f1ca45421dc6_SetDate">
    <vt:lpwstr>2018-02-12T11:47:08.9704002-06:00</vt:lpwstr>
  </property>
  <property fmtid="{D5CDD505-2E9C-101B-9397-08002B2CF9AE}" pid="6" name="MSIP_Label_e5ebecb1-d490-4b1c-b8a9-f1ca45421dc6_Name">
    <vt:lpwstr>Restricted</vt:lpwstr>
  </property>
  <property fmtid="{D5CDD505-2E9C-101B-9397-08002B2CF9AE}" pid="7" name="MSIP_Label_e5ebecb1-d490-4b1c-b8a9-f1ca45421dc6_Application">
    <vt:lpwstr>Microsoft Azure Information Protection</vt:lpwstr>
  </property>
  <property fmtid="{D5CDD505-2E9C-101B-9397-08002B2CF9AE}" pid="8" name="MSIP_Label_e5ebecb1-d490-4b1c-b8a9-f1ca45421dc6_Extended_MSFT_Method">
    <vt:lpwstr>Manual</vt:lpwstr>
  </property>
  <property fmtid="{D5CDD505-2E9C-101B-9397-08002B2CF9AE}" pid="9" name="MSIP_Label_2de41d67-d9ef-43ee-b45c-7330bb09923b_Enabled">
    <vt:lpwstr>False</vt:lpwstr>
  </property>
  <property fmtid="{D5CDD505-2E9C-101B-9397-08002B2CF9AE}" pid="10" name="MSIP_Label_2de41d67-d9ef-43ee-b45c-7330bb09923b_SiteId">
    <vt:lpwstr>facac3c4-e2a5-4257-af76-205c8a821ddb</vt:lpwstr>
  </property>
  <property fmtid="{D5CDD505-2E9C-101B-9397-08002B2CF9AE}" pid="11" name="MSIP_Label_2de41d67-d9ef-43ee-b45c-7330bb09923b_Owner">
    <vt:lpwstr>A85BGZZ@mmm.com</vt:lpwstr>
  </property>
  <property fmtid="{D5CDD505-2E9C-101B-9397-08002B2CF9AE}" pid="12" name="MSIP_Label_2de41d67-d9ef-43ee-b45c-7330bb09923b_SetDate">
    <vt:lpwstr>2018-02-12T11:47:08.9704002-06:00</vt:lpwstr>
  </property>
  <property fmtid="{D5CDD505-2E9C-101B-9397-08002B2CF9AE}" pid="13" name="MSIP_Label_2de41d67-d9ef-43ee-b45c-7330bb09923b_Name">
    <vt:lpwstr>Watermark</vt:lpwstr>
  </property>
  <property fmtid="{D5CDD505-2E9C-101B-9397-08002B2CF9AE}" pid="14" name="MSIP_Label_2de41d67-d9ef-43ee-b45c-7330bb09923b_Application">
    <vt:lpwstr>Microsoft Azure Information Protection</vt:lpwstr>
  </property>
  <property fmtid="{D5CDD505-2E9C-101B-9397-08002B2CF9AE}" pid="15" name="MSIP_Label_2de41d67-d9ef-43ee-b45c-7330bb09923b_Extended_MSFT_Method">
    <vt:lpwstr>Manual</vt:lpwstr>
  </property>
  <property fmtid="{D5CDD505-2E9C-101B-9397-08002B2CF9AE}" pid="16" name="MSIP_Label_2de41d67-d9ef-43ee-b45c-7330bb09923b_Parent">
    <vt:lpwstr>e5ebecb1-d490-4b1c-b8a9-f1ca45421dc6</vt:lpwstr>
  </property>
  <property fmtid="{D5CDD505-2E9C-101B-9397-08002B2CF9AE}" pid="17" name="Sensitivity">
    <vt:lpwstr/>
  </property>
</Properties>
</file>