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ltsjf\OneDrive - CDM Smith\Documents\2023 Projects\CIBA Olin - 259477\massFluxCalcPCB\"/>
    </mc:Choice>
  </mc:AlternateContent>
  <xr:revisionPtr revIDLastSave="0" documentId="13_ncr:1_{A43B128E-AC9D-4B76-BE09-F9FC700332A8}" xr6:coauthVersionLast="47" xr6:coauthVersionMax="47" xr10:uidLastSave="{00000000-0000-0000-0000-000000000000}"/>
  <bookViews>
    <workbookView xWindow="0" yWindow="1200" windowWidth="17610" windowHeight="13230" activeTab="1" xr2:uid="{0F9572EF-DFF5-4B32-8961-0648BA87AE40}"/>
  </bookViews>
  <sheets>
    <sheet name="Trip Blanks" sheetId="1" r:id="rId1"/>
    <sheet name="Surface Water SPME" sheetId="6" r:id="rId2"/>
    <sheet name="Sediment SPME" sheetId="8" state="hidden" r:id="rId3"/>
    <sheet name="Sed SPME KOC" sheetId="9" r:id="rId4"/>
    <sheet name="Deposits" sheetId="11" r:id="rId5"/>
    <sheet name="References" sheetId="12" r:id="rId6"/>
    <sheet name="Model" sheetId="2" r:id="rId7"/>
    <sheet name="DOC" sheetId="10" r:id="rId8"/>
    <sheet name="Chemical Properties" sheetId="3" r:id="rId9"/>
    <sheet name="DDTs" sheetId="7" r:id="rId10"/>
    <sheet name="Plots" sheetId="5" r:id="rId11"/>
    <sheet name="PCB Properties" sheetId="4" r:id="rId12"/>
  </sheets>
  <definedNames>
    <definedName name="_xlnm._FilterDatabase" localSheetId="11" hidden="1">'PCB Properties'!$A$1:$V$238</definedName>
    <definedName name="a_Abraham">Model!$E$53</definedName>
    <definedName name="a_Bronner">Model!$E$58</definedName>
    <definedName name="a_CoalTar">Model!$E$60</definedName>
    <definedName name="a_Endo">Model!$E$59</definedName>
    <definedName name="a_Endo430">Model!$E$61</definedName>
    <definedName name="a_Kipka">Model!$E$63</definedName>
    <definedName name="a_Neal_ha">Model!$E$64</definedName>
    <definedName name="a_Neal_SRFA">Model!$E$66</definedName>
    <definedName name="a_Nguyen">Model!$E$56</definedName>
    <definedName name="a_Poole">Model!$E$57</definedName>
    <definedName name="b_Abraham">Model!$F$53</definedName>
    <definedName name="b_Bronner">Model!$F$58</definedName>
    <definedName name="b_CoalTar">Model!$F$60</definedName>
    <definedName name="b_Endo">Model!$F$59</definedName>
    <definedName name="b_Endo430">Model!$F$61</definedName>
    <definedName name="b_Kipka">Model!$F$63</definedName>
    <definedName name="b_Neal_ha">Model!$F$64</definedName>
    <definedName name="b_Neal_SRFA">Model!$F$66</definedName>
    <definedName name="b_Nguyen">Model!$F$56</definedName>
    <definedName name="b_Poole">Model!$F$57</definedName>
    <definedName name="c_Abraham">Model!$H$53</definedName>
    <definedName name="c_Bronner">Model!$H$58</definedName>
    <definedName name="c_CoalTar">Model!$H$60</definedName>
    <definedName name="c_Endo">Model!$H$59</definedName>
    <definedName name="c_Endo430">Model!$H$61</definedName>
    <definedName name="c_Kipka">Model!$H$63</definedName>
    <definedName name="c_Neal_ha">Model!$H$64</definedName>
    <definedName name="c_Neal_SRFA">Model!$H$66</definedName>
    <definedName name="c_Nguyen">Model!$H$56</definedName>
    <definedName name="c_Poole">Model!$H$57</definedName>
    <definedName name="Chem_Prop">'Chemical Properties'!$B$5:$Y$37</definedName>
    <definedName name="DDT_Prop">DDTs!$A$2:$N$7</definedName>
    <definedName name="DOC_avg">Model!$B$112</definedName>
    <definedName name="DOC_F1">Model!$C$115</definedName>
    <definedName name="DOC_F2">Model!$H$115</definedName>
    <definedName name="DOC_F3">Model!$L$115</definedName>
    <definedName name="e_Abraham">Model!$C$53</definedName>
    <definedName name="e_Bronner">Model!$C$58</definedName>
    <definedName name="e_CoalTar">Model!$C$60</definedName>
    <definedName name="e_Endo">Model!$C$59</definedName>
    <definedName name="e_Endo430">Model!$C$61</definedName>
    <definedName name="e_Kipka">Model!$C$63</definedName>
    <definedName name="e_Neal_ha">Model!$C$64</definedName>
    <definedName name="e_Neal_SRFA">Model!$C$66</definedName>
    <definedName name="e_Nguyen">Model!$C$56</definedName>
    <definedName name="e_Poole">Model!$C$57</definedName>
    <definedName name="L">Model!$B$19</definedName>
    <definedName name="PCBs">'PCB Properties'!$B$2:$S$224</definedName>
    <definedName name="PRC">'Trip Blanks'!$B$3:$N$18</definedName>
    <definedName name="s_Abraham">Model!$D$53</definedName>
    <definedName name="s_Bronner">Model!$D$58</definedName>
    <definedName name="s_CoalTar">Model!$D$60</definedName>
    <definedName name="s_Endo">Model!$D$59</definedName>
    <definedName name="s_Endo430">Model!$D$61</definedName>
    <definedName name="s_Kipka">Model!$D$63</definedName>
    <definedName name="s_Neal_ha">Model!$D$64</definedName>
    <definedName name="s_Neal_SRFA">Model!$D$66</definedName>
    <definedName name="s_Nguyen">Model!$D$56</definedName>
    <definedName name="s_Poole">Model!$D$57</definedName>
    <definedName name="Sed_Prop">Model!$A$105:$F$107</definedName>
    <definedName name="solver_adj" localSheetId="4" hidden="1">Deposits!$E$12:$E$20</definedName>
    <definedName name="solver_adj" localSheetId="3" hidden="1">'Sed SPME KOC'!$E$11:$E$20</definedName>
    <definedName name="solver_adj" localSheetId="2" hidden="1">'Sediment SPME'!$BY$20</definedName>
    <definedName name="solver_adj" localSheetId="1" hidden="1">'Surface Water SPME'!$AL$20</definedName>
    <definedName name="solver_adj" localSheetId="0" hidden="1">'Trip Blanks'!$N$12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4" hidden="1">0</definedName>
    <definedName name="solver_num" localSheetId="3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4" hidden="1">Deposits!$Y$220</definedName>
    <definedName name="solver_opt" localSheetId="3" hidden="1">'Sed SPME KOC'!$P$142</definedName>
    <definedName name="solver_opt" localSheetId="2" hidden="1">'Sediment SPME'!$BX$20</definedName>
    <definedName name="solver_opt" localSheetId="1" hidden="1">'Surface Water SPME'!$AN$20</definedName>
    <definedName name="solver_opt" localSheetId="0" hidden="1">'Trip Blanks'!$P$12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4" hidden="1">2</definedName>
    <definedName name="solver_typ" localSheetId="3" hidden="1">3</definedName>
    <definedName name="solver_typ" localSheetId="2" hidden="1">3</definedName>
    <definedName name="solver_typ" localSheetId="1" hidden="1">3</definedName>
    <definedName name="solver_typ" localSheetId="0" hidden="1">3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4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T">Model!$C$6</definedName>
    <definedName name="v_Abraham">Model!$G$53</definedName>
    <definedName name="v_Bronner">Model!$G$58</definedName>
    <definedName name="v_CoalTar">Model!$G$60</definedName>
    <definedName name="v_Endo">Model!$G$59</definedName>
    <definedName name="v_Endo430">Model!$G$61</definedName>
    <definedName name="v_Kipka">Model!$G$63</definedName>
    <definedName name="v_Neal_ha">Model!$G$64</definedName>
    <definedName name="v_Neal_SRFA">Model!$G$66</definedName>
    <definedName name="v_Nguyen">Model!$G$56</definedName>
    <definedName name="v_Poole">Model!$G$57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1" i="6" l="1"/>
  <c r="P11" i="6"/>
  <c r="O5" i="6"/>
  <c r="O13" i="6"/>
  <c r="AB12" i="6"/>
  <c r="O11" i="6"/>
  <c r="P5" i="6"/>
  <c r="P7" i="6"/>
  <c r="O6" i="6"/>
  <c r="C12" i="6"/>
  <c r="D11" i="6"/>
  <c r="Q5" i="6"/>
  <c r="R5" i="6"/>
  <c r="P8" i="6"/>
  <c r="E14" i="6"/>
  <c r="O25" i="9"/>
  <c r="R27" i="9"/>
  <c r="R30" i="9"/>
  <c r="D11" i="9"/>
  <c r="X12" i="11"/>
  <c r="W12" i="11"/>
  <c r="R130" i="9" l="1"/>
  <c r="O130" i="9"/>
  <c r="T130" i="9" s="1"/>
  <c r="R129" i="9"/>
  <c r="O129" i="9"/>
  <c r="T129" i="9" s="1"/>
  <c r="T128" i="9"/>
  <c r="R128" i="9"/>
  <c r="O128" i="9"/>
  <c r="T127" i="9"/>
  <c r="R127" i="9"/>
  <c r="O127" i="9"/>
  <c r="R126" i="9"/>
  <c r="O126" i="9"/>
  <c r="T126" i="9" s="1"/>
  <c r="T125" i="9"/>
  <c r="R125" i="9"/>
  <c r="O125" i="9"/>
  <c r="R110" i="9"/>
  <c r="O110" i="9"/>
  <c r="T110" i="9" s="1"/>
  <c r="R109" i="9"/>
  <c r="O109" i="9"/>
  <c r="T109" i="9" s="1"/>
  <c r="T108" i="9"/>
  <c r="R108" i="9"/>
  <c r="O108" i="9"/>
  <c r="T107" i="9"/>
  <c r="R107" i="9"/>
  <c r="O107" i="9"/>
  <c r="R106" i="9"/>
  <c r="O106" i="9"/>
  <c r="T106" i="9" s="1"/>
  <c r="R105" i="9"/>
  <c r="O105" i="9"/>
  <c r="T105" i="9" s="1"/>
  <c r="T90" i="9"/>
  <c r="R90" i="9"/>
  <c r="O90" i="9"/>
  <c r="R89" i="9"/>
  <c r="O89" i="9"/>
  <c r="T89" i="9" s="1"/>
  <c r="R88" i="9"/>
  <c r="O88" i="9"/>
  <c r="T88" i="9" s="1"/>
  <c r="T87" i="9"/>
  <c r="R87" i="9"/>
  <c r="O87" i="9"/>
  <c r="T86" i="9"/>
  <c r="R86" i="9"/>
  <c r="O86" i="9"/>
  <c r="T85" i="9"/>
  <c r="R85" i="9"/>
  <c r="O85" i="9"/>
  <c r="R70" i="9"/>
  <c r="O70" i="9"/>
  <c r="T70" i="9" s="1"/>
  <c r="R69" i="9"/>
  <c r="O69" i="9"/>
  <c r="T69" i="9" s="1"/>
  <c r="T68" i="9"/>
  <c r="R68" i="9"/>
  <c r="O68" i="9"/>
  <c r="T67" i="9"/>
  <c r="R67" i="9"/>
  <c r="O67" i="9"/>
  <c r="R66" i="9"/>
  <c r="O66" i="9"/>
  <c r="T66" i="9" s="1"/>
  <c r="T65" i="9"/>
  <c r="R65" i="9"/>
  <c r="O65" i="9"/>
  <c r="R50" i="9"/>
  <c r="O50" i="9"/>
  <c r="T50" i="9" s="1"/>
  <c r="R49" i="9"/>
  <c r="O49" i="9"/>
  <c r="T49" i="9" s="1"/>
  <c r="R48" i="9"/>
  <c r="O48" i="9"/>
  <c r="T48" i="9" s="1"/>
  <c r="T47" i="9"/>
  <c r="R47" i="9"/>
  <c r="O47" i="9"/>
  <c r="T46" i="9"/>
  <c r="R46" i="9"/>
  <c r="O46" i="9"/>
  <c r="R45" i="9"/>
  <c r="O45" i="9"/>
  <c r="T45" i="9" s="1"/>
  <c r="T25" i="9"/>
  <c r="R25" i="9"/>
  <c r="O30" i="9"/>
  <c r="T30" i="9" s="1"/>
  <c r="O29" i="9"/>
  <c r="T29" i="9" s="1"/>
  <c r="O28" i="9"/>
  <c r="T28" i="9" s="1"/>
  <c r="O27" i="9"/>
  <c r="T27" i="9" s="1"/>
  <c r="O26" i="9"/>
  <c r="T26" i="9" s="1"/>
  <c r="R29" i="9"/>
  <c r="R28" i="9"/>
  <c r="R26" i="9"/>
  <c r="T10" i="9"/>
  <c r="T9" i="9"/>
  <c r="T8" i="9"/>
  <c r="T7" i="9"/>
  <c r="T6" i="9"/>
  <c r="T5" i="9"/>
  <c r="R10" i="9"/>
  <c r="O10" i="9" s="1"/>
  <c r="R9" i="9"/>
  <c r="O9" i="9" s="1"/>
  <c r="R8" i="9"/>
  <c r="O8" i="9" s="1"/>
  <c r="R7" i="9"/>
  <c r="O7" i="9" s="1"/>
  <c r="R6" i="9"/>
  <c r="O6" i="9" s="1"/>
  <c r="R5" i="9"/>
  <c r="O5" i="9" s="1"/>
  <c r="F6" i="9"/>
  <c r="F7" i="9"/>
  <c r="F8" i="9"/>
  <c r="F9" i="9"/>
  <c r="F10" i="9"/>
  <c r="F5" i="9"/>
  <c r="O140" i="9"/>
  <c r="P140" i="9" s="1"/>
  <c r="N140" i="9"/>
  <c r="O139" i="9"/>
  <c r="P139" i="9" s="1"/>
  <c r="N139" i="9"/>
  <c r="O138" i="9"/>
  <c r="P138" i="9" s="1"/>
  <c r="N138" i="9"/>
  <c r="O137" i="9"/>
  <c r="P137" i="9" s="1"/>
  <c r="N137" i="9"/>
  <c r="O136" i="9"/>
  <c r="P136" i="9" s="1"/>
  <c r="N136" i="9"/>
  <c r="O135" i="9"/>
  <c r="P135" i="9" s="1"/>
  <c r="N135" i="9"/>
  <c r="O134" i="9"/>
  <c r="N134" i="9"/>
  <c r="O133" i="9"/>
  <c r="N133" i="9"/>
  <c r="O132" i="9"/>
  <c r="P132" i="9" s="1"/>
  <c r="N132" i="9"/>
  <c r="O131" i="9"/>
  <c r="P131" i="9" s="1"/>
  <c r="N131" i="9"/>
  <c r="U122" i="9"/>
  <c r="T122" i="9"/>
  <c r="S122" i="9"/>
  <c r="R122" i="9"/>
  <c r="Q122" i="9"/>
  <c r="O120" i="9"/>
  <c r="P120" i="9" s="1"/>
  <c r="N120" i="9"/>
  <c r="O119" i="9"/>
  <c r="P119" i="9" s="1"/>
  <c r="N119" i="9"/>
  <c r="O118" i="9"/>
  <c r="P118" i="9" s="1"/>
  <c r="N118" i="9"/>
  <c r="O117" i="9"/>
  <c r="P117" i="9" s="1"/>
  <c r="N117" i="9"/>
  <c r="O116" i="9"/>
  <c r="P116" i="9" s="1"/>
  <c r="N116" i="9"/>
  <c r="O115" i="9"/>
  <c r="P115" i="9" s="1"/>
  <c r="N115" i="9"/>
  <c r="O114" i="9"/>
  <c r="P114" i="9" s="1"/>
  <c r="N114" i="9"/>
  <c r="O113" i="9"/>
  <c r="N113" i="9"/>
  <c r="O112" i="9"/>
  <c r="P112" i="9" s="1"/>
  <c r="N112" i="9"/>
  <c r="O111" i="9"/>
  <c r="P111" i="9" s="1"/>
  <c r="N111" i="9"/>
  <c r="U102" i="9"/>
  <c r="T102" i="9"/>
  <c r="R102" i="9"/>
  <c r="Q102" i="9"/>
  <c r="S102" i="9" s="1"/>
  <c r="O100" i="9"/>
  <c r="P100" i="9" s="1"/>
  <c r="N100" i="9"/>
  <c r="O99" i="9"/>
  <c r="P99" i="9" s="1"/>
  <c r="N99" i="9"/>
  <c r="O98" i="9"/>
  <c r="P98" i="9" s="1"/>
  <c r="N98" i="9"/>
  <c r="O97" i="9"/>
  <c r="P97" i="9" s="1"/>
  <c r="N97" i="9"/>
  <c r="O96" i="9"/>
  <c r="P96" i="9" s="1"/>
  <c r="N96" i="9"/>
  <c r="O95" i="9"/>
  <c r="P95" i="9" s="1"/>
  <c r="N95" i="9"/>
  <c r="O94" i="9"/>
  <c r="N94" i="9"/>
  <c r="O93" i="9"/>
  <c r="N93" i="9"/>
  <c r="O92" i="9"/>
  <c r="P92" i="9" s="1"/>
  <c r="N92" i="9"/>
  <c r="O91" i="9"/>
  <c r="P91" i="9" s="1"/>
  <c r="N91" i="9"/>
  <c r="S82" i="9"/>
  <c r="U82" i="9"/>
  <c r="T82" i="9"/>
  <c r="R82" i="9"/>
  <c r="Q82" i="9"/>
  <c r="O71" i="9"/>
  <c r="P71" i="9" s="1"/>
  <c r="O80" i="9"/>
  <c r="P80" i="9" s="1"/>
  <c r="O79" i="9"/>
  <c r="P79" i="9" s="1"/>
  <c r="O78" i="9"/>
  <c r="P78" i="9" s="1"/>
  <c r="O77" i="9"/>
  <c r="P77" i="9" s="1"/>
  <c r="O76" i="9"/>
  <c r="P76" i="9" s="1"/>
  <c r="O75" i="9"/>
  <c r="P75" i="9" s="1"/>
  <c r="O74" i="9"/>
  <c r="O73" i="9"/>
  <c r="O72" i="9"/>
  <c r="P72" i="9" s="1"/>
  <c r="O60" i="9"/>
  <c r="P60" i="9" s="1"/>
  <c r="O59" i="9"/>
  <c r="P59" i="9" s="1"/>
  <c r="O58" i="9"/>
  <c r="P58" i="9" s="1"/>
  <c r="O57" i="9"/>
  <c r="P57" i="9" s="1"/>
  <c r="O56" i="9"/>
  <c r="P56" i="9" s="1"/>
  <c r="O55" i="9"/>
  <c r="P55" i="9" s="1"/>
  <c r="O54" i="9"/>
  <c r="P54" i="9" s="1"/>
  <c r="O53" i="9"/>
  <c r="P53" i="9" s="1"/>
  <c r="O52" i="9"/>
  <c r="P52" i="9" s="1"/>
  <c r="O51" i="9"/>
  <c r="P51" i="9" s="1"/>
  <c r="O40" i="9"/>
  <c r="O39" i="9"/>
  <c r="P39" i="9" s="1"/>
  <c r="O38" i="9"/>
  <c r="P38" i="9" s="1"/>
  <c r="O37" i="9"/>
  <c r="P37" i="9" s="1"/>
  <c r="O36" i="9"/>
  <c r="O35" i="9"/>
  <c r="O34" i="9"/>
  <c r="P34" i="9" s="1"/>
  <c r="O33" i="9"/>
  <c r="P33" i="9" s="1"/>
  <c r="O32" i="9"/>
  <c r="O31" i="9"/>
  <c r="P31" i="9" s="1"/>
  <c r="N80" i="9"/>
  <c r="N79" i="9"/>
  <c r="N78" i="9"/>
  <c r="N77" i="9"/>
  <c r="N76" i="9"/>
  <c r="N75" i="9"/>
  <c r="N74" i="9"/>
  <c r="N73" i="9"/>
  <c r="N72" i="9"/>
  <c r="N71" i="9"/>
  <c r="S62" i="9"/>
  <c r="U62" i="9"/>
  <c r="T62" i="9"/>
  <c r="R62" i="9"/>
  <c r="Q62" i="9"/>
  <c r="N60" i="9"/>
  <c r="N59" i="9"/>
  <c r="N58" i="9"/>
  <c r="N57" i="9"/>
  <c r="N56" i="9"/>
  <c r="N55" i="9"/>
  <c r="N54" i="9"/>
  <c r="N53" i="9"/>
  <c r="N52" i="9"/>
  <c r="N51" i="9"/>
  <c r="Q42" i="9"/>
  <c r="Q22" i="9"/>
  <c r="S42" i="9"/>
  <c r="U42" i="9"/>
  <c r="T42" i="9"/>
  <c r="R42" i="9"/>
  <c r="N39" i="9"/>
  <c r="N32" i="9"/>
  <c r="N31" i="9"/>
  <c r="N40" i="9"/>
  <c r="N38" i="9"/>
  <c r="N37" i="9"/>
  <c r="N36" i="9"/>
  <c r="N35" i="9"/>
  <c r="N34" i="9"/>
  <c r="N33" i="9"/>
  <c r="N20" i="9"/>
  <c r="N19" i="9"/>
  <c r="N18" i="9"/>
  <c r="N17" i="9"/>
  <c r="N16" i="9"/>
  <c r="N15" i="9"/>
  <c r="N14" i="9"/>
  <c r="N13" i="9"/>
  <c r="N12" i="9"/>
  <c r="N11" i="9"/>
  <c r="J12" i="9"/>
  <c r="J13" i="9"/>
  <c r="J14" i="9"/>
  <c r="J15" i="9"/>
  <c r="J16" i="9"/>
  <c r="J17" i="9"/>
  <c r="J18" i="9"/>
  <c r="J19" i="9"/>
  <c r="J20" i="9"/>
  <c r="J11" i="9"/>
  <c r="S22" i="9"/>
  <c r="S2" i="9"/>
  <c r="O17" i="9" s="1"/>
  <c r="U22" i="9"/>
  <c r="T22" i="9"/>
  <c r="R22" i="9"/>
  <c r="O19" i="9"/>
  <c r="O18" i="9"/>
  <c r="O13" i="9"/>
  <c r="AK22" i="11"/>
  <c r="AI22" i="11"/>
  <c r="AG22" i="11"/>
  <c r="AE22" i="11"/>
  <c r="AC22" i="11"/>
  <c r="AA22" i="11"/>
  <c r="AK20" i="11"/>
  <c r="AK19" i="11"/>
  <c r="AK18" i="11"/>
  <c r="AK17" i="11"/>
  <c r="AK16" i="11"/>
  <c r="AK15" i="11"/>
  <c r="AK14" i="11"/>
  <c r="AK13" i="11"/>
  <c r="AK12" i="11"/>
  <c r="AJ13" i="11"/>
  <c r="AJ14" i="11"/>
  <c r="AJ15" i="11"/>
  <c r="AJ16" i="11"/>
  <c r="AJ17" i="11"/>
  <c r="AJ18" i="11"/>
  <c r="AJ19" i="11"/>
  <c r="AJ20" i="11"/>
  <c r="AJ12" i="11"/>
  <c r="AH12" i="11"/>
  <c r="AI12" i="11" s="1"/>
  <c r="AH13" i="11"/>
  <c r="AI13" i="11" s="1"/>
  <c r="AH14" i="11"/>
  <c r="AI14" i="11" s="1"/>
  <c r="AH15" i="11"/>
  <c r="AI15" i="11" s="1"/>
  <c r="AH16" i="11"/>
  <c r="AI16" i="11" s="1"/>
  <c r="AH17" i="11"/>
  <c r="AI17" i="11" s="1"/>
  <c r="AH18" i="11"/>
  <c r="AI18" i="11" s="1"/>
  <c r="AH19" i="11"/>
  <c r="AI19" i="11" s="1"/>
  <c r="AH20" i="11"/>
  <c r="AI20" i="11" s="1"/>
  <c r="AF12" i="11"/>
  <c r="AL7" i="11"/>
  <c r="AL8" i="11"/>
  <c r="AL9" i="11"/>
  <c r="AL10" i="11"/>
  <c r="AL11" i="11"/>
  <c r="AL6" i="11"/>
  <c r="P133" i="9" l="1"/>
  <c r="P134" i="9"/>
  <c r="P113" i="9"/>
  <c r="P74" i="9"/>
  <c r="P94" i="9"/>
  <c r="P93" i="9"/>
  <c r="P73" i="9"/>
  <c r="P35" i="9"/>
  <c r="P40" i="9"/>
  <c r="P36" i="9"/>
  <c r="P32" i="9"/>
  <c r="O12" i="9"/>
  <c r="O20" i="9"/>
  <c r="O14" i="9"/>
  <c r="O11" i="9"/>
  <c r="P11" i="9" s="1"/>
  <c r="O16" i="9"/>
  <c r="O15" i="9"/>
  <c r="N13" i="11"/>
  <c r="N14" i="11"/>
  <c r="N15" i="11"/>
  <c r="N16" i="11"/>
  <c r="N17" i="11"/>
  <c r="N18" i="11"/>
  <c r="N19" i="11"/>
  <c r="N20" i="11"/>
  <c r="N12" i="11"/>
  <c r="I7" i="11"/>
  <c r="J7" i="11"/>
  <c r="K7" i="11"/>
  <c r="L7" i="11"/>
  <c r="M7" i="11"/>
  <c r="I8" i="11"/>
  <c r="J8" i="11"/>
  <c r="K8" i="11"/>
  <c r="L8" i="11"/>
  <c r="M8" i="11"/>
  <c r="I9" i="11"/>
  <c r="J9" i="11"/>
  <c r="K9" i="11"/>
  <c r="L9" i="11"/>
  <c r="M9" i="11"/>
  <c r="I10" i="11"/>
  <c r="J10" i="11"/>
  <c r="K10" i="11"/>
  <c r="L10" i="11"/>
  <c r="M10" i="11"/>
  <c r="I11" i="11"/>
  <c r="J11" i="11"/>
  <c r="K11" i="11"/>
  <c r="L11" i="11"/>
  <c r="M11" i="11"/>
  <c r="M6" i="11"/>
  <c r="L6" i="11"/>
  <c r="K6" i="11"/>
  <c r="J6" i="11"/>
  <c r="I6" i="11"/>
  <c r="H7" i="11"/>
  <c r="H8" i="11"/>
  <c r="H9" i="11"/>
  <c r="H10" i="11"/>
  <c r="H11" i="11"/>
  <c r="H6" i="11"/>
  <c r="Z10" i="11" l="1"/>
  <c r="Z6" i="11"/>
  <c r="Z8" i="11"/>
  <c r="Z9" i="11"/>
  <c r="Z11" i="11"/>
  <c r="Z7" i="11"/>
  <c r="AL13" i="11"/>
  <c r="AL14" i="11"/>
  <c r="AL15" i="11"/>
  <c r="AL16" i="11"/>
  <c r="AL17" i="11"/>
  <c r="AL18" i="11"/>
  <c r="AL19" i="11"/>
  <c r="AL20" i="11"/>
  <c r="AL12" i="11"/>
  <c r="C11" i="9"/>
  <c r="W19" i="11" l="1"/>
  <c r="W20" i="11"/>
  <c r="W18" i="11"/>
  <c r="W17" i="11"/>
  <c r="W16" i="11"/>
  <c r="W15" i="11"/>
  <c r="W14" i="11"/>
  <c r="W13" i="11"/>
  <c r="W218" i="11"/>
  <c r="W217" i="11"/>
  <c r="W216" i="11"/>
  <c r="W215" i="11"/>
  <c r="W214" i="11"/>
  <c r="W213" i="11"/>
  <c r="W212" i="11"/>
  <c r="W211" i="11"/>
  <c r="W210" i="11"/>
  <c r="R210" i="11"/>
  <c r="W200" i="11"/>
  <c r="W199" i="11"/>
  <c r="W198" i="11"/>
  <c r="W197" i="11"/>
  <c r="W196" i="11"/>
  <c r="W195" i="11"/>
  <c r="W194" i="11"/>
  <c r="W193" i="11"/>
  <c r="W192" i="11"/>
  <c r="R192" i="11"/>
  <c r="R174" i="11"/>
  <c r="W182" i="11"/>
  <c r="W181" i="11"/>
  <c r="W180" i="11"/>
  <c r="W179" i="11"/>
  <c r="W178" i="11"/>
  <c r="W177" i="11"/>
  <c r="W176" i="11"/>
  <c r="W175" i="11"/>
  <c r="W174" i="11"/>
  <c r="R156" i="11"/>
  <c r="W164" i="11"/>
  <c r="W163" i="11"/>
  <c r="W162" i="11"/>
  <c r="W161" i="11"/>
  <c r="W160" i="11"/>
  <c r="W159" i="11"/>
  <c r="W158" i="11"/>
  <c r="W157" i="11"/>
  <c r="W156" i="11"/>
  <c r="R138" i="11"/>
  <c r="W146" i="11"/>
  <c r="W145" i="11"/>
  <c r="W144" i="11"/>
  <c r="W143" i="11"/>
  <c r="W142" i="11"/>
  <c r="W141" i="11"/>
  <c r="W140" i="11"/>
  <c r="W139" i="11"/>
  <c r="W138" i="11"/>
  <c r="W120" i="11"/>
  <c r="W56" i="11"/>
  <c r="W55" i="11"/>
  <c r="W54" i="11"/>
  <c r="W53" i="11"/>
  <c r="W52" i="11"/>
  <c r="W51" i="11"/>
  <c r="W50" i="11"/>
  <c r="W49" i="11"/>
  <c r="W48" i="11"/>
  <c r="W74" i="11"/>
  <c r="W73" i="11"/>
  <c r="W72" i="11"/>
  <c r="W71" i="11"/>
  <c r="W70" i="11"/>
  <c r="W69" i="11"/>
  <c r="W68" i="11"/>
  <c r="W67" i="11"/>
  <c r="W66" i="11"/>
  <c r="W92" i="11"/>
  <c r="W91" i="11"/>
  <c r="W90" i="11"/>
  <c r="W89" i="11"/>
  <c r="W88" i="11"/>
  <c r="W87" i="11"/>
  <c r="W86" i="11"/>
  <c r="W85" i="11"/>
  <c r="W84" i="11"/>
  <c r="W128" i="11"/>
  <c r="W127" i="11"/>
  <c r="W126" i="11"/>
  <c r="W125" i="11"/>
  <c r="W124" i="11"/>
  <c r="W123" i="11"/>
  <c r="W122" i="11"/>
  <c r="W121" i="11"/>
  <c r="W110" i="11"/>
  <c r="W109" i="11"/>
  <c r="W108" i="11"/>
  <c r="W107" i="11"/>
  <c r="W106" i="11"/>
  <c r="W105" i="11"/>
  <c r="W104" i="11"/>
  <c r="W103" i="11"/>
  <c r="W102" i="11"/>
  <c r="W31" i="11"/>
  <c r="W32" i="11"/>
  <c r="W33" i="11"/>
  <c r="W34" i="11"/>
  <c r="W35" i="11"/>
  <c r="W36" i="11"/>
  <c r="W37" i="11"/>
  <c r="W38" i="11"/>
  <c r="W30" i="11"/>
  <c r="R120" i="11"/>
  <c r="R102" i="11"/>
  <c r="S102" i="11" s="1"/>
  <c r="R84" i="11"/>
  <c r="R66" i="11"/>
  <c r="R48" i="11"/>
  <c r="F55" i="11"/>
  <c r="F73" i="11" s="1"/>
  <c r="F91" i="11" s="1"/>
  <c r="F109" i="11" s="1"/>
  <c r="F127" i="11" s="1"/>
  <c r="F145" i="11" s="1"/>
  <c r="F163" i="11" s="1"/>
  <c r="F181" i="11" s="1"/>
  <c r="F199" i="11" s="1"/>
  <c r="F217" i="11" s="1"/>
  <c r="F54" i="11"/>
  <c r="F72" i="11" s="1"/>
  <c r="F90" i="11" s="1"/>
  <c r="F108" i="11" s="1"/>
  <c r="F126" i="11" s="1"/>
  <c r="F144" i="11" s="1"/>
  <c r="F162" i="11" s="1"/>
  <c r="F180" i="11" s="1"/>
  <c r="F198" i="11" s="1"/>
  <c r="F216" i="11" s="1"/>
  <c r="F53" i="11"/>
  <c r="F71" i="11" s="1"/>
  <c r="F89" i="11" s="1"/>
  <c r="F107" i="11" s="1"/>
  <c r="F125" i="11" s="1"/>
  <c r="F143" i="11" s="1"/>
  <c r="F161" i="11" s="1"/>
  <c r="F179" i="11" s="1"/>
  <c r="F197" i="11" s="1"/>
  <c r="F215" i="11" s="1"/>
  <c r="F52" i="11"/>
  <c r="F70" i="11" s="1"/>
  <c r="F88" i="11" s="1"/>
  <c r="F106" i="11" s="1"/>
  <c r="F124" i="11" s="1"/>
  <c r="F142" i="11" s="1"/>
  <c r="F160" i="11" s="1"/>
  <c r="F178" i="11" s="1"/>
  <c r="F196" i="11" s="1"/>
  <c r="F214" i="11" s="1"/>
  <c r="F51" i="11"/>
  <c r="F69" i="11" s="1"/>
  <c r="F87" i="11" s="1"/>
  <c r="F105" i="11" s="1"/>
  <c r="F123" i="11" s="1"/>
  <c r="F141" i="11" s="1"/>
  <c r="F159" i="11" s="1"/>
  <c r="F177" i="11" s="1"/>
  <c r="F195" i="11" s="1"/>
  <c r="F213" i="11" s="1"/>
  <c r="F50" i="11"/>
  <c r="F68" i="11" s="1"/>
  <c r="F86" i="11" s="1"/>
  <c r="F104" i="11" s="1"/>
  <c r="F122" i="11" s="1"/>
  <c r="F140" i="11" s="1"/>
  <c r="F158" i="11" s="1"/>
  <c r="F176" i="11" s="1"/>
  <c r="F194" i="11" s="1"/>
  <c r="F212" i="11" s="1"/>
  <c r="F49" i="11"/>
  <c r="F67" i="11" s="1"/>
  <c r="F85" i="11" s="1"/>
  <c r="F103" i="11" s="1"/>
  <c r="F121" i="11" s="1"/>
  <c r="F139" i="11" s="1"/>
  <c r="F157" i="11" s="1"/>
  <c r="F175" i="11" s="1"/>
  <c r="F193" i="11" s="1"/>
  <c r="F211" i="11" s="1"/>
  <c r="F48" i="11"/>
  <c r="F66" i="11" s="1"/>
  <c r="F84" i="11" s="1"/>
  <c r="F102" i="11" s="1"/>
  <c r="F120" i="11" s="1"/>
  <c r="F138" i="11" s="1"/>
  <c r="F156" i="11" s="1"/>
  <c r="F174" i="11" s="1"/>
  <c r="F192" i="11" s="1"/>
  <c r="F210" i="11" s="1"/>
  <c r="F56" i="11"/>
  <c r="F74" i="11" s="1"/>
  <c r="F92" i="11" s="1"/>
  <c r="F110" i="11" s="1"/>
  <c r="F128" i="11" s="1"/>
  <c r="F146" i="11" s="1"/>
  <c r="F164" i="11" s="1"/>
  <c r="F182" i="11" s="1"/>
  <c r="F200" i="11" s="1"/>
  <c r="F218" i="11" s="1"/>
  <c r="E31" i="11"/>
  <c r="E32" i="11"/>
  <c r="E33" i="11"/>
  <c r="E51" i="11" s="1"/>
  <c r="E34" i="11"/>
  <c r="E35" i="11"/>
  <c r="E53" i="11" s="1"/>
  <c r="E36" i="11"/>
  <c r="E54" i="11" s="1"/>
  <c r="E37" i="11"/>
  <c r="E55" i="11" s="1"/>
  <c r="E38" i="11"/>
  <c r="E56" i="11" s="1"/>
  <c r="E30" i="11"/>
  <c r="R30" i="11"/>
  <c r="S30" i="11" s="1"/>
  <c r="R12" i="11"/>
  <c r="I13" i="11"/>
  <c r="J13" i="11"/>
  <c r="K13" i="11"/>
  <c r="L13" i="11"/>
  <c r="M13" i="11"/>
  <c r="I14" i="11"/>
  <c r="J14" i="11"/>
  <c r="K14" i="11"/>
  <c r="L14" i="11"/>
  <c r="M14" i="11"/>
  <c r="I15" i="11"/>
  <c r="J15" i="11"/>
  <c r="K15" i="11"/>
  <c r="L15" i="11"/>
  <c r="M15" i="11"/>
  <c r="I16" i="11"/>
  <c r="J16" i="11"/>
  <c r="K16" i="11"/>
  <c r="L16" i="11"/>
  <c r="M16" i="11"/>
  <c r="I17" i="11"/>
  <c r="J17" i="11"/>
  <c r="K17" i="11"/>
  <c r="L17" i="11"/>
  <c r="M17" i="11"/>
  <c r="I18" i="11"/>
  <c r="J18" i="11"/>
  <c r="K18" i="11"/>
  <c r="L18" i="11"/>
  <c r="M18" i="11"/>
  <c r="I19" i="11"/>
  <c r="J19" i="11"/>
  <c r="K19" i="11"/>
  <c r="L19" i="11"/>
  <c r="M19" i="11"/>
  <c r="I20" i="11"/>
  <c r="J20" i="11"/>
  <c r="K20" i="11"/>
  <c r="L20" i="11"/>
  <c r="M20" i="11"/>
  <c r="M12" i="11"/>
  <c r="L12" i="11"/>
  <c r="K12" i="11"/>
  <c r="J12" i="11"/>
  <c r="I12" i="11"/>
  <c r="AB17" i="11" l="1"/>
  <c r="AC17" i="11" s="1"/>
  <c r="AF17" i="11"/>
  <c r="AG17" i="11" s="1"/>
  <c r="AD17" i="11"/>
  <c r="AE17" i="11" s="1"/>
  <c r="AD20" i="11"/>
  <c r="AE20" i="11" s="1"/>
  <c r="AB20" i="11"/>
  <c r="AC20" i="11" s="1"/>
  <c r="AF20" i="11"/>
  <c r="AG20" i="11" s="1"/>
  <c r="AF15" i="11"/>
  <c r="AG15" i="11" s="1"/>
  <c r="AD15" i="11"/>
  <c r="AE15" i="11" s="1"/>
  <c r="AB15" i="11"/>
  <c r="AC15" i="11" s="1"/>
  <c r="AB18" i="11"/>
  <c r="AC18" i="11" s="1"/>
  <c r="AD18" i="11"/>
  <c r="AE18" i="11" s="1"/>
  <c r="AF18" i="11"/>
  <c r="AG18" i="11" s="1"/>
  <c r="AD13" i="11"/>
  <c r="AE13" i="11" s="1"/>
  <c r="AF13" i="11"/>
  <c r="AG13" i="11" s="1"/>
  <c r="AB13" i="11"/>
  <c r="AC13" i="11" s="1"/>
  <c r="AD12" i="11"/>
  <c r="AE12" i="11" s="1"/>
  <c r="AB12" i="11"/>
  <c r="AC12" i="11" s="1"/>
  <c r="Z12" i="11"/>
  <c r="AA12" i="11" s="1"/>
  <c r="AG12" i="11"/>
  <c r="AF16" i="11"/>
  <c r="AG16" i="11" s="1"/>
  <c r="AD16" i="11"/>
  <c r="AE16" i="11" s="1"/>
  <c r="AB16" i="11"/>
  <c r="AC16" i="11" s="1"/>
  <c r="AB19" i="11"/>
  <c r="AC19" i="11" s="1"/>
  <c r="AD19" i="11"/>
  <c r="AE19" i="11" s="1"/>
  <c r="AF19" i="11"/>
  <c r="AG19" i="11" s="1"/>
  <c r="AF14" i="11"/>
  <c r="AG14" i="11" s="1"/>
  <c r="AD14" i="11"/>
  <c r="AE14" i="11" s="1"/>
  <c r="AB14" i="11"/>
  <c r="AC14" i="11" s="1"/>
  <c r="Z14" i="11"/>
  <c r="Z17" i="11"/>
  <c r="Z20" i="11"/>
  <c r="Z15" i="11"/>
  <c r="Z18" i="11"/>
  <c r="Z13" i="11"/>
  <c r="Z16" i="11"/>
  <c r="Z19" i="11"/>
  <c r="E71" i="11"/>
  <c r="E74" i="11"/>
  <c r="E72" i="11"/>
  <c r="E73" i="11"/>
  <c r="E69" i="11"/>
  <c r="E52" i="11"/>
  <c r="E49" i="11"/>
  <c r="E50" i="11"/>
  <c r="E48" i="11"/>
  <c r="B19" i="2"/>
  <c r="AA15" i="11" l="1"/>
  <c r="AA20" i="11"/>
  <c r="AA16" i="11"/>
  <c r="AA19" i="11"/>
  <c r="AA13" i="11"/>
  <c r="AA18" i="11"/>
  <c r="AA17" i="11"/>
  <c r="AA14" i="11"/>
  <c r="E89" i="11"/>
  <c r="E92" i="11"/>
  <c r="E68" i="11"/>
  <c r="E87" i="11"/>
  <c r="E67" i="11"/>
  <c r="E90" i="11"/>
  <c r="E91" i="11"/>
  <c r="E70" i="11"/>
  <c r="E66" i="11"/>
  <c r="F32" i="3"/>
  <c r="K13" i="1" s="1"/>
  <c r="F33" i="3"/>
  <c r="K14" i="1" s="1"/>
  <c r="F34" i="3"/>
  <c r="K15" i="1" s="1"/>
  <c r="F35" i="3"/>
  <c r="K16" i="1" s="1"/>
  <c r="F36" i="3"/>
  <c r="K17" i="1" s="1"/>
  <c r="F37" i="3"/>
  <c r="K18" i="1" s="1"/>
  <c r="F7" i="3"/>
  <c r="F8" i="3"/>
  <c r="F10" i="3"/>
  <c r="F11" i="3"/>
  <c r="F12" i="3"/>
  <c r="F13" i="3"/>
  <c r="F15" i="3"/>
  <c r="F17" i="3"/>
  <c r="F18" i="3"/>
  <c r="F20" i="3"/>
  <c r="F21" i="3"/>
  <c r="F22" i="3"/>
  <c r="F24" i="3"/>
  <c r="F25" i="3"/>
  <c r="K9" i="1" s="1"/>
  <c r="G17" i="11" s="1"/>
  <c r="G35" i="11" s="1"/>
  <c r="G53" i="11" s="1"/>
  <c r="G71" i="11" s="1"/>
  <c r="G89" i="11" s="1"/>
  <c r="G107" i="11" s="1"/>
  <c r="G125" i="11" s="1"/>
  <c r="G143" i="11" s="1"/>
  <c r="G161" i="11" s="1"/>
  <c r="G179" i="11" s="1"/>
  <c r="G197" i="11" s="1"/>
  <c r="G215" i="11" s="1"/>
  <c r="F26" i="3"/>
  <c r="F27" i="3"/>
  <c r="F29" i="3"/>
  <c r="F30" i="3"/>
  <c r="K10" i="1" s="1"/>
  <c r="G18" i="11" s="1"/>
  <c r="G36" i="11" s="1"/>
  <c r="G54" i="11" s="1"/>
  <c r="G72" i="11" s="1"/>
  <c r="G90" i="11" s="1"/>
  <c r="G108" i="11" s="1"/>
  <c r="G126" i="11" s="1"/>
  <c r="G144" i="11" s="1"/>
  <c r="G162" i="11" s="1"/>
  <c r="G180" i="11" s="1"/>
  <c r="G198" i="11" s="1"/>
  <c r="G216" i="11" s="1"/>
  <c r="F5" i="3"/>
  <c r="J3" i="4"/>
  <c r="J4" i="4"/>
  <c r="J5" i="4"/>
  <c r="J6" i="4"/>
  <c r="J7" i="4"/>
  <c r="J8" i="4"/>
  <c r="J9" i="4"/>
  <c r="J5" i="3" s="1"/>
  <c r="J10" i="4"/>
  <c r="J11" i="4"/>
  <c r="J12" i="4"/>
  <c r="J13" i="4"/>
  <c r="J14" i="4"/>
  <c r="J15" i="4"/>
  <c r="J16" i="4"/>
  <c r="J6" i="3" s="1"/>
  <c r="P6" i="3" s="1"/>
  <c r="J17" i="4"/>
  <c r="J18" i="4"/>
  <c r="J19" i="4"/>
  <c r="J20" i="4"/>
  <c r="J21" i="4"/>
  <c r="J7" i="3" s="1"/>
  <c r="J22" i="4"/>
  <c r="J23" i="4"/>
  <c r="J24" i="4"/>
  <c r="J25" i="4"/>
  <c r="J26" i="4"/>
  <c r="J27" i="4"/>
  <c r="J28" i="4"/>
  <c r="J29" i="4"/>
  <c r="J30" i="4"/>
  <c r="J31" i="4"/>
  <c r="J32" i="4"/>
  <c r="J8" i="3" s="1"/>
  <c r="J33" i="4"/>
  <c r="J34" i="4"/>
  <c r="J35" i="4"/>
  <c r="J36" i="4"/>
  <c r="J37" i="4"/>
  <c r="J38" i="4"/>
  <c r="J39" i="4"/>
  <c r="J40" i="4"/>
  <c r="J41" i="4"/>
  <c r="J9" i="3" s="1"/>
  <c r="J42" i="4"/>
  <c r="J43" i="4"/>
  <c r="J44" i="4"/>
  <c r="J45" i="4"/>
  <c r="J46" i="4"/>
  <c r="J47" i="4"/>
  <c r="J48" i="4"/>
  <c r="J49" i="4"/>
  <c r="J50" i="4"/>
  <c r="J51" i="4"/>
  <c r="J10" i="3" s="1"/>
  <c r="J52" i="4"/>
  <c r="J53" i="4"/>
  <c r="J54" i="4"/>
  <c r="J55" i="4"/>
  <c r="J56" i="4"/>
  <c r="J57" i="4"/>
  <c r="J58" i="4"/>
  <c r="J59" i="4"/>
  <c r="J60" i="4"/>
  <c r="J11" i="3" s="1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12" i="3" s="1"/>
  <c r="J78" i="4"/>
  <c r="J79" i="4"/>
  <c r="J80" i="4"/>
  <c r="J81" i="4"/>
  <c r="J82" i="4"/>
  <c r="J83" i="4"/>
  <c r="J84" i="4"/>
  <c r="J85" i="4"/>
  <c r="J86" i="4"/>
  <c r="J87" i="4"/>
  <c r="J88" i="4"/>
  <c r="J13" i="3" s="1"/>
  <c r="J89" i="4"/>
  <c r="J90" i="4"/>
  <c r="J14" i="3" s="1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5" i="3" s="1"/>
  <c r="J115" i="4"/>
  <c r="J116" i="4"/>
  <c r="J117" i="4"/>
  <c r="J16" i="3" s="1"/>
  <c r="J118" i="4"/>
  <c r="J17" i="3" s="1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8" i="3" s="1"/>
  <c r="J132" i="4"/>
  <c r="J133" i="4"/>
  <c r="J134" i="4"/>
  <c r="J19" i="3" s="1"/>
  <c r="J135" i="4"/>
  <c r="J136" i="4"/>
  <c r="J137" i="4"/>
  <c r="J138" i="4"/>
  <c r="J139" i="4"/>
  <c r="J20" i="3" s="1"/>
  <c r="J140" i="4"/>
  <c r="J141" i="4"/>
  <c r="J21" i="3" s="1"/>
  <c r="J142" i="4"/>
  <c r="J143" i="4"/>
  <c r="J144" i="4"/>
  <c r="J145" i="4"/>
  <c r="J146" i="4"/>
  <c r="J147" i="4"/>
  <c r="J148" i="4"/>
  <c r="J149" i="4"/>
  <c r="J150" i="4"/>
  <c r="J151" i="4"/>
  <c r="J22" i="3" s="1"/>
  <c r="J152" i="4"/>
  <c r="J153" i="4"/>
  <c r="J154" i="4"/>
  <c r="J155" i="4"/>
  <c r="J156" i="4"/>
  <c r="J23" i="3" s="1"/>
  <c r="J157" i="4"/>
  <c r="J158" i="4"/>
  <c r="J159" i="4"/>
  <c r="J160" i="4"/>
  <c r="J161" i="4"/>
  <c r="J162" i="4"/>
  <c r="J163" i="4"/>
  <c r="J164" i="4"/>
  <c r="J165" i="4"/>
  <c r="J166" i="4"/>
  <c r="J167" i="4"/>
  <c r="J24" i="3" s="1"/>
  <c r="J168" i="4"/>
  <c r="J169" i="4"/>
  <c r="J25" i="3" s="1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26" i="3" s="1"/>
  <c r="J185" i="4"/>
  <c r="J186" i="4"/>
  <c r="J187" i="4"/>
  <c r="J188" i="4"/>
  <c r="J189" i="4"/>
  <c r="J190" i="4"/>
  <c r="J191" i="4"/>
  <c r="J192" i="4"/>
  <c r="J193" i="4"/>
  <c r="J194" i="4"/>
  <c r="J27" i="3" s="1"/>
  <c r="J195" i="4"/>
  <c r="J196" i="4"/>
  <c r="J197" i="4"/>
  <c r="J198" i="4"/>
  <c r="J28" i="3" s="1"/>
  <c r="J199" i="4"/>
  <c r="J200" i="4"/>
  <c r="J201" i="4"/>
  <c r="J29" i="3" s="1"/>
  <c r="J202" i="4"/>
  <c r="J203" i="4"/>
  <c r="J204" i="4"/>
  <c r="J205" i="4"/>
  <c r="J206" i="4"/>
  <c r="J30" i="3" s="1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31" i="3" s="1"/>
  <c r="J220" i="4"/>
  <c r="J221" i="4"/>
  <c r="J222" i="4"/>
  <c r="J223" i="4"/>
  <c r="J224" i="4"/>
  <c r="J2" i="4"/>
  <c r="O5" i="3"/>
  <c r="C5" i="6" l="1"/>
  <c r="D5" i="6" s="1"/>
  <c r="G6" i="11"/>
  <c r="C7" i="6"/>
  <c r="G8" i="11"/>
  <c r="C10" i="6"/>
  <c r="Y10" i="6" s="1"/>
  <c r="G11" i="11"/>
  <c r="C8" i="6"/>
  <c r="L8" i="6" s="1"/>
  <c r="M8" i="6" s="1"/>
  <c r="G9" i="11"/>
  <c r="C9" i="6"/>
  <c r="D9" i="6" s="1"/>
  <c r="G10" i="11"/>
  <c r="C6" i="6"/>
  <c r="L6" i="6" s="1"/>
  <c r="M6" i="6" s="1"/>
  <c r="G7" i="11"/>
  <c r="E107" i="11"/>
  <c r="E110" i="11"/>
  <c r="E88" i="11"/>
  <c r="E105" i="11"/>
  <c r="E85" i="11"/>
  <c r="E108" i="11"/>
  <c r="E109" i="11"/>
  <c r="E86" i="11"/>
  <c r="E84" i="11"/>
  <c r="L7" i="6"/>
  <c r="M7" i="6" s="1"/>
  <c r="Y7" i="6"/>
  <c r="Z7" i="6" s="1"/>
  <c r="D6" i="6"/>
  <c r="D7" i="6"/>
  <c r="T37" i="3"/>
  <c r="T36" i="3"/>
  <c r="T35" i="3"/>
  <c r="T34" i="3"/>
  <c r="T33" i="3"/>
  <c r="T32" i="3"/>
  <c r="D8" i="6" l="1"/>
  <c r="Y5" i="6"/>
  <c r="Z5" i="6" s="1"/>
  <c r="Y9" i="6"/>
  <c r="Z9" i="6" s="1"/>
  <c r="L9" i="6"/>
  <c r="M9" i="6" s="1"/>
  <c r="L5" i="6"/>
  <c r="M5" i="6" s="1"/>
  <c r="Y8" i="6"/>
  <c r="Z8" i="6" s="1"/>
  <c r="Y6" i="6"/>
  <c r="Z6" i="6" s="1"/>
  <c r="L10" i="6"/>
  <c r="M10" i="6" s="1"/>
  <c r="D10" i="6"/>
  <c r="AL10" i="6" s="1"/>
  <c r="AM10" i="6" s="1"/>
  <c r="Z10" i="6"/>
  <c r="E125" i="11"/>
  <c r="E104" i="11"/>
  <c r="E103" i="11"/>
  <c r="E127" i="11"/>
  <c r="E123" i="11"/>
  <c r="E102" i="11"/>
  <c r="E126" i="11"/>
  <c r="E106" i="11"/>
  <c r="E128" i="11"/>
  <c r="AP9" i="6"/>
  <c r="AO9" i="6" s="1"/>
  <c r="AQ9" i="6" s="1"/>
  <c r="AR9" i="6" s="1"/>
  <c r="AC9" i="6"/>
  <c r="AB9" i="6" s="1"/>
  <c r="AD9" i="6" s="1"/>
  <c r="AE9" i="6" s="1"/>
  <c r="AL9" i="6"/>
  <c r="AM9" i="6" s="1"/>
  <c r="AC7" i="6"/>
  <c r="AB7" i="6" s="1"/>
  <c r="AD7" i="6" s="1"/>
  <c r="AE7" i="6" s="1"/>
  <c r="AL7" i="6"/>
  <c r="AM7" i="6" s="1"/>
  <c r="AP7" i="6"/>
  <c r="AO7" i="6" s="1"/>
  <c r="AQ7" i="6" s="1"/>
  <c r="AR7" i="6" s="1"/>
  <c r="AC8" i="6"/>
  <c r="AB8" i="6" s="1"/>
  <c r="AD8" i="6" s="1"/>
  <c r="AE8" i="6" s="1"/>
  <c r="AL8" i="6"/>
  <c r="AM8" i="6" s="1"/>
  <c r="AP8" i="6"/>
  <c r="AO8" i="6" s="1"/>
  <c r="AQ8" i="6" s="1"/>
  <c r="AR8" i="6" s="1"/>
  <c r="AL6" i="6"/>
  <c r="AM6" i="6" s="1"/>
  <c r="AP6" i="6"/>
  <c r="AO6" i="6" s="1"/>
  <c r="AQ6" i="6" s="1"/>
  <c r="AR6" i="6" s="1"/>
  <c r="AC6" i="6"/>
  <c r="AB6" i="6" s="1"/>
  <c r="AD6" i="6" s="1"/>
  <c r="AE6" i="6" s="1"/>
  <c r="AC5" i="6"/>
  <c r="AB5" i="6" s="1"/>
  <c r="AD5" i="6" s="1"/>
  <c r="AE5" i="6" s="1"/>
  <c r="AP5" i="6"/>
  <c r="AO5" i="6" s="1"/>
  <c r="AQ5" i="6" s="1"/>
  <c r="AR5" i="6" s="1"/>
  <c r="AL5" i="6"/>
  <c r="AM5" i="6" s="1"/>
  <c r="P9" i="6"/>
  <c r="O9" i="6" s="1"/>
  <c r="Q9" i="6" s="1"/>
  <c r="R9" i="6" s="1"/>
  <c r="O8" i="6"/>
  <c r="Q8" i="6" s="1"/>
  <c r="R8" i="6" s="1"/>
  <c r="O7" i="6"/>
  <c r="Q7" i="6" s="1"/>
  <c r="R7" i="6" s="1"/>
  <c r="P6" i="6"/>
  <c r="Q6" i="6" s="1"/>
  <c r="R6" i="6" s="1"/>
  <c r="P10" i="6" l="1"/>
  <c r="O10" i="6" s="1"/>
  <c r="Q10" i="6" s="1"/>
  <c r="R10" i="6" s="1"/>
  <c r="AP10" i="6"/>
  <c r="AO10" i="6" s="1"/>
  <c r="AQ10" i="6" s="1"/>
  <c r="AR10" i="6" s="1"/>
  <c r="AC10" i="6"/>
  <c r="AB10" i="6" s="1"/>
  <c r="AD10" i="6" s="1"/>
  <c r="AE10" i="6" s="1"/>
  <c r="E143" i="11"/>
  <c r="E122" i="11"/>
  <c r="E124" i="11"/>
  <c r="E145" i="11"/>
  <c r="E146" i="11"/>
  <c r="E141" i="11"/>
  <c r="E144" i="11"/>
  <c r="E121" i="11"/>
  <c r="E120" i="11"/>
  <c r="BD11" i="9"/>
  <c r="BD12" i="9"/>
  <c r="BD13" i="9"/>
  <c r="BD14" i="9"/>
  <c r="BD15" i="9"/>
  <c r="BD16" i="9"/>
  <c r="BD17" i="9"/>
  <c r="BD18" i="9"/>
  <c r="BD19" i="9"/>
  <c r="BD20" i="9"/>
  <c r="AS11" i="9"/>
  <c r="AS12" i="9"/>
  <c r="AS13" i="9"/>
  <c r="AS14" i="9"/>
  <c r="AS15" i="9"/>
  <c r="AS16" i="9"/>
  <c r="AS17" i="9"/>
  <c r="AS18" i="9"/>
  <c r="AS19" i="9"/>
  <c r="AS20" i="9"/>
  <c r="N3" i="7"/>
  <c r="N4" i="7"/>
  <c r="N5" i="7"/>
  <c r="N6" i="7"/>
  <c r="N7" i="7"/>
  <c r="N2" i="7"/>
  <c r="M2" i="7"/>
  <c r="F6" i="11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" i="4"/>
  <c r="R2" i="4"/>
  <c r="M3" i="7"/>
  <c r="F8" i="11" s="1"/>
  <c r="M4" i="7"/>
  <c r="F10" i="11" s="1"/>
  <c r="M5" i="7"/>
  <c r="F7" i="11" s="1"/>
  <c r="M6" i="7"/>
  <c r="F9" i="11" s="1"/>
  <c r="M7" i="7"/>
  <c r="F11" i="11" s="1"/>
  <c r="L2" i="7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F16" i="9" s="1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Q2" i="4"/>
  <c r="F18" i="9" l="1"/>
  <c r="F18" i="11"/>
  <c r="F19" i="9"/>
  <c r="F19" i="11"/>
  <c r="F14" i="9"/>
  <c r="F15" i="11"/>
  <c r="F15" i="9"/>
  <c r="F16" i="11"/>
  <c r="F20" i="11"/>
  <c r="F20" i="9"/>
  <c r="F13" i="9"/>
  <c r="F14" i="11"/>
  <c r="F17" i="9"/>
  <c r="F17" i="11"/>
  <c r="F12" i="9"/>
  <c r="F13" i="11"/>
  <c r="F12" i="11"/>
  <c r="F11" i="9"/>
  <c r="E161" i="11"/>
  <c r="E140" i="11"/>
  <c r="E163" i="11"/>
  <c r="E162" i="11"/>
  <c r="E164" i="11"/>
  <c r="E138" i="11"/>
  <c r="E142" i="11"/>
  <c r="E159" i="11"/>
  <c r="E139" i="11"/>
  <c r="L3" i="7"/>
  <c r="L4" i="7"/>
  <c r="L5" i="7"/>
  <c r="L6" i="7"/>
  <c r="L7" i="7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E179" i="11" l="1"/>
  <c r="E177" i="11"/>
  <c r="E158" i="11"/>
  <c r="E182" i="11"/>
  <c r="E156" i="11"/>
  <c r="E160" i="11"/>
  <c r="E180" i="11"/>
  <c r="E157" i="11"/>
  <c r="E181" i="11"/>
  <c r="B112" i="2"/>
  <c r="M11" i="10"/>
  <c r="N8" i="10"/>
  <c r="O8" i="10" s="1"/>
  <c r="N7" i="10"/>
  <c r="O7" i="10" s="1"/>
  <c r="N6" i="10"/>
  <c r="O6" i="10" s="1"/>
  <c r="N5" i="10"/>
  <c r="O5" i="10" s="1"/>
  <c r="N4" i="10"/>
  <c r="O4" i="10" s="1"/>
  <c r="N3" i="10"/>
  <c r="O3" i="10" s="1"/>
  <c r="S156" i="11" l="1"/>
  <c r="S138" i="11"/>
  <c r="S192" i="11"/>
  <c r="S48" i="11"/>
  <c r="S12" i="11"/>
  <c r="S174" i="11"/>
  <c r="S66" i="11"/>
  <c r="S210" i="11"/>
  <c r="S120" i="11"/>
  <c r="S84" i="11"/>
  <c r="E197" i="11"/>
  <c r="E199" i="11"/>
  <c r="E175" i="11"/>
  <c r="E174" i="11"/>
  <c r="E178" i="11"/>
  <c r="E176" i="11"/>
  <c r="E195" i="11"/>
  <c r="E198" i="11"/>
  <c r="E200" i="11"/>
  <c r="BX20" i="9"/>
  <c r="BX19" i="9"/>
  <c r="BX18" i="9"/>
  <c r="BX17" i="9"/>
  <c r="BX16" i="9"/>
  <c r="BX15" i="9"/>
  <c r="BX14" i="9"/>
  <c r="BX13" i="9"/>
  <c r="BX12" i="9"/>
  <c r="BX11" i="9"/>
  <c r="CA2" i="9"/>
  <c r="BN20" i="9"/>
  <c r="BN19" i="9"/>
  <c r="BN18" i="9"/>
  <c r="BN17" i="9"/>
  <c r="BN16" i="9"/>
  <c r="BN15" i="9"/>
  <c r="BN14" i="9"/>
  <c r="BN13" i="9"/>
  <c r="BN12" i="9"/>
  <c r="BN11" i="9"/>
  <c r="BQ2" i="9"/>
  <c r="BG2" i="9"/>
  <c r="AV2" i="9"/>
  <c r="AX2" i="9" s="1"/>
  <c r="AI20" i="9"/>
  <c r="AI19" i="9"/>
  <c r="AI18" i="9"/>
  <c r="AI17" i="9"/>
  <c r="AI16" i="9"/>
  <c r="AI15" i="9"/>
  <c r="AI14" i="9"/>
  <c r="AI13" i="9"/>
  <c r="AI12" i="9"/>
  <c r="AI11" i="9"/>
  <c r="AL2" i="9"/>
  <c r="Y20" i="9"/>
  <c r="Y19" i="9"/>
  <c r="Y18" i="9"/>
  <c r="Y17" i="9"/>
  <c r="Y16" i="9"/>
  <c r="Y15" i="9"/>
  <c r="Y14" i="9"/>
  <c r="Y13" i="9"/>
  <c r="Y12" i="9"/>
  <c r="Y11" i="9"/>
  <c r="AB2" i="9"/>
  <c r="K3" i="7"/>
  <c r="K4" i="7"/>
  <c r="K5" i="7"/>
  <c r="K6" i="7"/>
  <c r="K7" i="7"/>
  <c r="K2" i="7"/>
  <c r="Q2" i="9"/>
  <c r="P20" i="9"/>
  <c r="C20" i="9"/>
  <c r="P19" i="9"/>
  <c r="C19" i="9"/>
  <c r="P18" i="9"/>
  <c r="C18" i="9"/>
  <c r="P17" i="9"/>
  <c r="C17" i="9"/>
  <c r="P16" i="9"/>
  <c r="C16" i="9"/>
  <c r="P15" i="9"/>
  <c r="C15" i="9"/>
  <c r="P14" i="9"/>
  <c r="C14" i="9"/>
  <c r="P13" i="9"/>
  <c r="C13" i="9"/>
  <c r="P12" i="9"/>
  <c r="C12" i="9"/>
  <c r="H10" i="9"/>
  <c r="G10" i="9"/>
  <c r="H9" i="9"/>
  <c r="G9" i="9"/>
  <c r="H8" i="9"/>
  <c r="G8" i="9"/>
  <c r="H7" i="9"/>
  <c r="G7" i="9"/>
  <c r="H6" i="9"/>
  <c r="G6" i="9"/>
  <c r="H5" i="9"/>
  <c r="G5" i="9"/>
  <c r="CB2" i="9"/>
  <c r="BH2" i="9"/>
  <c r="D107" i="2"/>
  <c r="AY2" i="9" s="1"/>
  <c r="D106" i="2"/>
  <c r="E106" i="2" s="1"/>
  <c r="D105" i="2"/>
  <c r="BS2" i="9" s="1"/>
  <c r="BZ20" i="8"/>
  <c r="BV20" i="8"/>
  <c r="BZ19" i="8"/>
  <c r="BV19" i="8"/>
  <c r="BZ18" i="8"/>
  <c r="BV18" i="8"/>
  <c r="BV17" i="8"/>
  <c r="BZ16" i="8"/>
  <c r="BV16" i="8"/>
  <c r="BZ15" i="8"/>
  <c r="BV15" i="8"/>
  <c r="BZ14" i="8"/>
  <c r="BV14" i="8"/>
  <c r="BZ13" i="8"/>
  <c r="BV13" i="8"/>
  <c r="BZ12" i="8"/>
  <c r="BV12" i="8"/>
  <c r="BZ11" i="8"/>
  <c r="BV11" i="8"/>
  <c r="BP20" i="8"/>
  <c r="BL20" i="8"/>
  <c r="BP19" i="8"/>
  <c r="BL19" i="8"/>
  <c r="BP18" i="8"/>
  <c r="BL18" i="8"/>
  <c r="BL17" i="8"/>
  <c r="BP16" i="8"/>
  <c r="BL16" i="8"/>
  <c r="BP15" i="8"/>
  <c r="BL15" i="8"/>
  <c r="BP14" i="8"/>
  <c r="BL14" i="8"/>
  <c r="BP13" i="8"/>
  <c r="BL13" i="8"/>
  <c r="BP12" i="8"/>
  <c r="BL12" i="8"/>
  <c r="BP11" i="8"/>
  <c r="BL11" i="8"/>
  <c r="AV11" i="8"/>
  <c r="BF20" i="8"/>
  <c r="BB20" i="8"/>
  <c r="BF19" i="8"/>
  <c r="BB19" i="8"/>
  <c r="BF18" i="8"/>
  <c r="BB18" i="8"/>
  <c r="BB17" i="8"/>
  <c r="BF16" i="8"/>
  <c r="BB16" i="8"/>
  <c r="BF15" i="8"/>
  <c r="BB15" i="8"/>
  <c r="BF14" i="8"/>
  <c r="BB14" i="8"/>
  <c r="BF13" i="8"/>
  <c r="BB13" i="8"/>
  <c r="BF12" i="8"/>
  <c r="BB12" i="8"/>
  <c r="BF11" i="8"/>
  <c r="BB11" i="8"/>
  <c r="AV20" i="8"/>
  <c r="AR20" i="8"/>
  <c r="AV19" i="8"/>
  <c r="AR19" i="8"/>
  <c r="AV18" i="8"/>
  <c r="AR18" i="8"/>
  <c r="AV17" i="8"/>
  <c r="AR17" i="8"/>
  <c r="AV16" i="8"/>
  <c r="AR16" i="8"/>
  <c r="AV15" i="8"/>
  <c r="AR15" i="8"/>
  <c r="AV14" i="8"/>
  <c r="AR14" i="8"/>
  <c r="AV13" i="8"/>
  <c r="AR13" i="8"/>
  <c r="AV12" i="8"/>
  <c r="AR12" i="8"/>
  <c r="AR11" i="8"/>
  <c r="E6" i="8"/>
  <c r="F6" i="8"/>
  <c r="E7" i="8"/>
  <c r="F7" i="8"/>
  <c r="E8" i="8"/>
  <c r="F8" i="8"/>
  <c r="E9" i="8"/>
  <c r="F9" i="8"/>
  <c r="E10" i="8"/>
  <c r="F10" i="8"/>
  <c r="F5" i="8"/>
  <c r="E5" i="8"/>
  <c r="C69" i="2"/>
  <c r="C70" i="2" s="1"/>
  <c r="C71" i="2"/>
  <c r="P142" i="9" l="1"/>
  <c r="E215" i="11"/>
  <c r="E216" i="11"/>
  <c r="E218" i="11"/>
  <c r="E192" i="11"/>
  <c r="E193" i="11"/>
  <c r="E213" i="11"/>
  <c r="E194" i="11"/>
  <c r="E196" i="11"/>
  <c r="E217" i="11"/>
  <c r="AW10" i="9"/>
  <c r="AW7" i="9"/>
  <c r="AW5" i="9"/>
  <c r="AW8" i="9"/>
  <c r="AW9" i="9"/>
  <c r="AW6" i="9"/>
  <c r="CC2" i="9"/>
  <c r="BI2" i="9"/>
  <c r="T2" i="9"/>
  <c r="E105" i="2"/>
  <c r="BT2" i="9" s="1"/>
  <c r="AN2" i="9"/>
  <c r="E107" i="2"/>
  <c r="AC2" i="9"/>
  <c r="AW2" i="9"/>
  <c r="BR2" i="9"/>
  <c r="CD2" i="9"/>
  <c r="AD2" i="9"/>
  <c r="R2" i="9"/>
  <c r="AM2" i="9"/>
  <c r="BR7" i="9"/>
  <c r="AM7" i="9"/>
  <c r="CB7" i="9"/>
  <c r="AC7" i="9"/>
  <c r="BH7" i="9"/>
  <c r="BR8" i="9"/>
  <c r="AM8" i="9"/>
  <c r="CB8" i="9"/>
  <c r="AC8" i="9"/>
  <c r="BH8" i="9"/>
  <c r="CB6" i="9"/>
  <c r="AC6" i="9"/>
  <c r="BH6" i="9"/>
  <c r="AM6" i="9"/>
  <c r="BR6" i="9"/>
  <c r="CB10" i="9"/>
  <c r="AC10" i="9"/>
  <c r="BH10" i="9"/>
  <c r="BR10" i="9"/>
  <c r="AM10" i="9"/>
  <c r="BH5" i="9"/>
  <c r="CB5" i="9"/>
  <c r="AC5" i="9"/>
  <c r="BR5" i="9"/>
  <c r="AM5" i="9"/>
  <c r="BH9" i="9"/>
  <c r="BR9" i="9"/>
  <c r="AM9" i="9"/>
  <c r="CB9" i="9"/>
  <c r="AC9" i="9"/>
  <c r="E214" i="11" l="1"/>
  <c r="E210" i="11"/>
  <c r="E212" i="11"/>
  <c r="E211" i="11"/>
  <c r="AE2" i="9"/>
  <c r="Z11" i="9" s="1"/>
  <c r="U2" i="9"/>
  <c r="AO2" i="9"/>
  <c r="AZ2" i="9"/>
  <c r="BJ2" i="9"/>
  <c r="AL20" i="8"/>
  <c r="AH20" i="8"/>
  <c r="AL19" i="8"/>
  <c r="AH19" i="8"/>
  <c r="AL18" i="8"/>
  <c r="AH18" i="8"/>
  <c r="AL17" i="8"/>
  <c r="AH17" i="8"/>
  <c r="AL16" i="8"/>
  <c r="AH16" i="8"/>
  <c r="AL15" i="8"/>
  <c r="AH15" i="8"/>
  <c r="AL14" i="8"/>
  <c r="AH14" i="8"/>
  <c r="AL13" i="8"/>
  <c r="AH13" i="8"/>
  <c r="AL12" i="8"/>
  <c r="AH12" i="8"/>
  <c r="AL11" i="8"/>
  <c r="AH11" i="8"/>
  <c r="AB20" i="8"/>
  <c r="AB19" i="8"/>
  <c r="AB18" i="8"/>
  <c r="AB17" i="8"/>
  <c r="AB16" i="8"/>
  <c r="AB15" i="8"/>
  <c r="AB14" i="8"/>
  <c r="AB13" i="8"/>
  <c r="AB12" i="8"/>
  <c r="AB11" i="8"/>
  <c r="X20" i="8"/>
  <c r="X19" i="8"/>
  <c r="X18" i="8"/>
  <c r="X17" i="8"/>
  <c r="X16" i="8"/>
  <c r="X15" i="8"/>
  <c r="X14" i="8"/>
  <c r="X13" i="8"/>
  <c r="X12" i="8"/>
  <c r="X11" i="8"/>
  <c r="R12" i="8"/>
  <c r="R13" i="8"/>
  <c r="R14" i="8"/>
  <c r="R15" i="8"/>
  <c r="R16" i="8"/>
  <c r="R17" i="8"/>
  <c r="R18" i="8"/>
  <c r="R19" i="8"/>
  <c r="R20" i="8"/>
  <c r="R11" i="8"/>
  <c r="C12" i="8"/>
  <c r="G12" i="8" s="1"/>
  <c r="H12" i="8" s="1"/>
  <c r="C13" i="8"/>
  <c r="G13" i="8" s="1"/>
  <c r="H13" i="8" s="1"/>
  <c r="C14" i="8"/>
  <c r="G14" i="8" s="1"/>
  <c r="H14" i="8" s="1"/>
  <c r="C15" i="8"/>
  <c r="G15" i="8" s="1"/>
  <c r="H15" i="8" s="1"/>
  <c r="C16" i="8"/>
  <c r="G16" i="8" s="1"/>
  <c r="H16" i="8" s="1"/>
  <c r="C17" i="8"/>
  <c r="G17" i="8" s="1"/>
  <c r="H17" i="8" s="1"/>
  <c r="C18" i="8"/>
  <c r="G18" i="8" s="1"/>
  <c r="H18" i="8" s="1"/>
  <c r="C19" i="8"/>
  <c r="G19" i="8" s="1"/>
  <c r="H19" i="8" s="1"/>
  <c r="C20" i="8"/>
  <c r="G20" i="8" s="1"/>
  <c r="H20" i="8" s="1"/>
  <c r="C11" i="8"/>
  <c r="G11" i="8" s="1"/>
  <c r="H11" i="8" s="1"/>
  <c r="N12" i="8"/>
  <c r="N13" i="8"/>
  <c r="N14" i="8"/>
  <c r="N15" i="8"/>
  <c r="N16" i="8"/>
  <c r="N17" i="8"/>
  <c r="N18" i="8"/>
  <c r="N19" i="8"/>
  <c r="N20" i="8"/>
  <c r="N11" i="8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" i="4"/>
  <c r="D14" i="8" l="1"/>
  <c r="I14" i="8" s="1"/>
  <c r="D14" i="9"/>
  <c r="D17" i="8"/>
  <c r="I17" i="8" s="1"/>
  <c r="D17" i="9"/>
  <c r="D15" i="8"/>
  <c r="I15" i="8" s="1"/>
  <c r="D15" i="9"/>
  <c r="D12" i="8"/>
  <c r="I12" i="8" s="1"/>
  <c r="D12" i="9"/>
  <c r="D13" i="8"/>
  <c r="I13" i="8" s="1"/>
  <c r="D13" i="9"/>
  <c r="D16" i="8"/>
  <c r="I16" i="8" s="1"/>
  <c r="D16" i="9"/>
  <c r="D11" i="8"/>
  <c r="I11" i="8" s="1"/>
  <c r="D18" i="8"/>
  <c r="I18" i="8" s="1"/>
  <c r="D18" i="9"/>
  <c r="D19" i="8"/>
  <c r="I19" i="8" s="1"/>
  <c r="D19" i="9"/>
  <c r="D20" i="8"/>
  <c r="I20" i="8" s="1"/>
  <c r="D20" i="9"/>
  <c r="ET6" i="6"/>
  <c r="ET7" i="6"/>
  <c r="ET8" i="6"/>
  <c r="ET9" i="6"/>
  <c r="ET10" i="6"/>
  <c r="ET5" i="6"/>
  <c r="EK6" i="6"/>
  <c r="EK7" i="6"/>
  <c r="EK8" i="6"/>
  <c r="EK9" i="6"/>
  <c r="EK10" i="6"/>
  <c r="EK5" i="6"/>
  <c r="EB6" i="6"/>
  <c r="EB7" i="6"/>
  <c r="EB8" i="6"/>
  <c r="EB9" i="6"/>
  <c r="EB10" i="6"/>
  <c r="EB5" i="6"/>
  <c r="DS6" i="6"/>
  <c r="DS7" i="6"/>
  <c r="DS8" i="6"/>
  <c r="DS9" i="6"/>
  <c r="DS10" i="6"/>
  <c r="DS5" i="6"/>
  <c r="DJ6" i="6"/>
  <c r="DJ7" i="6"/>
  <c r="DJ8" i="6"/>
  <c r="DJ9" i="6"/>
  <c r="DJ10" i="6"/>
  <c r="DJ5" i="6"/>
  <c r="DA6" i="6"/>
  <c r="DA7" i="6"/>
  <c r="DA8" i="6"/>
  <c r="DA9" i="6"/>
  <c r="DA10" i="6"/>
  <c r="DA5" i="6"/>
  <c r="CR6" i="6"/>
  <c r="CR7" i="6"/>
  <c r="CR8" i="6"/>
  <c r="CR9" i="6"/>
  <c r="CR10" i="6"/>
  <c r="CR5" i="6"/>
  <c r="CI6" i="6"/>
  <c r="CI7" i="6"/>
  <c r="CI8" i="6"/>
  <c r="CI9" i="6"/>
  <c r="CI10" i="6"/>
  <c r="CI5" i="6"/>
  <c r="BZ6" i="6"/>
  <c r="BZ7" i="6"/>
  <c r="BZ8" i="6"/>
  <c r="BZ9" i="6"/>
  <c r="BZ10" i="6"/>
  <c r="BZ5" i="6"/>
  <c r="BQ6" i="6"/>
  <c r="BQ7" i="6"/>
  <c r="BQ8" i="6"/>
  <c r="BQ9" i="6"/>
  <c r="BQ10" i="6"/>
  <c r="BQ5" i="6"/>
  <c r="BH6" i="6"/>
  <c r="BH7" i="6"/>
  <c r="BH8" i="6"/>
  <c r="BH9" i="6"/>
  <c r="BH10" i="6"/>
  <c r="AY6" i="6"/>
  <c r="AY7" i="6"/>
  <c r="AY8" i="6"/>
  <c r="AY9" i="6"/>
  <c r="AY10" i="6"/>
  <c r="AY5" i="6"/>
  <c r="BH5" i="6"/>
  <c r="I14" i="1"/>
  <c r="I15" i="1"/>
  <c r="I16" i="1"/>
  <c r="I17" i="1"/>
  <c r="I18" i="1"/>
  <c r="I13" i="1"/>
  <c r="I20" i="9" l="1"/>
  <c r="I17" i="9"/>
  <c r="I19" i="9"/>
  <c r="I11" i="9"/>
  <c r="I13" i="9"/>
  <c r="I15" i="9"/>
  <c r="I14" i="9"/>
  <c r="I18" i="9"/>
  <c r="I16" i="9"/>
  <c r="I12" i="9"/>
  <c r="C5" i="9"/>
  <c r="C5" i="8"/>
  <c r="G5" i="8" s="1"/>
  <c r="H5" i="8" s="1"/>
  <c r="C10" i="8"/>
  <c r="G10" i="8" s="1"/>
  <c r="H10" i="8" s="1"/>
  <c r="C10" i="9"/>
  <c r="C9" i="9"/>
  <c r="C9" i="8"/>
  <c r="G9" i="8" s="1"/>
  <c r="H9" i="8" s="1"/>
  <c r="C7" i="9"/>
  <c r="C7" i="8"/>
  <c r="G7" i="8" s="1"/>
  <c r="H7" i="8" s="1"/>
  <c r="C8" i="9"/>
  <c r="C8" i="8"/>
  <c r="G8" i="8" s="1"/>
  <c r="H8" i="8" s="1"/>
  <c r="C6" i="9"/>
  <c r="C6" i="8"/>
  <c r="G6" i="8" s="1"/>
  <c r="H6" i="8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E33" i="3"/>
  <c r="E34" i="3"/>
  <c r="E35" i="3"/>
  <c r="E36" i="3"/>
  <c r="E37" i="3"/>
  <c r="E32" i="3"/>
  <c r="Z33" i="3"/>
  <c r="Z34" i="3"/>
  <c r="Z35" i="3"/>
  <c r="Z36" i="3"/>
  <c r="Z37" i="3"/>
  <c r="Z32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5" i="3"/>
  <c r="C17" i="6"/>
  <c r="C18" i="6"/>
  <c r="C1" i="3"/>
  <c r="D1" i="3" s="1"/>
  <c r="E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E19" i="2"/>
  <c r="D19" i="2"/>
  <c r="C19" i="2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5" i="3"/>
  <c r="Y5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I5" i="3"/>
  <c r="P5" i="3" s="1"/>
  <c r="M3" i="1" l="1"/>
  <c r="M9" i="1"/>
  <c r="M4" i="1"/>
  <c r="H13" i="11" s="1"/>
  <c r="M5" i="1"/>
  <c r="M7" i="1"/>
  <c r="M12" i="1"/>
  <c r="M8" i="1"/>
  <c r="F16" i="6" s="1"/>
  <c r="M10" i="1"/>
  <c r="M11" i="1"/>
  <c r="M6" i="1"/>
  <c r="H15" i="11" s="1"/>
  <c r="D18" i="6"/>
  <c r="D17" i="6"/>
  <c r="BZ6" i="8"/>
  <c r="BY6" i="8" s="1"/>
  <c r="R6" i="8"/>
  <c r="Q6" i="8" s="1"/>
  <c r="AL6" i="8"/>
  <c r="AK6" i="8" s="1"/>
  <c r="AB6" i="8"/>
  <c r="AA6" i="8" s="1"/>
  <c r="BP6" i="8"/>
  <c r="BO6" i="8" s="1"/>
  <c r="AV6" i="8"/>
  <c r="AU6" i="8" s="1"/>
  <c r="BF6" i="8"/>
  <c r="BE6" i="8" s="1"/>
  <c r="AV7" i="8"/>
  <c r="AU7" i="8" s="1"/>
  <c r="R7" i="8"/>
  <c r="Q7" i="8" s="1"/>
  <c r="BP7" i="8"/>
  <c r="BO7" i="8" s="1"/>
  <c r="BZ7" i="8"/>
  <c r="BY7" i="8" s="1"/>
  <c r="BF7" i="8"/>
  <c r="BE7" i="8" s="1"/>
  <c r="AB7" i="8"/>
  <c r="AA7" i="8" s="1"/>
  <c r="AL7" i="8"/>
  <c r="AK7" i="8" s="1"/>
  <c r="BP10" i="8"/>
  <c r="BO10" i="8" s="1"/>
  <c r="R10" i="8"/>
  <c r="Q10" i="8" s="1"/>
  <c r="BF10" i="8"/>
  <c r="BE10" i="8" s="1"/>
  <c r="AB10" i="8"/>
  <c r="AA10" i="8" s="1"/>
  <c r="AV10" i="8"/>
  <c r="AU10" i="8" s="1"/>
  <c r="AL10" i="8"/>
  <c r="AK10" i="8" s="1"/>
  <c r="BZ10" i="8"/>
  <c r="BY10" i="8" s="1"/>
  <c r="BZ8" i="8"/>
  <c r="BY8" i="8" s="1"/>
  <c r="AV8" i="8"/>
  <c r="AU8" i="8" s="1"/>
  <c r="BP8" i="8"/>
  <c r="BO8" i="8" s="1"/>
  <c r="AL8" i="8"/>
  <c r="AK8" i="8" s="1"/>
  <c r="R8" i="8"/>
  <c r="Q8" i="8" s="1"/>
  <c r="BF8" i="8"/>
  <c r="BE8" i="8" s="1"/>
  <c r="AB8" i="8"/>
  <c r="AA8" i="8" s="1"/>
  <c r="BF9" i="8"/>
  <c r="BE9" i="8" s="1"/>
  <c r="AL9" i="8"/>
  <c r="AK9" i="8" s="1"/>
  <c r="BZ9" i="8"/>
  <c r="BY9" i="8" s="1"/>
  <c r="AB9" i="8"/>
  <c r="AA9" i="8" s="1"/>
  <c r="AV9" i="8"/>
  <c r="AU9" i="8" s="1"/>
  <c r="R9" i="8"/>
  <c r="Q9" i="8" s="1"/>
  <c r="BP9" i="8"/>
  <c r="BO9" i="8" s="1"/>
  <c r="AV5" i="8"/>
  <c r="AU5" i="8" s="1"/>
  <c r="BP5" i="8"/>
  <c r="BO5" i="8" s="1"/>
  <c r="BZ5" i="8"/>
  <c r="BY5" i="8" s="1"/>
  <c r="AB5" i="8"/>
  <c r="AA5" i="8" s="1"/>
  <c r="BF5" i="8"/>
  <c r="BE5" i="8" s="1"/>
  <c r="AL5" i="8"/>
  <c r="AK5" i="8" s="1"/>
  <c r="R5" i="8"/>
  <c r="Q5" i="8" s="1"/>
  <c r="F20" i="6" l="1"/>
  <c r="H20" i="11"/>
  <c r="F15" i="6"/>
  <c r="H16" i="11"/>
  <c r="F13" i="6"/>
  <c r="H14" i="11"/>
  <c r="H33" i="11"/>
  <c r="H31" i="11"/>
  <c r="F14" i="6"/>
  <c r="F12" i="6"/>
  <c r="F19" i="6"/>
  <c r="H19" i="11"/>
  <c r="F17" i="6"/>
  <c r="H17" i="11"/>
  <c r="F18" i="6"/>
  <c r="H18" i="11"/>
  <c r="F11" i="6"/>
  <c r="H12" i="11"/>
  <c r="Q22" i="8"/>
  <c r="B29" i="2"/>
  <c r="H35" i="11" l="1"/>
  <c r="X17" i="11"/>
  <c r="Y17" i="11" s="1"/>
  <c r="H51" i="11"/>
  <c r="H32" i="11"/>
  <c r="H37" i="11"/>
  <c r="H34" i="11"/>
  <c r="H38" i="11"/>
  <c r="H30" i="11"/>
  <c r="H36" i="11"/>
  <c r="X18" i="11"/>
  <c r="Y18" i="11" s="1"/>
  <c r="H49" i="11"/>
  <c r="U31" i="3"/>
  <c r="L12" i="1" s="1"/>
  <c r="E20" i="6" s="1"/>
  <c r="U23" i="3"/>
  <c r="L8" i="1" s="1"/>
  <c r="E16" i="6" s="1"/>
  <c r="U6" i="3"/>
  <c r="L3" i="1" s="1"/>
  <c r="E11" i="6" s="1"/>
  <c r="U30" i="3"/>
  <c r="L10" i="1" s="1"/>
  <c r="E18" i="6" s="1"/>
  <c r="U16" i="3"/>
  <c r="L7" i="1" s="1"/>
  <c r="E15" i="6" s="1"/>
  <c r="U28" i="3"/>
  <c r="L11" i="1" s="1"/>
  <c r="E19" i="6" s="1"/>
  <c r="U14" i="3"/>
  <c r="L5" i="1" s="1"/>
  <c r="E13" i="6" s="1"/>
  <c r="U25" i="3"/>
  <c r="L9" i="1" s="1"/>
  <c r="E17" i="6" s="1"/>
  <c r="U10" i="3"/>
  <c r="W31" i="3"/>
  <c r="W23" i="3"/>
  <c r="W6" i="3"/>
  <c r="W30" i="3"/>
  <c r="W16" i="3"/>
  <c r="W28" i="3"/>
  <c r="W14" i="3"/>
  <c r="W25" i="3"/>
  <c r="W10" i="3"/>
  <c r="B50" i="3"/>
  <c r="I6" i="3"/>
  <c r="I7" i="3"/>
  <c r="P7" i="3" s="1"/>
  <c r="I8" i="3"/>
  <c r="P8" i="3" s="1"/>
  <c r="I9" i="3"/>
  <c r="P9" i="3" s="1"/>
  <c r="I10" i="3"/>
  <c r="P10" i="3" s="1"/>
  <c r="I11" i="3"/>
  <c r="P11" i="3" s="1"/>
  <c r="I12" i="3"/>
  <c r="P12" i="3" s="1"/>
  <c r="I13" i="3"/>
  <c r="P13" i="3" s="1"/>
  <c r="I14" i="3"/>
  <c r="P14" i="3" s="1"/>
  <c r="I15" i="3"/>
  <c r="P15" i="3" s="1"/>
  <c r="I16" i="3"/>
  <c r="P16" i="3" s="1"/>
  <c r="I17" i="3"/>
  <c r="P17" i="3" s="1"/>
  <c r="I18" i="3"/>
  <c r="P18" i="3" s="1"/>
  <c r="I19" i="3"/>
  <c r="P19" i="3" s="1"/>
  <c r="I20" i="3"/>
  <c r="P20" i="3" s="1"/>
  <c r="I21" i="3"/>
  <c r="P21" i="3" s="1"/>
  <c r="I22" i="3"/>
  <c r="P22" i="3" s="1"/>
  <c r="I23" i="3"/>
  <c r="P23" i="3" s="1"/>
  <c r="I24" i="3"/>
  <c r="P24" i="3" s="1"/>
  <c r="I25" i="3"/>
  <c r="P25" i="3" s="1"/>
  <c r="I26" i="3"/>
  <c r="P26" i="3" s="1"/>
  <c r="I27" i="3"/>
  <c r="P27" i="3" s="1"/>
  <c r="I28" i="3"/>
  <c r="P28" i="3" s="1"/>
  <c r="I29" i="3"/>
  <c r="P29" i="3" s="1"/>
  <c r="I30" i="3"/>
  <c r="P30" i="3" s="1"/>
  <c r="I31" i="3"/>
  <c r="P31" i="3" s="1"/>
  <c r="O31" i="3"/>
  <c r="O29" i="3"/>
  <c r="O28" i="3"/>
  <c r="O26" i="3"/>
  <c r="O23" i="3"/>
  <c r="O20" i="3"/>
  <c r="O19" i="3"/>
  <c r="O16" i="3"/>
  <c r="O14" i="3"/>
  <c r="O12" i="3"/>
  <c r="O11" i="3"/>
  <c r="O9" i="3"/>
  <c r="O8" i="3"/>
  <c r="O6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5" i="3"/>
  <c r="N19" i="3" l="1"/>
  <c r="D19" i="3" s="1"/>
  <c r="F19" i="3" s="1"/>
  <c r="K6" i="1" s="1"/>
  <c r="G15" i="11" s="1"/>
  <c r="G33" i="11" s="1"/>
  <c r="H54" i="11"/>
  <c r="X36" i="11"/>
  <c r="Y36" i="11" s="1"/>
  <c r="H55" i="11"/>
  <c r="H56" i="11"/>
  <c r="H69" i="11"/>
  <c r="H48" i="11"/>
  <c r="H50" i="11"/>
  <c r="H67" i="11"/>
  <c r="H52" i="11"/>
  <c r="H53" i="11"/>
  <c r="X35" i="11"/>
  <c r="Y35" i="11" s="1"/>
  <c r="N11" i="3"/>
  <c r="M17" i="6"/>
  <c r="Z17" i="6"/>
  <c r="M18" i="6"/>
  <c r="Z18" i="6"/>
  <c r="N6" i="3"/>
  <c r="D6" i="3" s="1"/>
  <c r="S19" i="3"/>
  <c r="N9" i="3"/>
  <c r="D9" i="3" s="1"/>
  <c r="N16" i="3"/>
  <c r="N12" i="3"/>
  <c r="N20" i="3"/>
  <c r="N8" i="3"/>
  <c r="N28" i="3"/>
  <c r="D28" i="3" s="1"/>
  <c r="F28" i="3" s="1"/>
  <c r="K11" i="1" s="1"/>
  <c r="G19" i="11" s="1"/>
  <c r="N29" i="3"/>
  <c r="N5" i="3"/>
  <c r="N23" i="3"/>
  <c r="N31" i="3"/>
  <c r="N26" i="3"/>
  <c r="N14" i="3"/>
  <c r="J4" i="1"/>
  <c r="J5" i="1"/>
  <c r="J6" i="1"/>
  <c r="J7" i="1"/>
  <c r="J8" i="1"/>
  <c r="J9" i="1"/>
  <c r="J10" i="1"/>
  <c r="J11" i="1"/>
  <c r="J12" i="1"/>
  <c r="J3" i="1"/>
  <c r="C6" i="2"/>
  <c r="H5" i="1"/>
  <c r="F4" i="1"/>
  <c r="F5" i="1"/>
  <c r="G13" i="6" s="1"/>
  <c r="F6" i="1"/>
  <c r="F7" i="1"/>
  <c r="F8" i="1"/>
  <c r="F9" i="1"/>
  <c r="F10" i="1"/>
  <c r="F11" i="1"/>
  <c r="F12" i="1"/>
  <c r="G20" i="6" s="1"/>
  <c r="F3" i="1"/>
  <c r="X15" i="11" l="1"/>
  <c r="Y15" i="11" s="1"/>
  <c r="C14" i="6"/>
  <c r="H68" i="11"/>
  <c r="G51" i="11"/>
  <c r="X33" i="11"/>
  <c r="Y33" i="11" s="1"/>
  <c r="H71" i="11"/>
  <c r="X53" i="11"/>
  <c r="Y53" i="11" s="1"/>
  <c r="H66" i="11"/>
  <c r="H73" i="11"/>
  <c r="G37" i="11"/>
  <c r="X19" i="11"/>
  <c r="Y19" i="11" s="1"/>
  <c r="H85" i="11"/>
  <c r="H74" i="11"/>
  <c r="H70" i="11"/>
  <c r="H87" i="11"/>
  <c r="H72" i="11"/>
  <c r="X54" i="11"/>
  <c r="Y54" i="11" s="1"/>
  <c r="H9" i="1"/>
  <c r="G17" i="6"/>
  <c r="F6" i="3"/>
  <c r="K3" i="1" s="1"/>
  <c r="H7" i="1"/>
  <c r="G15" i="6"/>
  <c r="H6" i="1"/>
  <c r="G14" i="6"/>
  <c r="H10" i="1"/>
  <c r="G18" i="6"/>
  <c r="H8" i="1"/>
  <c r="G16" i="6"/>
  <c r="H3" i="1"/>
  <c r="G11" i="6"/>
  <c r="P13" i="6"/>
  <c r="AO13" i="6"/>
  <c r="AP13" i="6" s="1"/>
  <c r="AB13" i="6"/>
  <c r="AC13" i="6" s="1"/>
  <c r="BG13" i="6"/>
  <c r="EA13" i="6"/>
  <c r="EJ13" i="6"/>
  <c r="DI13" i="6"/>
  <c r="DR13" i="6"/>
  <c r="AK13" i="6"/>
  <c r="K13" i="6"/>
  <c r="ES13" i="6"/>
  <c r="CZ13" i="6"/>
  <c r="CQ13" i="6"/>
  <c r="AX13" i="6"/>
  <c r="BY13" i="6"/>
  <c r="CH13" i="6"/>
  <c r="X13" i="6"/>
  <c r="BP13" i="6"/>
  <c r="O20" i="6"/>
  <c r="P20" i="6" s="1"/>
  <c r="AO20" i="6"/>
  <c r="AP20" i="6" s="1"/>
  <c r="AB20" i="6"/>
  <c r="AC20" i="6" s="1"/>
  <c r="EA20" i="6"/>
  <c r="DR20" i="6"/>
  <c r="DI20" i="6"/>
  <c r="AK20" i="6"/>
  <c r="CQ20" i="6"/>
  <c r="CZ20" i="6"/>
  <c r="BP20" i="6"/>
  <c r="CH20" i="6"/>
  <c r="BG20" i="6"/>
  <c r="K20" i="6"/>
  <c r="AX20" i="6"/>
  <c r="EJ20" i="6"/>
  <c r="ES20" i="6"/>
  <c r="BY20" i="6"/>
  <c r="X20" i="6"/>
  <c r="H4" i="1"/>
  <c r="G12" i="6"/>
  <c r="H11" i="1"/>
  <c r="G19" i="6"/>
  <c r="H12" i="1"/>
  <c r="S9" i="3"/>
  <c r="F9" i="3"/>
  <c r="K4" i="1" s="1"/>
  <c r="G13" i="11" s="1"/>
  <c r="D14" i="6"/>
  <c r="D31" i="3"/>
  <c r="F31" i="3" s="1"/>
  <c r="K12" i="1" s="1"/>
  <c r="G20" i="11" s="1"/>
  <c r="D23" i="3"/>
  <c r="F23" i="3" s="1"/>
  <c r="K8" i="1" s="1"/>
  <c r="D16" i="3"/>
  <c r="F16" i="3" s="1"/>
  <c r="K7" i="1" s="1"/>
  <c r="G16" i="11" s="1"/>
  <c r="D14" i="3"/>
  <c r="F14" i="3" s="1"/>
  <c r="K5" i="1" s="1"/>
  <c r="G14" i="11" s="1"/>
  <c r="AT14" i="9"/>
  <c r="AU14" i="9" s="1"/>
  <c r="AT18" i="9"/>
  <c r="AU18" i="9" s="1"/>
  <c r="AT15" i="9"/>
  <c r="AU15" i="9" s="1"/>
  <c r="AT19" i="9"/>
  <c r="AU19" i="9" s="1"/>
  <c r="BE11" i="9"/>
  <c r="BF11" i="9" s="1"/>
  <c r="BE13" i="9"/>
  <c r="BF13" i="9" s="1"/>
  <c r="BE15" i="9"/>
  <c r="BF15" i="9" s="1"/>
  <c r="BE17" i="9"/>
  <c r="BF17" i="9" s="1"/>
  <c r="BE19" i="9"/>
  <c r="BF19" i="9" s="1"/>
  <c r="AT16" i="9"/>
  <c r="AU16" i="9" s="1"/>
  <c r="AT12" i="9"/>
  <c r="AU12" i="9" s="1"/>
  <c r="AT13" i="9"/>
  <c r="AU13" i="9" s="1"/>
  <c r="AT17" i="9"/>
  <c r="AU17" i="9" s="1"/>
  <c r="AT11" i="9"/>
  <c r="AU11" i="9" s="1"/>
  <c r="BE12" i="9"/>
  <c r="BF12" i="9" s="1"/>
  <c r="BE14" i="9"/>
  <c r="BF14" i="9" s="1"/>
  <c r="BE16" i="9"/>
  <c r="BF16" i="9" s="1"/>
  <c r="BE18" i="9"/>
  <c r="BF18" i="9" s="1"/>
  <c r="BE20" i="9"/>
  <c r="BF20" i="9" s="1"/>
  <c r="AT20" i="9"/>
  <c r="AU20" i="9" s="1"/>
  <c r="AT5" i="9"/>
  <c r="AY5" i="9" s="1"/>
  <c r="AT8" i="9"/>
  <c r="AT10" i="9"/>
  <c r="AY10" i="9" s="1"/>
  <c r="AT9" i="9"/>
  <c r="AY9" i="9" s="1"/>
  <c r="AT7" i="9"/>
  <c r="AY7" i="9" s="1"/>
  <c r="AT6" i="9"/>
  <c r="AY6" i="9" s="1"/>
  <c r="BW20" i="8"/>
  <c r="BX20" i="8" s="1"/>
  <c r="BW17" i="8"/>
  <c r="BX17" i="8" s="1"/>
  <c r="BW13" i="8"/>
  <c r="BX13" i="8" s="1"/>
  <c r="BM19" i="8"/>
  <c r="BN19" i="8" s="1"/>
  <c r="BM16" i="8"/>
  <c r="BN16" i="8" s="1"/>
  <c r="BM12" i="8"/>
  <c r="BN12" i="8" s="1"/>
  <c r="BC14" i="8"/>
  <c r="BD14" i="8" s="1"/>
  <c r="AS20" i="8"/>
  <c r="AT20" i="8" s="1"/>
  <c r="AS16" i="8"/>
  <c r="AT16" i="8" s="1"/>
  <c r="AS12" i="8"/>
  <c r="AT12" i="8" s="1"/>
  <c r="BM20" i="8"/>
  <c r="BN20" i="8" s="1"/>
  <c r="BM13" i="8"/>
  <c r="BN13" i="8" s="1"/>
  <c r="BC15" i="8"/>
  <c r="BD15" i="8" s="1"/>
  <c r="AS13" i="8"/>
  <c r="AT13" i="8" s="1"/>
  <c r="BW16" i="8"/>
  <c r="BX16" i="8" s="1"/>
  <c r="BM11" i="8"/>
  <c r="BN11" i="8" s="1"/>
  <c r="BC17" i="8"/>
  <c r="BD17" i="8" s="1"/>
  <c r="BW14" i="8"/>
  <c r="BX14" i="8" s="1"/>
  <c r="BM17" i="8"/>
  <c r="BN17" i="8" s="1"/>
  <c r="BC18" i="8"/>
  <c r="BD18" i="8" s="1"/>
  <c r="BC11" i="8"/>
  <c r="BD11" i="8" s="1"/>
  <c r="AS17" i="8"/>
  <c r="AT17" i="8" s="1"/>
  <c r="BW19" i="8"/>
  <c r="BX19" i="8" s="1"/>
  <c r="BW12" i="8"/>
  <c r="BX12" i="8" s="1"/>
  <c r="BM15" i="8"/>
  <c r="BN15" i="8" s="1"/>
  <c r="BC20" i="8"/>
  <c r="BD20" i="8" s="1"/>
  <c r="BC13" i="8"/>
  <c r="BD13" i="8" s="1"/>
  <c r="AS15" i="8"/>
  <c r="AT15" i="8" s="1"/>
  <c r="BW18" i="8"/>
  <c r="BX18" i="8" s="1"/>
  <c r="BW15" i="8"/>
  <c r="BX15" i="8" s="1"/>
  <c r="BW11" i="8"/>
  <c r="BX11" i="8" s="1"/>
  <c r="BM14" i="8"/>
  <c r="BN14" i="8" s="1"/>
  <c r="BC19" i="8"/>
  <c r="BD19" i="8" s="1"/>
  <c r="BC16" i="8"/>
  <c r="BD16" i="8" s="1"/>
  <c r="BC12" i="8"/>
  <c r="BD12" i="8" s="1"/>
  <c r="AS18" i="8"/>
  <c r="AT18" i="8" s="1"/>
  <c r="AS14" i="8"/>
  <c r="AT14" i="8" s="1"/>
  <c r="AS11" i="8"/>
  <c r="AT11" i="8" s="1"/>
  <c r="BM18" i="8"/>
  <c r="BN18" i="8" s="1"/>
  <c r="AS19" i="8"/>
  <c r="AT19" i="8" s="1"/>
  <c r="BY19" i="9"/>
  <c r="BZ19" i="9" s="1"/>
  <c r="BO11" i="9"/>
  <c r="BP11" i="9" s="1"/>
  <c r="BO19" i="9"/>
  <c r="BP19" i="9" s="1"/>
  <c r="BY18" i="9"/>
  <c r="BZ18" i="9" s="1"/>
  <c r="AJ12" i="9"/>
  <c r="AK12" i="9" s="1"/>
  <c r="AJ20" i="9"/>
  <c r="AK20" i="9" s="1"/>
  <c r="BO12" i="9"/>
  <c r="BP12" i="9" s="1"/>
  <c r="BY11" i="9"/>
  <c r="BZ11" i="9" s="1"/>
  <c r="AJ13" i="9"/>
  <c r="AK13" i="9" s="1"/>
  <c r="BY16" i="9"/>
  <c r="BZ16" i="9" s="1"/>
  <c r="AJ18" i="9"/>
  <c r="AK18" i="9" s="1"/>
  <c r="AJ11" i="9"/>
  <c r="AK11" i="9" s="1"/>
  <c r="BO13" i="9"/>
  <c r="BP13" i="9" s="1"/>
  <c r="BY12" i="9"/>
  <c r="BZ12" i="9" s="1"/>
  <c r="BY20" i="9"/>
  <c r="BZ20" i="9" s="1"/>
  <c r="AJ14" i="9"/>
  <c r="AK14" i="9" s="1"/>
  <c r="BO14" i="9"/>
  <c r="BP14" i="9" s="1"/>
  <c r="BY13" i="9"/>
  <c r="BZ13" i="9" s="1"/>
  <c r="AJ15" i="9"/>
  <c r="AK15" i="9" s="1"/>
  <c r="BY15" i="9"/>
  <c r="BZ15" i="9" s="1"/>
  <c r="BO17" i="9"/>
  <c r="BP17" i="9" s="1"/>
  <c r="Z20" i="9"/>
  <c r="AA20" i="9" s="1"/>
  <c r="BO18" i="9"/>
  <c r="BP18" i="9" s="1"/>
  <c r="AJ19" i="9"/>
  <c r="AK19" i="9" s="1"/>
  <c r="BO15" i="9"/>
  <c r="BP15" i="9" s="1"/>
  <c r="BY14" i="9"/>
  <c r="BZ14" i="9" s="1"/>
  <c r="AJ16" i="9"/>
  <c r="AK16" i="9" s="1"/>
  <c r="BO16" i="9"/>
  <c r="BP16" i="9" s="1"/>
  <c r="AJ17" i="9"/>
  <c r="AK17" i="9" s="1"/>
  <c r="Z12" i="9"/>
  <c r="AA12" i="9" s="1"/>
  <c r="BY17" i="9"/>
  <c r="BZ17" i="9" s="1"/>
  <c r="Z14" i="9"/>
  <c r="AA14" i="9" s="1"/>
  <c r="BY10" i="9"/>
  <c r="CC10" i="9" s="1"/>
  <c r="BO9" i="9"/>
  <c r="BS9" i="9" s="1"/>
  <c r="BE6" i="9"/>
  <c r="BI6" i="9" s="1"/>
  <c r="Z15" i="9"/>
  <c r="AA15" i="9" s="1"/>
  <c r="Z5" i="9"/>
  <c r="AD5" i="9" s="1"/>
  <c r="Z6" i="9"/>
  <c r="AD6" i="9" s="1"/>
  <c r="BO7" i="9"/>
  <c r="BS7" i="9" s="1"/>
  <c r="AJ8" i="9"/>
  <c r="AN8" i="9" s="1"/>
  <c r="BY5" i="9"/>
  <c r="CC5" i="9" s="1"/>
  <c r="BY6" i="9"/>
  <c r="CC6" i="9" s="1"/>
  <c r="AI19" i="8"/>
  <c r="AJ19" i="8" s="1"/>
  <c r="AI15" i="8"/>
  <c r="AJ15" i="8" s="1"/>
  <c r="AI11" i="8"/>
  <c r="AJ11" i="8" s="1"/>
  <c r="Y20" i="8"/>
  <c r="Z20" i="8" s="1"/>
  <c r="Y18" i="8"/>
  <c r="Z18" i="8" s="1"/>
  <c r="Y16" i="8"/>
  <c r="Z16" i="8" s="1"/>
  <c r="Y14" i="8"/>
  <c r="Z14" i="8" s="1"/>
  <c r="Y12" i="8"/>
  <c r="Z12" i="8" s="1"/>
  <c r="O13" i="8"/>
  <c r="P13" i="8" s="1"/>
  <c r="O17" i="8"/>
  <c r="P17" i="8" s="1"/>
  <c r="O12" i="8"/>
  <c r="P12" i="8" s="1"/>
  <c r="O16" i="8"/>
  <c r="P16" i="8" s="1"/>
  <c r="O20" i="8"/>
  <c r="P20" i="8" s="1"/>
  <c r="AJ7" i="9"/>
  <c r="AN7" i="9" s="1"/>
  <c r="BO5" i="9"/>
  <c r="BS5" i="9" s="1"/>
  <c r="BE8" i="9"/>
  <c r="BI8" i="9" s="1"/>
  <c r="AA11" i="9"/>
  <c r="Z16" i="9"/>
  <c r="AA16" i="9" s="1"/>
  <c r="BE5" i="9"/>
  <c r="BI5" i="9" s="1"/>
  <c r="Z8" i="9"/>
  <c r="AD8" i="9" s="1"/>
  <c r="Z19" i="9"/>
  <c r="AA19" i="9" s="1"/>
  <c r="Z17" i="9"/>
  <c r="AA17" i="9" s="1"/>
  <c r="AJ10" i="9"/>
  <c r="AN10" i="9" s="1"/>
  <c r="BY8" i="9"/>
  <c r="CC8" i="9" s="1"/>
  <c r="AI20" i="8"/>
  <c r="AJ20" i="8" s="1"/>
  <c r="AI16" i="8"/>
  <c r="AJ16" i="8" s="1"/>
  <c r="AI12" i="8"/>
  <c r="AJ12" i="8" s="1"/>
  <c r="O14" i="8"/>
  <c r="P14" i="8" s="1"/>
  <c r="O18" i="8"/>
  <c r="P18" i="8" s="1"/>
  <c r="Z18" i="9"/>
  <c r="AA18" i="9" s="1"/>
  <c r="AY8" i="9"/>
  <c r="AJ5" i="9"/>
  <c r="AN5" i="9" s="1"/>
  <c r="BY9" i="9"/>
  <c r="CC9" i="9" s="1"/>
  <c r="BE10" i="9"/>
  <c r="BI10" i="9" s="1"/>
  <c r="BO8" i="9"/>
  <c r="BS8" i="9" s="1"/>
  <c r="BO20" i="9"/>
  <c r="BP20" i="9" s="1"/>
  <c r="Z13" i="9"/>
  <c r="AA13" i="9" s="1"/>
  <c r="Z10" i="9"/>
  <c r="AD10" i="9" s="1"/>
  <c r="BY7" i="9"/>
  <c r="CC7" i="9" s="1"/>
  <c r="AI17" i="8"/>
  <c r="AJ17" i="8" s="1"/>
  <c r="AI13" i="8"/>
  <c r="AJ13" i="8" s="1"/>
  <c r="Y19" i="8"/>
  <c r="Z19" i="8" s="1"/>
  <c r="Y17" i="8"/>
  <c r="Z17" i="8" s="1"/>
  <c r="Y15" i="8"/>
  <c r="Z15" i="8" s="1"/>
  <c r="Y13" i="8"/>
  <c r="Z13" i="8" s="1"/>
  <c r="Y11" i="8"/>
  <c r="Z11" i="8" s="1"/>
  <c r="O15" i="8"/>
  <c r="P15" i="8" s="1"/>
  <c r="O19" i="8"/>
  <c r="P19" i="8" s="1"/>
  <c r="O11" i="8"/>
  <c r="P11" i="8" s="1"/>
  <c r="Z9" i="9"/>
  <c r="AD9" i="9" s="1"/>
  <c r="BO10" i="9"/>
  <c r="BS10" i="9" s="1"/>
  <c r="BE7" i="9"/>
  <c r="BI7" i="9" s="1"/>
  <c r="AJ6" i="9"/>
  <c r="AN6" i="9" s="1"/>
  <c r="BE9" i="9"/>
  <c r="BI9" i="9" s="1"/>
  <c r="Z7" i="9"/>
  <c r="AD7" i="9" s="1"/>
  <c r="AJ9" i="9"/>
  <c r="AN9" i="9" s="1"/>
  <c r="BO6" i="9"/>
  <c r="BS6" i="9" s="1"/>
  <c r="AI18" i="8"/>
  <c r="AJ18" i="8" s="1"/>
  <c r="AI14" i="8"/>
  <c r="AJ14" i="8" s="1"/>
  <c r="EC6" i="6"/>
  <c r="EE6" i="6" s="1"/>
  <c r="DT6" i="6"/>
  <c r="DV6" i="6" s="1"/>
  <c r="DK6" i="6"/>
  <c r="DM6" i="6" s="1"/>
  <c r="DB6" i="6"/>
  <c r="DD6" i="6" s="1"/>
  <c r="CS6" i="6"/>
  <c r="CU6" i="6" s="1"/>
  <c r="CJ6" i="6"/>
  <c r="CL6" i="6" s="1"/>
  <c r="BR10" i="6"/>
  <c r="BT10" i="6" s="1"/>
  <c r="AZ7" i="6"/>
  <c r="BB7" i="6" s="1"/>
  <c r="AF7" i="6"/>
  <c r="DT10" i="6"/>
  <c r="DV10" i="6" s="1"/>
  <c r="DK10" i="6"/>
  <c r="DM10" i="6" s="1"/>
  <c r="DB10" i="6"/>
  <c r="DD10" i="6" s="1"/>
  <c r="CS10" i="6"/>
  <c r="CU10" i="6" s="1"/>
  <c r="CJ10" i="6"/>
  <c r="CL10" i="6" s="1"/>
  <c r="AZ8" i="6"/>
  <c r="BB8" i="6" s="1"/>
  <c r="CA8" i="6"/>
  <c r="CC8" i="6" s="1"/>
  <c r="BR6" i="6"/>
  <c r="BT6" i="6" s="1"/>
  <c r="BI10" i="6"/>
  <c r="BK10" i="6" s="1"/>
  <c r="AS10" i="6"/>
  <c r="EU7" i="6"/>
  <c r="EW7" i="6" s="1"/>
  <c r="CA5" i="6"/>
  <c r="CC5" i="6" s="1"/>
  <c r="AS5" i="6"/>
  <c r="CA7" i="6"/>
  <c r="CC7" i="6" s="1"/>
  <c r="BR5" i="6"/>
  <c r="BT5" i="6" s="1"/>
  <c r="BI6" i="6"/>
  <c r="BK6" i="6" s="1"/>
  <c r="AS6" i="6"/>
  <c r="AF5" i="6"/>
  <c r="AF8" i="6"/>
  <c r="CA6" i="6"/>
  <c r="CC6" i="6" s="1"/>
  <c r="BI9" i="6"/>
  <c r="BK9" i="6" s="1"/>
  <c r="CJ7" i="6"/>
  <c r="CL7" i="6" s="1"/>
  <c r="DB7" i="6"/>
  <c r="DD7" i="6" s="1"/>
  <c r="DT7" i="6"/>
  <c r="DV7" i="6" s="1"/>
  <c r="EL6" i="6"/>
  <c r="EN6" i="6" s="1"/>
  <c r="CJ8" i="6"/>
  <c r="CL8" i="6" s="1"/>
  <c r="DT8" i="6"/>
  <c r="DV8" i="6" s="1"/>
  <c r="AF10" i="6"/>
  <c r="BI8" i="6"/>
  <c r="BK8" i="6" s="1"/>
  <c r="EU5" i="6"/>
  <c r="EW5" i="6" s="1"/>
  <c r="EL5" i="6"/>
  <c r="EN5" i="6" s="1"/>
  <c r="AF9" i="6"/>
  <c r="BR7" i="6"/>
  <c r="BT7" i="6" s="1"/>
  <c r="DK9" i="6"/>
  <c r="DM9" i="6" s="1"/>
  <c r="EU10" i="6"/>
  <c r="EW10" i="6" s="1"/>
  <c r="S9" i="6"/>
  <c r="BR9" i="6"/>
  <c r="BT9" i="6" s="1"/>
  <c r="CS5" i="6"/>
  <c r="CU5" i="6" s="1"/>
  <c r="DK5" i="6"/>
  <c r="DM5" i="6" s="1"/>
  <c r="EC5" i="6"/>
  <c r="EE5" i="6" s="1"/>
  <c r="EU8" i="6"/>
  <c r="EW8" i="6" s="1"/>
  <c r="CS8" i="6"/>
  <c r="CU8" i="6" s="1"/>
  <c r="EC8" i="6"/>
  <c r="EE8" i="6" s="1"/>
  <c r="AF6" i="6"/>
  <c r="BR8" i="6"/>
  <c r="BT8" i="6" s="1"/>
  <c r="S6" i="6"/>
  <c r="EU9" i="6"/>
  <c r="EW9" i="6" s="1"/>
  <c r="AZ10" i="6"/>
  <c r="BB10" i="6" s="1"/>
  <c r="CJ9" i="6"/>
  <c r="CL9" i="6" s="1"/>
  <c r="DT9" i="6"/>
  <c r="DV9" i="6" s="1"/>
  <c r="EU6" i="6"/>
  <c r="EW6" i="6" s="1"/>
  <c r="AS8" i="6"/>
  <c r="CA9" i="6"/>
  <c r="CC9" i="6" s="1"/>
  <c r="CS7" i="6"/>
  <c r="CU7" i="6" s="1"/>
  <c r="DK7" i="6"/>
  <c r="DM7" i="6" s="1"/>
  <c r="EC7" i="6"/>
  <c r="EE7" i="6" s="1"/>
  <c r="S10" i="6"/>
  <c r="DB8" i="6"/>
  <c r="DD8" i="6" s="1"/>
  <c r="EL7" i="6"/>
  <c r="EN7" i="6" s="1"/>
  <c r="AS7" i="6"/>
  <c r="EC10" i="6"/>
  <c r="EE10" i="6" s="1"/>
  <c r="AS9" i="6"/>
  <c r="S5" i="6"/>
  <c r="AZ6" i="6"/>
  <c r="BB6" i="6" s="1"/>
  <c r="CS9" i="6"/>
  <c r="CU9" i="6" s="1"/>
  <c r="EC9" i="6"/>
  <c r="EE9" i="6" s="1"/>
  <c r="BI5" i="6"/>
  <c r="BK5" i="6" s="1"/>
  <c r="CJ5" i="6"/>
  <c r="CL5" i="6" s="1"/>
  <c r="DB5" i="6"/>
  <c r="DD5" i="6" s="1"/>
  <c r="DT5" i="6"/>
  <c r="DV5" i="6" s="1"/>
  <c r="EL10" i="6"/>
  <c r="EN10" i="6" s="1"/>
  <c r="AZ9" i="6"/>
  <c r="BB9" i="6" s="1"/>
  <c r="DK8" i="6"/>
  <c r="DM8" i="6" s="1"/>
  <c r="S8" i="6"/>
  <c r="AZ5" i="6"/>
  <c r="BB5" i="6" s="1"/>
  <c r="EL9" i="6"/>
  <c r="EN9" i="6" s="1"/>
  <c r="CA10" i="6"/>
  <c r="CC10" i="6" s="1"/>
  <c r="S7" i="6"/>
  <c r="BI7" i="6"/>
  <c r="BK7" i="6" s="1"/>
  <c r="DB9" i="6"/>
  <c r="DD9" i="6" s="1"/>
  <c r="EL8" i="6"/>
  <c r="EN8" i="6" s="1"/>
  <c r="CS18" i="6"/>
  <c r="BI18" i="6"/>
  <c r="DT18" i="6"/>
  <c r="DB17" i="6"/>
  <c r="BR17" i="6"/>
  <c r="AM17" i="6"/>
  <c r="O9" i="1"/>
  <c r="P9" i="1" s="1"/>
  <c r="BR18" i="6"/>
  <c r="DT17" i="6"/>
  <c r="CA17" i="6"/>
  <c r="O10" i="1"/>
  <c r="P10" i="1" s="1"/>
  <c r="AZ18" i="6"/>
  <c r="DB18" i="6"/>
  <c r="CJ17" i="6"/>
  <c r="EC17" i="6"/>
  <c r="BI17" i="6"/>
  <c r="EL18" i="6"/>
  <c r="AZ17" i="6"/>
  <c r="EC18" i="6"/>
  <c r="CA18" i="6"/>
  <c r="EU18" i="6"/>
  <c r="CJ18" i="6"/>
  <c r="EL17" i="6"/>
  <c r="EU17" i="6"/>
  <c r="DK17" i="6"/>
  <c r="DK18" i="6"/>
  <c r="AM18" i="6"/>
  <c r="CS17" i="6"/>
  <c r="O9" i="8"/>
  <c r="S9" i="8" s="1"/>
  <c r="BM5" i="8"/>
  <c r="BQ5" i="8" s="1"/>
  <c r="BW10" i="8"/>
  <c r="CA10" i="8" s="1"/>
  <c r="BM6" i="8"/>
  <c r="BQ6" i="8" s="1"/>
  <c r="BM7" i="8"/>
  <c r="BQ7" i="8" s="1"/>
  <c r="Y8" i="8"/>
  <c r="AC8" i="8" s="1"/>
  <c r="BC7" i="8"/>
  <c r="BG7" i="8" s="1"/>
  <c r="O8" i="8"/>
  <c r="S8" i="8" s="1"/>
  <c r="BM9" i="8"/>
  <c r="BQ9" i="8" s="1"/>
  <c r="AS10" i="8"/>
  <c r="AW10" i="8" s="1"/>
  <c r="AI6" i="8"/>
  <c r="AM6" i="8" s="1"/>
  <c r="BC5" i="8"/>
  <c r="BG5" i="8" s="1"/>
  <c r="AS7" i="8"/>
  <c r="AW7" i="8" s="1"/>
  <c r="AI7" i="8"/>
  <c r="AM7" i="8" s="1"/>
  <c r="BM10" i="8"/>
  <c r="BQ10" i="8" s="1"/>
  <c r="O6" i="8"/>
  <c r="S6" i="8" s="1"/>
  <c r="Y7" i="8"/>
  <c r="AC7" i="8" s="1"/>
  <c r="AI9" i="8"/>
  <c r="AM9" i="8" s="1"/>
  <c r="AI10" i="8"/>
  <c r="AM10" i="8" s="1"/>
  <c r="AS6" i="8"/>
  <c r="AW6" i="8" s="1"/>
  <c r="BW7" i="8"/>
  <c r="CA7" i="8" s="1"/>
  <c r="AI5" i="8"/>
  <c r="AM5" i="8" s="1"/>
  <c r="O7" i="8"/>
  <c r="S7" i="8" s="1"/>
  <c r="Y10" i="8"/>
  <c r="AC10" i="8" s="1"/>
  <c r="O10" i="8"/>
  <c r="S10" i="8" s="1"/>
  <c r="BW5" i="8"/>
  <c r="CA5" i="8" s="1"/>
  <c r="AS8" i="8"/>
  <c r="AW8" i="8" s="1"/>
  <c r="BW8" i="8"/>
  <c r="CA8" i="8" s="1"/>
  <c r="AS9" i="8"/>
  <c r="AW9" i="8" s="1"/>
  <c r="BC10" i="8"/>
  <c r="BG10" i="8" s="1"/>
  <c r="BW6" i="8"/>
  <c r="CA6" i="8" s="1"/>
  <c r="BM8" i="8"/>
  <c r="BQ8" i="8" s="1"/>
  <c r="BW9" i="8"/>
  <c r="CA9" i="8" s="1"/>
  <c r="BC9" i="8"/>
  <c r="BG9" i="8" s="1"/>
  <c r="AS5" i="8"/>
  <c r="AW5" i="8" s="1"/>
  <c r="Y6" i="8"/>
  <c r="AC6" i="8" s="1"/>
  <c r="BC8" i="8"/>
  <c r="BG8" i="8" s="1"/>
  <c r="O5" i="8"/>
  <c r="S5" i="8" s="1"/>
  <c r="AI8" i="8"/>
  <c r="AM8" i="8" s="1"/>
  <c r="Y9" i="8"/>
  <c r="AC9" i="8" s="1"/>
  <c r="Y5" i="8"/>
  <c r="AC5" i="8" s="1"/>
  <c r="BC6" i="8"/>
  <c r="BG6" i="8" s="1"/>
  <c r="O3" i="1"/>
  <c r="P3" i="1" s="1"/>
  <c r="C19" i="6"/>
  <c r="Z19" i="6" s="1"/>
  <c r="O11" i="1"/>
  <c r="P11" i="1" s="1"/>
  <c r="W19" i="3"/>
  <c r="U19" i="3"/>
  <c r="L6" i="1" s="1"/>
  <c r="G38" i="11" l="1"/>
  <c r="X20" i="11"/>
  <c r="Y20" i="11" s="1"/>
  <c r="H92" i="11"/>
  <c r="H84" i="11"/>
  <c r="G31" i="11"/>
  <c r="X13" i="11"/>
  <c r="Y13" i="11" s="1"/>
  <c r="H103" i="11"/>
  <c r="G32" i="11"/>
  <c r="X14" i="11"/>
  <c r="Y14" i="11" s="1"/>
  <c r="H105" i="11"/>
  <c r="G55" i="11"/>
  <c r="X37" i="11"/>
  <c r="Y37" i="11" s="1"/>
  <c r="G69" i="11"/>
  <c r="X51" i="11"/>
  <c r="Y51" i="11" s="1"/>
  <c r="H90" i="11"/>
  <c r="X72" i="11"/>
  <c r="Y72" i="11" s="1"/>
  <c r="G34" i="11"/>
  <c r="X16" i="11"/>
  <c r="Y16" i="11" s="1"/>
  <c r="H89" i="11"/>
  <c r="X71" i="11"/>
  <c r="Y71" i="11" s="1"/>
  <c r="C11" i="6"/>
  <c r="DB11" i="6" s="1"/>
  <c r="G12" i="11"/>
  <c r="H88" i="11"/>
  <c r="H91" i="11"/>
  <c r="H86" i="11"/>
  <c r="O19" i="6"/>
  <c r="P19" i="6" s="1"/>
  <c r="AO19" i="6"/>
  <c r="AP19" i="6" s="1"/>
  <c r="AB19" i="6"/>
  <c r="AC19" i="6" s="1"/>
  <c r="CH19" i="6"/>
  <c r="K19" i="6"/>
  <c r="AX19" i="6"/>
  <c r="CZ19" i="6"/>
  <c r="BY19" i="6"/>
  <c r="DI19" i="6"/>
  <c r="AK19" i="6"/>
  <c r="ES19" i="6"/>
  <c r="BP19" i="6"/>
  <c r="EA19" i="6"/>
  <c r="CQ19" i="6"/>
  <c r="EJ19" i="6"/>
  <c r="BG19" i="6"/>
  <c r="DR19" i="6"/>
  <c r="X19" i="6"/>
  <c r="K11" i="6"/>
  <c r="AP11" i="6"/>
  <c r="AB11" i="6"/>
  <c r="AC11" i="6" s="1"/>
  <c r="BP11" i="6"/>
  <c r="DR11" i="6"/>
  <c r="CZ11" i="6"/>
  <c r="BY11" i="6"/>
  <c r="CH11" i="6"/>
  <c r="AK11" i="6"/>
  <c r="AX11" i="6"/>
  <c r="BG11" i="6"/>
  <c r="EJ11" i="6"/>
  <c r="ES11" i="6"/>
  <c r="DI11" i="6"/>
  <c r="EA11" i="6"/>
  <c r="CQ11" i="6"/>
  <c r="X11" i="6"/>
  <c r="O15" i="6"/>
  <c r="P15" i="6" s="1"/>
  <c r="AO15" i="6"/>
  <c r="AP15" i="6" s="1"/>
  <c r="AB15" i="6"/>
  <c r="AC15" i="6" s="1"/>
  <c r="AX15" i="6"/>
  <c r="BY15" i="6"/>
  <c r="BP15" i="6"/>
  <c r="AK15" i="6"/>
  <c r="BG15" i="6"/>
  <c r="EJ15" i="6"/>
  <c r="X15" i="6"/>
  <c r="DI15" i="6"/>
  <c r="ES15" i="6"/>
  <c r="EA15" i="6"/>
  <c r="CZ15" i="6"/>
  <c r="CH15" i="6"/>
  <c r="CQ15" i="6"/>
  <c r="DR15" i="6"/>
  <c r="K15" i="6"/>
  <c r="O12" i="6"/>
  <c r="P12" i="6" s="1"/>
  <c r="AO12" i="6"/>
  <c r="AP12" i="6" s="1"/>
  <c r="AC12" i="6"/>
  <c r="DI12" i="6"/>
  <c r="CH12" i="6"/>
  <c r="CQ12" i="6"/>
  <c r="AK12" i="6"/>
  <c r="BP12" i="6"/>
  <c r="BY12" i="6"/>
  <c r="ES12" i="6"/>
  <c r="CZ12" i="6"/>
  <c r="AX12" i="6"/>
  <c r="BG12" i="6"/>
  <c r="K12" i="6"/>
  <c r="EJ12" i="6"/>
  <c r="EA12" i="6"/>
  <c r="DR12" i="6"/>
  <c r="X12" i="6"/>
  <c r="O16" i="6"/>
  <c r="P16" i="6" s="1"/>
  <c r="AO16" i="6"/>
  <c r="AP16" i="6" s="1"/>
  <c r="AB16" i="6"/>
  <c r="AC16" i="6" s="1"/>
  <c r="DR16" i="6"/>
  <c r="AK16" i="6"/>
  <c r="EA16" i="6"/>
  <c r="CH16" i="6"/>
  <c r="DI16" i="6"/>
  <c r="CZ16" i="6"/>
  <c r="ES16" i="6"/>
  <c r="X16" i="6"/>
  <c r="CQ16" i="6"/>
  <c r="K16" i="6"/>
  <c r="BP16" i="6"/>
  <c r="BY16" i="6"/>
  <c r="AX16" i="6"/>
  <c r="BG16" i="6"/>
  <c r="EJ16" i="6"/>
  <c r="O18" i="6"/>
  <c r="P18" i="6" s="1"/>
  <c r="AO18" i="6"/>
  <c r="AP18" i="6" s="1"/>
  <c r="AB18" i="6"/>
  <c r="AC18" i="6" s="1"/>
  <c r="CQ18" i="6"/>
  <c r="CT18" i="6" s="1"/>
  <c r="BP18" i="6"/>
  <c r="BS18" i="6" s="1"/>
  <c r="AK18" i="6"/>
  <c r="AN18" i="6" s="1"/>
  <c r="CZ18" i="6"/>
  <c r="DC18" i="6" s="1"/>
  <c r="EJ18" i="6"/>
  <c r="EM18" i="6" s="1"/>
  <c r="BG18" i="6"/>
  <c r="BJ18" i="6" s="1"/>
  <c r="DI18" i="6"/>
  <c r="DL18" i="6" s="1"/>
  <c r="DR18" i="6"/>
  <c r="DU18" i="6" s="1"/>
  <c r="BY18" i="6"/>
  <c r="CB18" i="6" s="1"/>
  <c r="ES18" i="6"/>
  <c r="EV18" i="6" s="1"/>
  <c r="K18" i="6"/>
  <c r="N18" i="6" s="1"/>
  <c r="X18" i="6"/>
  <c r="AA18" i="6" s="1"/>
  <c r="AX18" i="6"/>
  <c r="BA18" i="6" s="1"/>
  <c r="EA18" i="6"/>
  <c r="ED18" i="6" s="1"/>
  <c r="CH18" i="6"/>
  <c r="CK18" i="6" s="1"/>
  <c r="O17" i="6"/>
  <c r="P17" i="6" s="1"/>
  <c r="AO17" i="6"/>
  <c r="AP17" i="6" s="1"/>
  <c r="AB17" i="6"/>
  <c r="AC17" i="6" s="1"/>
  <c r="BP17" i="6"/>
  <c r="BS17" i="6" s="1"/>
  <c r="EA17" i="6"/>
  <c r="ED17" i="6" s="1"/>
  <c r="BG17" i="6"/>
  <c r="BJ17" i="6" s="1"/>
  <c r="ES17" i="6"/>
  <c r="EV17" i="6" s="1"/>
  <c r="EJ17" i="6"/>
  <c r="EM17" i="6" s="1"/>
  <c r="AK17" i="6"/>
  <c r="AN17" i="6" s="1"/>
  <c r="CQ17" i="6"/>
  <c r="CT17" i="6" s="1"/>
  <c r="BY17" i="6"/>
  <c r="CB17" i="6" s="1"/>
  <c r="DR17" i="6"/>
  <c r="DU17" i="6" s="1"/>
  <c r="DI17" i="6"/>
  <c r="DL17" i="6" s="1"/>
  <c r="CZ17" i="6"/>
  <c r="DC17" i="6" s="1"/>
  <c r="X17" i="6"/>
  <c r="AA17" i="6" s="1"/>
  <c r="K17" i="6"/>
  <c r="N17" i="6" s="1"/>
  <c r="CH17" i="6"/>
  <c r="CK17" i="6" s="1"/>
  <c r="AX17" i="6"/>
  <c r="BA17" i="6" s="1"/>
  <c r="O14" i="6"/>
  <c r="P14" i="6" s="1"/>
  <c r="AO14" i="6"/>
  <c r="AP14" i="6" s="1"/>
  <c r="AB14" i="6"/>
  <c r="AC14" i="6" s="1"/>
  <c r="AK14" i="6"/>
  <c r="CH14" i="6"/>
  <c r="EJ14" i="6"/>
  <c r="BP14" i="6"/>
  <c r="DR14" i="6"/>
  <c r="AX14" i="6"/>
  <c r="CQ14" i="6"/>
  <c r="X14" i="6"/>
  <c r="BY14" i="6"/>
  <c r="ES14" i="6"/>
  <c r="DI14" i="6"/>
  <c r="EA14" i="6"/>
  <c r="K14" i="6"/>
  <c r="CZ14" i="6"/>
  <c r="BG14" i="6"/>
  <c r="D19" i="6"/>
  <c r="M19" i="6"/>
  <c r="C13" i="6"/>
  <c r="Z13" i="6" s="1"/>
  <c r="O5" i="1"/>
  <c r="P5" i="1" s="1"/>
  <c r="C15" i="6"/>
  <c r="Z15" i="6" s="1"/>
  <c r="O7" i="1"/>
  <c r="P7" i="1" s="1"/>
  <c r="O8" i="1"/>
  <c r="P8" i="1" s="1"/>
  <c r="C16" i="6"/>
  <c r="C20" i="6"/>
  <c r="Z20" i="6" s="1"/>
  <c r="O12" i="1"/>
  <c r="P12" i="1" s="1"/>
  <c r="W9" i="3"/>
  <c r="U9" i="3"/>
  <c r="L4" i="1" s="1"/>
  <c r="E12" i="6" s="1"/>
  <c r="EL19" i="6"/>
  <c r="DT19" i="6"/>
  <c r="DB19" i="6"/>
  <c r="CJ19" i="6"/>
  <c r="BR19" i="6"/>
  <c r="BI19" i="6"/>
  <c r="AA19" i="6"/>
  <c r="EU19" i="6"/>
  <c r="AM19" i="6"/>
  <c r="EC19" i="6"/>
  <c r="DK19" i="6"/>
  <c r="CS19" i="6"/>
  <c r="CA19" i="6"/>
  <c r="AZ19" i="6"/>
  <c r="O6" i="1"/>
  <c r="P6" i="1" s="1"/>
  <c r="DT20" i="6" l="1"/>
  <c r="DU20" i="6" s="1"/>
  <c r="EM19" i="6"/>
  <c r="EV19" i="6"/>
  <c r="DC19" i="6"/>
  <c r="AZ11" i="6"/>
  <c r="BA11" i="6" s="1"/>
  <c r="BA19" i="6"/>
  <c r="CT19" i="6"/>
  <c r="AN19" i="6"/>
  <c r="AM11" i="6"/>
  <c r="AN11" i="6" s="1"/>
  <c r="CJ11" i="6"/>
  <c r="CK11" i="6" s="1"/>
  <c r="BR11" i="6"/>
  <c r="BS11" i="6" s="1"/>
  <c r="DT11" i="6"/>
  <c r="DU11" i="6" s="1"/>
  <c r="CS11" i="6"/>
  <c r="BJ19" i="6"/>
  <c r="EC11" i="6"/>
  <c r="ED11" i="6" s="1"/>
  <c r="Z11" i="6"/>
  <c r="AA11" i="6" s="1"/>
  <c r="EL11" i="6"/>
  <c r="EM11" i="6" s="1"/>
  <c r="M11" i="6"/>
  <c r="BI11" i="6"/>
  <c r="BJ11" i="6" s="1"/>
  <c r="CB19" i="6"/>
  <c r="N19" i="6"/>
  <c r="DK11" i="6"/>
  <c r="DL11" i="6" s="1"/>
  <c r="CA11" i="6"/>
  <c r="CB11" i="6" s="1"/>
  <c r="H104" i="11"/>
  <c r="H107" i="11"/>
  <c r="X89" i="11"/>
  <c r="Y89" i="11" s="1"/>
  <c r="G73" i="11"/>
  <c r="X55" i="11"/>
  <c r="Y55" i="11" s="1"/>
  <c r="G49" i="11"/>
  <c r="X31" i="11"/>
  <c r="Y31" i="11" s="1"/>
  <c r="H123" i="11"/>
  <c r="H109" i="11"/>
  <c r="H102" i="11"/>
  <c r="ED19" i="6"/>
  <c r="EU11" i="6"/>
  <c r="EV11" i="6" s="1"/>
  <c r="H106" i="11"/>
  <c r="H108" i="11"/>
  <c r="X90" i="11"/>
  <c r="Y90" i="11" s="1"/>
  <c r="G50" i="11"/>
  <c r="X32" i="11"/>
  <c r="Y32" i="11" s="1"/>
  <c r="H110" i="11"/>
  <c r="G52" i="11"/>
  <c r="X34" i="11"/>
  <c r="Y34" i="11" s="1"/>
  <c r="G30" i="11"/>
  <c r="Y12" i="11"/>
  <c r="CA15" i="6"/>
  <c r="CB15" i="6" s="1"/>
  <c r="G87" i="11"/>
  <c r="X69" i="11"/>
  <c r="Y69" i="11" s="1"/>
  <c r="H121" i="11"/>
  <c r="G56" i="11"/>
  <c r="X38" i="11"/>
  <c r="Y38" i="11" s="1"/>
  <c r="Z12" i="6"/>
  <c r="EL13" i="6"/>
  <c r="EM13" i="6" s="1"/>
  <c r="CK19" i="6"/>
  <c r="CT11" i="6"/>
  <c r="DL19" i="6"/>
  <c r="DC11" i="6"/>
  <c r="BS19" i="6"/>
  <c r="DU19" i="6"/>
  <c r="EL16" i="6"/>
  <c r="EM16" i="6" s="1"/>
  <c r="Z16" i="6"/>
  <c r="AA16" i="6" s="1"/>
  <c r="M14" i="6"/>
  <c r="N14" i="6" s="1"/>
  <c r="Z14" i="6"/>
  <c r="AA14" i="6" s="1"/>
  <c r="N11" i="6"/>
  <c r="D16" i="6"/>
  <c r="M16" i="6"/>
  <c r="N16" i="6" s="1"/>
  <c r="D13" i="6"/>
  <c r="M13" i="6"/>
  <c r="N13" i="6" s="1"/>
  <c r="AM16" i="6"/>
  <c r="AN16" i="6" s="1"/>
  <c r="D12" i="6"/>
  <c r="M12" i="6"/>
  <c r="N12" i="6" s="1"/>
  <c r="CA16" i="6"/>
  <c r="CB16" i="6" s="1"/>
  <c r="AZ16" i="6"/>
  <c r="BA16" i="6" s="1"/>
  <c r="BR13" i="6"/>
  <c r="BS13" i="6" s="1"/>
  <c r="D20" i="6"/>
  <c r="M20" i="6"/>
  <c r="N20" i="6" s="1"/>
  <c r="D15" i="6"/>
  <c r="M15" i="6"/>
  <c r="N15" i="6" s="1"/>
  <c r="CA13" i="6"/>
  <c r="CB13" i="6" s="1"/>
  <c r="CS13" i="6"/>
  <c r="CT13" i="6" s="1"/>
  <c r="AZ13" i="6"/>
  <c r="BA13" i="6" s="1"/>
  <c r="AM13" i="6"/>
  <c r="AN13" i="6" s="1"/>
  <c r="DK13" i="6"/>
  <c r="DL13" i="6" s="1"/>
  <c r="DB13" i="6"/>
  <c r="DC13" i="6" s="1"/>
  <c r="AA13" i="6"/>
  <c r="EU13" i="6"/>
  <c r="EV13" i="6" s="1"/>
  <c r="DT13" i="6"/>
  <c r="DU13" i="6" s="1"/>
  <c r="AA15" i="6"/>
  <c r="CJ16" i="6"/>
  <c r="CK16" i="6" s="1"/>
  <c r="CS16" i="6"/>
  <c r="CT16" i="6" s="1"/>
  <c r="AA20" i="6"/>
  <c r="CS15" i="6"/>
  <c r="CT15" i="6" s="1"/>
  <c r="CJ15" i="6"/>
  <c r="CK15" i="6" s="1"/>
  <c r="EU20" i="6"/>
  <c r="EV20" i="6" s="1"/>
  <c r="AM20" i="6"/>
  <c r="AN20" i="6" s="1"/>
  <c r="DK15" i="6"/>
  <c r="DL15" i="6" s="1"/>
  <c r="DB15" i="6"/>
  <c r="DC15" i="6" s="1"/>
  <c r="BR16" i="6"/>
  <c r="BS16" i="6" s="1"/>
  <c r="DB16" i="6"/>
  <c r="DC16" i="6" s="1"/>
  <c r="EU16" i="6"/>
  <c r="EV16" i="6" s="1"/>
  <c r="DK16" i="6"/>
  <c r="DL16" i="6" s="1"/>
  <c r="DB20" i="6"/>
  <c r="DC20" i="6" s="1"/>
  <c r="EC20" i="6"/>
  <c r="ED20" i="6" s="1"/>
  <c r="AM15" i="6"/>
  <c r="AN15" i="6" s="1"/>
  <c r="BI16" i="6"/>
  <c r="BJ16" i="6" s="1"/>
  <c r="DT16" i="6"/>
  <c r="DU16" i="6" s="1"/>
  <c r="EC16" i="6"/>
  <c r="ED16" i="6" s="1"/>
  <c r="BI13" i="6"/>
  <c r="BJ13" i="6" s="1"/>
  <c r="EC13" i="6"/>
  <c r="ED13" i="6" s="1"/>
  <c r="CJ13" i="6"/>
  <c r="CK13" i="6" s="1"/>
  <c r="BI20" i="6"/>
  <c r="BJ20" i="6" s="1"/>
  <c r="EL20" i="6"/>
  <c r="EM20" i="6" s="1"/>
  <c r="EC15" i="6"/>
  <c r="ED15" i="6" s="1"/>
  <c r="AZ20" i="6"/>
  <c r="BA20" i="6" s="1"/>
  <c r="CS20" i="6"/>
  <c r="CT20" i="6" s="1"/>
  <c r="BI15" i="6"/>
  <c r="BJ15" i="6" s="1"/>
  <c r="DT15" i="6"/>
  <c r="DU15" i="6" s="1"/>
  <c r="BR20" i="6"/>
  <c r="BS20" i="6" s="1"/>
  <c r="CJ20" i="6"/>
  <c r="CK20" i="6" s="1"/>
  <c r="CA20" i="6"/>
  <c r="CB20" i="6" s="1"/>
  <c r="DK20" i="6"/>
  <c r="DL20" i="6" s="1"/>
  <c r="AZ15" i="6"/>
  <c r="BA15" i="6" s="1"/>
  <c r="EU15" i="6"/>
  <c r="EV15" i="6" s="1"/>
  <c r="BR15" i="6"/>
  <c r="BS15" i="6" s="1"/>
  <c r="EL15" i="6"/>
  <c r="EM15" i="6" s="1"/>
  <c r="O4" i="1"/>
  <c r="P4" i="1" s="1"/>
  <c r="EU14" i="6"/>
  <c r="EV14" i="6" s="1"/>
  <c r="AZ14" i="6"/>
  <c r="BA14" i="6" s="1"/>
  <c r="EC14" i="6"/>
  <c r="ED14" i="6" s="1"/>
  <c r="CA14" i="6"/>
  <c r="CB14" i="6" s="1"/>
  <c r="EL14" i="6"/>
  <c r="EM14" i="6" s="1"/>
  <c r="AM14" i="6"/>
  <c r="AN14" i="6" s="1"/>
  <c r="BR14" i="6"/>
  <c r="BS14" i="6" s="1"/>
  <c r="DK14" i="6"/>
  <c r="DL14" i="6" s="1"/>
  <c r="DT14" i="6"/>
  <c r="DU14" i="6" s="1"/>
  <c r="DB14" i="6"/>
  <c r="DC14" i="6" s="1"/>
  <c r="CS14" i="6"/>
  <c r="CT14" i="6" s="1"/>
  <c r="BI14" i="6"/>
  <c r="BJ14" i="6" s="1"/>
  <c r="CJ14" i="6"/>
  <c r="CK14" i="6" s="1"/>
  <c r="EU12" i="6"/>
  <c r="EV12" i="6" s="1"/>
  <c r="EC12" i="6"/>
  <c r="ED12" i="6" s="1"/>
  <c r="DK12" i="6"/>
  <c r="DL12" i="6" s="1"/>
  <c r="CS12" i="6"/>
  <c r="CT12" i="6" s="1"/>
  <c r="AM12" i="6"/>
  <c r="AN12" i="6" s="1"/>
  <c r="CA12" i="6"/>
  <c r="CB12" i="6" s="1"/>
  <c r="EL12" i="6"/>
  <c r="EM12" i="6" s="1"/>
  <c r="DT12" i="6"/>
  <c r="DU12" i="6" s="1"/>
  <c r="DB12" i="6"/>
  <c r="DC12" i="6" s="1"/>
  <c r="CJ12" i="6"/>
  <c r="CK12" i="6" s="1"/>
  <c r="AZ12" i="6"/>
  <c r="BA12" i="6" s="1"/>
  <c r="BR12" i="6"/>
  <c r="BS12" i="6" s="1"/>
  <c r="BI12" i="6"/>
  <c r="BJ12" i="6" s="1"/>
  <c r="AA12" i="6"/>
  <c r="G74" i="11" l="1"/>
  <c r="X56" i="11"/>
  <c r="Y56" i="11" s="1"/>
  <c r="H126" i="11"/>
  <c r="X108" i="11"/>
  <c r="Y108" i="11" s="1"/>
  <c r="H127" i="11"/>
  <c r="H125" i="11"/>
  <c r="X107" i="11"/>
  <c r="Y107" i="11" s="1"/>
  <c r="G70" i="11"/>
  <c r="X52" i="11"/>
  <c r="Y52" i="11" s="1"/>
  <c r="H139" i="11"/>
  <c r="H124" i="11"/>
  <c r="H141" i="11"/>
  <c r="H122" i="11"/>
  <c r="G105" i="11"/>
  <c r="X87" i="11"/>
  <c r="Y87" i="11" s="1"/>
  <c r="H128" i="11"/>
  <c r="G67" i="11"/>
  <c r="X49" i="11"/>
  <c r="Y49" i="11" s="1"/>
  <c r="G48" i="11"/>
  <c r="X30" i="11"/>
  <c r="Y30" i="11" s="1"/>
  <c r="G68" i="11"/>
  <c r="X50" i="11"/>
  <c r="Y50" i="11" s="1"/>
  <c r="H120" i="11"/>
  <c r="G91" i="11"/>
  <c r="X73" i="11"/>
  <c r="Y73" i="11" s="1"/>
  <c r="G85" i="11" l="1"/>
  <c r="X67" i="11"/>
  <c r="Y67" i="11" s="1"/>
  <c r="H159" i="11"/>
  <c r="H143" i="11"/>
  <c r="X125" i="11"/>
  <c r="Y125" i="11" s="1"/>
  <c r="G109" i="11"/>
  <c r="X91" i="11"/>
  <c r="Y91" i="11" s="1"/>
  <c r="H138" i="11"/>
  <c r="H146" i="11"/>
  <c r="H142" i="11"/>
  <c r="H145" i="11"/>
  <c r="G123" i="11"/>
  <c r="X105" i="11"/>
  <c r="Y105" i="11" s="1"/>
  <c r="H157" i="11"/>
  <c r="H144" i="11"/>
  <c r="X126" i="11"/>
  <c r="Y126" i="11" s="1"/>
  <c r="G86" i="11"/>
  <c r="X68" i="11"/>
  <c r="Y68" i="11" s="1"/>
  <c r="G66" i="11"/>
  <c r="X48" i="11"/>
  <c r="Y48" i="11" s="1"/>
  <c r="H140" i="11"/>
  <c r="G88" i="11"/>
  <c r="X70" i="11"/>
  <c r="Y70" i="11" s="1"/>
  <c r="G92" i="11"/>
  <c r="X74" i="11"/>
  <c r="Y74" i="11" s="1"/>
  <c r="G106" i="11" l="1"/>
  <c r="X88" i="11"/>
  <c r="Y88" i="11" s="1"/>
  <c r="H162" i="11"/>
  <c r="X144" i="11"/>
  <c r="Y144" i="11" s="1"/>
  <c r="H160" i="11"/>
  <c r="H161" i="11"/>
  <c r="X143" i="11"/>
  <c r="Y143" i="11" s="1"/>
  <c r="G110" i="11"/>
  <c r="X92" i="11"/>
  <c r="Y92" i="11" s="1"/>
  <c r="G104" i="11"/>
  <c r="X86" i="11"/>
  <c r="Y86" i="11" s="1"/>
  <c r="H163" i="11"/>
  <c r="G127" i="11"/>
  <c r="X109" i="11"/>
  <c r="Y109" i="11" s="1"/>
  <c r="H158" i="11"/>
  <c r="H175" i="11"/>
  <c r="H164" i="11"/>
  <c r="H177" i="11"/>
  <c r="G84" i="11"/>
  <c r="X66" i="11"/>
  <c r="Y66" i="11" s="1"/>
  <c r="G141" i="11"/>
  <c r="X123" i="11"/>
  <c r="Y123" i="11" s="1"/>
  <c r="H156" i="11"/>
  <c r="G103" i="11"/>
  <c r="X85" i="11"/>
  <c r="Y85" i="11" s="1"/>
  <c r="G145" i="11" l="1"/>
  <c r="X127" i="11"/>
  <c r="Y127" i="11" s="1"/>
  <c r="G121" i="11"/>
  <c r="X103" i="11"/>
  <c r="Y103" i="11" s="1"/>
  <c r="H195" i="11"/>
  <c r="H179" i="11"/>
  <c r="X161" i="11"/>
  <c r="Y161" i="11" s="1"/>
  <c r="H174" i="11"/>
  <c r="H182" i="11"/>
  <c r="H181" i="11"/>
  <c r="H178" i="11"/>
  <c r="G159" i="11"/>
  <c r="X141" i="11"/>
  <c r="Y141" i="11" s="1"/>
  <c r="H193" i="11"/>
  <c r="G122" i="11"/>
  <c r="X104" i="11"/>
  <c r="Y104" i="11" s="1"/>
  <c r="H180" i="11"/>
  <c r="X162" i="11"/>
  <c r="Y162" i="11" s="1"/>
  <c r="G102" i="11"/>
  <c r="X84" i="11"/>
  <c r="Y84" i="11" s="1"/>
  <c r="H176" i="11"/>
  <c r="G128" i="11"/>
  <c r="X110" i="11"/>
  <c r="Y110" i="11" s="1"/>
  <c r="G124" i="11"/>
  <c r="X106" i="11"/>
  <c r="Y106" i="11" s="1"/>
  <c r="G142" i="11" l="1"/>
  <c r="X124" i="11"/>
  <c r="Y124" i="11" s="1"/>
  <c r="H198" i="11"/>
  <c r="X180" i="11"/>
  <c r="Y180" i="11" s="1"/>
  <c r="H196" i="11"/>
  <c r="H197" i="11"/>
  <c r="X179" i="11"/>
  <c r="Y179" i="11" s="1"/>
  <c r="G140" i="11"/>
  <c r="X122" i="11"/>
  <c r="Y122" i="11" s="1"/>
  <c r="G146" i="11"/>
  <c r="X128" i="11"/>
  <c r="Y128" i="11" s="1"/>
  <c r="H199" i="11"/>
  <c r="H213" i="11"/>
  <c r="H194" i="11"/>
  <c r="H211" i="11"/>
  <c r="H200" i="11"/>
  <c r="G139" i="11"/>
  <c r="X121" i="11"/>
  <c r="Y121" i="11" s="1"/>
  <c r="G120" i="11"/>
  <c r="X102" i="11"/>
  <c r="Y102" i="11" s="1"/>
  <c r="G177" i="11"/>
  <c r="X159" i="11"/>
  <c r="Y159" i="11" s="1"/>
  <c r="H192" i="11"/>
  <c r="G163" i="11"/>
  <c r="X145" i="11"/>
  <c r="Y145" i="11" s="1"/>
  <c r="G181" i="11" l="1"/>
  <c r="X163" i="11"/>
  <c r="Y163" i="11" s="1"/>
  <c r="G157" i="11"/>
  <c r="X139" i="11"/>
  <c r="Y139" i="11" s="1"/>
  <c r="H215" i="11"/>
  <c r="X215" i="11" s="1"/>
  <c r="Y215" i="11" s="1"/>
  <c r="X197" i="11"/>
  <c r="Y197" i="11" s="1"/>
  <c r="H210" i="11"/>
  <c r="H218" i="11"/>
  <c r="H217" i="11"/>
  <c r="H214" i="11"/>
  <c r="G195" i="11"/>
  <c r="X177" i="11"/>
  <c r="Y177" i="11" s="1"/>
  <c r="G164" i="11"/>
  <c r="X146" i="11"/>
  <c r="Y146" i="11" s="1"/>
  <c r="H216" i="11"/>
  <c r="X216" i="11" s="1"/>
  <c r="Y216" i="11" s="1"/>
  <c r="X198" i="11"/>
  <c r="Y198" i="11" s="1"/>
  <c r="G138" i="11"/>
  <c r="X120" i="11"/>
  <c r="Y120" i="11" s="1"/>
  <c r="H212" i="11"/>
  <c r="G158" i="11"/>
  <c r="X140" i="11"/>
  <c r="Y140" i="11" s="1"/>
  <c r="G160" i="11"/>
  <c r="X142" i="11"/>
  <c r="Y142" i="11" s="1"/>
  <c r="G156" i="11" l="1"/>
  <c r="X138" i="11"/>
  <c r="Y138" i="11" s="1"/>
  <c r="G178" i="11"/>
  <c r="X160" i="11"/>
  <c r="Y160" i="11" s="1"/>
  <c r="G199" i="11"/>
  <c r="X181" i="11"/>
  <c r="Y181" i="11" s="1"/>
  <c r="G213" i="11"/>
  <c r="X213" i="11" s="1"/>
  <c r="Y213" i="11" s="1"/>
  <c r="X195" i="11"/>
  <c r="Y195" i="11" s="1"/>
  <c r="G176" i="11"/>
  <c r="X158" i="11"/>
  <c r="Y158" i="11" s="1"/>
  <c r="G182" i="11"/>
  <c r="X164" i="11"/>
  <c r="Y164" i="11" s="1"/>
  <c r="G175" i="11"/>
  <c r="X157" i="11"/>
  <c r="Y157" i="11" s="1"/>
  <c r="G194" i="11" l="1"/>
  <c r="X176" i="11"/>
  <c r="Y176" i="11" s="1"/>
  <c r="G196" i="11"/>
  <c r="X178" i="11"/>
  <c r="Y178" i="11" s="1"/>
  <c r="G200" i="11"/>
  <c r="X182" i="11"/>
  <c r="Y182" i="11" s="1"/>
  <c r="G193" i="11"/>
  <c r="X175" i="11"/>
  <c r="Y175" i="11" s="1"/>
  <c r="G217" i="11"/>
  <c r="X217" i="11" s="1"/>
  <c r="Y217" i="11" s="1"/>
  <c r="X199" i="11"/>
  <c r="Y199" i="11" s="1"/>
  <c r="G174" i="11"/>
  <c r="X156" i="11"/>
  <c r="Y156" i="11" s="1"/>
  <c r="G211" i="11" l="1"/>
  <c r="X211" i="11" s="1"/>
  <c r="Y211" i="11" s="1"/>
  <c r="X193" i="11"/>
  <c r="Y193" i="11" s="1"/>
  <c r="G218" i="11"/>
  <c r="X218" i="11" s="1"/>
  <c r="Y218" i="11" s="1"/>
  <c r="X200" i="11"/>
  <c r="Y200" i="11" s="1"/>
  <c r="G192" i="11"/>
  <c r="X174" i="11"/>
  <c r="Y174" i="11" s="1"/>
  <c r="G214" i="11"/>
  <c r="X214" i="11" s="1"/>
  <c r="Y214" i="11" s="1"/>
  <c r="X196" i="11"/>
  <c r="Y196" i="11" s="1"/>
  <c r="G212" i="11"/>
  <c r="X212" i="11" s="1"/>
  <c r="Y212" i="11" s="1"/>
  <c r="X194" i="11"/>
  <c r="Y194" i="11" s="1"/>
  <c r="G210" i="11" l="1"/>
  <c r="X210" i="11" s="1"/>
  <c r="Y210" i="11" s="1"/>
  <c r="X192" i="11"/>
  <c r="Y192" i="11" s="1"/>
  <c r="Y220" i="11" l="1"/>
</calcChain>
</file>

<file path=xl/sharedStrings.xml><?xml version="1.0" encoding="utf-8"?>
<sst xmlns="http://schemas.openxmlformats.org/spreadsheetml/2006/main" count="2948" uniqueCount="859">
  <si>
    <t>PCB-14</t>
  </si>
  <si>
    <t>PCB-36</t>
  </si>
  <si>
    <t>PCB-78</t>
  </si>
  <si>
    <t>PCB-121</t>
  </si>
  <si>
    <t>PCB-104</t>
  </si>
  <si>
    <t>PCB-142</t>
  </si>
  <si>
    <t>PCB-155</t>
  </si>
  <si>
    <t>PCB-192</t>
  </si>
  <si>
    <t>PCB-184</t>
  </si>
  <si>
    <t>PCB-204</t>
  </si>
  <si>
    <t>Trip Blank 1</t>
  </si>
  <si>
    <t>Trip Blank 2</t>
  </si>
  <si>
    <t>Trip Blank 3</t>
  </si>
  <si>
    <t>Average Trip Blank</t>
  </si>
  <si>
    <t>MC19-PSCS-0601-0-2</t>
  </si>
  <si>
    <t>Elapsed time</t>
  </si>
  <si>
    <t>Days</t>
  </si>
  <si>
    <t>LDPE Thickness</t>
  </si>
  <si>
    <t>μm</t>
  </si>
  <si>
    <t>log KOW</t>
  </si>
  <si>
    <t>KLPDE</t>
  </si>
  <si>
    <t>=</t>
  </si>
  <si>
    <t>Fraction of performance reference compound (PRC) lost during deployment time t</t>
  </si>
  <si>
    <t>δ</t>
  </si>
  <si>
    <t>Boundary layer thichkess, cm</t>
  </si>
  <si>
    <t>t</t>
  </si>
  <si>
    <t>Deployment time, days</t>
  </si>
  <si>
    <t>Polyethylene-water partition coefficient, L/kg</t>
  </si>
  <si>
    <t>Constituent</t>
  </si>
  <si>
    <t>2,4'-DDE</t>
  </si>
  <si>
    <t>4,4'-DDE</t>
  </si>
  <si>
    <t>2,4'-DDD</t>
  </si>
  <si>
    <t>4,4'-DDD</t>
  </si>
  <si>
    <t>PCB 8</t>
  </si>
  <si>
    <t>PCB 18</t>
  </si>
  <si>
    <t>PCB 28</t>
  </si>
  <si>
    <t>PCB 44</t>
  </si>
  <si>
    <t>PCB 52</t>
  </si>
  <si>
    <t>PCB 66</t>
  </si>
  <si>
    <t>PCB 77</t>
  </si>
  <si>
    <t>PCB 101</t>
  </si>
  <si>
    <t>PCB 105</t>
  </si>
  <si>
    <t>PCB 118</t>
  </si>
  <si>
    <t>PCB 126</t>
  </si>
  <si>
    <t>PCB 128</t>
  </si>
  <si>
    <t>PCB 138</t>
  </si>
  <si>
    <t>PCB 153</t>
  </si>
  <si>
    <t>PCB 170</t>
  </si>
  <si>
    <t>PCB 180</t>
  </si>
  <si>
    <t>PCB 187</t>
  </si>
  <si>
    <t>2,4'-DDT</t>
  </si>
  <si>
    <t>4,4'-DDT</t>
  </si>
  <si>
    <t>Values were from Tcacuic et al. 2015, who got the ones for DDD/DDE/DDT from Hale et al. 2010.</t>
  </si>
  <si>
    <t>Tcacuic et al. 2015 got the Kpe values for PCBs from Choi et al. 2013</t>
  </si>
  <si>
    <t>PCB 14</t>
  </si>
  <si>
    <t>PCB 36</t>
  </si>
  <si>
    <t>PCB 78</t>
  </si>
  <si>
    <t>PCB 104</t>
  </si>
  <si>
    <t>PCB 121</t>
  </si>
  <si>
    <t>PCB 142</t>
  </si>
  <si>
    <t>PCB 155</t>
  </si>
  <si>
    <t>PCB 184</t>
  </si>
  <si>
    <t>PCB 192</t>
  </si>
  <si>
    <t>PCB 204</t>
  </si>
  <si>
    <t>Number of chlorines</t>
  </si>
  <si>
    <t>IUPAC Number</t>
  </si>
  <si>
    <t>NA</t>
  </si>
  <si>
    <r>
      <t>Number of ortho-substituted chlorines (i.e., chlorines in 2 or 2' position)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</si>
  <si>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1 - PCBs with </t>
    </r>
    <r>
      <rPr>
        <i/>
        <sz val="11"/>
        <color theme="1"/>
        <rFont val="Calibri"/>
        <family val="2"/>
        <scheme val="minor"/>
      </rPr>
      <t>ortho</t>
    </r>
    <r>
      <rPr>
        <sz val="11"/>
        <color theme="1"/>
        <rFont val="Calibri"/>
        <family val="2"/>
        <scheme val="minor"/>
      </rPr>
      <t xml:space="preserve">-Cl tend to adsorb/absorb less to polyethylene because </t>
    </r>
    <r>
      <rPr>
        <i/>
        <sz val="11"/>
        <color theme="1"/>
        <rFont val="Calibri"/>
        <family val="2"/>
        <scheme val="minor"/>
      </rPr>
      <t>ortho</t>
    </r>
    <r>
      <rPr>
        <sz val="11"/>
        <color theme="1"/>
        <rFont val="Calibri"/>
        <family val="2"/>
        <scheme val="minor"/>
      </rPr>
      <t>-Cl causes the non-planar conformation of PCBs to be energetically unfavorable a condition known as the the"</t>
    </r>
    <r>
      <rPr>
        <i/>
        <sz val="11"/>
        <color theme="1"/>
        <rFont val="Calibri"/>
        <family val="2"/>
        <scheme val="minor"/>
      </rPr>
      <t>ortho</t>
    </r>
    <r>
      <rPr>
        <sz val="11"/>
        <color theme="1"/>
        <rFont val="Calibri"/>
        <family val="2"/>
        <scheme val="minor"/>
      </rPr>
      <t>-effect".</t>
    </r>
  </si>
  <si>
    <r>
      <t xml:space="preserve">    Chlorine atoms in the 2 or 2' position are known as </t>
    </r>
    <r>
      <rPr>
        <i/>
        <sz val="11"/>
        <color theme="1"/>
        <rFont val="Calibri"/>
        <family val="2"/>
        <scheme val="minor"/>
      </rPr>
      <t>ortho</t>
    </r>
    <r>
      <rPr>
        <sz val="11"/>
        <color theme="1"/>
        <rFont val="Calibri"/>
        <family val="2"/>
        <scheme val="minor"/>
      </rPr>
      <t>-Cl.</t>
    </r>
  </si>
  <si>
    <t>Substitution Pattern</t>
  </si>
  <si>
    <t>CHEMCODE</t>
  </si>
  <si>
    <t>IUPAC_NUM</t>
  </si>
  <si>
    <t>SUB_PATTERN</t>
  </si>
  <si>
    <t>Aroclor 1268</t>
  </si>
  <si>
    <t>TEF</t>
  </si>
  <si>
    <t>Kannan 1997, g/g</t>
  </si>
  <si>
    <t>MW</t>
  </si>
  <si>
    <t>LOG_KOW</t>
  </si>
  <si>
    <t>E</t>
  </si>
  <si>
    <t>S</t>
  </si>
  <si>
    <t>A</t>
  </si>
  <si>
    <t>B</t>
  </si>
  <si>
    <t>V</t>
  </si>
  <si>
    <t>PCB001</t>
  </si>
  <si>
    <t>2-Monochloro</t>
  </si>
  <si>
    <t>PCB002</t>
  </si>
  <si>
    <t>3-Monochloro</t>
  </si>
  <si>
    <t>PCB003</t>
  </si>
  <si>
    <t>4-Monochloro</t>
  </si>
  <si>
    <t>PCB004</t>
  </si>
  <si>
    <t>2,2'-Dichloro</t>
  </si>
  <si>
    <t>PCB005</t>
  </si>
  <si>
    <t>2,3-Dichloro</t>
  </si>
  <si>
    <t>PCB006</t>
  </si>
  <si>
    <t>2,3'-Dichloro</t>
  </si>
  <si>
    <t>PCB007</t>
  </si>
  <si>
    <t>2,4-Dichloro</t>
  </si>
  <si>
    <t>PCB008</t>
  </si>
  <si>
    <t>2,4'-Dichloro</t>
  </si>
  <si>
    <t>PCB009</t>
  </si>
  <si>
    <t>2,5-Dichloro</t>
  </si>
  <si>
    <t>PCB010</t>
  </si>
  <si>
    <t>2,6-Dichloro</t>
  </si>
  <si>
    <t>PCB011</t>
  </si>
  <si>
    <t>3,3'-Dichloro</t>
  </si>
  <si>
    <t>PCB012</t>
  </si>
  <si>
    <t>3,4-Dichloro</t>
  </si>
  <si>
    <t>PCB013</t>
  </si>
  <si>
    <t>3,4'-Dichloro</t>
  </si>
  <si>
    <t>PCB012_013</t>
  </si>
  <si>
    <t>12/13</t>
  </si>
  <si>
    <t>PCB014</t>
  </si>
  <si>
    <t>3,5-Dichloro</t>
  </si>
  <si>
    <t>PCB015</t>
  </si>
  <si>
    <t>4,4'-Dichloro</t>
  </si>
  <si>
    <t>PCB015_016</t>
  </si>
  <si>
    <t>15/16</t>
  </si>
  <si>
    <t>PCB016</t>
  </si>
  <si>
    <t>2,2',3-Trichloro</t>
  </si>
  <si>
    <t>PCB017</t>
  </si>
  <si>
    <t>2,2',4-Trichloro</t>
  </si>
  <si>
    <t>PCB018</t>
  </si>
  <si>
    <t>2,2',5-Trichloro</t>
  </si>
  <si>
    <t>PCB019</t>
  </si>
  <si>
    <t>2,2',6-Trichloro</t>
  </si>
  <si>
    <t>PCB020</t>
  </si>
  <si>
    <t>2,3,3'-Trichloro</t>
  </si>
  <si>
    <t>PCB021</t>
  </si>
  <si>
    <t>2,3,4-Trichloro</t>
  </si>
  <si>
    <t>PCB022</t>
  </si>
  <si>
    <t>2,3,4'-Trichloro</t>
  </si>
  <si>
    <t>PCB023</t>
  </si>
  <si>
    <t>2,3,5-Trichloro</t>
  </si>
  <si>
    <t>PCB024</t>
  </si>
  <si>
    <t>2,3,6-Trichloro</t>
  </si>
  <si>
    <t>PCB025</t>
  </si>
  <si>
    <t>2,3',4-Trichloro</t>
  </si>
  <si>
    <t>PCB026</t>
  </si>
  <si>
    <t>2,3',5-Trichloro</t>
  </si>
  <si>
    <t>PCB026_029</t>
  </si>
  <si>
    <t>26/29</t>
  </si>
  <si>
    <t>PCB027</t>
  </si>
  <si>
    <t>2,3',6-Trichloro</t>
  </si>
  <si>
    <t>PCB028</t>
  </si>
  <si>
    <t>2,4,4'-Trichloro</t>
  </si>
  <si>
    <t>PCB028_031</t>
  </si>
  <si>
    <t>28/31</t>
  </si>
  <si>
    <t>PCB029</t>
  </si>
  <si>
    <t>2,4,5-Trichloro</t>
  </si>
  <si>
    <t>PCB030</t>
  </si>
  <si>
    <t>2,4,6-Trichloro</t>
  </si>
  <si>
    <t>PCB031</t>
  </si>
  <si>
    <t>2,4',5-Trichloro</t>
  </si>
  <si>
    <t>PCB032</t>
  </si>
  <si>
    <t>2,4',6-Trichloro</t>
  </si>
  <si>
    <t>PCB033</t>
  </si>
  <si>
    <t>2',3,4-Trichloro</t>
  </si>
  <si>
    <t>PCB034</t>
  </si>
  <si>
    <t>2',3,5-Trichloro</t>
  </si>
  <si>
    <t>PCB035</t>
  </si>
  <si>
    <t>3,3',4-Trichloro</t>
  </si>
  <si>
    <t>PCB036</t>
  </si>
  <si>
    <t>3,3',5-Trichloro</t>
  </si>
  <si>
    <t>PCB037</t>
  </si>
  <si>
    <t>3,4,4'-Trichloro</t>
  </si>
  <si>
    <t>PCB037_059</t>
  </si>
  <si>
    <t>37/59</t>
  </si>
  <si>
    <t>PCB038</t>
  </si>
  <si>
    <t>3,4,5-Trichloro</t>
  </si>
  <si>
    <t>PCB039</t>
  </si>
  <si>
    <t>3,4',5-Trichloro</t>
  </si>
  <si>
    <t>PCB040</t>
  </si>
  <si>
    <t>2,2',3,3'-Tetrachloro</t>
  </si>
  <si>
    <t>PCB040_071</t>
  </si>
  <si>
    <t>40/71</t>
  </si>
  <si>
    <t>PCB041</t>
  </si>
  <si>
    <t>2,2',3,4-Tetrachloro</t>
  </si>
  <si>
    <t>PCB042</t>
  </si>
  <si>
    <t>2,2',3,4'-Tetrachloro</t>
  </si>
  <si>
    <t>PCB043</t>
  </si>
  <si>
    <t>2,2',3,5-Tetrachloro</t>
  </si>
  <si>
    <t>PCB044</t>
  </si>
  <si>
    <t>2,2',3,5'-Tetrachloro</t>
  </si>
  <si>
    <t>PCB044_047</t>
  </si>
  <si>
    <t>44/47</t>
  </si>
  <si>
    <t>PCB045</t>
  </si>
  <si>
    <t>2,2',3,6-Tetrachloro</t>
  </si>
  <si>
    <t>PCB046</t>
  </si>
  <si>
    <t>2,2',3,6'-Tetrachloro</t>
  </si>
  <si>
    <t>PCB047</t>
  </si>
  <si>
    <t>2,2',4,4'-Tetrachloro</t>
  </si>
  <si>
    <t>PCB048</t>
  </si>
  <si>
    <t>2,2',4,5-Tetrachloro</t>
  </si>
  <si>
    <t>PCB049</t>
  </si>
  <si>
    <t>2,2',4,5'-Tetrachloro</t>
  </si>
  <si>
    <t>PCB050</t>
  </si>
  <si>
    <t>2,2',4,6-Tetrachloro</t>
  </si>
  <si>
    <t>PCB051</t>
  </si>
  <si>
    <t>2,2',4,6'-Tetrachloro</t>
  </si>
  <si>
    <t>PCB052</t>
  </si>
  <si>
    <t>2,2',5,5'-Tetrachloro</t>
  </si>
  <si>
    <t>PCB053</t>
  </si>
  <si>
    <t>2,2',5,6'-Tetrachloro</t>
  </si>
  <si>
    <t>PCB054</t>
  </si>
  <si>
    <t>2,2',6,6'-Tetrachloro</t>
  </si>
  <si>
    <t>PCB055</t>
  </si>
  <si>
    <t>2,3,3',4-Tetrachloro</t>
  </si>
  <si>
    <t>PCB056</t>
  </si>
  <si>
    <t>2,3,3',4'-Tetrachloro</t>
  </si>
  <si>
    <t>PCB056_060</t>
  </si>
  <si>
    <t>56/60</t>
  </si>
  <si>
    <t>PCB057</t>
  </si>
  <si>
    <t>2,3,3',5-Tetrachloro</t>
  </si>
  <si>
    <t>PCB058</t>
  </si>
  <si>
    <t>2,3,3',5'-Tetrachloro</t>
  </si>
  <si>
    <t>PCB059</t>
  </si>
  <si>
    <t>2,3,3',6-Tetrachloro</t>
  </si>
  <si>
    <t>PCB059_075</t>
  </si>
  <si>
    <t>59/75</t>
  </si>
  <si>
    <t>PCB060</t>
  </si>
  <si>
    <t>2,3,4,4'-Tetrachloro</t>
  </si>
  <si>
    <t>PCB061</t>
  </si>
  <si>
    <t>2,3,4,5-Tetrachloro</t>
  </si>
  <si>
    <t>PCB062</t>
  </si>
  <si>
    <t>2,3,4,6-Tetrachloro</t>
  </si>
  <si>
    <t>PCB063</t>
  </si>
  <si>
    <t>2,3,4',5-Tetrachloro</t>
  </si>
  <si>
    <t>PCB064</t>
  </si>
  <si>
    <t>2,3,4',6-Tetachloro</t>
  </si>
  <si>
    <t>PCB064_071</t>
  </si>
  <si>
    <t>64/71</t>
  </si>
  <si>
    <t>PCB065</t>
  </si>
  <si>
    <t>2,3,5,6-Tetrachloro</t>
  </si>
  <si>
    <t>PCB066</t>
  </si>
  <si>
    <t>2,3',4,4'-Tetrachloro</t>
  </si>
  <si>
    <t>PCB067</t>
  </si>
  <si>
    <t>2,3',4,5-Tetrachloro</t>
  </si>
  <si>
    <t>PCB068</t>
  </si>
  <si>
    <t>2,3',4,5'-Tetrachloro</t>
  </si>
  <si>
    <t>PCB069</t>
  </si>
  <si>
    <t>2,3',4,6-Tetrachloro</t>
  </si>
  <si>
    <t>PCB070</t>
  </si>
  <si>
    <t>2,3',4',5-Tetrachloro</t>
  </si>
  <si>
    <t>PCB071</t>
  </si>
  <si>
    <t>2,3',4',6-Tetrachloro</t>
  </si>
  <si>
    <t>PCB072</t>
  </si>
  <si>
    <t>2,3',5,5'-Tetrachloro</t>
  </si>
  <si>
    <t>PCB073</t>
  </si>
  <si>
    <t>2,3',5',6-Tetrachloro</t>
  </si>
  <si>
    <t>PCB074</t>
  </si>
  <si>
    <t>2,4,4',5-Tetrachloro</t>
  </si>
  <si>
    <t>PCB075</t>
  </si>
  <si>
    <t>2,4,4',6-Tetrachloro</t>
  </si>
  <si>
    <t>PCB076</t>
  </si>
  <si>
    <t>2',3,4,5-Tetrachloro</t>
  </si>
  <si>
    <t>PCB077</t>
  </si>
  <si>
    <t>3,3',4,4'-Tetrachloro</t>
  </si>
  <si>
    <t>PCB77_154</t>
  </si>
  <si>
    <t>PCB078</t>
  </si>
  <si>
    <t>3,3',4,5-Tetrachloro</t>
  </si>
  <si>
    <t>PCB079</t>
  </si>
  <si>
    <t>3,3',4,5'-Tetrachloro</t>
  </si>
  <si>
    <t>PCB080</t>
  </si>
  <si>
    <t>3,3',5,5'-Tetrachloro</t>
  </si>
  <si>
    <t>PCB081</t>
  </si>
  <si>
    <t>3,4,4',5-Tetrachloro</t>
  </si>
  <si>
    <t>PCB082</t>
  </si>
  <si>
    <t>2,2',3,3',4-Pentachloro</t>
  </si>
  <si>
    <t>PCB083</t>
  </si>
  <si>
    <t>2,2',3,3',5-Pentachloro</t>
  </si>
  <si>
    <t>PCB084</t>
  </si>
  <si>
    <t>2,2',3,3',6-Pentachloro</t>
  </si>
  <si>
    <t>PCB085</t>
  </si>
  <si>
    <t>2,2',3,4,4'-Pentachloro</t>
  </si>
  <si>
    <t>PCB086</t>
  </si>
  <si>
    <t>2,2',3,4,5-Pentachloro</t>
  </si>
  <si>
    <t>PCB087</t>
  </si>
  <si>
    <t>2,2',3,4,5'-Pentachloro</t>
  </si>
  <si>
    <t>PCB088</t>
  </si>
  <si>
    <t>2,2',3,4,6-Pentachloro</t>
  </si>
  <si>
    <t>PCB089</t>
  </si>
  <si>
    <t>2,2',3,4,6'-Pentachloro</t>
  </si>
  <si>
    <t>PCB090</t>
  </si>
  <si>
    <t>2,2',3,4',5-Pentachloro</t>
  </si>
  <si>
    <t>PCB090_101</t>
  </si>
  <si>
    <t>90/101</t>
  </si>
  <si>
    <t>PCB091</t>
  </si>
  <si>
    <t>2,2',3,4',6-Pentachloro</t>
  </si>
  <si>
    <t>PCB092</t>
  </si>
  <si>
    <t>2,2',3,5,5'-Pentachloro</t>
  </si>
  <si>
    <t>PCB093</t>
  </si>
  <si>
    <t>2,2',3,5.6-Pentachloro</t>
  </si>
  <si>
    <t>PCB094</t>
  </si>
  <si>
    <t>2,2',3,5,6'-Pentachloro</t>
  </si>
  <si>
    <t>PCB095</t>
  </si>
  <si>
    <t>2,2',3,5',6-Pentachloro</t>
  </si>
  <si>
    <t>PCB096</t>
  </si>
  <si>
    <t>2,2',3,6,6'-Pentachloro</t>
  </si>
  <si>
    <t>PCB097</t>
  </si>
  <si>
    <t>2,2',3',4,5-Pentachloro</t>
  </si>
  <si>
    <t>PCB098</t>
  </si>
  <si>
    <t>2,2',3',4,6-Pentachloro</t>
  </si>
  <si>
    <t>PCB099</t>
  </si>
  <si>
    <t>2,2',4,4',5-Pentachloro</t>
  </si>
  <si>
    <t>PCB100</t>
  </si>
  <si>
    <t>2,2',4,4',6-Pentachloro</t>
  </si>
  <si>
    <t>PCB101</t>
  </si>
  <si>
    <t>2,2',4,5,5'-Pentachloro</t>
  </si>
  <si>
    <t>PCB102</t>
  </si>
  <si>
    <t>2,2',4,5,6'-Pentachloro</t>
  </si>
  <si>
    <t>PCB103</t>
  </si>
  <si>
    <t>2,2',4,5',6-Pentachloro</t>
  </si>
  <si>
    <t>PCB104</t>
  </si>
  <si>
    <t>2,2’,4,6,6’-Pentachloro</t>
  </si>
  <si>
    <t>PCB105</t>
  </si>
  <si>
    <t>2,3,3’,4,4’-Pentachloro</t>
  </si>
  <si>
    <t>PCB106</t>
  </si>
  <si>
    <t>2,3,3’,4,5-Pentachloro</t>
  </si>
  <si>
    <t>PCB107</t>
  </si>
  <si>
    <t>2,3,3’,4’,5-Pentachloro</t>
  </si>
  <si>
    <t>PCB108</t>
  </si>
  <si>
    <t>2,3,3’,4,5’-Pentach'loro</t>
  </si>
  <si>
    <t>PCB109</t>
  </si>
  <si>
    <t>2,3,3',4,6-Pentachloro</t>
  </si>
  <si>
    <t>PCB110</t>
  </si>
  <si>
    <t>2,3,3',4',6-Pentachloro</t>
  </si>
  <si>
    <t>PCB111</t>
  </si>
  <si>
    <t>2,3,3',5,5'-Pentachloro</t>
  </si>
  <si>
    <t>PCB112</t>
  </si>
  <si>
    <t>2,3,3',5,6-Pentachloro</t>
  </si>
  <si>
    <t>PCB113</t>
  </si>
  <si>
    <t>2,3,3',5',6-Pentachloro</t>
  </si>
  <si>
    <t>PCB114</t>
  </si>
  <si>
    <t>2,3,4,4',5-Pentachloro</t>
  </si>
  <si>
    <t>PCB115</t>
  </si>
  <si>
    <t>2,3,4,4',6-Pentachloro</t>
  </si>
  <si>
    <t>PCB116</t>
  </si>
  <si>
    <t>2,3,4,5,6-Pentachloro</t>
  </si>
  <si>
    <t>PCB117</t>
  </si>
  <si>
    <t>2,3,4',5,6-Pentachloro</t>
  </si>
  <si>
    <t>PCB118</t>
  </si>
  <si>
    <t>2,3',4,4',5-Pentachloro</t>
  </si>
  <si>
    <t>PCB119</t>
  </si>
  <si>
    <t>2,3',4,4',6-Pentachloro</t>
  </si>
  <si>
    <t>PCB120</t>
  </si>
  <si>
    <t>2,3',4,5,5'-Pentachloro</t>
  </si>
  <si>
    <t>PCB121</t>
  </si>
  <si>
    <t>2,3',4,5',6-Pentachloro</t>
  </si>
  <si>
    <t>PCB122</t>
  </si>
  <si>
    <t>2,3,3',4,5-Pentachloro</t>
  </si>
  <si>
    <t>PCB123</t>
  </si>
  <si>
    <t>2',3,4,4',5-Pentachloro</t>
  </si>
  <si>
    <t>PCB124</t>
  </si>
  <si>
    <t>2',3,4,5,5'-Pentachloro</t>
  </si>
  <si>
    <t>PCB125</t>
  </si>
  <si>
    <t>2',3,4,5,6'-Pentachloro</t>
  </si>
  <si>
    <t>PCB126</t>
  </si>
  <si>
    <t>3,3',4,4',5-Pentachloro</t>
  </si>
  <si>
    <t>PCB127</t>
  </si>
  <si>
    <t>3,3',4,5,5'-Pentachloro</t>
  </si>
  <si>
    <t>PCB128</t>
  </si>
  <si>
    <t>2,2',3,3',4,4'-Hexachloro</t>
  </si>
  <si>
    <t>PCB129</t>
  </si>
  <si>
    <t>2,2',3,3',4,5-Hexachloro</t>
  </si>
  <si>
    <t>PCB130</t>
  </si>
  <si>
    <t>2,2',3,3',4,5'-Hexachloro</t>
  </si>
  <si>
    <t>PCB131</t>
  </si>
  <si>
    <t>2,2',3,3',4,6-Hexachloro</t>
  </si>
  <si>
    <t>PCB132</t>
  </si>
  <si>
    <t>2,2',3,3',4,6'-Hexachloro</t>
  </si>
  <si>
    <t>PCB133</t>
  </si>
  <si>
    <t>2,2',3,3',5,5'-Hexachloro</t>
  </si>
  <si>
    <t>PCB134</t>
  </si>
  <si>
    <t>2,2',3,3',5,6-Hexachloro</t>
  </si>
  <si>
    <t>PCB135</t>
  </si>
  <si>
    <t>2,2',3,3'5,6'-Hexachloro</t>
  </si>
  <si>
    <t>PCB136</t>
  </si>
  <si>
    <t>2,2',3,3',6,6'-Hexachloro</t>
  </si>
  <si>
    <t>PCB137</t>
  </si>
  <si>
    <t>2,2',3,4,4',5-Hexachloro</t>
  </si>
  <si>
    <t>PCB138</t>
  </si>
  <si>
    <t>2,2',3,4,4',5'-Hexachloro</t>
  </si>
  <si>
    <t>PCB138_163</t>
  </si>
  <si>
    <t>138/163</t>
  </si>
  <si>
    <t>PCB139</t>
  </si>
  <si>
    <t>2,2',3,4,4',6-Hexachloro</t>
  </si>
  <si>
    <t>PCB140</t>
  </si>
  <si>
    <t>2,2',3,4,4',6'-Hexachloro</t>
  </si>
  <si>
    <t>PCB141</t>
  </si>
  <si>
    <t>2,2',3,4,5,5'-Hexachloro</t>
  </si>
  <si>
    <t>PCB142</t>
  </si>
  <si>
    <t>2,2',3,4,5,6-Hexachloro</t>
  </si>
  <si>
    <t>PCB143</t>
  </si>
  <si>
    <t>2,2',3,4,5,6'-Hexachloro</t>
  </si>
  <si>
    <t>PCB144</t>
  </si>
  <si>
    <t>2,2',3,4,5',6-Hexachloro</t>
  </si>
  <si>
    <t>PCB145</t>
  </si>
  <si>
    <t>2,2',3,4,6,6'-Hexachloro</t>
  </si>
  <si>
    <t>PCB146</t>
  </si>
  <si>
    <t>2,2',3,4',5,5'-Hexachloro</t>
  </si>
  <si>
    <t>PCB147</t>
  </si>
  <si>
    <t>2,2',3,4',5,6-Hexachloro</t>
  </si>
  <si>
    <t>PCB148</t>
  </si>
  <si>
    <t>2,2',3,4',5,6'-Hexachloro</t>
  </si>
  <si>
    <t>PCB149</t>
  </si>
  <si>
    <t>2,2',3,4',5',6-Hexachloro</t>
  </si>
  <si>
    <t>PCB150</t>
  </si>
  <si>
    <t>2,2',3,4',6,6'-Hexachloro</t>
  </si>
  <si>
    <t>PCB151</t>
  </si>
  <si>
    <t>2,2',3,5,5',6-Hexachloro</t>
  </si>
  <si>
    <t>PCB152</t>
  </si>
  <si>
    <t>2,2',3,5,6,6'-Hexachloro</t>
  </si>
  <si>
    <t>PCB153</t>
  </si>
  <si>
    <t>2,2',4,4',5,5'-Hexachloro</t>
  </si>
  <si>
    <t>PCB154</t>
  </si>
  <si>
    <t>2,2',4,4',5,6'-Hexachloro</t>
  </si>
  <si>
    <t>PCB155</t>
  </si>
  <si>
    <t>2,2',4,4',6,6'-Hexachloro</t>
  </si>
  <si>
    <t>PCB156</t>
  </si>
  <si>
    <t>2,3,3',4,4',5-Hexachloro</t>
  </si>
  <si>
    <t>PCB157</t>
  </si>
  <si>
    <t>2,3,3',4,4',5'-Hexachloro</t>
  </si>
  <si>
    <t>PCB158</t>
  </si>
  <si>
    <t>2,3,3',4,4',6-Hexachloro</t>
  </si>
  <si>
    <t>PCB159</t>
  </si>
  <si>
    <t>2,3,3',4,5,5'-Hexachloro</t>
  </si>
  <si>
    <t>PCB160</t>
  </si>
  <si>
    <t>2,3,3',4,5,6-Hexachloro</t>
  </si>
  <si>
    <t>PCB161</t>
  </si>
  <si>
    <t>2,3,3',4,5',6-Hexachloro</t>
  </si>
  <si>
    <t>PCB162</t>
  </si>
  <si>
    <t>2,3,3',4',5,5'-Hexachloro</t>
  </si>
  <si>
    <t>PCB163</t>
  </si>
  <si>
    <t>2,3,3',4',5,6-Hexachloro</t>
  </si>
  <si>
    <t>PCB164</t>
  </si>
  <si>
    <t>2,3,3',4',5',6-Hexachloro</t>
  </si>
  <si>
    <t>PCB165</t>
  </si>
  <si>
    <t>2,3,3',5,5',6-Hexachloro</t>
  </si>
  <si>
    <t>PCB166</t>
  </si>
  <si>
    <t>2,3,4,4',5,6-Hexachloro</t>
  </si>
  <si>
    <t>PCB167</t>
  </si>
  <si>
    <t>2,3',4,4',5,5'-Hexachloro</t>
  </si>
  <si>
    <t>PCB168</t>
  </si>
  <si>
    <t>2,3',4,4',5',6-Hexachloro</t>
  </si>
  <si>
    <t>PCB169</t>
  </si>
  <si>
    <t>3,3',4,4',5,5'-Hexachloro</t>
  </si>
  <si>
    <t>PCB170</t>
  </si>
  <si>
    <t>2,2',3,3',4,4',5-Heptachloro</t>
  </si>
  <si>
    <t>PCB171</t>
  </si>
  <si>
    <t>2,2',3,3',4,4',6-Heptachloro</t>
  </si>
  <si>
    <t>PCB172</t>
  </si>
  <si>
    <t>2,2',3,3',4,5,5'-Heptachloro</t>
  </si>
  <si>
    <t>PCB173</t>
  </si>
  <si>
    <t>2,2',3,3',4,5,6-Heptachloro</t>
  </si>
  <si>
    <t>PCB174</t>
  </si>
  <si>
    <t>2,2',3,3',4,5,6'-Heptachloro</t>
  </si>
  <si>
    <t>PCB175</t>
  </si>
  <si>
    <t>2,2',3,3',4,5',6-Heptachloro</t>
  </si>
  <si>
    <t>PCB176</t>
  </si>
  <si>
    <t>2,2',3,3',4,6,6'-Heptachloro</t>
  </si>
  <si>
    <t>PCB177</t>
  </si>
  <si>
    <t>2,2',3,3',4',5,6-Heptachloro</t>
  </si>
  <si>
    <t>PCB178</t>
  </si>
  <si>
    <t>2,2',3,3',5,5',6-Heptachloro</t>
  </si>
  <si>
    <t>PCB179</t>
  </si>
  <si>
    <t>2,2',3,3',5,6,6'-Heptachloro</t>
  </si>
  <si>
    <t>PCB180</t>
  </si>
  <si>
    <t>2,2',3,4,4',5,5'-Heptachloro</t>
  </si>
  <si>
    <t>PCB181</t>
  </si>
  <si>
    <t>2,2',3,4,4',5,6-Heptachloro</t>
  </si>
  <si>
    <t>PCB182</t>
  </si>
  <si>
    <t>2,2',3,4,4',5,6'-Heptachloro</t>
  </si>
  <si>
    <t>PCB183</t>
  </si>
  <si>
    <t>2,2',3,4,4',5',6-Heptachloro</t>
  </si>
  <si>
    <t>PCB184</t>
  </si>
  <si>
    <t>2,2',3,4,4',6,6'-Heptachloro</t>
  </si>
  <si>
    <t>PCB185</t>
  </si>
  <si>
    <t>2,2',3,4,5,5',6-Heptachloro</t>
  </si>
  <si>
    <t>PCB186</t>
  </si>
  <si>
    <t>2,2',3,4,5,6,6'-Heptachloro</t>
  </si>
  <si>
    <t>PCB187</t>
  </si>
  <si>
    <t>2,2',3,4',5,5',6-Heptachloro</t>
  </si>
  <si>
    <t>PCB188</t>
  </si>
  <si>
    <t>2,2',3,4',5,6,6'-Heptachloro</t>
  </si>
  <si>
    <t>PCB189</t>
  </si>
  <si>
    <t>2,3,3',4,4',5,5'-Heptachloro</t>
  </si>
  <si>
    <t>PCB190</t>
  </si>
  <si>
    <t>2,3,3',4,4',5,6-Heptachloro</t>
  </si>
  <si>
    <t>PCB191</t>
  </si>
  <si>
    <t>2,3,3',4,4',5',6-Heptachloro</t>
  </si>
  <si>
    <t>PCB192</t>
  </si>
  <si>
    <t>2,3,3',4,5,5',6-Heptachloro</t>
  </si>
  <si>
    <t>PCB193</t>
  </si>
  <si>
    <t>2,3,3',4',5,5',6-Heptachloro</t>
  </si>
  <si>
    <t>PCB194</t>
  </si>
  <si>
    <t>2,2',3,3',4,4',5,5'-Octachloro</t>
  </si>
  <si>
    <t>PCB195</t>
  </si>
  <si>
    <t>2,2',3,3',4,4',5,6-Octachloro</t>
  </si>
  <si>
    <t>PCB196</t>
  </si>
  <si>
    <t>2,2',3,3',4,4',5,6'-Octachloro</t>
  </si>
  <si>
    <t>PCB197</t>
  </si>
  <si>
    <t>2,2',3,3',4,4',6,6'-Octachloro</t>
  </si>
  <si>
    <t>PCB198</t>
  </si>
  <si>
    <t>2,2',3,3',4,5,5',6-Octachloro</t>
  </si>
  <si>
    <t>PCB199</t>
  </si>
  <si>
    <t>2,2',3,3',4,5,5',6'-Octachloro</t>
  </si>
  <si>
    <t>PCB200</t>
  </si>
  <si>
    <t>2,2',3,3',4,5,6,6'-Octachloro</t>
  </si>
  <si>
    <t>PCB201</t>
  </si>
  <si>
    <t>2,2',3,3',4,5',6,6'-Octachloro</t>
  </si>
  <si>
    <t>PCB201_173_157</t>
  </si>
  <si>
    <t>PCB202</t>
  </si>
  <si>
    <t>2,2',3,3',5,5',6,6'-Octachloro</t>
  </si>
  <si>
    <t>PCB203</t>
  </si>
  <si>
    <t>2,2',3,4,4',5,5',6-Octachloro</t>
  </si>
  <si>
    <t>PCB204</t>
  </si>
  <si>
    <t>2,2',3,4,4',5,6,6'-Octachloro</t>
  </si>
  <si>
    <t>PCB205</t>
  </si>
  <si>
    <t>2,3,3',4,4',5,5',6-Octachloro</t>
  </si>
  <si>
    <t>PCB206</t>
  </si>
  <si>
    <t>2,2',3,3',4,4',5,5',6-Nonachloro</t>
  </si>
  <si>
    <t>PCB207</t>
  </si>
  <si>
    <t>2,2',3,3',4,4',5,6,6'-Nonachloro</t>
  </si>
  <si>
    <t>PCB208</t>
  </si>
  <si>
    <t>2,2',3,3',4,5,5’,6,6’-Nonachloro</t>
  </si>
  <si>
    <t>PCB209</t>
  </si>
  <si>
    <t>Decachloro</t>
  </si>
  <si>
    <t xml:space="preserve">2 - Choi et al. (2013) formed a regression equation to estimate log Kpe from the number of chlorines NCl and the number of ortho-substituted chlorines, NCl-ortho. </t>
  </si>
  <si>
    <t>NCl</t>
  </si>
  <si>
    <t>Number of chlorines in PCB congener</t>
  </si>
  <si>
    <t>NCl-ortho</t>
  </si>
  <si>
    <t>Number of ortho-substituted chlorines in PCB congener, ie.e., chlorines in 2 or 2' position</t>
  </si>
  <si>
    <t>Constant</t>
  </si>
  <si>
    <t>PE-water partition coefficient</t>
  </si>
  <si>
    <t>Equation 5</t>
  </si>
  <si>
    <t>log</t>
  </si>
  <si>
    <t>+</t>
  </si>
  <si>
    <t>*</t>
  </si>
  <si>
    <t>Choi et al. 2013 Equation 6</t>
  </si>
  <si>
    <t>−</t>
  </si>
  <si>
    <r>
      <t>K</t>
    </r>
    <r>
      <rPr>
        <vertAlign val="subscript"/>
        <sz val="11"/>
        <color theme="1"/>
        <rFont val="Calibri"/>
        <family val="2"/>
        <scheme val="minor"/>
      </rPr>
      <t>PE</t>
    </r>
  </si>
  <si>
    <r>
      <t>K</t>
    </r>
    <r>
      <rPr>
        <vertAlign val="subscript"/>
        <sz val="11"/>
        <color theme="1"/>
        <rFont val="Calibri"/>
        <family val="2"/>
        <scheme val="minor"/>
      </rPr>
      <t>OW</t>
    </r>
  </si>
  <si>
    <t>Average of Estimate by Equation 5 and Equation 6</t>
  </si>
  <si>
    <t>Source</t>
  </si>
  <si>
    <t>Average of two estimates</t>
  </si>
  <si>
    <t>Measured by Choi et al. 2013</t>
  </si>
  <si>
    <t>Vm</t>
  </si>
  <si>
    <r>
      <t>log D</t>
    </r>
    <r>
      <rPr>
        <vertAlign val="subscript"/>
        <sz val="11"/>
        <color theme="1"/>
        <rFont val="Calibri"/>
        <family val="2"/>
        <scheme val="minor"/>
      </rPr>
      <t>PE</t>
    </r>
    <r>
      <rPr>
        <sz val="11"/>
        <color theme="1"/>
        <rFont val="Calibri"/>
        <family val="2"/>
        <scheme val="minor"/>
      </rPr>
      <t xml:space="preserve"> = </t>
    </r>
  </si>
  <si>
    <r>
      <t>Moleculare volume in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</t>
    </r>
  </si>
  <si>
    <r>
      <t>Molecular volume in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</t>
    </r>
  </si>
  <si>
    <t xml:space="preserve">  In addition, Choi et al. (2013) formed another regression to estimate log Kpe from the octanol-water partition coefficient. Average of these two estimates was used.</t>
  </si>
  <si>
    <r>
      <t>Molecular Volume, Vm,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</t>
    </r>
    <r>
      <rPr>
        <vertAlign val="superscript"/>
        <sz val="11"/>
        <color theme="1"/>
        <rFont val="Calibri"/>
        <family val="2"/>
        <scheme val="minor"/>
      </rPr>
      <t>3</t>
    </r>
  </si>
  <si>
    <t>3 - The molecular volume came from Tcacuic et al. 2015 or from the EPA Chemistry Dashboard.</t>
  </si>
  <si>
    <t>Abraham Solvation Energy Parameter V</t>
  </si>
  <si>
    <r>
      <t>Molecular Volume, Vm,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 (Estimated by regression)</t>
    </r>
  </si>
  <si>
    <t>https://comptox.epa.gov/dashboard</t>
  </si>
  <si>
    <t>Molecular volume was obtained from EPA's Chemistry Dashboard.</t>
  </si>
  <si>
    <r>
      <t>If not found in the EPA Chemistry Dashboard, Vm was estimated from regression on log K</t>
    </r>
    <r>
      <rPr>
        <vertAlign val="subscript"/>
        <sz val="11"/>
        <color theme="1"/>
        <rFont val="Calibri"/>
        <family val="2"/>
        <scheme val="minor"/>
      </rPr>
      <t>PE</t>
    </r>
    <r>
      <rPr>
        <sz val="11"/>
        <color theme="1"/>
        <rFont val="Calibri"/>
        <family val="2"/>
        <scheme val="minor"/>
      </rPr>
      <t xml:space="preserve"> as:</t>
    </r>
  </si>
  <si>
    <r>
      <t>log K</t>
    </r>
    <r>
      <rPr>
        <vertAlign val="subscript"/>
        <sz val="11"/>
        <color theme="1"/>
        <rFont val="Calibri"/>
        <family val="2"/>
        <scheme val="minor"/>
      </rPr>
      <t>PE</t>
    </r>
  </si>
  <si>
    <r>
      <t>log D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
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</si>
  <si>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log D</t>
    </r>
    <r>
      <rPr>
        <vertAlign val="subscript"/>
        <sz val="11"/>
        <color theme="1"/>
        <rFont val="Calibri"/>
        <family val="2"/>
        <scheme val="minor"/>
      </rPr>
      <t>PE</t>
    </r>
    <r>
      <rPr>
        <sz val="11"/>
        <color theme="1"/>
        <rFont val="Calibri"/>
        <family val="2"/>
        <scheme val="minor"/>
      </rPr>
      <t xml:space="preserve">
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  <r>
      <rPr>
        <vertAlign val="superscript"/>
        <sz val="11"/>
        <color theme="1"/>
        <rFont val="Calibri"/>
        <family val="2"/>
        <scheme val="minor"/>
      </rPr>
      <t>b</t>
    </r>
  </si>
  <si>
    <r>
      <t>log D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
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  <r>
      <rPr>
        <vertAlign val="superscript"/>
        <sz val="11"/>
        <color theme="1"/>
        <rFont val="Calibri"/>
        <family val="2"/>
        <scheme val="minor"/>
      </rPr>
      <t>d</t>
    </r>
  </si>
  <si>
    <r>
      <t>D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(cm2/s)</t>
    </r>
  </si>
  <si>
    <t>Diffusivity of chemical in water</t>
  </si>
  <si>
    <t>Molecular Weight of chemical, g/mol</t>
  </si>
  <si>
    <t>Molecular Weight, MW, g/mol</t>
  </si>
  <si>
    <r>
      <t>log D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
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  <r>
      <rPr>
        <vertAlign val="superscript"/>
        <sz val="11"/>
        <color theme="1"/>
        <rFont val="Calibri"/>
        <family val="2"/>
        <scheme val="minor"/>
      </rPr>
      <t>e</t>
    </r>
  </si>
  <si>
    <t>L</t>
  </si>
  <si>
    <t>cm</t>
  </si>
  <si>
    <t>Note: L is half of LDPE thickness.</t>
  </si>
  <si>
    <r>
      <t>Observed f</t>
    </r>
    <r>
      <rPr>
        <vertAlign val="subscript"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remaining</t>
    </r>
  </si>
  <si>
    <r>
      <t>Predicted f</t>
    </r>
    <r>
      <rPr>
        <vertAlign val="subscript"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remaining</t>
    </r>
  </si>
  <si>
    <r>
      <t>K</t>
    </r>
    <r>
      <rPr>
        <vertAlign val="subscript"/>
        <sz val="11"/>
        <color theme="1"/>
        <rFont val="Calibri"/>
        <family val="2"/>
        <scheme val="minor"/>
      </rPr>
      <t>PE</t>
    </r>
    <r>
      <rPr>
        <sz val="11"/>
        <color theme="1"/>
        <rFont val="Calibri"/>
        <family val="2"/>
        <scheme val="minor"/>
      </rPr>
      <t>, L/kg-PE</t>
    </r>
  </si>
  <si>
    <r>
      <t>D</t>
    </r>
    <r>
      <rPr>
        <vertAlign val="subscript"/>
        <sz val="11"/>
        <color theme="1"/>
        <rFont val="Calibri"/>
        <family val="2"/>
        <scheme val="minor"/>
      </rPr>
      <t>PE</t>
    </r>
    <r>
      <rPr>
        <sz val="11"/>
        <color theme="1"/>
        <rFont val="Calibri"/>
        <family val="2"/>
        <scheme val="minor"/>
      </rPr>
      <t>,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/day</t>
    </r>
  </si>
  <si>
    <r>
      <t>D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,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/day</t>
    </r>
  </si>
  <si>
    <r>
      <t>Choi et al. 2013 Estimates of K</t>
    </r>
    <r>
      <rPr>
        <vertAlign val="subscript"/>
        <sz val="11"/>
        <color theme="1"/>
        <rFont val="Calibri"/>
        <family val="2"/>
        <scheme val="minor"/>
      </rPr>
      <t>PE</t>
    </r>
  </si>
  <si>
    <r>
      <t>log D</t>
    </r>
    <r>
      <rPr>
        <vertAlign val="subscript"/>
        <sz val="11"/>
        <color theme="1"/>
        <rFont val="Calibri"/>
        <family val="2"/>
        <scheme val="minor"/>
      </rPr>
      <t>PE</t>
    </r>
    <r>
      <rPr>
        <sz val="11"/>
        <color theme="1"/>
        <rFont val="Calibri"/>
        <family val="2"/>
        <scheme val="minor"/>
      </rPr>
      <t xml:space="preserve">
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Estimated from Molecular  volume</t>
    </r>
  </si>
  <si>
    <t>Predicted - Observed fraction remaining</t>
  </si>
  <si>
    <r>
      <t>δ, cm  x (L/kg-PE)</t>
    </r>
    <r>
      <rPr>
        <vertAlign val="superscript"/>
        <sz val="11"/>
        <color theme="1"/>
        <rFont val="Calibri"/>
        <family val="2"/>
      </rPr>
      <t>-1</t>
    </r>
  </si>
  <si>
    <t>MC19-PSCS-0601-SW</t>
  </si>
  <si>
    <t>Result</t>
  </si>
  <si>
    <t>Qualifier</t>
  </si>
  <si>
    <t>MDL</t>
  </si>
  <si>
    <t>(ng/g)</t>
  </si>
  <si>
    <t/>
  </si>
  <si>
    <t>C</t>
  </si>
  <si>
    <t>Analyte</t>
  </si>
  <si>
    <t>4,4´-DDD</t>
  </si>
  <si>
    <t>2,4´-DDE</t>
  </si>
  <si>
    <t>4,4´-DDE</t>
  </si>
  <si>
    <t>2,4´-DDT</t>
  </si>
  <si>
    <t>4,4´-DDT</t>
  </si>
  <si>
    <t>Client ID</t>
  </si>
  <si>
    <t>Boundary Layer Thickness, cm kg-PE/L</t>
  </si>
  <si>
    <r>
      <t xml:space="preserve">Boundary Layer Thickness, </t>
    </r>
    <r>
      <rPr>
        <sz val="11"/>
        <color theme="1"/>
        <rFont val="Calibri"/>
        <family val="2"/>
      </rPr>
      <t>δ, was estimated from K</t>
    </r>
    <r>
      <rPr>
        <vertAlign val="subscript"/>
        <sz val="11"/>
        <color theme="1"/>
        <rFont val="Calibri"/>
        <family val="2"/>
      </rPr>
      <t>PE</t>
    </r>
    <r>
      <rPr>
        <sz val="11"/>
        <color theme="1"/>
        <rFont val="Calibri"/>
        <family val="2"/>
      </rPr>
      <t xml:space="preserve"> by the data for the reference compounds fit to a plot.</t>
    </r>
  </si>
  <si>
    <t>^</t>
  </si>
  <si>
    <t>Site-specific for experiment-specific L and t</t>
  </si>
  <si>
    <t>IUPAC</t>
  </si>
  <si>
    <r>
      <t>Observed f</t>
    </r>
    <r>
      <rPr>
        <b/>
        <vertAlign val="subscript"/>
        <sz val="10"/>
        <color theme="1"/>
        <rFont val="Arial"/>
        <family val="2"/>
      </rPr>
      <t>PRC</t>
    </r>
  </si>
  <si>
    <t>cm kg L-1</t>
  </si>
  <si>
    <t>Boundary Layer Thickness, δ</t>
  </si>
  <si>
    <t>Properties</t>
  </si>
  <si>
    <t>L/kg-PE</t>
  </si>
  <si>
    <r>
      <t>D</t>
    </r>
    <r>
      <rPr>
        <b/>
        <vertAlign val="subscript"/>
        <sz val="10"/>
        <color theme="1"/>
        <rFont val="Arial"/>
        <family val="2"/>
      </rPr>
      <t>W</t>
    </r>
  </si>
  <si>
    <r>
      <t>Predicted f</t>
    </r>
    <r>
      <rPr>
        <b/>
        <vertAlign val="subscript"/>
        <sz val="10"/>
        <color theme="1"/>
        <rFont val="Arial"/>
        <family val="2"/>
      </rPr>
      <t>PRC</t>
    </r>
    <r>
      <rPr>
        <b/>
        <sz val="10"/>
        <color theme="1"/>
        <rFont val="Arial"/>
        <family val="2"/>
      </rPr>
      <t xml:space="preserve"> - Observed f</t>
    </r>
    <r>
      <rPr>
        <b/>
        <vertAlign val="subscript"/>
        <sz val="10"/>
        <color theme="1"/>
        <rFont val="Arial"/>
        <family val="2"/>
      </rPr>
      <t>PRC</t>
    </r>
  </si>
  <si>
    <t>Chemical</t>
  </si>
  <si>
    <r>
      <t>log K</t>
    </r>
    <r>
      <rPr>
        <vertAlign val="subscript"/>
        <sz val="11"/>
        <color theme="1"/>
        <rFont val="Calibri"/>
        <family val="2"/>
        <scheme val="minor"/>
      </rPr>
      <t>OW</t>
    </r>
    <r>
      <rPr>
        <sz val="11"/>
        <color theme="1"/>
        <rFont val="Calibri"/>
        <family val="2"/>
        <scheme val="minor"/>
      </rPr>
      <t>, KNOWWIN, L/kg</t>
    </r>
  </si>
  <si>
    <r>
      <t>log K</t>
    </r>
    <r>
      <rPr>
        <vertAlign val="subscript"/>
        <sz val="11"/>
        <color theme="1"/>
        <rFont val="Calibri"/>
        <family val="2"/>
        <scheme val="minor"/>
      </rPr>
      <t>OW</t>
    </r>
  </si>
  <si>
    <t>KOCWIN, L/kg-OC</t>
  </si>
  <si>
    <r>
      <t>Predicted f</t>
    </r>
    <r>
      <rPr>
        <b/>
        <vertAlign val="subscript"/>
        <sz val="10"/>
        <color theme="1"/>
        <rFont val="Arial"/>
        <family val="2"/>
      </rPr>
      <t>PRC</t>
    </r>
    <r>
      <rPr>
        <b/>
        <sz val="10"/>
        <color theme="1"/>
        <rFont val="Arial"/>
        <family val="2"/>
      </rPr>
      <t xml:space="preserve"> or f</t>
    </r>
    <r>
      <rPr>
        <b/>
        <vertAlign val="subscript"/>
        <sz val="10"/>
        <color theme="1"/>
        <rFont val="Arial"/>
        <family val="2"/>
      </rPr>
      <t>target</t>
    </r>
  </si>
  <si>
    <t>(pg/L)</t>
  </si>
  <si>
    <t>Result (Eqn 7)</t>
  </si>
  <si>
    <t>SiREM Calculated Result</t>
  </si>
  <si>
    <t>MC19-PSCS-0602-SW</t>
  </si>
  <si>
    <t>MC19-PSCS-0603-SW</t>
  </si>
  <si>
    <t>MC19-PSCS-0604-SW</t>
  </si>
  <si>
    <t>MC19-PSCS-0901-SW</t>
  </si>
  <si>
    <t>MC19-PSCS-0902-SW</t>
  </si>
  <si>
    <t>MC19-PSCS-0903-SW</t>
  </si>
  <si>
    <t>J</t>
  </si>
  <si>
    <t>MC19-PSCS-0904-SW</t>
  </si>
  <si>
    <t>MC19-PSCS-0904-SW-Split</t>
  </si>
  <si>
    <t>MC19-PSCS-1201-SW</t>
  </si>
  <si>
    <t>MC19-PSCS-1202-SW</t>
  </si>
  <si>
    <t>MC19-PSCS-1203-SW</t>
  </si>
  <si>
    <t>MC19-PSCS-1204-SW</t>
  </si>
  <si>
    <t>MC19-PSCS-1801-SW</t>
  </si>
  <si>
    <t>MC19-PSCS-1803-SW</t>
  </si>
  <si>
    <t>KOC</t>
  </si>
  <si>
    <t>e</t>
  </si>
  <si>
    <t>s</t>
  </si>
  <si>
    <t>a</t>
  </si>
  <si>
    <t>b</t>
  </si>
  <si>
    <t>v</t>
  </si>
  <si>
    <t>c</t>
  </si>
  <si>
    <t>Nguyen (2005)</t>
  </si>
  <si>
    <r>
      <t>log K</t>
    </r>
    <r>
      <rPr>
        <vertAlign val="subscript"/>
        <sz val="11"/>
        <color theme="1"/>
        <rFont val="Calibri"/>
        <family val="2"/>
        <scheme val="minor"/>
      </rPr>
      <t>OC</t>
    </r>
    <r>
      <rPr>
        <sz val="11"/>
        <color theme="1"/>
        <rFont val="Calibri"/>
        <family val="2"/>
        <scheme val="minor"/>
      </rPr>
      <t>, L/kg-OC</t>
    </r>
  </si>
  <si>
    <t>Estimated Sediment Properties</t>
  </si>
  <si>
    <t>foc</t>
  </si>
  <si>
    <t>ρb</t>
  </si>
  <si>
    <t>g/cm3</t>
  </si>
  <si>
    <t>Fitted RD to Eqn 8</t>
  </si>
  <si>
    <t>Fitted RD to Eqn 8 divided by 10,000</t>
  </si>
  <si>
    <t>Result (Eqn 10)</t>
  </si>
  <si>
    <t>MC19-PSCS-0601-2-4</t>
  </si>
  <si>
    <t>MC19-PSCS-0601-4-6</t>
  </si>
  <si>
    <t>RD</t>
  </si>
  <si>
    <t>A chemical- and site-specific kinetic factor equal to the product of R the retardation factor and D the diffusivity of the compound in the porewater.</t>
  </si>
  <si>
    <t>erfc</t>
  </si>
  <si>
    <t>Complementary error function (Excel has a formula for this.)</t>
  </si>
  <si>
    <t>The product RD can be approximated as:</t>
  </si>
  <si>
    <r>
      <t>ρ</t>
    </r>
    <r>
      <rPr>
        <vertAlign val="subscript"/>
        <sz val="11"/>
        <color theme="1"/>
        <rFont val="Calibri"/>
        <family val="2"/>
      </rPr>
      <t>b</t>
    </r>
  </si>
  <si>
    <t>Bulk density of floodplain soil/sediment</t>
  </si>
  <si>
    <t>τ</t>
  </si>
  <si>
    <t>where,</t>
  </si>
  <si>
    <t>volume-based sediment-water partition coefficient (Lw/Lsed)</t>
  </si>
  <si>
    <r>
      <t>The volume-based 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can be calculated from the usual 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in units of L/kg-sed by multiplying by the bulk density, </t>
    </r>
    <r>
      <rPr>
        <sz val="11"/>
        <color theme="1"/>
        <rFont val="Calibri"/>
        <family val="2"/>
      </rPr>
      <t>ρ</t>
    </r>
    <r>
      <rPr>
        <vertAlign val="subscript"/>
        <sz val="13.2"/>
        <color theme="1"/>
        <rFont val="Calibri"/>
        <family val="2"/>
      </rPr>
      <t>b</t>
    </r>
    <r>
      <rPr>
        <sz val="13.2"/>
        <color theme="1"/>
        <rFont val="Calibri"/>
        <family val="2"/>
      </rPr>
      <t>.</t>
    </r>
  </si>
  <si>
    <t>Use table in User's guide to Johnson and Ettinger Soil Vapor Intrusion Model</t>
  </si>
  <si>
    <t>http://www.epa.gov/oswer/riskassessment/airmodel/pdf/2004_0222_3phase_users_guide.pdf</t>
  </si>
  <si>
    <t>SCS Soil Texture Classification</t>
  </si>
  <si>
    <t>θw (cm3/cm3)</t>
  </si>
  <si>
    <t>θa  (cm3/cm3)</t>
  </si>
  <si>
    <t>ρb (g/cm3)</t>
  </si>
  <si>
    <t>Clay</t>
  </si>
  <si>
    <t>Clay Loam</t>
  </si>
  <si>
    <t>Loam</t>
  </si>
  <si>
    <t>Loamy Sand</t>
  </si>
  <si>
    <t>Sand</t>
  </si>
  <si>
    <t>Sandy Clay</t>
  </si>
  <si>
    <t>Sandy Clay Loam</t>
  </si>
  <si>
    <t>Silt</t>
  </si>
  <si>
    <t>Silty Clay</t>
  </si>
  <si>
    <t>Silty Clay Loam</t>
  </si>
  <si>
    <t>Silt Loam</t>
  </si>
  <si>
    <t>Sandy Loam</t>
  </si>
  <si>
    <r>
      <t xml:space="preserve">For DDTR measurements in porewater samplers that were placed in the sediment, Formula 8 of Borrelli et al. (2018) was used to solve for the product </t>
    </r>
    <r>
      <rPr>
        <i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for each reference compound.</t>
    </r>
  </si>
  <si>
    <t>θ</t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</si>
  <si>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</si>
  <si>
    <r>
      <t>f</t>
    </r>
    <r>
      <rPr>
        <vertAlign val="subscript"/>
        <sz val="11"/>
        <color theme="1"/>
        <rFont val="Calibri"/>
        <family val="2"/>
        <scheme val="minor"/>
      </rPr>
      <t>OC</t>
    </r>
    <r>
      <rPr>
        <sz val="11"/>
        <color theme="1"/>
        <rFont val="Calibri"/>
        <family val="2"/>
        <scheme val="minor"/>
      </rPr>
      <t xml:space="preserve"> * K</t>
    </r>
    <r>
      <rPr>
        <vertAlign val="subscript"/>
        <sz val="11"/>
        <color theme="1"/>
        <rFont val="Calibri"/>
        <family val="2"/>
        <scheme val="minor"/>
      </rPr>
      <t>OC</t>
    </r>
  </si>
  <si>
    <t>(L/kg-sed)</t>
  </si>
  <si>
    <t>Organic carbon partition coefficient, L/kg-OC</t>
  </si>
  <si>
    <r>
      <t>K</t>
    </r>
    <r>
      <rPr>
        <vertAlign val="subscript"/>
        <sz val="11"/>
        <color theme="1"/>
        <rFont val="Calibri"/>
        <family val="2"/>
        <scheme val="minor"/>
      </rPr>
      <t>OC</t>
    </r>
  </si>
  <si>
    <r>
      <t>K</t>
    </r>
    <r>
      <rPr>
        <vertAlign val="subscript"/>
        <sz val="11"/>
        <color theme="1"/>
        <rFont val="Calibri"/>
        <family val="2"/>
        <scheme val="minor"/>
      </rPr>
      <t>OC</t>
    </r>
    <r>
      <rPr>
        <sz val="11"/>
        <color theme="1"/>
        <rFont val="Calibri"/>
        <family val="2"/>
        <scheme val="minor"/>
      </rPr>
      <t xml:space="preserve"> can be estimated by Nguyen et al. (2005) from regression in ESABV Abraham Solvation Theory chemical descriptors.</t>
    </r>
  </si>
  <si>
    <t>Water-filled porosity, which is total porosity for a saturated soil/sediment.</t>
  </si>
  <si>
    <t>Fraction of organic carbon in sediment, kg-OC/kg-sed</t>
  </si>
  <si>
    <r>
      <t>f</t>
    </r>
    <r>
      <rPr>
        <vertAlign val="subscript"/>
        <sz val="11"/>
        <color theme="1"/>
        <rFont val="Calibri"/>
        <family val="2"/>
        <scheme val="minor"/>
      </rPr>
      <t>OC</t>
    </r>
  </si>
  <si>
    <t>Tortuosity factor which describes how the diffusion of chemicals in soil is slower than diffusion of chemicals in water due to having to traverse small pores.</t>
  </si>
  <si>
    <t>Chou et al. (2012) recommeded the model by Mullins and Sommer [1986] for estimating the tortuosity factor from the volumetric porosity θ and two empirical constants.</t>
  </si>
  <si>
    <t>Soil</t>
  </si>
  <si>
    <t>μ</t>
  </si>
  <si>
    <t>RMSE</t>
  </si>
  <si>
    <t>Table 4 in Chou et al. 2012</t>
  </si>
  <si>
    <t>γ</t>
  </si>
  <si>
    <t>Assume sandy clay loam</t>
  </si>
  <si>
    <t>Approximated by Mullins and Sommer model as parameterized by Chou et al. 2012.</t>
  </si>
  <si>
    <t>Estimated RD from Eqn 9</t>
  </si>
  <si>
    <r>
      <t>log K</t>
    </r>
    <r>
      <rPr>
        <b/>
        <vertAlign val="subscript"/>
        <sz val="10"/>
        <color theme="1"/>
        <rFont val="Arial"/>
        <family val="2"/>
      </rPr>
      <t>OW</t>
    </r>
  </si>
  <si>
    <r>
      <t>K</t>
    </r>
    <r>
      <rPr>
        <b/>
        <vertAlign val="subscript"/>
        <sz val="10"/>
        <color theme="1"/>
        <rFont val="Arial"/>
        <family val="2"/>
      </rPr>
      <t>OC</t>
    </r>
  </si>
  <si>
    <r>
      <t>K</t>
    </r>
    <r>
      <rPr>
        <b/>
        <vertAlign val="subscript"/>
        <sz val="10"/>
        <color theme="1"/>
        <rFont val="Arial"/>
        <family val="2"/>
      </rPr>
      <t>PE</t>
    </r>
    <r>
      <rPr>
        <b/>
        <sz val="10"/>
        <color theme="1"/>
        <rFont val="Arial"/>
        <family val="2"/>
      </rPr>
      <t>, L/kg-PE</t>
    </r>
  </si>
  <si>
    <r>
      <t>K</t>
    </r>
    <r>
      <rPr>
        <b/>
        <vertAlign val="subscript"/>
        <sz val="10"/>
        <color theme="1"/>
        <rFont val="Arial"/>
        <family val="2"/>
      </rPr>
      <t>OW</t>
    </r>
    <r>
      <rPr>
        <b/>
        <sz val="10"/>
        <color theme="1"/>
        <rFont val="Arial"/>
        <family val="2"/>
      </rPr>
      <t xml:space="preserve"> x D</t>
    </r>
    <r>
      <rPr>
        <b/>
        <vertAlign val="subscript"/>
        <sz val="10"/>
        <color theme="1"/>
        <rFont val="Arial"/>
        <family val="2"/>
      </rPr>
      <t>W</t>
    </r>
  </si>
  <si>
    <t>SiREM Result</t>
  </si>
  <si>
    <t>MC19-PSCS-0601-6-9</t>
  </si>
  <si>
    <r>
      <t>(K</t>
    </r>
    <r>
      <rPr>
        <b/>
        <vertAlign val="subscript"/>
        <sz val="10"/>
        <color theme="1"/>
        <rFont val="Arial"/>
        <family val="2"/>
      </rPr>
      <t>OW</t>
    </r>
    <r>
      <rPr>
        <b/>
        <sz val="10"/>
        <color theme="1"/>
        <rFont val="Arial"/>
        <family val="2"/>
      </rPr>
      <t xml:space="preserve"> x D</t>
    </r>
    <r>
      <rPr>
        <b/>
        <vertAlign val="subscript"/>
        <sz val="10"/>
        <color theme="1"/>
        <rFont val="Arial"/>
        <family val="2"/>
      </rPr>
      <t>W</t>
    </r>
    <r>
      <rPr>
        <b/>
        <sz val="10"/>
        <color theme="1"/>
        <rFont val="Arial"/>
        <family val="2"/>
      </rPr>
      <t>)</t>
    </r>
    <r>
      <rPr>
        <b/>
        <vertAlign val="superscript"/>
        <sz val="10"/>
        <color theme="1"/>
        <rFont val="Arial"/>
        <family val="2"/>
      </rPr>
      <t xml:space="preserve">-1 </t>
    </r>
    <r>
      <rPr>
        <b/>
        <sz val="10"/>
        <color theme="1"/>
        <rFont val="Arial"/>
        <family val="2"/>
      </rPr>
      <t>X 1E+06</t>
    </r>
  </si>
  <si>
    <t>MC19-PSCS-0601-9-12</t>
  </si>
  <si>
    <t>MC19-PSCS-0602-0-2</t>
  </si>
  <si>
    <t>MC19-PSCS-0602-2-4</t>
  </si>
  <si>
    <t>TOC</t>
  </si>
  <si>
    <t>Total Organic Carbon, mg/kg</t>
  </si>
  <si>
    <t>U</t>
  </si>
  <si>
    <r>
      <t>f</t>
    </r>
    <r>
      <rPr>
        <b/>
        <vertAlign val="subscript"/>
        <sz val="11"/>
        <color theme="1"/>
        <rFont val="Arial"/>
        <family val="2"/>
      </rPr>
      <t>OC</t>
    </r>
  </si>
  <si>
    <r>
      <t>ρ</t>
    </r>
    <r>
      <rPr>
        <b/>
        <vertAlign val="subscript"/>
        <sz val="11"/>
        <color theme="1"/>
        <rFont val="Calibri"/>
        <family val="2"/>
      </rPr>
      <t>b</t>
    </r>
  </si>
  <si>
    <t>log Koc Nguyen</t>
  </si>
  <si>
    <r>
      <t>log K</t>
    </r>
    <r>
      <rPr>
        <b/>
        <vertAlign val="subscript"/>
        <sz val="10"/>
        <color theme="1"/>
        <rFont val="Arial"/>
        <family val="2"/>
      </rPr>
      <t>OC</t>
    </r>
    <r>
      <rPr>
        <b/>
        <sz val="10"/>
        <color theme="1"/>
        <rFont val="Arial"/>
        <family val="2"/>
      </rPr>
      <t xml:space="preserve"> Fitted</t>
    </r>
  </si>
  <si>
    <t>Dissolved organic carbon partition coefficient, L/kg-DOC</t>
  </si>
  <si>
    <r>
      <t>K</t>
    </r>
    <r>
      <rPr>
        <vertAlign val="subscript"/>
        <sz val="11"/>
        <color theme="1"/>
        <rFont val="Calibri"/>
        <family val="2"/>
      </rPr>
      <t>DOC</t>
    </r>
  </si>
  <si>
    <t>DOC</t>
  </si>
  <si>
    <t>Concentration of dissolved organic carbon in pore water, mg/L</t>
  </si>
  <si>
    <r>
      <t xml:space="preserve">Mullins and Sommer model empirical constants, </t>
    </r>
    <r>
      <rPr>
        <sz val="11"/>
        <color theme="1"/>
        <rFont val="Calibri"/>
        <family val="2"/>
      </rPr>
      <t>γ</t>
    </r>
    <r>
      <rPr>
        <sz val="13.2"/>
        <color theme="1"/>
        <rFont val="Calibri"/>
        <family val="2"/>
      </rPr>
      <t xml:space="preserve"> and μ</t>
    </r>
    <r>
      <rPr>
        <sz val="11"/>
        <color theme="1"/>
        <rFont val="Calibri"/>
        <family val="2"/>
        <scheme val="minor"/>
      </rPr>
      <t xml:space="preserve"> as function of soil/sediment type</t>
    </r>
  </si>
  <si>
    <t>MC19-SDCS-0904-0-9</t>
  </si>
  <si>
    <t>Y</t>
  </si>
  <si>
    <t>MG/L</t>
  </si>
  <si>
    <t>MC19-SDCS-0904-9-12</t>
  </si>
  <si>
    <t>MC19-SDCS-1201-0-12</t>
  </si>
  <si>
    <t>MC19-SDCS-1201-12-18</t>
  </si>
  <si>
    <t>MC19-SDCS-1802-0-18</t>
  </si>
  <si>
    <t>MC19-SDCS-1802-18-21</t>
  </si>
  <si>
    <t>sys_sample_code</t>
  </si>
  <si>
    <t>result_value</t>
  </si>
  <si>
    <t>detect_flag</t>
  </si>
  <si>
    <t>lab_qualifiers</t>
  </si>
  <si>
    <t>method_detection_limit</t>
  </si>
  <si>
    <t>result_unit</t>
  </si>
  <si>
    <t>0-3</t>
  </si>
  <si>
    <t>3-6</t>
  </si>
  <si>
    <t>6-9</t>
  </si>
  <si>
    <t>9-12</t>
  </si>
  <si>
    <t>12-15</t>
  </si>
  <si>
    <t>15-18</t>
  </si>
  <si>
    <t>18-21</t>
  </si>
  <si>
    <t>Average for Appropriate Depth Interval, mg/L</t>
  </si>
  <si>
    <t>then the dissolved organic carbon concentration is the average of the three values for low TOC sediments, i.e.:</t>
  </si>
  <si>
    <t>then the dissolved organic carbon concentration is given by the formula on the graph.</t>
  </si>
  <si>
    <t>Dissolved organic carbon was not measured in every sample, but was instead extrapolated from the total organic carbon concentration (TOC).</t>
  </si>
  <si>
    <t>If the TOC was less than 12,000 mg/kg, then the DOC was the average of concentrations observed in the lowest three samples.</t>
  </si>
  <si>
    <t>The average was</t>
  </si>
  <si>
    <t>mg/L</t>
  </si>
  <si>
    <t>and is applicable to sand cover layers.</t>
  </si>
  <si>
    <t>If the TOC was greater than or equal to 12,000 mg/kg, the DOC was given by the fit to the curve on figure:</t>
  </si>
  <si>
    <t>Average % TOC</t>
  </si>
  <si>
    <t>If the total organic carbon concentration in the sediment is less than 12,000 (1.2%)</t>
  </si>
  <si>
    <t>If the total organic carbon concentration in the sediment is greater than or equal to 12,000 (1.2%),</t>
  </si>
  <si>
    <t>%TOC</t>
  </si>
  <si>
    <t>^2</t>
  </si>
  <si>
    <r>
      <t>Model of K</t>
    </r>
    <r>
      <rPr>
        <vertAlign val="subscript"/>
        <sz val="11"/>
        <color theme="1"/>
        <rFont val="Calibri"/>
        <family val="2"/>
        <scheme val="minor"/>
      </rPr>
      <t>DOC</t>
    </r>
  </si>
  <si>
    <t>Kipka &amp; Di Toro (2011)</t>
  </si>
  <si>
    <r>
      <t>log K</t>
    </r>
    <r>
      <rPr>
        <vertAlign val="subscript"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 xml:space="preserve"> Kipka &amp; Di Toro 2011, L/kg-DOC</t>
    </r>
  </si>
  <si>
    <r>
      <t>log K</t>
    </r>
    <r>
      <rPr>
        <b/>
        <vertAlign val="subscript"/>
        <sz val="10"/>
        <color theme="1"/>
        <rFont val="Arial"/>
        <family val="2"/>
      </rPr>
      <t>DOC</t>
    </r>
  </si>
  <si>
    <r>
      <t>log K</t>
    </r>
    <r>
      <rPr>
        <vertAlign val="subscript"/>
        <sz val="11"/>
        <color theme="1"/>
        <rFont val="Calibri"/>
        <family val="2"/>
        <scheme val="minor"/>
      </rPr>
      <t>DOCw</t>
    </r>
  </si>
  <si>
    <t>-0.85 + 0.59E -0.52S +0.63A -3.4B +3.94V</t>
  </si>
  <si>
    <t>Neale et al 2012 Aldrich Humic Acid</t>
  </si>
  <si>
    <r>
      <t>log K</t>
    </r>
    <r>
      <rPr>
        <vertAlign val="subscript"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>, L/kg-DOC Kipka</t>
    </r>
  </si>
  <si>
    <t>Neal et al. (2012) Aldrich humic acid</t>
  </si>
  <si>
    <t>Neal et al. (2012) Suwannee River FA/water</t>
  </si>
  <si>
    <r>
      <t>log K</t>
    </r>
    <r>
      <rPr>
        <vertAlign val="subscript"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>, L/kg-DOC Neal humic acid</t>
    </r>
  </si>
  <si>
    <r>
      <t>log K</t>
    </r>
    <r>
      <rPr>
        <vertAlign val="subscript"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>, L/kg-DOC Neal Suwannee River FA</t>
    </r>
  </si>
  <si>
    <t>CF</t>
  </si>
  <si>
    <t>Six-Step Process in SiREM SOP</t>
  </si>
  <si>
    <t>Elapsed t=</t>
  </si>
  <si>
    <t>days</t>
  </si>
  <si>
    <t>Supplemental Info to Choi et al. 2013</t>
  </si>
  <si>
    <r>
      <t>log K</t>
    </r>
    <r>
      <rPr>
        <vertAlign val="subscript"/>
        <sz val="11"/>
        <color theme="1"/>
        <rFont val="Calibri"/>
        <family val="2"/>
        <scheme val="minor"/>
      </rPr>
      <t>OW</t>
    </r>
    <r>
      <rPr>
        <sz val="11"/>
        <color theme="1"/>
        <rFont val="Calibri"/>
        <family val="2"/>
        <scheme val="minor"/>
      </rPr>
      <t xml:space="preserve"> Abraham 2010 ppLFER</t>
    </r>
  </si>
  <si>
    <t>Abraham, M. H., Acree, W. E. (2010) New J. Chem. 34, 2298-2305.</t>
  </si>
  <si>
    <r>
      <t>Model of K</t>
    </r>
    <r>
      <rPr>
        <vertAlign val="subscript"/>
        <sz val="11"/>
        <color theme="1"/>
        <rFont val="Calibri"/>
        <family val="2"/>
        <scheme val="minor"/>
      </rPr>
      <t>OW</t>
    </r>
  </si>
  <si>
    <r>
      <t>log K</t>
    </r>
    <r>
      <rPr>
        <vertAlign val="subscript"/>
        <sz val="11"/>
        <color theme="1"/>
        <rFont val="Calibri"/>
        <family val="2"/>
        <scheme val="minor"/>
      </rPr>
      <t>OW</t>
    </r>
    <r>
      <rPr>
        <sz val="11"/>
        <color theme="1"/>
        <rFont val="Calibri"/>
        <family val="2"/>
        <scheme val="minor"/>
      </rPr>
      <t>, L/kg-octanol Hawker &amp; Connell</t>
    </r>
  </si>
  <si>
    <r>
      <t>log K</t>
    </r>
    <r>
      <rPr>
        <vertAlign val="subscript"/>
        <sz val="11"/>
        <color theme="1"/>
        <rFont val="Calibri"/>
        <family val="2"/>
        <scheme val="minor"/>
      </rPr>
      <t>OW</t>
    </r>
    <r>
      <rPr>
        <sz val="11"/>
        <color theme="1"/>
        <rFont val="Calibri"/>
        <family val="2"/>
        <scheme val="minor"/>
      </rPr>
      <t>, L/kg-octanol Abraham et al. 2010 ppLFER</t>
    </r>
  </si>
  <si>
    <r>
      <t>Equation 6 with Hawker &amp; Connell log K</t>
    </r>
    <r>
      <rPr>
        <vertAlign val="subscript"/>
        <sz val="11"/>
        <color theme="1"/>
        <rFont val="Calibri"/>
        <family val="2"/>
        <scheme val="minor"/>
      </rPr>
      <t>OW</t>
    </r>
  </si>
  <si>
    <t>Goss &amp; Schwartzenback 2001; Abraham et al. 1994</t>
  </si>
  <si>
    <t>Result Borrelli (Eqn 7)</t>
  </si>
  <si>
    <t>Average Temperature during deployment =</t>
  </si>
  <si>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C</t>
    </r>
  </si>
  <si>
    <r>
      <t>log K</t>
    </r>
    <r>
      <rPr>
        <vertAlign val="subscript"/>
        <sz val="11"/>
        <color theme="1"/>
        <rFont val="Calibri"/>
        <family val="2"/>
        <scheme val="minor"/>
      </rPr>
      <t>pe</t>
    </r>
    <r>
      <rPr>
        <sz val="11"/>
        <color theme="1"/>
        <rFont val="Calibri"/>
        <family val="2"/>
        <scheme val="minor"/>
      </rPr>
      <t xml:space="preserve"> (L water kg-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PE) 25</t>
    </r>
    <r>
      <rPr>
        <sz val="11"/>
        <color theme="1"/>
        <rFont val="Calibri"/>
        <family val="2"/>
      </rPr>
      <t>°C</t>
    </r>
  </si>
  <si>
    <r>
      <t>log K</t>
    </r>
    <r>
      <rPr>
        <vertAlign val="subscript"/>
        <sz val="11"/>
        <color theme="1"/>
        <rFont val="Calibri"/>
        <family val="2"/>
        <scheme val="minor"/>
      </rPr>
      <t>pe</t>
    </r>
    <r>
      <rPr>
        <sz val="11"/>
        <color theme="1"/>
        <rFont val="Calibri"/>
        <family val="2"/>
        <scheme val="minor"/>
      </rPr>
      <t xml:space="preserve"> (L water kg-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PE) 19</t>
    </r>
    <r>
      <rPr>
        <sz val="11"/>
        <color theme="1"/>
        <rFont val="Calibri"/>
        <family val="2"/>
      </rPr>
      <t>°C</t>
    </r>
  </si>
  <si>
    <r>
      <t>ΔH</t>
    </r>
    <r>
      <rPr>
        <vertAlign val="subscript"/>
        <sz val="11"/>
        <color theme="1"/>
        <rFont val="Calibri"/>
        <family val="2"/>
      </rPr>
      <t>PE</t>
    </r>
  </si>
  <si>
    <r>
      <t>f</t>
    </r>
    <r>
      <rPr>
        <vertAlign val="subscript"/>
        <sz val="11"/>
        <color theme="1"/>
        <rFont val="Sitka Text"/>
      </rPr>
      <t>PRC</t>
    </r>
  </si>
  <si>
    <r>
      <t>K</t>
    </r>
    <r>
      <rPr>
        <vertAlign val="subscript"/>
        <sz val="11"/>
        <color theme="1"/>
        <rFont val="Sitka Text"/>
      </rPr>
      <t>PE</t>
    </r>
  </si>
  <si>
    <r>
      <t>D</t>
    </r>
    <r>
      <rPr>
        <vertAlign val="subscript"/>
        <sz val="11"/>
        <color theme="1"/>
        <rFont val="Sitka Text"/>
      </rPr>
      <t>W</t>
    </r>
  </si>
  <si>
    <r>
      <t>Diffusivity of chemical in water, cm</t>
    </r>
    <r>
      <rPr>
        <vertAlign val="superscript"/>
        <sz val="11"/>
        <color theme="1"/>
        <rFont val="Sitka Text"/>
      </rPr>
      <t>2</t>
    </r>
    <r>
      <rPr>
        <sz val="11"/>
        <color theme="1"/>
        <rFont val="Sitka Text"/>
      </rPr>
      <t>/day</t>
    </r>
  </si>
  <si>
    <r>
      <t>D</t>
    </r>
    <r>
      <rPr>
        <vertAlign val="subscript"/>
        <sz val="11"/>
        <color theme="1"/>
        <rFont val="Sitka Text"/>
      </rPr>
      <t>PE</t>
    </r>
    <r>
      <rPr>
        <sz val="11"/>
        <color theme="1"/>
        <rFont val="Sitka Text"/>
      </rPr>
      <t xml:space="preserve"> </t>
    </r>
  </si>
  <si>
    <r>
      <t>Diffusivity of chemical in polyethylene, cm</t>
    </r>
    <r>
      <rPr>
        <vertAlign val="superscript"/>
        <sz val="11"/>
        <color theme="1"/>
        <rFont val="Sitka Text"/>
      </rPr>
      <t>2</t>
    </r>
    <r>
      <rPr>
        <sz val="11"/>
        <color theme="1"/>
        <rFont val="Sitka Text"/>
      </rPr>
      <t>/day</t>
    </r>
  </si>
  <si>
    <t>PE half thickness, cm</t>
  </si>
  <si>
    <r>
      <t>K</t>
    </r>
    <r>
      <rPr>
        <b/>
        <vertAlign val="subscript"/>
        <sz val="10"/>
        <color theme="1"/>
        <rFont val="Sitka Text"/>
      </rPr>
      <t>PE</t>
    </r>
  </si>
  <si>
    <r>
      <t>log K</t>
    </r>
    <r>
      <rPr>
        <b/>
        <vertAlign val="subscript"/>
        <sz val="10"/>
        <color theme="1"/>
        <rFont val="Sitka Text"/>
      </rPr>
      <t>PE</t>
    </r>
  </si>
  <si>
    <r>
      <t>D</t>
    </r>
    <r>
      <rPr>
        <b/>
        <vertAlign val="subscript"/>
        <sz val="10"/>
        <color theme="1"/>
        <rFont val="Sitka Text"/>
      </rPr>
      <t>PE</t>
    </r>
  </si>
  <si>
    <r>
      <t>D</t>
    </r>
    <r>
      <rPr>
        <b/>
        <vertAlign val="subscript"/>
        <sz val="10"/>
        <color theme="1"/>
        <rFont val="Sitka Text"/>
      </rPr>
      <t>W</t>
    </r>
  </si>
  <si>
    <r>
      <t>Observed f</t>
    </r>
    <r>
      <rPr>
        <b/>
        <vertAlign val="subscript"/>
        <sz val="10"/>
        <color theme="1"/>
        <rFont val="Sitka Text"/>
      </rPr>
      <t>PRC</t>
    </r>
  </si>
  <si>
    <r>
      <t>Predicted f</t>
    </r>
    <r>
      <rPr>
        <b/>
        <vertAlign val="subscript"/>
        <sz val="10"/>
        <color theme="1"/>
        <rFont val="Sitka Text"/>
      </rPr>
      <t>PRC</t>
    </r>
    <r>
      <rPr>
        <b/>
        <sz val="10"/>
        <color theme="1"/>
        <rFont val="Sitka Text"/>
      </rPr>
      <t xml:space="preserve"> or f</t>
    </r>
    <r>
      <rPr>
        <b/>
        <vertAlign val="subscript"/>
        <sz val="10"/>
        <color theme="1"/>
        <rFont val="Sitka Text"/>
      </rPr>
      <t>target</t>
    </r>
  </si>
  <si>
    <r>
      <t>Predicted f</t>
    </r>
    <r>
      <rPr>
        <b/>
        <vertAlign val="subscript"/>
        <sz val="10"/>
        <color theme="1"/>
        <rFont val="Sitka Text"/>
      </rPr>
      <t>PRC</t>
    </r>
    <r>
      <rPr>
        <b/>
        <sz val="10"/>
        <color theme="1"/>
        <rFont val="Sitka Text"/>
      </rPr>
      <t xml:space="preserve"> - Observed f</t>
    </r>
    <r>
      <rPr>
        <b/>
        <vertAlign val="subscript"/>
        <sz val="10"/>
        <color theme="1"/>
        <rFont val="Sitka Text"/>
      </rPr>
      <t>PRC</t>
    </r>
  </si>
  <si>
    <r>
      <t>k</t>
    </r>
    <r>
      <rPr>
        <b/>
        <vertAlign val="subscript"/>
        <sz val="10"/>
        <color theme="1"/>
        <rFont val="Sitka Text"/>
      </rPr>
      <t>e</t>
    </r>
  </si>
  <si>
    <r>
      <t>Log (Opposite k</t>
    </r>
    <r>
      <rPr>
        <b/>
        <vertAlign val="subscript"/>
        <sz val="10"/>
        <color theme="1"/>
        <rFont val="Sitka Text"/>
      </rPr>
      <t>e)</t>
    </r>
  </si>
  <si>
    <r>
      <t>cm</t>
    </r>
    <r>
      <rPr>
        <b/>
        <vertAlign val="superscript"/>
        <sz val="10"/>
        <color theme="1"/>
        <rFont val="Sitka Text"/>
      </rPr>
      <t>2</t>
    </r>
    <r>
      <rPr>
        <b/>
        <sz val="10"/>
        <color theme="1"/>
        <rFont val="Sitka Text"/>
      </rPr>
      <t>/day</t>
    </r>
  </si>
  <si>
    <r>
      <t>(day</t>
    </r>
    <r>
      <rPr>
        <b/>
        <vertAlign val="superscript"/>
        <sz val="10"/>
        <color theme="1"/>
        <rFont val="Sitka Text"/>
      </rPr>
      <t>-1</t>
    </r>
    <r>
      <rPr>
        <b/>
        <sz val="10"/>
        <color theme="1"/>
        <rFont val="Sitka Text"/>
      </rPr>
      <t>)</t>
    </r>
  </si>
  <si>
    <t>Note: Units of KPEW must be volume per volume to cancel out in erf function.</t>
  </si>
  <si>
    <t>Homolog Group</t>
  </si>
  <si>
    <t>PRC</t>
  </si>
  <si>
    <t>2,4´-DDD</t>
  </si>
  <si>
    <t>Di</t>
  </si>
  <si>
    <t>Tri</t>
  </si>
  <si>
    <t>Tetra</t>
  </si>
  <si>
    <t>Penta</t>
  </si>
  <si>
    <t>Hexa</t>
  </si>
  <si>
    <t>Hepta</t>
  </si>
  <si>
    <t>Octa</t>
  </si>
  <si>
    <t>PCB Number</t>
  </si>
  <si>
    <t>MC19-PSCS-0603-0-2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</si>
  <si>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OC</t>
    </r>
  </si>
  <si>
    <t>MC19-PSCS-0604-0-2</t>
  </si>
  <si>
    <t>MC19-PSCS-0901-0-3</t>
  </si>
  <si>
    <t>MC19-PSCS-0902-0-3</t>
  </si>
  <si>
    <t>MC19-PSCS-0903-0-3</t>
  </si>
  <si>
    <t>ND</t>
  </si>
  <si>
    <t>MC19-PSCS-0904-0-3</t>
  </si>
  <si>
    <t>MC19-PSCS-1201-0-3</t>
  </si>
  <si>
    <t>R J</t>
  </si>
  <si>
    <t>MC19-PSCS-1203-0-3</t>
  </si>
  <si>
    <t>MC19-PSCS-1801-0-3</t>
  </si>
  <si>
    <t>MC19-PSCS-1802-0-3</t>
  </si>
  <si>
    <t>MC19-PSCS-1803-0-3</t>
  </si>
  <si>
    <t>MC19-PSCS-1804-0-3</t>
  </si>
  <si>
    <t>N.A.</t>
  </si>
  <si>
    <t>No</t>
  </si>
  <si>
    <t>Chemical Properties</t>
  </si>
  <si>
    <r>
      <t>Predicted f</t>
    </r>
    <r>
      <rPr>
        <b/>
        <vertAlign val="subscript"/>
        <sz val="11"/>
        <color theme="1"/>
        <rFont val="Calibri"/>
        <family val="2"/>
        <scheme val="minor"/>
      </rPr>
      <t xml:space="preserve">PRC </t>
    </r>
    <r>
      <rPr>
        <b/>
        <sz val="11"/>
        <color theme="1"/>
        <rFont val="Calibri"/>
        <family val="2"/>
      </rPr>
      <t>Minus</t>
    </r>
    <r>
      <rPr>
        <b/>
        <sz val="11"/>
        <color theme="1"/>
        <rFont val="Calibri"/>
        <family val="2"/>
        <scheme val="minor"/>
      </rPr>
      <t xml:space="preserve"> Observed Squared</t>
    </r>
  </si>
  <si>
    <t>Sediment Core Samples with Deposits on Top</t>
  </si>
  <si>
    <t>Sediment Properties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</si>
  <si>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 xml:space="preserve"> Predicted Nguyen</t>
    </r>
  </si>
  <si>
    <r>
      <t>Fitted Log K</t>
    </r>
    <r>
      <rPr>
        <b/>
        <vertAlign val="subscript"/>
        <sz val="10"/>
        <color rgb="FF000000"/>
        <rFont val="Arial"/>
        <family val="2"/>
      </rPr>
      <t>OC</t>
    </r>
    <r>
      <rPr>
        <b/>
        <sz val="10"/>
        <color rgb="FF000000"/>
        <rFont val="Arial"/>
        <family val="2"/>
      </rPr>
      <t>, L/kg-oc</t>
    </r>
  </si>
  <si>
    <r>
      <t>Models of K</t>
    </r>
    <r>
      <rPr>
        <vertAlign val="subscript"/>
        <sz val="11"/>
        <color theme="1"/>
        <rFont val="Calibri"/>
        <family val="2"/>
        <scheme val="minor"/>
      </rPr>
      <t>OC</t>
    </r>
  </si>
  <si>
    <t>Poole (1999)</t>
  </si>
  <si>
    <t>Bronner (2011)</t>
  </si>
  <si>
    <t>Endo (2009)</t>
  </si>
  <si>
    <t>Chemical Property = e*E+s*S+a*A+b*B+v*V+c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</si>
  <si>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 xml:space="preserve"> Predicted Poole</t>
    </r>
  </si>
  <si>
    <r>
      <t>Predicted log K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 xml:space="preserve"> Minus Fitted log K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 xml:space="preserve"> squared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</si>
  <si>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 xml:space="preserve"> Predicted Bronner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</si>
  <si>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 xml:space="preserve"> Predicted Endo</t>
    </r>
  </si>
  <si>
    <t>Coal Tar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</si>
  <si>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 xml:space="preserve"> Predicted Coal Tar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</si>
  <si>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OC</t>
    </r>
    <r>
      <rPr>
        <b/>
        <sz val="11"/>
        <color theme="1"/>
        <rFont val="Calibri"/>
        <family val="2"/>
        <scheme val="minor"/>
      </rPr>
      <t xml:space="preserve"> Predicted Endo 430 </t>
    </r>
  </si>
  <si>
    <r>
      <t>log K</t>
    </r>
    <r>
      <rPr>
        <b/>
        <vertAlign val="subscript"/>
        <sz val="11"/>
        <color theme="1"/>
        <rFont val="Calibri"/>
        <family val="2"/>
        <scheme val="minor"/>
      </rPr>
      <t>OW</t>
    </r>
  </si>
  <si>
    <r>
      <t>Endo, S., Grathwohl, P., Haderlein, S.B., and T.C. Schmidt. 2009. LFERs for soil organic carbon</t>
    </r>
    <r>
      <rPr>
        <sz val="11"/>
        <color theme="1"/>
        <rFont val="Calibri"/>
        <family val="2"/>
      </rPr>
      <t>–water distribution coefficients (KOC) at environmentally relevant sorbate concentrations. Environ. Sci. Technol. 43: 3094-3100.</t>
    </r>
  </si>
  <si>
    <t>Endo et al (2009 for 430 mg sorbate/kg OC</t>
  </si>
  <si>
    <r>
      <t>Predicted f</t>
    </r>
    <r>
      <rPr>
        <b/>
        <vertAlign val="subscript"/>
        <sz val="10"/>
        <color theme="1"/>
        <rFont val="Arial"/>
        <family val="2"/>
      </rPr>
      <t>PRC</t>
    </r>
    <r>
      <rPr>
        <b/>
        <sz val="10"/>
        <color theme="1"/>
        <rFont val="Arial"/>
        <family val="2"/>
      </rPr>
      <t xml:space="preserve"> - Observed f</t>
    </r>
    <r>
      <rPr>
        <b/>
        <vertAlign val="subscript"/>
        <sz val="10"/>
        <color theme="1"/>
        <rFont val="Arial"/>
        <family val="2"/>
      </rPr>
      <t>PRC</t>
    </r>
    <r>
      <rPr>
        <b/>
        <sz val="10"/>
        <color theme="1"/>
        <rFont val="Arial"/>
        <family val="2"/>
      </rPr>
      <t xml:space="preserve"> Squared</t>
    </r>
  </si>
  <si>
    <r>
      <t>Fitted log K</t>
    </r>
    <r>
      <rPr>
        <b/>
        <vertAlign val="subscript"/>
        <sz val="10"/>
        <color theme="1"/>
        <rFont val="Arial"/>
        <family val="2"/>
      </rPr>
      <t>OC</t>
    </r>
  </si>
  <si>
    <t>MC19-PSCS-0901-3-6</t>
  </si>
  <si>
    <t>MC19-PSCS-0902-3-6</t>
  </si>
  <si>
    <r>
      <t>log K</t>
    </r>
    <r>
      <rPr>
        <b/>
        <vertAlign val="subscript"/>
        <sz val="10"/>
        <color theme="1"/>
        <rFont val="Arial"/>
        <family val="2"/>
      </rPr>
      <t>OC</t>
    </r>
    <r>
      <rPr>
        <b/>
        <sz val="10"/>
        <color theme="1"/>
        <rFont val="Arial"/>
        <family val="2"/>
      </rPr>
      <t xml:space="preserve"> Endo et al. 2009 430 mg/kg OC</t>
    </r>
  </si>
  <si>
    <r>
      <t>log K</t>
    </r>
    <r>
      <rPr>
        <b/>
        <vertAlign val="subscript"/>
        <sz val="11"/>
        <color theme="1"/>
        <rFont val="Calibri"/>
        <family val="2"/>
        <scheme val="minor"/>
      </rPr>
      <t>DOC</t>
    </r>
    <r>
      <rPr>
        <b/>
        <sz val="11"/>
        <color theme="1"/>
        <rFont val="Calibri"/>
        <family val="2"/>
        <scheme val="minor"/>
      </rPr>
      <t>, L/kg-DOC Neal Humic Acid</t>
    </r>
  </si>
  <si>
    <r>
      <t>log K</t>
    </r>
    <r>
      <rPr>
        <vertAlign val="subscript"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>, L/kg-DOC Neal Humic Acid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</si>
</sst>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E+00"/>
    <numFmt numFmtId="166" formatCode="0.000"/>
    <numFmt numFmtId="167" formatCode="0.0000"/>
    <numFmt numFmtId="168" formatCode="0.0%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3.2"/>
      <color theme="1"/>
      <name val="Calibri"/>
      <family val="2"/>
    </font>
    <font>
      <vertAlign val="subscript"/>
      <sz val="13.2"/>
      <color theme="1"/>
      <name val="Calibri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Sitka Text"/>
    </font>
    <font>
      <vertAlign val="subscript"/>
      <sz val="11"/>
      <color theme="1"/>
      <name val="Sitka Text"/>
    </font>
    <font>
      <vertAlign val="superscript"/>
      <sz val="11"/>
      <color theme="1"/>
      <name val="Sitka Text"/>
    </font>
    <font>
      <b/>
      <sz val="10"/>
      <color theme="1"/>
      <name val="Sitka Text"/>
    </font>
    <font>
      <b/>
      <vertAlign val="subscript"/>
      <sz val="10"/>
      <color theme="1"/>
      <name val="Sitka Text"/>
    </font>
    <font>
      <b/>
      <vertAlign val="superscript"/>
      <sz val="10"/>
      <color theme="1"/>
      <name val="Sitka Text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5FECA"/>
        <bgColor indexed="64"/>
      </patternFill>
    </fill>
    <fill>
      <patternFill patternType="solid">
        <fgColor rgb="FFD9F5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20" fillId="0" borderId="0"/>
  </cellStyleXfs>
  <cellXfs count="369">
    <xf numFmtId="0" fontId="0" fillId="0" borderId="0" xfId="0"/>
    <xf numFmtId="0" fontId="0" fillId="0" borderId="1" xfId="0" applyBorder="1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9" fillId="0" borderId="0" xfId="1"/>
    <xf numFmtId="3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0" borderId="2" xfId="0" applyBorder="1" applyAlignment="1">
      <alignment wrapText="1"/>
    </xf>
    <xf numFmtId="165" fontId="0" fillId="0" borderId="0" xfId="0" applyNumberFormat="1"/>
    <xf numFmtId="0" fontId="0" fillId="0" borderId="2" xfId="0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166" fontId="0" fillId="0" borderId="0" xfId="0" applyNumberFormat="1"/>
    <xf numFmtId="167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Border="1"/>
    <xf numFmtId="0" fontId="0" fillId="0" borderId="2" xfId="0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11" xfId="0" applyBorder="1"/>
    <xf numFmtId="0" fontId="1" fillId="2" borderId="9" xfId="0" applyFont="1" applyFill="1" applyBorder="1" applyAlignment="1">
      <alignment horizontal="center" vertical="center"/>
    </xf>
    <xf numFmtId="2" fontId="0" fillId="0" borderId="0" xfId="0" applyNumberFormat="1" applyBorder="1"/>
    <xf numFmtId="2" fontId="0" fillId="0" borderId="12" xfId="0" applyNumberFormat="1" applyBorder="1"/>
    <xf numFmtId="168" fontId="0" fillId="0" borderId="0" xfId="0" applyNumberFormat="1"/>
    <xf numFmtId="0" fontId="11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" xfId="0" applyFont="1" applyBorder="1"/>
    <xf numFmtId="3" fontId="11" fillId="0" borderId="0" xfId="0" applyNumberFormat="1" applyFont="1"/>
    <xf numFmtId="0" fontId="1" fillId="2" borderId="0" xfId="0" applyFont="1" applyFill="1" applyBorder="1" applyAlignment="1">
      <alignment horizontal="center" vertical="center"/>
    </xf>
    <xf numFmtId="0" fontId="11" fillId="0" borderId="6" xfId="0" applyFont="1" applyBorder="1"/>
    <xf numFmtId="2" fontId="11" fillId="0" borderId="12" xfId="0" applyNumberFormat="1" applyFont="1" applyBorder="1"/>
    <xf numFmtId="0" fontId="11" fillId="0" borderId="12" xfId="0" applyFont="1" applyBorder="1"/>
    <xf numFmtId="3" fontId="11" fillId="0" borderId="12" xfId="0" applyNumberFormat="1" applyFont="1" applyBorder="1"/>
    <xf numFmtId="0" fontId="11" fillId="0" borderId="5" xfId="0" applyFont="1" applyBorder="1"/>
    <xf numFmtId="2" fontId="11" fillId="0" borderId="0" xfId="0" applyNumberFormat="1" applyFont="1" applyBorder="1"/>
    <xf numFmtId="0" fontId="11" fillId="0" borderId="0" xfId="0" applyFont="1" applyBorder="1"/>
    <xf numFmtId="3" fontId="11" fillId="0" borderId="0" xfId="0" applyNumberFormat="1" applyFont="1" applyBorder="1"/>
    <xf numFmtId="2" fontId="11" fillId="0" borderId="5" xfId="0" applyNumberFormat="1" applyFont="1" applyBorder="1"/>
    <xf numFmtId="2" fontId="11" fillId="0" borderId="7" xfId="0" applyNumberFormat="1" applyFont="1" applyBorder="1"/>
    <xf numFmtId="2" fontId="11" fillId="0" borderId="2" xfId="0" applyNumberFormat="1" applyFont="1" applyBorder="1"/>
    <xf numFmtId="3" fontId="11" fillId="0" borderId="2" xfId="0" applyNumberFormat="1" applyFont="1" applyBorder="1"/>
    <xf numFmtId="3" fontId="11" fillId="0" borderId="1" xfId="0" applyNumberFormat="1" applyFont="1" applyBorder="1"/>
    <xf numFmtId="0" fontId="11" fillId="0" borderId="13" xfId="0" applyFont="1" applyBorder="1"/>
    <xf numFmtId="0" fontId="11" fillId="0" borderId="2" xfId="0" applyFont="1" applyBorder="1"/>
    <xf numFmtId="0" fontId="11" fillId="0" borderId="11" xfId="0" applyFont="1" applyBorder="1"/>
    <xf numFmtId="0" fontId="1" fillId="2" borderId="0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165" fontId="11" fillId="0" borderId="12" xfId="0" applyNumberFormat="1" applyFont="1" applyBorder="1"/>
    <xf numFmtId="2" fontId="11" fillId="0" borderId="12" xfId="0" applyNumberFormat="1" applyFont="1" applyBorder="1" applyAlignment="1">
      <alignment horizontal="center"/>
    </xf>
    <xf numFmtId="0" fontId="11" fillId="0" borderId="10" xfId="0" applyFont="1" applyBorder="1"/>
    <xf numFmtId="0" fontId="11" fillId="0" borderId="5" xfId="0" applyFont="1" applyBorder="1" applyAlignment="1">
      <alignment horizontal="center"/>
    </xf>
    <xf numFmtId="165" fontId="11" fillId="0" borderId="0" xfId="0" applyNumberFormat="1" applyFont="1" applyBorder="1"/>
    <xf numFmtId="2" fontId="11" fillId="0" borderId="0" xfId="0" applyNumberFormat="1" applyFont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3" fontId="11" fillId="0" borderId="13" xfId="0" applyNumberFormat="1" applyFont="1" applyBorder="1"/>
    <xf numFmtId="0" fontId="11" fillId="0" borderId="7" xfId="0" applyFont="1" applyBorder="1" applyAlignment="1">
      <alignment horizontal="center"/>
    </xf>
    <xf numFmtId="165" fontId="11" fillId="0" borderId="2" xfId="0" applyNumberFormat="1" applyFont="1" applyBorder="1"/>
    <xf numFmtId="2" fontId="11" fillId="3" borderId="2" xfId="0" applyNumberFormat="1" applyFont="1" applyFill="1" applyBorder="1" applyAlignment="1">
      <alignment horizontal="center"/>
    </xf>
    <xf numFmtId="3" fontId="11" fillId="0" borderId="11" xfId="0" applyNumberFormat="1" applyFont="1" applyBorder="1"/>
    <xf numFmtId="164" fontId="11" fillId="3" borderId="0" xfId="0" applyNumberFormat="1" applyFont="1" applyFill="1" applyBorder="1" applyAlignment="1">
      <alignment horizontal="center"/>
    </xf>
    <xf numFmtId="2" fontId="11" fillId="3" borderId="12" xfId="0" applyNumberFormat="1" applyFont="1" applyFill="1" applyBorder="1"/>
    <xf numFmtId="2" fontId="11" fillId="3" borderId="0" xfId="0" applyNumberFormat="1" applyFont="1" applyFill="1" applyBorder="1"/>
    <xf numFmtId="3" fontId="11" fillId="3" borderId="12" xfId="0" applyNumberFormat="1" applyFont="1" applyFill="1" applyBorder="1"/>
    <xf numFmtId="3" fontId="11" fillId="3" borderId="0" xfId="0" applyNumberFormat="1" applyFont="1" applyFill="1" applyBorder="1"/>
    <xf numFmtId="0" fontId="0" fillId="0" borderId="0" xfId="0" applyAlignment="1">
      <alignment horizontal="center"/>
    </xf>
    <xf numFmtId="3" fontId="11" fillId="0" borderId="9" xfId="0" applyNumberFormat="1" applyFont="1" applyBorder="1"/>
    <xf numFmtId="3" fontId="11" fillId="0" borderId="1" xfId="0" applyNumberFormat="1" applyFont="1" applyBorder="1" applyAlignment="1">
      <alignment horizontal="right" vertical="center"/>
    </xf>
    <xf numFmtId="0" fontId="11" fillId="0" borderId="1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3" borderId="2" xfId="0" applyNumberFormat="1" applyFont="1" applyFill="1" applyBorder="1"/>
    <xf numFmtId="0" fontId="1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quotePrefix="1" applyFont="1"/>
    <xf numFmtId="0" fontId="0" fillId="0" borderId="15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/>
    <xf numFmtId="0" fontId="2" fillId="4" borderId="14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/>
    <xf numFmtId="166" fontId="11" fillId="0" borderId="0" xfId="0" applyNumberFormat="1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3" fontId="11" fillId="0" borderId="10" xfId="0" applyNumberFormat="1" applyFont="1" applyBorder="1"/>
    <xf numFmtId="3" fontId="11" fillId="0" borderId="10" xfId="0" applyNumberFormat="1" applyFont="1" applyBorder="1" applyAlignment="1">
      <alignment horizontal="right" vertical="center"/>
    </xf>
    <xf numFmtId="3" fontId="11" fillId="0" borderId="13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0" borderId="0" xfId="0" quotePrefix="1" applyNumberFormat="1"/>
    <xf numFmtId="49" fontId="0" fillId="0" borderId="0" xfId="0" applyNumberFormat="1"/>
    <xf numFmtId="0" fontId="0" fillId="0" borderId="0" xfId="0" applyFill="1" applyBorder="1"/>
    <xf numFmtId="2" fontId="11" fillId="0" borderId="0" xfId="0" applyNumberFormat="1" applyFont="1" applyFill="1" applyBorder="1"/>
    <xf numFmtId="0" fontId="1" fillId="0" borderId="0" xfId="0" applyFont="1" applyFill="1"/>
    <xf numFmtId="0" fontId="11" fillId="0" borderId="0" xfId="0" applyFont="1" applyFill="1"/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166" fontId="11" fillId="0" borderId="0" xfId="0" applyNumberFormat="1" applyFont="1" applyFill="1"/>
    <xf numFmtId="0" fontId="1" fillId="5" borderId="6" xfId="0" applyFont="1" applyFill="1" applyBorder="1"/>
    <xf numFmtId="0" fontId="11" fillId="5" borderId="12" xfId="0" applyFont="1" applyFill="1" applyBorder="1"/>
    <xf numFmtId="0" fontId="16" fillId="5" borderId="12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1" fillId="5" borderId="5" xfId="0" applyFont="1" applyFill="1" applyBorder="1"/>
    <xf numFmtId="0" fontId="11" fillId="5" borderId="0" xfId="0" applyFont="1" applyFill="1" applyBorder="1"/>
    <xf numFmtId="2" fontId="11" fillId="5" borderId="0" xfId="0" applyNumberFormat="1" applyFont="1" applyFill="1" applyBorder="1"/>
    <xf numFmtId="166" fontId="11" fillId="5" borderId="13" xfId="0" applyNumberFormat="1" applyFont="1" applyFill="1" applyBorder="1"/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/>
    </xf>
    <xf numFmtId="3" fontId="11" fillId="5" borderId="5" xfId="0" applyNumberFormat="1" applyFont="1" applyFill="1" applyBorder="1"/>
    <xf numFmtId="1" fontId="11" fillId="5" borderId="0" xfId="0" applyNumberFormat="1" applyFont="1" applyFill="1" applyBorder="1"/>
    <xf numFmtId="0" fontId="11" fillId="5" borderId="13" xfId="0" applyFont="1" applyFill="1" applyBorder="1"/>
    <xf numFmtId="2" fontId="0" fillId="0" borderId="0" xfId="0" applyNumberFormat="1" applyAlignment="1">
      <alignment horizontal="right"/>
    </xf>
    <xf numFmtId="0" fontId="0" fillId="0" borderId="0" xfId="0" applyFill="1"/>
    <xf numFmtId="2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 vertical="center" wrapText="1"/>
    </xf>
    <xf numFmtId="0" fontId="20" fillId="0" borderId="0" xfId="2" applyBorder="1" applyAlignment="1">
      <alignment horizontal="left" vertical="center"/>
    </xf>
    <xf numFmtId="0" fontId="21" fillId="0" borderId="0" xfId="0" applyFont="1"/>
    <xf numFmtId="0" fontId="21" fillId="0" borderId="0" xfId="0" quotePrefix="1" applyFont="1"/>
    <xf numFmtId="0" fontId="21" fillId="7" borderId="1" xfId="0" applyFont="1" applyFill="1" applyBorder="1"/>
    <xf numFmtId="0" fontId="24" fillId="6" borderId="10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4" borderId="10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/>
    <xf numFmtId="0" fontId="24" fillId="2" borderId="6" xfId="0" applyFont="1" applyFill="1" applyBorder="1" applyAlignment="1">
      <alignment vertical="center"/>
    </xf>
    <xf numFmtId="2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wrapText="1"/>
    </xf>
    <xf numFmtId="0" fontId="24" fillId="2" borderId="9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wrapText="1"/>
    </xf>
    <xf numFmtId="0" fontId="24" fillId="2" borderId="9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165" fontId="21" fillId="4" borderId="1" xfId="0" applyNumberFormat="1" applyFont="1" applyFill="1" applyBorder="1" applyAlignment="1">
      <alignment horizontal="center"/>
    </xf>
    <xf numFmtId="2" fontId="21" fillId="4" borderId="1" xfId="0" applyNumberFormat="1" applyFont="1" applyFill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center" vertical="center"/>
    </xf>
    <xf numFmtId="0" fontId="21" fillId="0" borderId="6" xfId="0" applyFont="1" applyBorder="1"/>
    <xf numFmtId="166" fontId="21" fillId="0" borderId="0" xfId="0" applyNumberFormat="1" applyFont="1" applyBorder="1"/>
    <xf numFmtId="2" fontId="21" fillId="0" borderId="0" xfId="0" applyNumberFormat="1" applyFont="1" applyBorder="1"/>
    <xf numFmtId="0" fontId="21" fillId="0" borderId="12" xfId="0" applyFont="1" applyBorder="1"/>
    <xf numFmtId="166" fontId="21" fillId="0" borderId="12" xfId="0" applyNumberFormat="1" applyFont="1" applyBorder="1"/>
    <xf numFmtId="0" fontId="21" fillId="0" borderId="0" xfId="0" applyFont="1" applyBorder="1"/>
    <xf numFmtId="3" fontId="21" fillId="0" borderId="1" xfId="0" applyNumberFormat="1" applyFont="1" applyBorder="1"/>
    <xf numFmtId="2" fontId="21" fillId="0" borderId="12" xfId="0" applyNumberFormat="1" applyFont="1" applyBorder="1"/>
    <xf numFmtId="166" fontId="21" fillId="0" borderId="0" xfId="0" applyNumberFormat="1" applyFont="1"/>
    <xf numFmtId="3" fontId="21" fillId="0" borderId="8" xfId="0" applyNumberFormat="1" applyFont="1" applyBorder="1"/>
    <xf numFmtId="3" fontId="21" fillId="0" borderId="8" xfId="0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0" fontId="21" fillId="0" borderId="5" xfId="0" applyFont="1" applyBorder="1"/>
    <xf numFmtId="165" fontId="21" fillId="3" borderId="1" xfId="0" applyNumberFormat="1" applyFont="1" applyFill="1" applyBorder="1" applyAlignment="1">
      <alignment horizontal="center"/>
    </xf>
    <xf numFmtId="2" fontId="21" fillId="3" borderId="1" xfId="0" applyNumberFormat="1" applyFont="1" applyFill="1" applyBorder="1" applyAlignment="1">
      <alignment horizontal="center"/>
    </xf>
    <xf numFmtId="2" fontId="21" fillId="0" borderId="5" xfId="0" applyNumberFormat="1" applyFont="1" applyBorder="1"/>
    <xf numFmtId="167" fontId="21" fillId="3" borderId="0" xfId="0" applyNumberFormat="1" applyFont="1" applyFill="1" applyBorder="1"/>
    <xf numFmtId="167" fontId="21" fillId="0" borderId="0" xfId="0" applyNumberFormat="1" applyFont="1" applyBorder="1"/>
    <xf numFmtId="0" fontId="21" fillId="0" borderId="13" xfId="0" applyFont="1" applyBorder="1"/>
    <xf numFmtId="166" fontId="21" fillId="0" borderId="5" xfId="0" applyNumberFormat="1" applyFont="1" applyBorder="1"/>
    <xf numFmtId="166" fontId="21" fillId="3" borderId="0" xfId="0" applyNumberFormat="1" applyFont="1" applyFill="1" applyBorder="1"/>
    <xf numFmtId="2" fontId="21" fillId="0" borderId="7" xfId="0" applyNumberFormat="1" applyFont="1" applyBorder="1"/>
    <xf numFmtId="167" fontId="21" fillId="3" borderId="2" xfId="0" applyNumberFormat="1" applyFont="1" applyFill="1" applyBorder="1"/>
    <xf numFmtId="2" fontId="21" fillId="0" borderId="2" xfId="0" applyNumberFormat="1" applyFont="1" applyBorder="1"/>
    <xf numFmtId="167" fontId="21" fillId="0" borderId="2" xfId="0" applyNumberFormat="1" applyFont="1" applyBorder="1"/>
    <xf numFmtId="166" fontId="21" fillId="0" borderId="2" xfId="0" applyNumberFormat="1" applyFont="1" applyBorder="1"/>
    <xf numFmtId="0" fontId="21" fillId="0" borderId="2" xfId="0" applyFont="1" applyBorder="1"/>
    <xf numFmtId="0" fontId="21" fillId="0" borderId="11" xfId="0" applyFont="1" applyBorder="1"/>
    <xf numFmtId="166" fontId="21" fillId="3" borderId="2" xfId="0" applyNumberFormat="1" applyFont="1" applyFill="1" applyBorder="1"/>
    <xf numFmtId="0" fontId="11" fillId="0" borderId="9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9" xfId="0" applyFont="1" applyBorder="1"/>
    <xf numFmtId="2" fontId="0" fillId="0" borderId="1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0" fontId="18" fillId="5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2" fontId="11" fillId="0" borderId="0" xfId="0" applyNumberFormat="1" applyFont="1" applyBorder="1" applyAlignment="1">
      <alignment horizontal="right"/>
    </xf>
    <xf numFmtId="0" fontId="28" fillId="8" borderId="6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/>
    </xf>
    <xf numFmtId="2" fontId="11" fillId="0" borderId="12" xfId="0" applyNumberFormat="1" applyFont="1" applyBorder="1" applyAlignment="1">
      <alignment horizontal="right"/>
    </xf>
    <xf numFmtId="0" fontId="0" fillId="0" borderId="10" xfId="0" applyBorder="1" applyAlignment="1">
      <alignment horizontal="right"/>
    </xf>
    <xf numFmtId="0" fontId="11" fillId="0" borderId="5" xfId="0" applyFont="1" applyBorder="1" applyAlignment="1">
      <alignment horizontal="left" vertical="center"/>
    </xf>
    <xf numFmtId="0" fontId="0" fillId="0" borderId="13" xfId="0" applyBorder="1" applyAlignment="1">
      <alignment horizontal="right"/>
    </xf>
    <xf numFmtId="2" fontId="11" fillId="0" borderId="5" xfId="0" applyNumberFormat="1" applyFont="1" applyBorder="1" applyAlignment="1">
      <alignment horizontal="center" vertical="center"/>
    </xf>
    <xf numFmtId="1" fontId="0" fillId="0" borderId="13" xfId="0" applyNumberFormat="1" applyBorder="1"/>
    <xf numFmtId="2" fontId="11" fillId="0" borderId="7" xfId="0" applyNumberFormat="1" applyFont="1" applyBorder="1" applyAlignment="1">
      <alignment horizontal="center" vertical="center"/>
    </xf>
    <xf numFmtId="2" fontId="0" fillId="0" borderId="2" xfId="0" applyNumberFormat="1" applyBorder="1"/>
    <xf numFmtId="1" fontId="0" fillId="0" borderId="11" xfId="0" applyNumberFormat="1" applyBorder="1"/>
    <xf numFmtId="2" fontId="11" fillId="0" borderId="6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2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0" fillId="9" borderId="0" xfId="0" applyFill="1"/>
    <xf numFmtId="164" fontId="0" fillId="9" borderId="0" xfId="0" applyNumberFormat="1" applyFill="1"/>
    <xf numFmtId="166" fontId="0" fillId="9" borderId="0" xfId="0" applyNumberFormat="1" applyFill="1"/>
    <xf numFmtId="0" fontId="27" fillId="2" borderId="1" xfId="0" applyFont="1" applyFill="1" applyBorder="1" applyAlignment="1">
      <alignment horizontal="center" wrapText="1"/>
    </xf>
    <xf numFmtId="2" fontId="0" fillId="0" borderId="6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2" fontId="0" fillId="0" borderId="13" xfId="0" applyNumberFormat="1" applyBorder="1" applyAlignment="1">
      <alignment horizontal="left" vertical="center"/>
    </xf>
    <xf numFmtId="0" fontId="0" fillId="9" borderId="5" xfId="0" applyFill="1" applyBorder="1"/>
    <xf numFmtId="164" fontId="0" fillId="9" borderId="0" xfId="0" applyNumberFormat="1" applyFill="1" applyBorder="1"/>
    <xf numFmtId="0" fontId="0" fillId="9" borderId="0" xfId="0" applyFill="1" applyBorder="1"/>
    <xf numFmtId="166" fontId="0" fillId="9" borderId="0" xfId="0" applyNumberFormat="1" applyFill="1" applyBorder="1"/>
    <xf numFmtId="166" fontId="0" fillId="9" borderId="13" xfId="0" applyNumberFormat="1" applyFill="1" applyBorder="1"/>
    <xf numFmtId="2" fontId="0" fillId="0" borderId="7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2" fontId="0" fillId="0" borderId="11" xfId="0" applyNumberFormat="1" applyBorder="1" applyAlignment="1">
      <alignment horizontal="left" vertical="center"/>
    </xf>
    <xf numFmtId="0" fontId="28" fillId="11" borderId="6" xfId="0" applyFont="1" applyFill="1" applyBorder="1" applyAlignment="1">
      <alignment horizontal="center" vertical="center" wrapText="1"/>
    </xf>
    <xf numFmtId="0" fontId="28" fillId="11" borderId="4" xfId="0" applyFont="1" applyFill="1" applyBorder="1" applyAlignment="1">
      <alignment horizontal="center" vertical="center" wrapText="1"/>
    </xf>
    <xf numFmtId="0" fontId="27" fillId="12" borderId="1" xfId="0" applyFont="1" applyFill="1" applyBorder="1" applyAlignment="1">
      <alignment wrapText="1"/>
    </xf>
    <xf numFmtId="0" fontId="27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10" borderId="6" xfId="0" applyFont="1" applyFill="1" applyBorder="1" applyAlignment="1">
      <alignment horizontal="center" vertical="center" wrapText="1"/>
    </xf>
    <xf numFmtId="2" fontId="1" fillId="10" borderId="12" xfId="0" applyNumberFormat="1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/>
    </xf>
    <xf numFmtId="2" fontId="1" fillId="10" borderId="2" xfId="0" applyNumberFormat="1" applyFont="1" applyFill="1" applyBorder="1" applyAlignment="1">
      <alignment horizontal="center" vertical="center"/>
    </xf>
    <xf numFmtId="2" fontId="1" fillId="10" borderId="3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/>
    <xf numFmtId="0" fontId="1" fillId="0" borderId="12" xfId="0" applyFont="1" applyFill="1" applyBorder="1"/>
    <xf numFmtId="0" fontId="11" fillId="0" borderId="12" xfId="0" applyFont="1" applyFill="1" applyBorder="1"/>
    <xf numFmtId="0" fontId="16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27" fillId="0" borderId="12" xfId="0" applyFont="1" applyBorder="1"/>
    <xf numFmtId="0" fontId="18" fillId="0" borderId="10" xfId="0" applyFont="1" applyFill="1" applyBorder="1" applyAlignment="1">
      <alignment horizontal="center" vertical="center"/>
    </xf>
    <xf numFmtId="0" fontId="11" fillId="0" borderId="0" xfId="0" applyFont="1" applyFill="1" applyBorder="1"/>
    <xf numFmtId="166" fontId="11" fillId="0" borderId="0" xfId="0" applyNumberFormat="1" applyFont="1" applyFill="1" applyBorder="1"/>
    <xf numFmtId="166" fontId="11" fillId="0" borderId="13" xfId="0" applyNumberFormat="1" applyFont="1" applyFill="1" applyBorder="1"/>
    <xf numFmtId="0" fontId="1" fillId="10" borderId="3" xfId="0" applyFont="1" applyFill="1" applyBorder="1" applyAlignment="1">
      <alignment horizontal="center" vertical="center"/>
    </xf>
    <xf numFmtId="0" fontId="1" fillId="0" borderId="12" xfId="0" applyFont="1" applyBorder="1"/>
    <xf numFmtId="0" fontId="16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66" fontId="11" fillId="0" borderId="13" xfId="0" applyNumberFormat="1" applyFont="1" applyBorder="1"/>
    <xf numFmtId="2" fontId="20" fillId="0" borderId="0" xfId="2" applyNumberFormat="1"/>
    <xf numFmtId="2" fontId="20" fillId="0" borderId="0" xfId="2" applyNumberFormat="1" applyBorder="1"/>
    <xf numFmtId="3" fontId="0" fillId="0" borderId="13" xfId="0" applyNumberFormat="1" applyBorder="1"/>
    <xf numFmtId="164" fontId="11" fillId="0" borderId="0" xfId="0" applyNumberFormat="1" applyFont="1" applyBorder="1"/>
    <xf numFmtId="164" fontId="11" fillId="0" borderId="2" xfId="0" applyNumberFormat="1" applyFont="1" applyBorder="1"/>
    <xf numFmtId="0" fontId="24" fillId="2" borderId="6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center" wrapText="1"/>
    </xf>
    <xf numFmtId="0" fontId="27" fillId="10" borderId="12" xfId="0" applyFont="1" applyFill="1" applyBorder="1" applyAlignment="1">
      <alignment horizontal="center" wrapText="1"/>
    </xf>
    <xf numFmtId="0" fontId="27" fillId="10" borderId="10" xfId="0" applyFont="1" applyFill="1" applyBorder="1" applyAlignment="1">
      <alignment horizontal="center" wrapText="1"/>
    </xf>
    <xf numFmtId="0" fontId="27" fillId="10" borderId="7" xfId="0" applyFont="1" applyFill="1" applyBorder="1" applyAlignment="1">
      <alignment horizontal="center" wrapText="1"/>
    </xf>
    <xf numFmtId="0" fontId="27" fillId="10" borderId="2" xfId="0" applyFont="1" applyFill="1" applyBorder="1" applyAlignment="1">
      <alignment horizontal="center" wrapText="1"/>
    </xf>
    <xf numFmtId="0" fontId="27" fillId="10" borderId="11" xfId="0" applyFont="1" applyFill="1" applyBorder="1" applyAlignment="1">
      <alignment horizontal="center" wrapText="1"/>
    </xf>
    <xf numFmtId="0" fontId="27" fillId="2" borderId="3" xfId="0" applyFont="1" applyFill="1" applyBorder="1" applyAlignment="1">
      <alignment horizontal="center" wrapText="1"/>
    </xf>
    <xf numFmtId="0" fontId="27" fillId="2" borderId="4" xfId="0" applyFont="1" applyFill="1" applyBorder="1" applyAlignment="1">
      <alignment horizontal="center" wrapText="1"/>
    </xf>
    <xf numFmtId="0" fontId="27" fillId="2" borderId="6" xfId="0" applyFont="1" applyFill="1" applyBorder="1" applyAlignment="1">
      <alignment horizontal="center" wrapText="1"/>
    </xf>
    <xf numFmtId="0" fontId="27" fillId="2" borderId="7" xfId="0" applyFont="1" applyFill="1" applyBorder="1" applyAlignment="1">
      <alignment horizontal="center" wrapText="1"/>
    </xf>
    <xf numFmtId="0" fontId="27" fillId="2" borderId="10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28" fillId="8" borderId="8" xfId="0" applyFont="1" applyFill="1" applyBorder="1" applyAlignment="1">
      <alignment horizontal="center" vertical="center"/>
    </xf>
    <xf numFmtId="0" fontId="28" fillId="8" borderId="14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28" fillId="8" borderId="3" xfId="0" applyFont="1" applyFill="1" applyBorder="1" applyAlignment="1">
      <alignment horizontal="center" vertical="center" wrapText="1"/>
    </xf>
    <xf numFmtId="0" fontId="28" fillId="8" borderId="4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F0506692-8DF7-4929-A444-101DE8C1C84F}"/>
  </cellStyles>
  <dxfs count="0"/>
  <tableStyles count="0" defaultTableStyle="TableStyleMedium2" defaultPivotStyle="PivotStyleLight16"/>
  <colors>
    <mruColors>
      <color rgb="FFF5FECA"/>
      <color rgb="FFCCFFCC"/>
      <color rgb="FFCCCCFF"/>
      <color rgb="FFFF6699"/>
      <color rgb="FFFFCCFF"/>
      <color rgb="FFD9F5FF"/>
      <color rgb="FFDCDCDC"/>
      <color rgb="FF990000"/>
      <color rgb="FF66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38648293963253"/>
          <c:y val="0.17171296296296298"/>
          <c:w val="0.4686264216972878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Dissolved Organic Carbon - Duplicate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618066491688539"/>
                  <c:y val="-5.134259259259259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DOC!$O$3:$O$8</c:f>
              <c:numCache>
                <c:formatCode>General</c:formatCode>
                <c:ptCount val="6"/>
                <c:pt idx="0">
                  <c:v>0.74750000000000005</c:v>
                </c:pt>
                <c:pt idx="1">
                  <c:v>1.9</c:v>
                </c:pt>
                <c:pt idx="2">
                  <c:v>0.35449999999999998</c:v>
                </c:pt>
                <c:pt idx="3">
                  <c:v>2.2999999999999998</c:v>
                </c:pt>
                <c:pt idx="4">
                  <c:v>0.42899999999999999</c:v>
                </c:pt>
                <c:pt idx="5">
                  <c:v>1.4</c:v>
                </c:pt>
              </c:numCache>
            </c:numRef>
          </c:xVal>
          <c:yVal>
            <c:numRef>
              <c:f>DOC!$B$3:$B$8</c:f>
              <c:numCache>
                <c:formatCode>General</c:formatCode>
                <c:ptCount val="6"/>
                <c:pt idx="0">
                  <c:v>9.4</c:v>
                </c:pt>
                <c:pt idx="1">
                  <c:v>19</c:v>
                </c:pt>
                <c:pt idx="2">
                  <c:v>8.8000000000000007</c:v>
                </c:pt>
                <c:pt idx="3">
                  <c:v>38</c:v>
                </c:pt>
                <c:pt idx="4">
                  <c:v>7.2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A-418F-BFD2-7A9154CA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69704"/>
        <c:axId val="702273640"/>
      </c:scatterChart>
      <c:valAx>
        <c:axId val="702269704"/>
        <c:scaling>
          <c:orientation val="minMax"/>
          <c:max val="2.5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Organic Carbon Content in Sediment, mg/kg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73640"/>
        <c:crosses val="autoZero"/>
        <c:crossBetween val="midCat"/>
        <c:majorUnit val="0.2"/>
      </c:valAx>
      <c:valAx>
        <c:axId val="7022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 Organic Carbon Concentration in Porewater,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6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 versus log K</a:t>
            </a:r>
            <a:r>
              <a:rPr lang="en-US" baseline="-25000"/>
              <a:t>PE</a:t>
            </a:r>
            <a:r>
              <a:rPr lang="en-US"/>
              <a:t> in Blue and versus Abraham V in Orange</a:t>
            </a:r>
          </a:p>
        </c:rich>
      </c:tx>
      <c:layout>
        <c:manualLayout>
          <c:xMode val="edge"/>
          <c:yMode val="edge"/>
          <c:x val="0.10390319500320909"/>
          <c:y val="2.38450037206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Vm from log Kpe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065441819772528"/>
                  <c:y val="-1.74693788276465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rgbClr val="0070C0"/>
                        </a:solidFill>
                      </a:rPr>
                      <a:t>y = 25.779x + 59.379</a:t>
                    </a:r>
                    <a:br>
                      <a:rPr lang="en-US" sz="1000" baseline="0">
                        <a:solidFill>
                          <a:srgbClr val="0070C0"/>
                        </a:solidFill>
                      </a:rPr>
                    </a:br>
                    <a:r>
                      <a:rPr lang="en-US" sz="1000" baseline="0">
                        <a:solidFill>
                          <a:srgbClr val="0070C0"/>
                        </a:solidFill>
                      </a:rPr>
                      <a:t>R² = 0.9537</a:t>
                    </a:r>
                    <a:endParaRPr lang="en-US" sz="1000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('Chemical Properties'!$D$6:$D$7,'Chemical Properties'!$D$10,'Chemical Properties'!$D$14,'Chemical Properties'!$D$16,'Chemical Properties'!$D$23,'Chemical Properties'!$D$25,'Chemical Properties'!$D$28,'Chemical Properties'!$D$30:$D$31)</c:f>
              <c:numCache>
                <c:formatCode>General</c:formatCode>
                <c:ptCount val="10"/>
                <c:pt idx="0" formatCode="0.00">
                  <c:v>4.8046378999999995</c:v>
                </c:pt>
                <c:pt idx="1">
                  <c:v>4.84</c:v>
                </c:pt>
                <c:pt idx="2">
                  <c:v>5.37</c:v>
                </c:pt>
                <c:pt idx="3" formatCode="0.0">
                  <c:v>5.9245000000000001</c:v>
                </c:pt>
                <c:pt idx="4" formatCode="0.0">
                  <c:v>5.7346000000000004</c:v>
                </c:pt>
                <c:pt idx="5" formatCode="0.0">
                  <c:v>6.3581000000000003</c:v>
                </c:pt>
                <c:pt idx="6">
                  <c:v>6.56</c:v>
                </c:pt>
                <c:pt idx="7" formatCode="0.0">
                  <c:v>6.798</c:v>
                </c:pt>
                <c:pt idx="8">
                  <c:v>7.1</c:v>
                </c:pt>
                <c:pt idx="9" formatCode="0.0">
                  <c:v>7.2940000000000005</c:v>
                </c:pt>
              </c:numCache>
            </c:numRef>
          </c:xVal>
          <c:yVal>
            <c:numRef>
              <c:f>('Chemical Properties'!$Q$6:$Q$7,'Chemical Properties'!$Q$10,'Chemical Properties'!$Q$14,'Chemical Properties'!$Q$16,'Chemical Properties'!$Q$23,'Chemical Properties'!$Q$25,'Chemical Properties'!$Q$28,'Chemical Properties'!$Q$30:$Q$31)</c:f>
              <c:numCache>
                <c:formatCode>General</c:formatCode>
                <c:ptCount val="10"/>
                <c:pt idx="0">
                  <c:v>179</c:v>
                </c:pt>
                <c:pt idx="1">
                  <c:v>188.1</c:v>
                </c:pt>
                <c:pt idx="2">
                  <c:v>199.7</c:v>
                </c:pt>
                <c:pt idx="3">
                  <c:v>203</c:v>
                </c:pt>
                <c:pt idx="4">
                  <c:v>214</c:v>
                </c:pt>
                <c:pt idx="5">
                  <c:v>226</c:v>
                </c:pt>
                <c:pt idx="6">
                  <c:v>226</c:v>
                </c:pt>
                <c:pt idx="7">
                  <c:v>238</c:v>
                </c:pt>
                <c:pt idx="8">
                  <c:v>238</c:v>
                </c:pt>
                <c:pt idx="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F-4705-BDE2-8C993394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86136"/>
        <c:axId val="428880232"/>
      </c:scatterChart>
      <c:scatterChart>
        <c:scatterStyle val="lineMarker"/>
        <c:varyColors val="0"/>
        <c:ser>
          <c:idx val="1"/>
          <c:order val="1"/>
          <c:tx>
            <c:v>Vm from Abraham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564800175325995"/>
                  <c:y val="-0.123914536001887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accent2"/>
                        </a:solidFill>
                      </a:rPr>
                      <a:t>y = 4.8513x - 2.3744</a:t>
                    </a:r>
                    <a:br>
                      <a:rPr lang="en-US" sz="10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000" baseline="0">
                        <a:solidFill>
                          <a:schemeClr val="accent2"/>
                        </a:solidFill>
                      </a:rPr>
                      <a:t>R² = 0.8278</a:t>
                    </a:r>
                    <a:endParaRPr lang="en-US" sz="10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('Chemical Properties'!$R$6:$R$7,'Chemical Properties'!$R$10,'Chemical Properties'!$R$14,'Chemical Properties'!$R$16,'Chemical Properties'!$R$23,'Chemical Properties'!$R$25,'Chemical Properties'!$R$28,'Chemical Properties'!$R$30:$R$31)</c:f>
              <c:numCache>
                <c:formatCode>General</c:formatCode>
                <c:ptCount val="10"/>
                <c:pt idx="0">
                  <c:v>0.16</c:v>
                </c:pt>
                <c:pt idx="1">
                  <c:v>5.5E-2</c:v>
                </c:pt>
                <c:pt idx="2">
                  <c:v>0</c:v>
                </c:pt>
                <c:pt idx="3">
                  <c:v>0.11</c:v>
                </c:pt>
                <c:pt idx="4">
                  <c:v>0.13</c:v>
                </c:pt>
                <c:pt idx="5">
                  <c:v>0.11</c:v>
                </c:pt>
                <c:pt idx="6">
                  <c:v>0.11</c:v>
                </c:pt>
                <c:pt idx="7">
                  <c:v>0.09</c:v>
                </c:pt>
                <c:pt idx="8">
                  <c:v>0.09</c:v>
                </c:pt>
                <c:pt idx="9">
                  <c:v>0.06</c:v>
                </c:pt>
              </c:numCache>
            </c:numRef>
          </c:xVal>
          <c:yVal>
            <c:numRef>
              <c:f>('Chemical Properties'!$D$6:$D$7,'Chemical Properties'!$D$10,'Chemical Properties'!$D$14,'Chemical Properties'!$D$16,'Chemical Properties'!$D$23,'Chemical Properties'!$D$25,'Chemical Properties'!$D$28,'Chemical Properties'!$D$30:$D$31)</c:f>
              <c:numCache>
                <c:formatCode>General</c:formatCode>
                <c:ptCount val="10"/>
                <c:pt idx="0" formatCode="0.00">
                  <c:v>4.8046378999999995</c:v>
                </c:pt>
                <c:pt idx="1">
                  <c:v>4.84</c:v>
                </c:pt>
                <c:pt idx="2">
                  <c:v>5.37</c:v>
                </c:pt>
                <c:pt idx="3" formatCode="0.0">
                  <c:v>5.9245000000000001</c:v>
                </c:pt>
                <c:pt idx="4" formatCode="0.0">
                  <c:v>5.7346000000000004</c:v>
                </c:pt>
                <c:pt idx="5" formatCode="0.0">
                  <c:v>6.3581000000000003</c:v>
                </c:pt>
                <c:pt idx="6">
                  <c:v>6.56</c:v>
                </c:pt>
                <c:pt idx="7" formatCode="0.0">
                  <c:v>6.798</c:v>
                </c:pt>
                <c:pt idx="8">
                  <c:v>7.1</c:v>
                </c:pt>
                <c:pt idx="9" formatCode="0.0">
                  <c:v>7.2940000000000005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FF-4705-BDE2-8C993394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28272"/>
        <c:axId val="579730568"/>
      </c:scatterChart>
      <c:valAx>
        <c:axId val="42888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Abraham Solvation Theory Parameter</a:t>
                </a:r>
                <a:r>
                  <a:rPr lang="en-US" baseline="0"/>
                  <a:t> 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0232"/>
        <c:crosses val="autoZero"/>
        <c:crossBetween val="midCat"/>
      </c:valAx>
      <c:valAx>
        <c:axId val="4288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Molecular Volume, cm</a:t>
                </a:r>
                <a:r>
                  <a:rPr lang="en-US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6136"/>
        <c:crosses val="autoZero"/>
        <c:crossBetween val="midCat"/>
      </c:valAx>
      <c:valAx>
        <c:axId val="579730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Kpe, L/kg 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8272"/>
        <c:crosses val="max"/>
        <c:crossBetween val="midCat"/>
      </c:valAx>
      <c:valAx>
        <c:axId val="5797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06027352942707"/>
          <c:y val="0.37715661160619568"/>
          <c:w val="0.34103515390596056"/>
          <c:h val="0.5245938369740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vs K</a:t>
            </a:r>
            <a:r>
              <a:rPr lang="en-US" baseline="-250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vs KPE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7891666666666666"/>
                  <c:y val="-0.53067913385826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y = 721.67x</a:t>
                    </a:r>
                    <a:r>
                      <a:rPr lang="en-US" sz="1400" baseline="30000">
                        <a:solidFill>
                          <a:srgbClr val="0070C0"/>
                        </a:solidFill>
                      </a:rPr>
                      <a:t>-0.807</a:t>
                    </a:r>
                    <a:br>
                      <a:rPr lang="en-US" sz="1400" baseline="0">
                        <a:solidFill>
                          <a:srgbClr val="0070C0"/>
                        </a:solidFill>
                      </a:rPr>
                    </a:b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R² = 0.9833</a:t>
                    </a:r>
                    <a:endParaRPr lang="en-US" sz="1400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'Trip Blanks'!$K$3:$K$12</c:f>
              <c:numCache>
                <c:formatCode>0.0E+00</c:formatCode>
                <c:ptCount val="10"/>
                <c:pt idx="0">
                  <c:v>63919.616214142108</c:v>
                </c:pt>
                <c:pt idx="1">
                  <c:v>262677.88071364415</c:v>
                </c:pt>
                <c:pt idx="2">
                  <c:v>842807.64446312503</c:v>
                </c:pt>
                <c:pt idx="3">
                  <c:v>1777033.55268118</c:v>
                </c:pt>
                <c:pt idx="4">
                  <c:v>544238.28532434627</c:v>
                </c:pt>
                <c:pt idx="5">
                  <c:v>2287801.6801761277</c:v>
                </c:pt>
                <c:pt idx="6">
                  <c:v>3642170.2218736345</c:v>
                </c:pt>
                <c:pt idx="7">
                  <c:v>12632002.71097157</c:v>
                </c:pt>
                <c:pt idx="8">
                  <c:v>6301001.593298153</c:v>
                </c:pt>
                <c:pt idx="9">
                  <c:v>19747514.291125294</c:v>
                </c:pt>
              </c:numCache>
            </c:numRef>
          </c:xVal>
          <c:yVal>
            <c:numRef>
              <c:f>'Trip Blanks'!$N$3:$N$12</c:f>
              <c:numCache>
                <c:formatCode>0.0000</c:formatCode>
                <c:ptCount val="10"/>
                <c:pt idx="0">
                  <c:v>0.10305063722649081</c:v>
                </c:pt>
                <c:pt idx="1">
                  <c:v>3.289249642120657E-2</c:v>
                </c:pt>
                <c:pt idx="2">
                  <c:v>1.355938300769672E-2</c:v>
                </c:pt>
                <c:pt idx="3">
                  <c:v>7.4884275147062826E-3</c:v>
                </c:pt>
                <c:pt idx="4">
                  <c:v>1.3332888245386712E-2</c:v>
                </c:pt>
                <c:pt idx="5">
                  <c:v>3.8312780774620368E-3</c:v>
                </c:pt>
                <c:pt idx="6">
                  <c:v>3.1769733707551415E-3</c:v>
                </c:pt>
                <c:pt idx="7">
                  <c:v>1.6808095931995443E-3</c:v>
                </c:pt>
                <c:pt idx="8">
                  <c:v>2.3554793199487721E-3</c:v>
                </c:pt>
                <c:pt idx="9">
                  <c:v>1.0147845007872009E-3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0-4573-B7DF-560991E99886}"/>
            </c:ext>
          </c:extLst>
        </c:ser>
        <c:ser>
          <c:idx val="1"/>
          <c:order val="1"/>
          <c:tx>
            <c:v>DDTs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'Chemical Properties'!$E$32:$E$37</c:f>
              <c:numCache>
                <c:formatCode>0.0E+00</c:formatCode>
                <c:ptCount val="6"/>
                <c:pt idx="0">
                  <c:v>676082.97539198259</c:v>
                </c:pt>
                <c:pt idx="1">
                  <c:v>758577.57502918423</c:v>
                </c:pt>
                <c:pt idx="2">
                  <c:v>58884.365535558936</c:v>
                </c:pt>
                <c:pt idx="3">
                  <c:v>69183.097091893651</c:v>
                </c:pt>
                <c:pt idx="4">
                  <c:v>724435.96007499192</c:v>
                </c:pt>
                <c:pt idx="5">
                  <c:v>398107.17055349716</c:v>
                </c:pt>
              </c:numCache>
            </c:numRef>
          </c:xVal>
          <c:yVal>
            <c:numRef>
              <c:f>'Chemical Properties'!$Z$32:$Z$37</c:f>
              <c:numCache>
                <c:formatCode>0.0000</c:formatCode>
                <c:ptCount val="6"/>
                <c:pt idx="0">
                  <c:v>1.4240611939048249E-2</c:v>
                </c:pt>
                <c:pt idx="1">
                  <c:v>1.2977129901080353E-2</c:v>
                </c:pt>
                <c:pt idx="2">
                  <c:v>0.10208187818319307</c:v>
                </c:pt>
                <c:pt idx="3">
                  <c:v>8.9631084644714074E-2</c:v>
                </c:pt>
                <c:pt idx="4">
                  <c:v>1.3468482054044552E-2</c:v>
                </c:pt>
                <c:pt idx="5">
                  <c:v>2.183426876860526E-2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0-4573-B7DF-560991E9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98920"/>
        <c:axId val="730003184"/>
      </c:scatterChart>
      <c:valAx>
        <c:axId val="72999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Water-Polyethylene Distribution Coefficient, K</a:t>
                </a:r>
                <a:r>
                  <a:rPr lang="en-US" baseline="-25000"/>
                  <a:t>PE</a:t>
                </a:r>
                <a:r>
                  <a:rPr lang="en-US"/>
                  <a:t>, L/kg-PE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03184"/>
        <c:crosses val="autoZero"/>
        <c:crossBetween val="midCat"/>
      </c:valAx>
      <c:valAx>
        <c:axId val="7300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Boundary Layer Thickness, </a:t>
                </a:r>
                <a:r>
                  <a:rPr lang="el-GR" sz="900"/>
                  <a:t>δ, </a:t>
                </a:r>
                <a:r>
                  <a:rPr lang="en-US" sz="900"/>
                  <a:t>cm kg-PE L</a:t>
                </a:r>
                <a:r>
                  <a:rPr lang="en-US" sz="900" baseline="30000"/>
                  <a:t>-1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6245370370370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3143299343913"/>
          <c:y val="0.17082322751721857"/>
          <c:w val="0.46155650464472625"/>
          <c:h val="0.6200654363681728"/>
        </c:manualLayout>
      </c:layout>
      <c:scatterChart>
        <c:scatterStyle val="lineMarker"/>
        <c:varyColors val="0"/>
        <c:ser>
          <c:idx val="2"/>
          <c:order val="2"/>
          <c:tx>
            <c:strRef>
              <c:f>'Surface Water SPME'!$AH$2:$AJ$2</c:f>
              <c:strCache>
                <c:ptCount val="1"/>
                <c:pt idx="0">
                  <c:v>MC19-PSCS-0603-SW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3565418298150482"/>
                  <c:y val="-0.48284489361331762"/>
                </c:manualLayout>
              </c:layout>
              <c:numFmt formatCode="General" sourceLinked="0"/>
              <c:spPr>
                <a:noFill/>
                <a:ln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('Surface Water SPME'!$D$11:$D$16,'Surface Water SPME'!$D$18:$D$20)</c:f>
              <c:numCache>
                <c:formatCode>0.00</c:formatCode>
                <c:ptCount val="9"/>
                <c:pt idx="0">
                  <c:v>4.8056341587248852</c:v>
                </c:pt>
                <c:pt idx="1">
                  <c:v>5.4194235037398037</c:v>
                </c:pt>
                <c:pt idx="2">
                  <c:v>5.9257284661067979</c:v>
                </c:pt>
                <c:pt idx="3">
                  <c:v>6.2496956279216338</c:v>
                </c:pt>
                <c:pt idx="4">
                  <c:v>5.7357890896676595</c:v>
                </c:pt>
                <c:pt idx="5">
                  <c:v>6.3594183746060651</c:v>
                </c:pt>
                <c:pt idx="6">
                  <c:v>7.1014722102047871</c:v>
                </c:pt>
                <c:pt idx="7">
                  <c:v>6.7994095894326971</c:v>
                </c:pt>
                <c:pt idx="8">
                  <c:v>7.2955124367934818</c:v>
                </c:pt>
              </c:numCache>
            </c:numRef>
          </c:xVal>
          <c:yVal>
            <c:numRef>
              <c:f>('Surface Water SPME'!$AL$11:$AL$16,'Surface Water SPME'!$AL$18:$AL$20)</c:f>
              <c:numCache>
                <c:formatCode>0.0000</c:formatCode>
                <c:ptCount val="9"/>
                <c:pt idx="0">
                  <c:v>0.13851794827069761</c:v>
                </c:pt>
                <c:pt idx="1">
                  <c:v>0.1067591521825028</c:v>
                </c:pt>
                <c:pt idx="2">
                  <c:v>7.3653490878080541E-2</c:v>
                </c:pt>
                <c:pt idx="3">
                  <c:v>0.10853443519141874</c:v>
                </c:pt>
                <c:pt idx="4">
                  <c:v>9.6838354592639342E-2</c:v>
                </c:pt>
                <c:pt idx="5">
                  <c:v>7.8138130623709862E-2</c:v>
                </c:pt>
                <c:pt idx="6">
                  <c:v>3.444282265991036E-2</c:v>
                </c:pt>
                <c:pt idx="7">
                  <c:v>5.5393147069790191E-2</c:v>
                </c:pt>
                <c:pt idx="8">
                  <c:v>1.4855143993842326E-2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3B6-4DDE-99D5-19807778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47544"/>
        <c:axId val="426247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'Surface Water SPME'!$H$2:$J$2</c15:sqref>
                        </c15:formulaRef>
                      </c:ext>
                    </c:extLst>
                    <c:strCache>
                      <c:ptCount val="1"/>
                      <c:pt idx="0">
                        <c:v>MC19-PSCS-0601-SW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52962715277028727"/>
                        <c:y val="-0.60853840285996441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rgbClr val="0070C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'Surface Water SPME'!$L$11:$L$20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>
                        <c:v>0.15128948316405375</c:v>
                      </c:pt>
                      <c:pt idx="1">
                        <c:v>0.10787468428750152</c:v>
                      </c:pt>
                      <c:pt idx="2">
                        <c:v>6.7281578893775812E-2</c:v>
                      </c:pt>
                      <c:pt idx="3">
                        <c:v>5.3216808072035771E-2</c:v>
                      </c:pt>
                      <c:pt idx="4">
                        <c:v>7.1671956202713952E-2</c:v>
                      </c:pt>
                      <c:pt idx="5">
                        <c:v>3.5623693947541633E-2</c:v>
                      </c:pt>
                      <c:pt idx="6">
                        <c:v>3.5421473173240431E-2</c:v>
                      </c:pt>
                      <c:pt idx="7">
                        <c:v>1.7139595397005668E-2</c:v>
                      </c:pt>
                      <c:pt idx="8">
                        <c:v>2.430255427311737E-2</c:v>
                      </c:pt>
                      <c:pt idx="9">
                        <c:v>9.1158576394272887E-3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3B6-4DDE-99D5-1980777894F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SPME'!$U$2:$W$2</c15:sqref>
                        </c15:formulaRef>
                      </c:ext>
                    </c:extLst>
                    <c:strCache>
                      <c:ptCount val="1"/>
                      <c:pt idx="0">
                        <c:v>MC19-PSCS-0602-SW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50572815474739807"/>
                        <c:y val="-0.4308196445460506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</a:rPr>
                            <a:t>y = 98.197x</a:t>
                          </a:r>
                          <a:r>
                            <a:rPr lang="en-US" sz="1200" baseline="30000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</a:rPr>
                            <a:t>-0.56</a:t>
                          </a:r>
                          <a:br>
                            <a:rPr lang="en-US" sz="1200" baseline="0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</a:rPr>
                            <a:t>R² = 0.9113</a:t>
                          </a:r>
                          <a:endParaRPr lang="en-US" sz="1200">
                            <a:solidFill>
                              <a:schemeClr val="accent2">
                                <a:lumMod val="75000"/>
                              </a:schemeClr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accent2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SPME'!$Y$11:$Y$20</c15:sqref>
                        </c15:formulaRef>
                      </c:ext>
                    </c:extLst>
                    <c:numCache>
                      <c:formatCode>0.0000</c:formatCode>
                      <c:ptCount val="10"/>
                      <c:pt idx="0">
                        <c:v>0.13241652896156517</c:v>
                      </c:pt>
                      <c:pt idx="1">
                        <c:v>8.247491323707995E-2</c:v>
                      </c:pt>
                      <c:pt idx="2">
                        <c:v>5.4506688403377787E-2</c:v>
                      </c:pt>
                      <c:pt idx="3">
                        <c:v>4.6180541942022875E-2</c:v>
                      </c:pt>
                      <c:pt idx="4">
                        <c:v>6.7131022281298428E-2</c:v>
                      </c:pt>
                      <c:pt idx="5">
                        <c:v>3.3271701211477281E-2</c:v>
                      </c:pt>
                      <c:pt idx="6">
                        <c:v>3.0289396579717826E-2</c:v>
                      </c:pt>
                      <c:pt idx="7">
                        <c:v>9.1802863019659568E-3</c:v>
                      </c:pt>
                      <c:pt idx="8">
                        <c:v>1.4160331064351269E-2</c:v>
                      </c:pt>
                      <c:pt idx="9">
                        <c:v>4.6890810231456168E-3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B6-4DDE-99D5-1980777894F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SPME'!$AU$2:$AW$2</c15:sqref>
                        </c15:formulaRef>
                      </c:ext>
                    </c:extLst>
                    <c:strCache>
                      <c:ptCount val="1"/>
                      <c:pt idx="0">
                        <c:v>MC19-PSCS-0604-SW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2874820890023063"/>
                        <c:y val="-0.3098120343652695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rgbClr val="FFC000"/>
                              </a:solidFill>
                            </a:rPr>
                            <a:t>y = 2.5086x</a:t>
                          </a:r>
                          <a:r>
                            <a:rPr lang="en-US" sz="1400" baseline="30000">
                              <a:solidFill>
                                <a:srgbClr val="FFC000"/>
                              </a:solidFill>
                            </a:rPr>
                            <a:t>-0.318</a:t>
                          </a:r>
                          <a:br>
                            <a:rPr lang="en-US" sz="1400" baseline="0">
                              <a:solidFill>
                                <a:srgbClr val="FFC000"/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rgbClr val="FFC000"/>
                              </a:solidFill>
                            </a:rPr>
                            <a:t>R² = 0.4171</a:t>
                          </a:r>
                          <a:endParaRPr lang="en-US" sz="1400">
                            <a:solidFill>
                              <a:srgbClr val="FFC000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SPME'!$AY$11:$AY$20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5.7580416938198473E-2</c:v>
                      </c:pt>
                      <c:pt idx="1">
                        <c:v>3.7542495687894716E-2</c:v>
                      </c:pt>
                      <c:pt idx="2">
                        <c:v>2.6424808695016001E-2</c:v>
                      </c:pt>
                      <c:pt idx="3">
                        <c:v>3.5633518140285994E-2</c:v>
                      </c:pt>
                      <c:pt idx="4">
                        <c:v>3.5199416876143856E-2</c:v>
                      </c:pt>
                      <c:pt idx="5">
                        <c:v>1.8592767485408002E-2</c:v>
                      </c:pt>
                      <c:pt idx="6">
                        <c:v>0.10590609273224923</c:v>
                      </c:pt>
                      <c:pt idx="7">
                        <c:v>9.3919819994714195E-3</c:v>
                      </c:pt>
                      <c:pt idx="8">
                        <c:v>2.1674580323248652E-2</c:v>
                      </c:pt>
                      <c:pt idx="9">
                        <c:v>5.1024966603190076E-3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B6-4DDE-99D5-1980777894F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SPME'!$BD$2:$BF$2</c15:sqref>
                        </c15:formulaRef>
                      </c:ext>
                    </c:extLst>
                    <c:strCache>
                      <c:ptCount val="1"/>
                      <c:pt idx="0">
                        <c:v>MC19-PSCS-0901-SW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bg1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4782379672211692"/>
                        <c:y val="-0.51772093705678091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rgbClr val="00B0F0"/>
                              </a:solidFill>
                            </a:rPr>
                            <a:t>y = 12.381x</a:t>
                          </a:r>
                          <a:r>
                            <a:rPr lang="en-US" sz="1400" baseline="30000">
                              <a:solidFill>
                                <a:srgbClr val="00B0F0"/>
                              </a:solidFill>
                            </a:rPr>
                            <a:t>-0.482</a:t>
                          </a:r>
                          <a:br>
                            <a:rPr lang="en-US" sz="1400" baseline="0">
                              <a:solidFill>
                                <a:srgbClr val="00B0F0"/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rgbClr val="00B0F0"/>
                              </a:solidFill>
                            </a:rPr>
                            <a:t>R² = 0.9278</a:t>
                          </a:r>
                          <a:endParaRPr lang="en-US" sz="1400">
                            <a:solidFill>
                              <a:srgbClr val="00B0F0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rgbClr val="00B0F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SPME'!$BH$11:$BH$20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4.2366467019080666E-2</c:v>
                      </c:pt>
                      <c:pt idx="1">
                        <c:v>3.0334306727458907E-2</c:v>
                      </c:pt>
                      <c:pt idx="2">
                        <c:v>1.8822185252851096E-2</c:v>
                      </c:pt>
                      <c:pt idx="3">
                        <c:v>1.737348220766546E-2</c:v>
                      </c:pt>
                      <c:pt idx="4">
                        <c:v>2.2334060008312867E-2</c:v>
                      </c:pt>
                      <c:pt idx="5">
                        <c:v>1.0500754587639756E-2</c:v>
                      </c:pt>
                      <c:pt idx="6">
                        <c:v>1.2145960798481029E-2</c:v>
                      </c:pt>
                      <c:pt idx="7">
                        <c:v>4.5179352788622933E-3</c:v>
                      </c:pt>
                      <c:pt idx="8">
                        <c:v>5.7316993568571973E-3</c:v>
                      </c:pt>
                      <c:pt idx="9">
                        <c:v>2.6503731943519509E-3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B6-4DDE-99D5-1980777894F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SPME'!$BM$2:$BO$2</c15:sqref>
                        </c15:formulaRef>
                      </c:ext>
                    </c:extLst>
                    <c:strCache>
                      <c:ptCount val="1"/>
                      <c:pt idx="0">
                        <c:v>MC19-PSCS-0902-SW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5928537962217464"/>
                        <c:y val="-0.37279340082489687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chemeClr val="accent6"/>
                              </a:solidFill>
                            </a:rPr>
                            <a:t>y = 14.834x</a:t>
                          </a:r>
                          <a:r>
                            <a:rPr lang="en-US" sz="1400" baseline="30000">
                              <a:solidFill>
                                <a:schemeClr val="accent6"/>
                              </a:solidFill>
                            </a:rPr>
                            <a:t>-0.51</a:t>
                          </a:r>
                          <a:br>
                            <a:rPr lang="en-US" sz="1400" baseline="0">
                              <a:solidFill>
                                <a:schemeClr val="accent6"/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chemeClr val="accent6"/>
                              </a:solidFill>
                            </a:rPr>
                            <a:t>R² = 0.9608</a:t>
                          </a:r>
                          <a:endParaRPr lang="en-US" sz="1400">
                            <a:solidFill>
                              <a:schemeClr val="accent6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SPME'!$BQ$11:$BQ$20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3.826175994522904E-2</c:v>
                      </c:pt>
                      <c:pt idx="1">
                        <c:v>2.7452792773339341E-2</c:v>
                      </c:pt>
                      <c:pt idx="2">
                        <c:v>1.6299355466412226E-2</c:v>
                      </c:pt>
                      <c:pt idx="3">
                        <c:v>1.3043052419031056E-2</c:v>
                      </c:pt>
                      <c:pt idx="4">
                        <c:v>1.7771687412243744E-2</c:v>
                      </c:pt>
                      <c:pt idx="5">
                        <c:v>8.5002287731566917E-3</c:v>
                      </c:pt>
                      <c:pt idx="6">
                        <c:v>7.3326917980763807E-3</c:v>
                      </c:pt>
                      <c:pt idx="7">
                        <c:v>3.7989922699934765E-3</c:v>
                      </c:pt>
                      <c:pt idx="8">
                        <c:v>4.2208744905520915E-3</c:v>
                      </c:pt>
                      <c:pt idx="9">
                        <c:v>2.2113511866525639E-3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3B6-4DDE-99D5-1980777894F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SPME'!$BV$2:$BX$2</c15:sqref>
                        </c15:formulaRef>
                      </c:ext>
                    </c:extLst>
                    <c:strCache>
                      <c:ptCount val="1"/>
                      <c:pt idx="0">
                        <c:v>MC19-PSCS-0903-SW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650161710722035"/>
                        <c:y val="-0.53014329730522813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ysClr val="windowText" lastClr="00000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SPME'!$BZ$11:$BZ$20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7.1202343054528536E-2</c:v>
                      </c:pt>
                      <c:pt idx="1">
                        <c:v>3.6106534805537507E-2</c:v>
                      </c:pt>
                      <c:pt idx="2">
                        <c:v>1.6709848717990958E-2</c:v>
                      </c:pt>
                      <c:pt idx="3">
                        <c:v>1.0738575523264113E-2</c:v>
                      </c:pt>
                      <c:pt idx="4">
                        <c:v>1.5227541536349242E-2</c:v>
                      </c:pt>
                      <c:pt idx="5">
                        <c:v>5.9469939659787105E-3</c:v>
                      </c:pt>
                      <c:pt idx="6">
                        <c:v>4.6603376513892755E-3</c:v>
                      </c:pt>
                      <c:pt idx="7">
                        <c:v>2.2228790415280094E-3</c:v>
                      </c:pt>
                      <c:pt idx="8">
                        <c:v>2.9562520524089807E-3</c:v>
                      </c:pt>
                      <c:pt idx="9">
                        <c:v>1.3325399073653241E-3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3B6-4DDE-99D5-1980777894FF}"/>
                  </c:ext>
                </c:extLst>
              </c15:ser>
            </c15:filteredScatterSeries>
          </c:ext>
        </c:extLst>
      </c:scatterChart>
      <c:valAx>
        <c:axId val="42624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PE</a:t>
                </a:r>
                <a:r>
                  <a:rPr lang="en-US"/>
                  <a:t>, L/kg-PE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7872"/>
        <c:crosses val="autoZero"/>
        <c:crossBetween val="midCat"/>
      </c:valAx>
      <c:valAx>
        <c:axId val="4262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Boundary Layer Thickness, </a:t>
                </a:r>
                <a:r>
                  <a:rPr lang="el-GR"/>
                  <a:t>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63725479287436"/>
          <c:y val="0.48235966938024755"/>
          <c:w val="0.33836033060858733"/>
          <c:h val="0.13975253093363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143299343913"/>
          <c:y val="0.17082322751721857"/>
          <c:w val="0.46155650464472625"/>
          <c:h val="0.62006543636817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'Surface Water SPME'!$H$2:$J$2</c:f>
              <c:strCache>
                <c:ptCount val="1"/>
                <c:pt idx="0">
                  <c:v>MC19-PSCS-0601-SW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2962715277028727"/>
                  <c:y val="-0.608538402859964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y = 9.4452x</a:t>
                    </a:r>
                    <a:r>
                      <a:rPr lang="en-US" sz="1400" baseline="30000">
                        <a:solidFill>
                          <a:srgbClr val="0070C0"/>
                        </a:solidFill>
                      </a:rPr>
                      <a:t>-0.463</a:t>
                    </a:r>
                    <a:br>
                      <a:rPr lang="en-US" sz="1400" baseline="0">
                        <a:solidFill>
                          <a:srgbClr val="0070C0"/>
                        </a:solidFill>
                      </a:rPr>
                    </a:b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R² = 0.9418</a:t>
                    </a:r>
                    <a:endParaRPr lang="en-US" sz="1400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'Surface Water SPME'!$C$11:$C$20</c:f>
              <c:numCache>
                <c:formatCode>0.0E+00</c:formatCode>
                <c:ptCount val="10"/>
                <c:pt idx="0">
                  <c:v>63919.616214142108</c:v>
                </c:pt>
                <c:pt idx="1">
                  <c:v>262677.88071364415</c:v>
                </c:pt>
                <c:pt idx="2">
                  <c:v>842807.64446312503</c:v>
                </c:pt>
                <c:pt idx="3">
                  <c:v>1777033.55268118</c:v>
                </c:pt>
                <c:pt idx="4">
                  <c:v>544238.28532434627</c:v>
                </c:pt>
                <c:pt idx="5">
                  <c:v>2287801.6801761277</c:v>
                </c:pt>
                <c:pt idx="6">
                  <c:v>3642170.2218736345</c:v>
                </c:pt>
                <c:pt idx="7">
                  <c:v>12632002.71097157</c:v>
                </c:pt>
                <c:pt idx="8">
                  <c:v>6301001.593298153</c:v>
                </c:pt>
                <c:pt idx="9">
                  <c:v>19747514.291125294</c:v>
                </c:pt>
              </c:numCache>
            </c:numRef>
          </c:xVal>
          <c:yVal>
            <c:numRef>
              <c:f>'Surface Water SPME'!$L$11:$L$20</c:f>
              <c:numCache>
                <c:formatCode>0.0000</c:formatCode>
                <c:ptCount val="10"/>
                <c:pt idx="0">
                  <c:v>0.15128948316405375</c:v>
                </c:pt>
                <c:pt idx="1">
                  <c:v>0.10787468428750152</c:v>
                </c:pt>
                <c:pt idx="2">
                  <c:v>6.7281578893775812E-2</c:v>
                </c:pt>
                <c:pt idx="3">
                  <c:v>5.3216808072035771E-2</c:v>
                </c:pt>
                <c:pt idx="4">
                  <c:v>7.1671956202713952E-2</c:v>
                </c:pt>
                <c:pt idx="5">
                  <c:v>3.5623693947541633E-2</c:v>
                </c:pt>
                <c:pt idx="6">
                  <c:v>3.5421473173240431E-2</c:v>
                </c:pt>
                <c:pt idx="7">
                  <c:v>1.7139595397005668E-2</c:v>
                </c:pt>
                <c:pt idx="8">
                  <c:v>2.430255427311737E-2</c:v>
                </c:pt>
                <c:pt idx="9">
                  <c:v>9.1158576394272887E-3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3-47B6-97EB-EC2ED7363FDE}"/>
            </c:ext>
          </c:extLst>
        </c:ser>
        <c:ser>
          <c:idx val="9"/>
          <c:order val="9"/>
          <c:tx>
            <c:strRef>
              <c:f>'Surface Water SPME'!$EP$2:$ER$2</c:f>
              <c:strCache>
                <c:ptCount val="1"/>
                <c:pt idx="0">
                  <c:v>MC19-PSCS-1803-SW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54990361040225255"/>
                  <c:y val="-0.330515968112681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7030A0"/>
                        </a:solidFill>
                      </a:rPr>
                      <a:t>y = -0.005ln(x) + 0.0943</a:t>
                    </a:r>
                    <a:br>
                      <a:rPr lang="en-US" sz="1400" baseline="0">
                        <a:solidFill>
                          <a:srgbClr val="7030A0"/>
                        </a:solidFill>
                      </a:rPr>
                    </a:br>
                    <a:r>
                      <a:rPr lang="en-US" sz="1400" baseline="0">
                        <a:solidFill>
                          <a:srgbClr val="7030A0"/>
                        </a:solidFill>
                      </a:rPr>
                      <a:t>R² = 0.9703</a:t>
                    </a:r>
                    <a:endParaRPr lang="en-US" sz="1400">
                      <a:solidFill>
                        <a:srgbClr val="7030A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'Surface Water SPME'!$C$11:$C$20</c:f>
              <c:numCache>
                <c:formatCode>0.0E+00</c:formatCode>
                <c:ptCount val="10"/>
                <c:pt idx="0">
                  <c:v>63919.616214142108</c:v>
                </c:pt>
                <c:pt idx="1">
                  <c:v>262677.88071364415</c:v>
                </c:pt>
                <c:pt idx="2">
                  <c:v>842807.64446312503</c:v>
                </c:pt>
                <c:pt idx="3">
                  <c:v>1777033.55268118</c:v>
                </c:pt>
                <c:pt idx="4">
                  <c:v>544238.28532434627</c:v>
                </c:pt>
                <c:pt idx="5">
                  <c:v>2287801.6801761277</c:v>
                </c:pt>
                <c:pt idx="6">
                  <c:v>3642170.2218736345</c:v>
                </c:pt>
                <c:pt idx="7">
                  <c:v>12632002.71097157</c:v>
                </c:pt>
                <c:pt idx="8">
                  <c:v>6301001.593298153</c:v>
                </c:pt>
                <c:pt idx="9">
                  <c:v>19747514.291125294</c:v>
                </c:pt>
              </c:numCache>
            </c:numRef>
          </c:xVal>
          <c:yVal>
            <c:numRef>
              <c:f>'Surface Water SPME'!$ET$11:$ET$20</c:f>
              <c:numCache>
                <c:formatCode>0.000</c:formatCode>
                <c:ptCount val="10"/>
                <c:pt idx="0">
                  <c:v>3.538291526941504E-2</c:v>
                </c:pt>
                <c:pt idx="1">
                  <c:v>2.5206032931797542E-2</c:v>
                </c:pt>
                <c:pt idx="2">
                  <c:v>1.8721797613161964E-2</c:v>
                </c:pt>
                <c:pt idx="3">
                  <c:v>1.7680262275029165E-2</c:v>
                </c:pt>
                <c:pt idx="4">
                  <c:v>2.2243064630863583E-2</c:v>
                </c:pt>
                <c:pt idx="5">
                  <c:v>1.183863270946154E-2</c:v>
                </c:pt>
                <c:pt idx="6">
                  <c:v>1.473486365074886E-2</c:v>
                </c:pt>
                <c:pt idx="7">
                  <c:v>6.3907993918122536E-3</c:v>
                </c:pt>
                <c:pt idx="8">
                  <c:v>8.9784523362947521E-3</c:v>
                </c:pt>
                <c:pt idx="9">
                  <c:v>2.6503731329302789E-3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E73-47B6-97EB-EC2ED7363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47544"/>
        <c:axId val="42624787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'Surface Water SPME'!$BV$2:$BX$2</c15:sqref>
                        </c15:formulaRef>
                      </c:ext>
                    </c:extLst>
                    <c:strCache>
                      <c:ptCount val="1"/>
                      <c:pt idx="0">
                        <c:v>MC19-PSCS-0903-SW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650161710722035"/>
                        <c:y val="-0.53014329730522813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ysClr val="windowText" lastClr="00000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'Surface Water SPME'!$BZ$11:$BZ$20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7.1202343054528536E-2</c:v>
                      </c:pt>
                      <c:pt idx="1">
                        <c:v>3.6106534805537507E-2</c:v>
                      </c:pt>
                      <c:pt idx="2">
                        <c:v>1.6709848717990958E-2</c:v>
                      </c:pt>
                      <c:pt idx="3">
                        <c:v>1.0738575523264113E-2</c:v>
                      </c:pt>
                      <c:pt idx="4">
                        <c:v>1.5227541536349242E-2</c:v>
                      </c:pt>
                      <c:pt idx="5">
                        <c:v>5.9469939659787105E-3</c:v>
                      </c:pt>
                      <c:pt idx="6">
                        <c:v>4.6603376513892755E-3</c:v>
                      </c:pt>
                      <c:pt idx="7">
                        <c:v>2.2228790415280094E-3</c:v>
                      </c:pt>
                      <c:pt idx="8">
                        <c:v>2.9562520524089807E-3</c:v>
                      </c:pt>
                      <c:pt idx="9">
                        <c:v>1.3325399073653241E-3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E73-47B6-97EB-EC2ED7363FDE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SPME'!$CE$2:$CG$2</c15:sqref>
                        </c15:formulaRef>
                      </c:ext>
                    </c:extLst>
                    <c:strCache>
                      <c:ptCount val="1"/>
                      <c:pt idx="0">
                        <c:v>MC19-PSCS-0904-SW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noFill/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224049636776338"/>
                        <c:y val="-0.40591969482075613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rgbClr val="C00000"/>
                              </a:solidFill>
                            </a:rPr>
                            <a:t>y = 9.8339x</a:t>
                          </a:r>
                          <a:r>
                            <a:rPr lang="en-US" sz="1400" baseline="30000">
                              <a:solidFill>
                                <a:srgbClr val="C00000"/>
                              </a:solidFill>
                            </a:rPr>
                            <a:t>-0.486</a:t>
                          </a:r>
                          <a:br>
                            <a:rPr lang="en-US" sz="1400" baseline="0">
                              <a:solidFill>
                                <a:srgbClr val="C00000"/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rgbClr val="C00000"/>
                              </a:solidFill>
                            </a:rPr>
                            <a:t>R² = 0.9443</a:t>
                          </a:r>
                          <a:endParaRPr lang="en-US" sz="1400">
                            <a:solidFill>
                              <a:srgbClr val="C00000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rgbClr val="C0000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SPME'!$CI$11:$CI$20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3.1460562919873626E-2</c:v>
                      </c:pt>
                      <c:pt idx="1">
                        <c:v>2.3340072272188584E-2</c:v>
                      </c:pt>
                      <c:pt idx="2">
                        <c:v>1.3257639324331603E-2</c:v>
                      </c:pt>
                      <c:pt idx="3">
                        <c:v>1.322680191207082E-2</c:v>
                      </c:pt>
                      <c:pt idx="4">
                        <c:v>1.7641162324657001E-2</c:v>
                      </c:pt>
                      <c:pt idx="5">
                        <c:v>8.3972735852107135E-3</c:v>
                      </c:pt>
                      <c:pt idx="6">
                        <c:v>7.1060732018925271E-3</c:v>
                      </c:pt>
                      <c:pt idx="7">
                        <c:v>3.0878897603865692E-3</c:v>
                      </c:pt>
                      <c:pt idx="8">
                        <c:v>4.9934552089277318E-3</c:v>
                      </c:pt>
                      <c:pt idx="9">
                        <c:v>2.0399810956237565E-3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E73-47B6-97EB-EC2ED7363FDE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SPME'!$CN$2:$CP$2</c15:sqref>
                        </c15:formulaRef>
                      </c:ext>
                    </c:extLst>
                    <c:strCache>
                      <c:ptCount val="1"/>
                      <c:pt idx="0">
                        <c:v>MC19-PSCS-0904-SW-Split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noFill/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17783357669546"/>
                        <c:y val="-0.50943936355781616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  <a:t>y = 27.055x</a:t>
                          </a:r>
                          <a:r>
                            <a:rPr lang="en-US" sz="1400" baseline="3000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  <a:t>-0.564</a:t>
                          </a:r>
                          <a:br>
                            <a:rPr lang="en-US" sz="1400" baseline="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  <a:t>R² = 0.9716</a:t>
                          </a:r>
                          <a:endParaRPr lang="en-US" sz="1400">
                            <a:solidFill>
                              <a:schemeClr val="bg1">
                                <a:lumMod val="65000"/>
                              </a:schemeClr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bg1">
                            <a:lumMod val="85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SPME'!$CR$11:$CR$20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3.7590378771002436E-2</c:v>
                      </c:pt>
                      <c:pt idx="1">
                        <c:v>2.5658951639922042E-2</c:v>
                      </c:pt>
                      <c:pt idx="2">
                        <c:v>1.4662843487063988E-2</c:v>
                      </c:pt>
                      <c:pt idx="3">
                        <c:v>1.060982396112131E-2</c:v>
                      </c:pt>
                      <c:pt idx="4">
                        <c:v>1.6552884638598449E-2</c:v>
                      </c:pt>
                      <c:pt idx="5">
                        <c:v>6.5712556845032031E-3</c:v>
                      </c:pt>
                      <c:pt idx="6">
                        <c:v>5.81361727165186E-3</c:v>
                      </c:pt>
                      <c:pt idx="7">
                        <c:v>2.6410912053812206E-3</c:v>
                      </c:pt>
                      <c:pt idx="8">
                        <c:v>3.8478981950173683E-3</c:v>
                      </c:pt>
                      <c:pt idx="9">
                        <c:v>1.6491020193650037E-3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E73-47B6-97EB-EC2ED7363FDE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SPME'!$CW$2:$CY$2</c15:sqref>
                        </c15:formulaRef>
                      </c:ext>
                    </c:extLst>
                    <c:strCache>
                      <c:ptCount val="1"/>
                      <c:pt idx="0">
                        <c:v>MC19-PSCS-1201-SW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0.53603879237798913"/>
                        <c:y val="-0.49167441026393438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chemeClr val="accent4">
                                  <a:lumMod val="60000"/>
                                  <a:lumOff val="40000"/>
                                </a:schemeClr>
                              </a:solidFill>
                            </a:rPr>
                            <a:t>y = -0.006ln(x) + 0.1103</a:t>
                          </a:r>
                          <a:br>
                            <a:rPr lang="en-US" sz="1400" baseline="0">
                              <a:solidFill>
                                <a:schemeClr val="accent4">
                                  <a:lumMod val="60000"/>
                                  <a:lumOff val="40000"/>
                                </a:schemeClr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chemeClr val="accent4">
                                  <a:lumMod val="60000"/>
                                  <a:lumOff val="40000"/>
                                </a:schemeClr>
                              </a:solidFill>
                            </a:rPr>
                            <a:t>R² = 0.9046</a:t>
                          </a:r>
                          <a:endParaRPr lang="en-US" sz="1400">
                            <a:solidFill>
                              <a:schemeClr val="accent4">
                                <a:lumMod val="60000"/>
                                <a:lumOff val="40000"/>
                              </a:schemeClr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accent4">
                            <a:lumMod val="40000"/>
                            <a:lumOff val="60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('Surface Water SPME'!$C$11:$C$16,'Surface Water SPME'!$C$18:$C$20)</c15:sqref>
                        </c15:formulaRef>
                      </c:ext>
                    </c:extLst>
                    <c:numCache>
                      <c:formatCode>0.0E+00</c:formatCode>
                      <c:ptCount val="9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12632002.71097157</c:v>
                      </c:pt>
                      <c:pt idx="7">
                        <c:v>6301001.593298153</c:v>
                      </c:pt>
                      <c:pt idx="8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('Surface Water SPME'!$DA$11:$DA$16,'Surface Water SPME'!$DA$18:$DA$20)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3.9468754735273968E-2</c:v>
                      </c:pt>
                      <c:pt idx="1">
                        <c:v>3.1160919234408984E-2</c:v>
                      </c:pt>
                      <c:pt idx="2">
                        <c:v>3.0414032850030387E-2</c:v>
                      </c:pt>
                      <c:pt idx="3">
                        <c:v>2.9808133219471369E-2</c:v>
                      </c:pt>
                      <c:pt idx="4">
                        <c:v>3.4273833313843691E-2</c:v>
                      </c:pt>
                      <c:pt idx="5">
                        <c:v>2.3339349652545343E-2</c:v>
                      </c:pt>
                      <c:pt idx="6">
                        <c:v>1.0011547358023275E-2</c:v>
                      </c:pt>
                      <c:pt idx="7">
                        <c:v>1.3387645351953952E-2</c:v>
                      </c:pt>
                      <c:pt idx="8">
                        <c:v>6.2232326113596465E-3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E73-47B6-97EB-EC2ED7363FDE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SPME'!$DF$2:$DH$2</c15:sqref>
                        </c15:formulaRef>
                      </c:ext>
                    </c:extLst>
                    <c:strCache>
                      <c:ptCount val="1"/>
                      <c:pt idx="0">
                        <c:v>MC19-PSCS-1202-SW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45293885924571387"/>
                        <c:y val="7.2307265939583641E-3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chemeClr val="accent1"/>
                              </a:solidFill>
                            </a:rPr>
                            <a:t>y = 3E-14x</a:t>
                          </a:r>
                          <a:r>
                            <a:rPr lang="en-US" sz="1400" baseline="30000">
                              <a:solidFill>
                                <a:schemeClr val="accent1"/>
                              </a:solidFill>
                            </a:rPr>
                            <a:t>2</a:t>
                          </a:r>
                          <a:r>
                            <a:rPr lang="en-US" sz="1400" baseline="0">
                              <a:solidFill>
                                <a:schemeClr val="accent1"/>
                              </a:solidFill>
                            </a:rPr>
                            <a:t> - 4E-08x + 0.0393</a:t>
                          </a:r>
                          <a:br>
                            <a:rPr lang="en-US" sz="1400" baseline="0">
                              <a:solidFill>
                                <a:schemeClr val="accent1"/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chemeClr val="accent1"/>
                              </a:solidFill>
                            </a:rPr>
                            <a:t>R² = 0.9933</a:t>
                          </a:r>
                          <a:endParaRPr lang="en-US" sz="1400">
                            <a:solidFill>
                              <a:schemeClr val="accent1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SPME'!$C$11:$C$14</c15:sqref>
                        </c15:formulaRef>
                      </c:ext>
                    </c:extLst>
                    <c:numCache>
                      <c:formatCode>0.0E+00</c:formatCode>
                      <c:ptCount val="4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SPME'!$DJ$11:$DJ$14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3.7296475277967339E-2</c:v>
                      </c:pt>
                      <c:pt idx="1">
                        <c:v>2.9113555526719466E-2</c:v>
                      </c:pt>
                      <c:pt idx="2">
                        <c:v>2.2971748523308407E-2</c:v>
                      </c:pt>
                      <c:pt idx="3">
                        <c:v>4.5891437495539783E-2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E73-47B6-97EB-EC2ED7363FDE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SPME'!$DO$2:$DQ$2</c15:sqref>
                        </c15:formulaRef>
                      </c:ext>
                    </c:extLst>
                    <c:strCache>
                      <c:ptCount val="1"/>
                      <c:pt idx="0">
                        <c:v>MC19-PSCS-1203-SW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5706700873829248"/>
                        <c:y val="-0.53428408405471051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chemeClr val="accent6">
                                  <a:lumMod val="60000"/>
                                  <a:lumOff val="40000"/>
                                </a:schemeClr>
                              </a:solidFill>
                            </a:rPr>
                            <a:t>y = 260.28x</a:t>
                          </a:r>
                          <a:r>
                            <a:rPr lang="en-US" sz="1400" baseline="30000">
                              <a:solidFill>
                                <a:schemeClr val="accent6">
                                  <a:lumMod val="60000"/>
                                  <a:lumOff val="40000"/>
                                </a:schemeClr>
                              </a:solidFill>
                            </a:rPr>
                            <a:t>-0.718</a:t>
                          </a:r>
                          <a:br>
                            <a:rPr lang="en-US" sz="1400" baseline="0">
                              <a:solidFill>
                                <a:schemeClr val="accent6">
                                  <a:lumMod val="60000"/>
                                  <a:lumOff val="40000"/>
                                </a:schemeClr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chemeClr val="accent6">
                                  <a:lumMod val="60000"/>
                                  <a:lumOff val="40000"/>
                                </a:schemeClr>
                              </a:solidFill>
                            </a:rPr>
                            <a:t>R² = 0.982</a:t>
                          </a:r>
                          <a:endParaRPr lang="en-US" sz="1400">
                            <a:solidFill>
                              <a:schemeClr val="accent6">
                                <a:lumMod val="60000"/>
                                <a:lumOff val="40000"/>
                              </a:schemeClr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accent6">
                            <a:lumMod val="60000"/>
                            <a:lumOff val="40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SPME'!$DS$11:$DS$20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6.9752641952871175E-2</c:v>
                      </c:pt>
                      <c:pt idx="1">
                        <c:v>3.6374631287670801E-2</c:v>
                      </c:pt>
                      <c:pt idx="2">
                        <c:v>1.7223813087898606E-2</c:v>
                      </c:pt>
                      <c:pt idx="3">
                        <c:v>1.1871717311025581E-2</c:v>
                      </c:pt>
                      <c:pt idx="4">
                        <c:v>1.9411782688687776E-2</c:v>
                      </c:pt>
                      <c:pt idx="5">
                        <c:v>6.373275071894861E-3</c:v>
                      </c:pt>
                      <c:pt idx="6">
                        <c:v>5.4249140439288053E-3</c:v>
                      </c:pt>
                      <c:pt idx="7">
                        <c:v>2.1677400886701424E-3</c:v>
                      </c:pt>
                      <c:pt idx="8">
                        <c:v>2.8238975699953301E-3</c:v>
                      </c:pt>
                      <c:pt idx="9">
                        <c:v>1.3398106856055913E-3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E73-47B6-97EB-EC2ED7363FD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SPME'!$DX$2:$DZ$2</c15:sqref>
                        </c15:formulaRef>
                      </c:ext>
                    </c:extLst>
                    <c:strCache>
                      <c:ptCount val="1"/>
                      <c:pt idx="0">
                        <c:v>MC19-PSCS-1204-SW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rgbClr val="99000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7727507198515262"/>
                        <c:y val="-0.42989485010025918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rgbClr val="990000"/>
                              </a:solidFill>
                            </a:rPr>
                            <a:t>y = 4.3397x</a:t>
                          </a:r>
                          <a:r>
                            <a:rPr lang="en-US" sz="1400" baseline="30000">
                              <a:solidFill>
                                <a:srgbClr val="990000"/>
                              </a:solidFill>
                            </a:rPr>
                            <a:t>-0.418</a:t>
                          </a:r>
                          <a:br>
                            <a:rPr lang="en-US" sz="1400" baseline="0">
                              <a:solidFill>
                                <a:srgbClr val="990000"/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rgbClr val="990000"/>
                              </a:solidFill>
                            </a:rPr>
                            <a:t>R² = 0.9757</a:t>
                          </a:r>
                          <a:endParaRPr lang="en-US" sz="1400">
                            <a:solidFill>
                              <a:srgbClr val="990000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rgbClr val="99000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SPME'!$EB$11:$EB$20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3.5246042645621027E-2</c:v>
                      </c:pt>
                      <c:pt idx="1">
                        <c:v>2.4804773884073632E-2</c:v>
                      </c:pt>
                      <c:pt idx="2">
                        <c:v>1.5228201114443635E-2</c:v>
                      </c:pt>
                      <c:pt idx="3">
                        <c:v>1.2433579411705127E-2</c:v>
                      </c:pt>
                      <c:pt idx="4">
                        <c:v>1.9788295472185989E-2</c:v>
                      </c:pt>
                      <c:pt idx="5">
                        <c:v>8.7127581833394748E-3</c:v>
                      </c:pt>
                      <c:pt idx="6">
                        <c:v>7.4111224015815172E-3</c:v>
                      </c:pt>
                      <c:pt idx="7">
                        <c:v>4.0131002020997791E-3</c:v>
                      </c:pt>
                      <c:pt idx="8">
                        <c:v>5.7968761646280753E-3</c:v>
                      </c:pt>
                      <c:pt idx="9">
                        <c:v>4.3179359733696507E-3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E73-47B6-97EB-EC2ED7363FD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SPME'!$EG$2:$EI$2</c15:sqref>
                        </c15:formulaRef>
                      </c:ext>
                    </c:extLst>
                    <c:strCache>
                      <c:ptCount val="1"/>
                      <c:pt idx="0">
                        <c:v>MC19-PSCS-1801-SW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rgbClr val="66330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50500470803367958"/>
                        <c:y val="-0.36364226210854078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aseline="0">
                              <a:solidFill>
                                <a:srgbClr val="663300"/>
                              </a:solidFill>
                            </a:rPr>
                            <a:t>y = 27.631x</a:t>
                          </a:r>
                          <a:r>
                            <a:rPr lang="en-US" sz="1400" baseline="30000">
                              <a:solidFill>
                                <a:srgbClr val="663300"/>
                              </a:solidFill>
                            </a:rPr>
                            <a:t>-0.559</a:t>
                          </a:r>
                          <a:br>
                            <a:rPr lang="en-US" sz="1400" baseline="0">
                              <a:solidFill>
                                <a:srgbClr val="663300"/>
                              </a:solidFill>
                            </a:rPr>
                          </a:br>
                          <a:r>
                            <a:rPr lang="en-US" sz="1400" baseline="0">
                              <a:solidFill>
                                <a:srgbClr val="663300"/>
                              </a:solidFill>
                            </a:rPr>
                            <a:t>R² = 0.9605</a:t>
                          </a:r>
                          <a:endParaRPr lang="en-US" sz="1400">
                            <a:solidFill>
                              <a:srgbClr val="663300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rgbClr val="66330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SPME'!$C$11:$C$20</c15:sqref>
                        </c15:formulaRef>
                      </c:ext>
                    </c:extLst>
                    <c:numCache>
                      <c:formatCode>0.0E+00</c:formatCode>
                      <c:ptCount val="10"/>
                      <c:pt idx="0">
                        <c:v>63919.616214142108</c:v>
                      </c:pt>
                      <c:pt idx="1">
                        <c:v>262677.88071364415</c:v>
                      </c:pt>
                      <c:pt idx="2">
                        <c:v>842807.64446312503</c:v>
                      </c:pt>
                      <c:pt idx="3">
                        <c:v>1777033.55268118</c:v>
                      </c:pt>
                      <c:pt idx="4">
                        <c:v>544238.28532434627</c:v>
                      </c:pt>
                      <c:pt idx="5">
                        <c:v>2287801.6801761277</c:v>
                      </c:pt>
                      <c:pt idx="6">
                        <c:v>3642170.2218736345</c:v>
                      </c:pt>
                      <c:pt idx="7">
                        <c:v>12632002.71097157</c:v>
                      </c:pt>
                      <c:pt idx="8">
                        <c:v>6301001.593298153</c:v>
                      </c:pt>
                      <c:pt idx="9">
                        <c:v>19747514.291125294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SPME'!$EK$11:$EK$20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3.7718264385685873E-2</c:v>
                      </c:pt>
                      <c:pt idx="1">
                        <c:v>2.6352873691598496E-2</c:v>
                      </c:pt>
                      <c:pt idx="2">
                        <c:v>1.6793847777136928E-2</c:v>
                      </c:pt>
                      <c:pt idx="3">
                        <c:v>1.149650749201581E-2</c:v>
                      </c:pt>
                      <c:pt idx="4">
                        <c:v>1.9980509928841379E-2</c:v>
                      </c:pt>
                      <c:pt idx="5">
                        <c:v>8.1008222168725118E-3</c:v>
                      </c:pt>
                      <c:pt idx="6">
                        <c:v>6.7550037825314293E-3</c:v>
                      </c:pt>
                      <c:pt idx="7">
                        <c:v>2.6410915343471719E-3</c:v>
                      </c:pt>
                      <c:pt idx="8">
                        <c:v>3.8169143140211912E-3</c:v>
                      </c:pt>
                      <c:pt idx="9">
                        <c:v>1.8919491913550837E-3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E73-47B6-97EB-EC2ED7363FDE}"/>
                  </c:ext>
                </c:extLst>
              </c15:ser>
            </c15:filteredScatterSeries>
          </c:ext>
        </c:extLst>
      </c:scatterChart>
      <c:valAx>
        <c:axId val="42624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PE</a:t>
                </a:r>
                <a:r>
                  <a:rPr lang="en-US"/>
                  <a:t>, L/kg-PE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7872"/>
        <c:crosses val="autoZero"/>
        <c:crossBetween val="midCat"/>
      </c:valAx>
      <c:valAx>
        <c:axId val="4262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Boundary Layer Thickness, </a:t>
                </a:r>
                <a:r>
                  <a:rPr lang="el-GR"/>
                  <a:t>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63725479287436"/>
          <c:y val="0.48235966938024755"/>
          <c:w val="0.31891501430605401"/>
          <c:h val="0.13975253093363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'Sediment SPME'!$BI$2:$BK$2</c:f>
              <c:strCache>
                <c:ptCount val="1"/>
                <c:pt idx="0">
                  <c:v>MC19-PSCS-0602-0-2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975110964532575"/>
                  <c:y val="-0.572264527060699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00B050"/>
                        </a:solidFill>
                      </a:rPr>
                      <a:t>y = 8.0922x</a:t>
                    </a:r>
                    <a:r>
                      <a:rPr lang="en-US" sz="1400" baseline="30000">
                        <a:solidFill>
                          <a:srgbClr val="00B050"/>
                        </a:solidFill>
                      </a:rPr>
                      <a:t>-1.878</a:t>
                    </a:r>
                    <a:br>
                      <a:rPr lang="en-US" sz="1400" baseline="0">
                        <a:solidFill>
                          <a:srgbClr val="00B050"/>
                        </a:solidFill>
                      </a:rPr>
                    </a:br>
                    <a:r>
                      <a:rPr lang="en-US" sz="1400" baseline="0">
                        <a:solidFill>
                          <a:srgbClr val="00B050"/>
                        </a:solidFill>
                      </a:rPr>
                      <a:t>R² = 0.7999</a:t>
                    </a:r>
                    <a:endParaRPr lang="en-US" sz="1400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SPME'!$H$11:$H$20</c:f>
              <c:numCache>
                <c:formatCode>0.00</c:formatCode>
                <c:ptCount val="10"/>
                <c:pt idx="0" formatCode="0.0">
                  <c:v>10.460281372624726</c:v>
                </c:pt>
                <c:pt idx="1">
                  <c:v>2.9094456659456371</c:v>
                </c:pt>
                <c:pt idx="2">
                  <c:v>1.0777366118828235</c:v>
                </c:pt>
                <c:pt idx="3">
                  <c:v>0.59826630933263281</c:v>
                </c:pt>
                <c:pt idx="4">
                  <c:v>4.0447766649038659</c:v>
                </c:pt>
                <c:pt idx="5">
                  <c:v>0.86661151864738895</c:v>
                </c:pt>
                <c:pt idx="6">
                  <c:v>1.0909992629787337</c:v>
                </c:pt>
                <c:pt idx="7">
                  <c:v>9.0350951608448735E-2</c:v>
                </c:pt>
                <c:pt idx="8">
                  <c:v>0.42260315116010533</c:v>
                </c:pt>
                <c:pt idx="9">
                  <c:v>0.15910778194809233</c:v>
                </c:pt>
              </c:numCache>
            </c:numRef>
          </c:xVal>
          <c:yVal>
            <c:numRef>
              <c:f>'Sediment SPME'!$BP$11:$BP$20</c:f>
              <c:numCache>
                <c:formatCode>0.00</c:formatCode>
                <c:ptCount val="10"/>
                <c:pt idx="0">
                  <c:v>2.6626934329533548E-2</c:v>
                </c:pt>
                <c:pt idx="1">
                  <c:v>0.33628665106864869</c:v>
                </c:pt>
                <c:pt idx="2">
                  <c:v>2.4203000433534823</c:v>
                </c:pt>
                <c:pt idx="3">
                  <c:v>7.5844737299459464</c:v>
                </c:pt>
                <c:pt idx="4">
                  <c:v>2.9628467453478762</c:v>
                </c:pt>
                <c:pt idx="5">
                  <c:v>23.91485465478809</c:v>
                </c:pt>
                <c:pt idx="6">
                  <c:v>47.129021305836268</c:v>
                </c:pt>
                <c:pt idx="7">
                  <c:v>150.65990066241486</c:v>
                </c:pt>
                <c:pt idx="8">
                  <c:v>121.9881714981564</c:v>
                </c:pt>
                <c:pt idx="9">
                  <c:v>521.70063891569509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4-412E-83C1-7DD444BA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51688"/>
        <c:axId val="7299520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'Sediment SPME'!$K$2:$M$2</c15:sqref>
                        </c15:formulaRef>
                      </c:ext>
                    </c:extLst>
                    <c:strCache>
                      <c:ptCount val="1"/>
                      <c:pt idx="0">
                        <c:v>MC19-PSCS-0601-0-2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0711679790026245"/>
                        <c:y val="-0.48438283756197142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accent1">
                            <a:lumMod val="75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'Sediment SPME'!$H$11:$H$20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 formatCode="0.0">
                        <c:v>10.460281372624726</c:v>
                      </c:pt>
                      <c:pt idx="1">
                        <c:v>2.9094456659456371</c:v>
                      </c:pt>
                      <c:pt idx="2">
                        <c:v>1.0777366118828235</c:v>
                      </c:pt>
                      <c:pt idx="3">
                        <c:v>0.59826630933263281</c:v>
                      </c:pt>
                      <c:pt idx="4">
                        <c:v>4.0447766649038659</c:v>
                      </c:pt>
                      <c:pt idx="5">
                        <c:v>0.86661151864738895</c:v>
                      </c:pt>
                      <c:pt idx="6">
                        <c:v>1.0909992629787337</c:v>
                      </c:pt>
                      <c:pt idx="7">
                        <c:v>9.0350951608448735E-2</c:v>
                      </c:pt>
                      <c:pt idx="8">
                        <c:v>0.42260315116010533</c:v>
                      </c:pt>
                      <c:pt idx="9">
                        <c:v>0.15910778194809233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'Sediment SPME'!$R$11:$R$20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0.15456769654513813</c:v>
                      </c:pt>
                      <c:pt idx="1">
                        <c:v>1.0009104085194112</c:v>
                      </c:pt>
                      <c:pt idx="2">
                        <c:v>4.0953016964252091</c:v>
                      </c:pt>
                      <c:pt idx="3">
                        <c:v>10.584021891833023</c:v>
                      </c:pt>
                      <c:pt idx="4">
                        <c:v>4.3648118812981327</c:v>
                      </c:pt>
                      <c:pt idx="5">
                        <c:v>39.827875318167507</c:v>
                      </c:pt>
                      <c:pt idx="6">
                        <c:v>52.035272461936088</c:v>
                      </c:pt>
                      <c:pt idx="7">
                        <c:v>140.15308727979189</c:v>
                      </c:pt>
                      <c:pt idx="8">
                        <c:v>76.298009050998374</c:v>
                      </c:pt>
                      <c:pt idx="9">
                        <c:v>341.21794668180144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241-47E6-8C2A-23FE1CCC078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SPME'!$U$2:$W$2</c15:sqref>
                        </c15:formulaRef>
                      </c:ext>
                    </c:extLst>
                    <c:strCache>
                      <c:ptCount val="1"/>
                      <c:pt idx="0">
                        <c:v>MC19-PSCS-0601-2-4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36224173548986999"/>
                        <c:y val="-0.38239110933918069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rgbClr val="FF0000"/>
                              </a:solidFill>
                            </a:rPr>
                            <a:t>y = 9.1868x</a:t>
                          </a:r>
                          <a:r>
                            <a:rPr lang="en-US" sz="1200" baseline="30000">
                              <a:solidFill>
                                <a:srgbClr val="FF0000"/>
                              </a:solidFill>
                            </a:rPr>
                            <a:t>-1.732</a:t>
                          </a:r>
                          <a:br>
                            <a:rPr lang="en-US" sz="1200" baseline="0">
                              <a:solidFill>
                                <a:srgbClr val="FF0000"/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rgbClr val="FF0000"/>
                              </a:solidFill>
                            </a:rPr>
                            <a:t>R² = 0.7856</a:t>
                          </a:r>
                          <a:endParaRPr lang="en-US" sz="1200">
                            <a:solidFill>
                              <a:srgbClr val="FF0000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rgbClr val="FF000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SPME'!$H$11:$H$20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 formatCode="0.0">
                        <c:v>10.460281372624726</c:v>
                      </c:pt>
                      <c:pt idx="1">
                        <c:v>2.9094456659456371</c:v>
                      </c:pt>
                      <c:pt idx="2">
                        <c:v>1.0777366118828235</c:v>
                      </c:pt>
                      <c:pt idx="3">
                        <c:v>0.59826630933263281</c:v>
                      </c:pt>
                      <c:pt idx="4">
                        <c:v>4.0447766649038659</c:v>
                      </c:pt>
                      <c:pt idx="5">
                        <c:v>0.86661151864738895</c:v>
                      </c:pt>
                      <c:pt idx="6">
                        <c:v>1.0909992629787337</c:v>
                      </c:pt>
                      <c:pt idx="7">
                        <c:v>9.0350951608448735E-2</c:v>
                      </c:pt>
                      <c:pt idx="8">
                        <c:v>0.42260315116010533</c:v>
                      </c:pt>
                      <c:pt idx="9">
                        <c:v>0.15910778194809233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SPME'!$AB$11:$AB$20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4.9256747358677098E-2</c:v>
                      </c:pt>
                      <c:pt idx="1">
                        <c:v>0.41322091970343983</c:v>
                      </c:pt>
                      <c:pt idx="2">
                        <c:v>2.7784979548226874</c:v>
                      </c:pt>
                      <c:pt idx="3">
                        <c:v>7.6750207345161456</c:v>
                      </c:pt>
                      <c:pt idx="4">
                        <c:v>3.8688350936841949</c:v>
                      </c:pt>
                      <c:pt idx="5">
                        <c:v>29.764883928879268</c:v>
                      </c:pt>
                      <c:pt idx="6">
                        <c:v>49.882367621087681</c:v>
                      </c:pt>
                      <c:pt idx="7">
                        <c:v>142.21261191132015</c:v>
                      </c:pt>
                      <c:pt idx="8">
                        <c:v>113.81853260918611</c:v>
                      </c:pt>
                      <c:pt idx="9">
                        <c:v>413.5897485044423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41-47E6-8C2A-23FE1CCC078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SPME'!$AE$2:$AG$2</c15:sqref>
                        </c15:formulaRef>
                      </c:ext>
                    </c:extLst>
                    <c:strCache>
                      <c:ptCount val="1"/>
                      <c:pt idx="0">
                        <c:v>MC19-PSCS-0601-4-6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33431852432058567"/>
                        <c:y val="-0.60601980132230304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  <a:t>y = 7.8249x</a:t>
                          </a:r>
                          <a:r>
                            <a:rPr lang="en-US" sz="1200" baseline="3000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  <a:t>-1.779</a:t>
                          </a:r>
                          <a:br>
                            <a:rPr lang="en-US" sz="1200" baseline="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  <a:t>R² = 0.8058</a:t>
                          </a:r>
                          <a:endParaRPr lang="en-US" sz="1200">
                            <a:solidFill>
                              <a:schemeClr val="bg1">
                                <a:lumMod val="65000"/>
                              </a:schemeClr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bg1">
                            <a:lumMod val="65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SPME'!$H$11:$H$20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 formatCode="0.0">
                        <c:v>10.460281372624726</c:v>
                      </c:pt>
                      <c:pt idx="1">
                        <c:v>2.9094456659456371</c:v>
                      </c:pt>
                      <c:pt idx="2">
                        <c:v>1.0777366118828235</c:v>
                      </c:pt>
                      <c:pt idx="3">
                        <c:v>0.59826630933263281</c:v>
                      </c:pt>
                      <c:pt idx="4">
                        <c:v>4.0447766649038659</c:v>
                      </c:pt>
                      <c:pt idx="5">
                        <c:v>0.86661151864738895</c:v>
                      </c:pt>
                      <c:pt idx="6">
                        <c:v>1.0909992629787337</c:v>
                      </c:pt>
                      <c:pt idx="7">
                        <c:v>9.0350951608448735E-2</c:v>
                      </c:pt>
                      <c:pt idx="8">
                        <c:v>0.42260315116010533</c:v>
                      </c:pt>
                      <c:pt idx="9">
                        <c:v>0.15910778194809233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SPME'!$AL$11:$AL$20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3.0410498266475339E-2</c:v>
                      </c:pt>
                      <c:pt idx="1">
                        <c:v>0.38787718520210318</c:v>
                      </c:pt>
                      <c:pt idx="2">
                        <c:v>2.8423339446007261</c:v>
                      </c:pt>
                      <c:pt idx="3">
                        <c:v>7.4947679661739963</c:v>
                      </c:pt>
                      <c:pt idx="4">
                        <c:v>3.2671291060306844</c:v>
                      </c:pt>
                      <c:pt idx="5">
                        <c:v>24.896087228531268</c:v>
                      </c:pt>
                      <c:pt idx="6">
                        <c:v>45.148403461490759</c:v>
                      </c:pt>
                      <c:pt idx="7">
                        <c:v>155.01080885913618</c:v>
                      </c:pt>
                      <c:pt idx="8">
                        <c:v>79.242317808035835</c:v>
                      </c:pt>
                      <c:pt idx="9">
                        <c:v>307.03577317167162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41-47E6-8C2A-23FE1CCC078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SPME'!$AO$2:$AQ$2</c15:sqref>
                        </c15:formulaRef>
                      </c:ext>
                    </c:extLst>
                    <c:strCache>
                      <c:ptCount val="1"/>
                      <c:pt idx="0">
                        <c:v>MC19-PSCS-0601-6-9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chemeClr val="accent4">
                          <a:lumMod val="7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37364829396325461"/>
                        <c:y val="-0.41526030765141697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accent4">
                            <a:lumMod val="75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SPME'!$H$11:$H$20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 formatCode="0.0">
                        <c:v>10.460281372624726</c:v>
                      </c:pt>
                      <c:pt idx="1">
                        <c:v>2.9094456659456371</c:v>
                      </c:pt>
                      <c:pt idx="2">
                        <c:v>1.0777366118828235</c:v>
                      </c:pt>
                      <c:pt idx="3">
                        <c:v>0.59826630933263281</c:v>
                      </c:pt>
                      <c:pt idx="4">
                        <c:v>4.0447766649038659</c:v>
                      </c:pt>
                      <c:pt idx="5">
                        <c:v>0.86661151864738895</c:v>
                      </c:pt>
                      <c:pt idx="6">
                        <c:v>1.0909992629787337</c:v>
                      </c:pt>
                      <c:pt idx="7">
                        <c:v>9.0350951608448735E-2</c:v>
                      </c:pt>
                      <c:pt idx="8">
                        <c:v>0.42260315116010533</c:v>
                      </c:pt>
                      <c:pt idx="9">
                        <c:v>0.15910778194809233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SPME'!$AV$11:$AV$20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2.9259679133337012E-2</c:v>
                      </c:pt>
                      <c:pt idx="1">
                        <c:v>0.31677678793714475</c:v>
                      </c:pt>
                      <c:pt idx="2">
                        <c:v>2.747039417974201</c:v>
                      </c:pt>
                      <c:pt idx="3">
                        <c:v>7.675021695909277</c:v>
                      </c:pt>
                      <c:pt idx="4">
                        <c:v>3.2816785938636901</c:v>
                      </c:pt>
                      <c:pt idx="5">
                        <c:v>24.896087228531268</c:v>
                      </c:pt>
                      <c:pt idx="6">
                        <c:v>47.129021305836268</c:v>
                      </c:pt>
                      <c:pt idx="7">
                        <c:v>132.11837861614805</c:v>
                      </c:pt>
                      <c:pt idx="8">
                        <c:v>95.302891952216626</c:v>
                      </c:pt>
                      <c:pt idx="9">
                        <c:v>371.05494154818342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34-412E-83C1-7DD444BAB65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SPME'!$AY$2:$BA$2</c15:sqref>
                        </c15:formulaRef>
                      </c:ext>
                    </c:extLst>
                    <c:strCache>
                      <c:ptCount val="1"/>
                      <c:pt idx="0">
                        <c:v>MC19-PSCS-0601-9-12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0.40074626797304785"/>
                        <c:y val="-0.54184258613242964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SPME'!$H$11:$H$20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 formatCode="0.0">
                        <c:v>10.460281372624726</c:v>
                      </c:pt>
                      <c:pt idx="1">
                        <c:v>2.9094456659456371</c:v>
                      </c:pt>
                      <c:pt idx="2">
                        <c:v>1.0777366118828235</c:v>
                      </c:pt>
                      <c:pt idx="3">
                        <c:v>0.59826630933263281</c:v>
                      </c:pt>
                      <c:pt idx="4">
                        <c:v>4.0447766649038659</c:v>
                      </c:pt>
                      <c:pt idx="5">
                        <c:v>0.86661151864738895</c:v>
                      </c:pt>
                      <c:pt idx="6">
                        <c:v>1.0909992629787337</c:v>
                      </c:pt>
                      <c:pt idx="7">
                        <c:v>9.0350951608448735E-2</c:v>
                      </c:pt>
                      <c:pt idx="8">
                        <c:v>0.42260315116010533</c:v>
                      </c:pt>
                      <c:pt idx="9">
                        <c:v>0.15910778194809233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SPME'!$BF$11:$BF$20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1.6329533693165872E-2</c:v>
                      </c:pt>
                      <c:pt idx="1">
                        <c:v>0.26399604457553483</c:v>
                      </c:pt>
                      <c:pt idx="2">
                        <c:v>2.0029143290775369</c:v>
                      </c:pt>
                      <c:pt idx="3">
                        <c:v>7.7664190705088272</c:v>
                      </c:pt>
                      <c:pt idx="4">
                        <c:v>2.8593125010741938</c:v>
                      </c:pt>
                      <c:pt idx="5">
                        <c:v>25.912370715215765</c:v>
                      </c:pt>
                      <c:pt idx="6">
                        <c:v>47.129021305836268</c:v>
                      </c:pt>
                      <c:pt idx="7">
                        <c:v>124.40347373577129</c:v>
                      </c:pt>
                      <c:pt idx="8">
                        <c:v>97.622754258426738</c:v>
                      </c:pt>
                      <c:pt idx="9">
                        <c:v>367.65407521719521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34-412E-83C1-7DD444BAB65A}"/>
                  </c:ext>
                </c:extLst>
              </c15:ser>
            </c15:filteredScatterSeries>
          </c:ext>
        </c:extLst>
      </c:scatterChart>
      <c:valAx>
        <c:axId val="72995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KOW x DW x 1,000,000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52016"/>
        <c:crosses val="autoZero"/>
        <c:crossBetween val="midCat"/>
      </c:valAx>
      <c:valAx>
        <c:axId val="7299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RD / 10,000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5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'Sed SPME KOC'!$K$2:$M$2</c:f>
              <c:strCache>
                <c:ptCount val="1"/>
                <c:pt idx="0">
                  <c:v>MC19-PSCS-0601-0-2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222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16919562740891"/>
                  <c:y val="5.2322890455985427E-2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 SPME KOC'!$E$11:$E$20</c:f>
              <c:numCache>
                <c:formatCode>0.00</c:formatCode>
                <c:ptCount val="10"/>
                <c:pt idx="0">
                  <c:v>3.4972269037993344</c:v>
                </c:pt>
                <c:pt idx="1">
                  <c:v>5.1721753918331004</c:v>
                </c:pt>
                <c:pt idx="2">
                  <c:v>6.6174633378540504</c:v>
                </c:pt>
                <c:pt idx="3">
                  <c:v>7.5192387361472015</c:v>
                </c:pt>
                <c:pt idx="4">
                  <c:v>7.0286392728933986</c:v>
                </c:pt>
                <c:pt idx="5">
                  <c:v>8.5947789209737202</c:v>
                </c:pt>
                <c:pt idx="6">
                  <c:v>8.8178594555423953</c:v>
                </c:pt>
                <c:pt idx="7">
                  <c:v>10.057099793095603</c:v>
                </c:pt>
                <c:pt idx="8">
                  <c:v>9.7408489798978071</c:v>
                </c:pt>
                <c:pt idx="9">
                  <c:v>11.128812139175297</c:v>
                </c:pt>
              </c:numCache>
              <c:extLst xmlns:c15="http://schemas.microsoft.com/office/drawing/2012/chart"/>
            </c:numRef>
          </c:xVal>
          <c:yVal>
            <c:numRef>
              <c:f>'Sed SPME KOC'!$R$11:$R$20</c:f>
              <c:numCache>
                <c:formatCode>0.00</c:formatCode>
                <c:ptCount val="10"/>
                <c:pt idx="0">
                  <c:v>2.5047871221393598</c:v>
                </c:pt>
                <c:pt idx="1">
                  <c:v>3.791094593403435</c:v>
                </c:pt>
                <c:pt idx="2">
                  <c:v>4.8539510466057934</c:v>
                </c:pt>
                <c:pt idx="3">
                  <c:v>5.557061343196013</c:v>
                </c:pt>
                <c:pt idx="4">
                  <c:v>5.1345760917112777</c:v>
                </c:pt>
                <c:pt idx="5">
                  <c:v>6.556892185113516</c:v>
                </c:pt>
                <c:pt idx="6">
                  <c:v>6.647802708142053</c:v>
                </c:pt>
                <c:pt idx="7">
                  <c:v>7.5625800251820108</c:v>
                </c:pt>
                <c:pt idx="8">
                  <c:v>7.2543903736916064</c:v>
                </c:pt>
                <c:pt idx="9">
                  <c:v>8.4307316905598864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C68-43C3-9699-1BF5F19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13888"/>
        <c:axId val="952508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0601-0-2 Targets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'Sed SPME KOC'!$E$5:$E$10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'Sed SPME KOC'!$R$5:$R$10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6.6444559999999999</c:v>
                      </c:pt>
                      <c:pt idx="1">
                        <c:v>6.6861379999999997</c:v>
                      </c:pt>
                      <c:pt idx="2">
                        <c:v>6.7972259999999984</c:v>
                      </c:pt>
                      <c:pt idx="3">
                        <c:v>6.3145719999999983</c:v>
                      </c:pt>
                      <c:pt idx="4">
                        <c:v>7.1261799999999997</c:v>
                      </c:pt>
                      <c:pt idx="5">
                        <c:v>7.1849119999999989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C68-43C3-9699-1BF5F196EFD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KOC'!$V$2:$X$2</c15:sqref>
                        </c15:formulaRef>
                      </c:ext>
                    </c:extLst>
                    <c:strCache>
                      <c:ptCount val="1"/>
                      <c:pt idx="0">
                        <c:v>MC19-PSCS-0601-2-4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noFill/>
                    <a:ln w="22225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6635998955385546"/>
                        <c:y val="1.0302894869930449E-2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  <a:t>y = 1.9886x - 3.8344</a:t>
                          </a:r>
                          <a:br>
                            <a:rPr lang="en-US" sz="1200" baseline="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chemeClr val="bg1">
                                  <a:lumMod val="65000"/>
                                </a:schemeClr>
                              </a:solidFill>
                            </a:rPr>
                            <a:t>R² = 0.9882</a:t>
                          </a:r>
                          <a:endParaRPr lang="en-US" sz="1200">
                            <a:solidFill>
                              <a:schemeClr val="bg1">
                                <a:lumMod val="65000"/>
                              </a:schemeClr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bg2">
                            <a:lumMod val="50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KOC'!$E$11:$E$20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3.4972269037993344</c:v>
                      </c:pt>
                      <c:pt idx="1">
                        <c:v>5.1721753918331004</c:v>
                      </c:pt>
                      <c:pt idx="2">
                        <c:v>6.6174633378540504</c:v>
                      </c:pt>
                      <c:pt idx="3">
                        <c:v>7.5192387361472015</c:v>
                      </c:pt>
                      <c:pt idx="4">
                        <c:v>7.0286392728933986</c:v>
                      </c:pt>
                      <c:pt idx="5">
                        <c:v>8.5947789209737202</c:v>
                      </c:pt>
                      <c:pt idx="6">
                        <c:v>8.8178594555423953</c:v>
                      </c:pt>
                      <c:pt idx="7">
                        <c:v>10.057099793095603</c:v>
                      </c:pt>
                      <c:pt idx="8">
                        <c:v>9.7408489798978071</c:v>
                      </c:pt>
                      <c:pt idx="9">
                        <c:v>11.128812139175297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KOC'!$AC$11:$AC$20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4.5103894945135172</c:v>
                      </c:pt>
                      <c:pt idx="1">
                        <c:v>5.4783730764005982</c:v>
                      </c:pt>
                      <c:pt idx="2">
                        <c:v>6.3447031474269782</c:v>
                      </c:pt>
                      <c:pt idx="3">
                        <c:v>6.8203544668154548</c:v>
                      </c:pt>
                      <c:pt idx="4">
                        <c:v>6.5228551763859537</c:v>
                      </c:pt>
                      <c:pt idx="5">
                        <c:v>7.4399090725697317</c:v>
                      </c:pt>
                      <c:pt idx="6">
                        <c:v>7.6641519146987225</c:v>
                      </c:pt>
                      <c:pt idx="7">
                        <c:v>8.1472512400232571</c:v>
                      </c:pt>
                      <c:pt idx="8">
                        <c:v>8.0505261043743257</c:v>
                      </c:pt>
                      <c:pt idx="9">
                        <c:v>8.6366415358783737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68-43C3-9699-1BF5F196EFD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KOC'!$AF$2:$AH$2</c15:sqref>
                        </c15:formulaRef>
                      </c:ext>
                    </c:extLst>
                    <c:strCache>
                      <c:ptCount val="1"/>
                      <c:pt idx="0">
                        <c:v>MC19-PSCS-0601-4-6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22225">
                      <a:solidFill>
                        <a:srgbClr val="990000"/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rgbClr val="990000"/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4391946038112858"/>
                        <c:y val="-0.13191226903755934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rgbClr val="990000"/>
                              </a:solidFill>
                            </a:rPr>
                            <a:t>y = 2.0053x - 3.989</a:t>
                          </a:r>
                          <a:br>
                            <a:rPr lang="en-US" sz="1200" baseline="0">
                              <a:solidFill>
                                <a:srgbClr val="990000"/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rgbClr val="990000"/>
                              </a:solidFill>
                            </a:rPr>
                            <a:t>R² = 0.979</a:t>
                          </a:r>
                          <a:endParaRPr lang="en-US" sz="1200">
                            <a:solidFill>
                              <a:srgbClr val="990000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rgbClr val="99000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KOC'!$E$11:$E$20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3.4972269037993344</c:v>
                      </c:pt>
                      <c:pt idx="1">
                        <c:v>5.1721753918331004</c:v>
                      </c:pt>
                      <c:pt idx="2">
                        <c:v>6.6174633378540504</c:v>
                      </c:pt>
                      <c:pt idx="3">
                        <c:v>7.5192387361472015</c:v>
                      </c:pt>
                      <c:pt idx="4">
                        <c:v>7.0286392728933986</c:v>
                      </c:pt>
                      <c:pt idx="5">
                        <c:v>8.5947789209737202</c:v>
                      </c:pt>
                      <c:pt idx="6">
                        <c:v>8.8178594555423953</c:v>
                      </c:pt>
                      <c:pt idx="7">
                        <c:v>10.057099793095603</c:v>
                      </c:pt>
                      <c:pt idx="8">
                        <c:v>9.7408489798978071</c:v>
                      </c:pt>
                      <c:pt idx="9">
                        <c:v>11.128812139175297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KOC'!$AM$11:$AM$20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4.3055429512993211</c:v>
                      </c:pt>
                      <c:pt idx="1">
                        <c:v>5.4554806312214756</c:v>
                      </c:pt>
                      <c:pt idx="2">
                        <c:v>6.3591638847731362</c:v>
                      </c:pt>
                      <c:pt idx="3">
                        <c:v>6.8146288819933352</c:v>
                      </c:pt>
                      <c:pt idx="4">
                        <c:v>6.4540369548862975</c:v>
                      </c:pt>
                      <c:pt idx="5">
                        <c:v>7.3669316596209606</c:v>
                      </c:pt>
                      <c:pt idx="6">
                        <c:v>7.6254430246322293</c:v>
                      </c:pt>
                      <c:pt idx="7">
                        <c:v>8.1892708470213567</c:v>
                      </c:pt>
                      <c:pt idx="8">
                        <c:v>7.8978661805086103</c:v>
                      </c:pt>
                      <c:pt idx="9">
                        <c:v>8.5118565459669107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68-43C3-9699-1BF5F196EFD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KOC'!$AP$2:$AR$2</c15:sqref>
                        </c15:formulaRef>
                      </c:ext>
                    </c:extLst>
                    <c:strCache>
                      <c:ptCount val="1"/>
                      <c:pt idx="0">
                        <c:v>MC19-PSCS-0601-6-9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4">
                          <a:lumMod val="75000"/>
                        </a:schemeClr>
                      </a:solidFill>
                      <a:prstDash val="lg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8457555142916411"/>
                        <c:y val="-0.13219108092532339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baseline="0"/>
                            <a:t>estimated </a:t>
                          </a:r>
                          <a:endParaRPr lang="en-US"/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accent4">
                            <a:lumMod val="75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KOC'!$E$11:$E$20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3.4972269037993344</c:v>
                      </c:pt>
                      <c:pt idx="1">
                        <c:v>5.1721753918331004</c:v>
                      </c:pt>
                      <c:pt idx="2">
                        <c:v>6.6174633378540504</c:v>
                      </c:pt>
                      <c:pt idx="3">
                        <c:v>7.5192387361472015</c:v>
                      </c:pt>
                      <c:pt idx="4">
                        <c:v>7.0286392728933986</c:v>
                      </c:pt>
                      <c:pt idx="5">
                        <c:v>8.5947789209737202</c:v>
                      </c:pt>
                      <c:pt idx="6">
                        <c:v>8.8178594555423953</c:v>
                      </c:pt>
                      <c:pt idx="7">
                        <c:v>10.057099793095603</c:v>
                      </c:pt>
                      <c:pt idx="8">
                        <c:v>9.7408489798978071</c:v>
                      </c:pt>
                      <c:pt idx="9">
                        <c:v>11.128812139175297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KOC'!$AW$11:$AW$20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1.6754533536890199</c:v>
                      </c:pt>
                      <c:pt idx="1">
                        <c:v>3.7870280126703793</c:v>
                      </c:pt>
                      <c:pt idx="2">
                        <c:v>5.1761061870520049</c:v>
                      </c:pt>
                      <c:pt idx="3">
                        <c:v>5.913066277826406</c:v>
                      </c:pt>
                      <c:pt idx="4">
                        <c:v>5.5062825550836321</c:v>
                      </c:pt>
                      <c:pt idx="5">
                        <c:v>6.8484120101638002</c:v>
                      </c:pt>
                      <c:pt idx="6">
                        <c:v>7.1003691038043719</c:v>
                      </c:pt>
                      <c:pt idx="7">
                        <c:v>8.0325167274509752</c:v>
                      </c:pt>
                      <c:pt idx="8">
                        <c:v>7.8465594718988978</c:v>
                      </c:pt>
                      <c:pt idx="9">
                        <c:v>8.962713192503788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C68-43C3-9699-1BF5F196EF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KOC'!$BA$2</c15:sqref>
                        </c15:formulaRef>
                      </c:ext>
                    </c:extLst>
                    <c:strCache>
                      <c:ptCount val="1"/>
                      <c:pt idx="0">
                        <c:v>MC19-PSCS-0601-9-12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6819312445974089"/>
                        <c:y val="-6.008742101771182E-2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rgbClr val="92D050"/>
                              </a:solidFill>
                            </a:rPr>
                            <a:t>y = 2.1587x - 6.2616</a:t>
                          </a:r>
                          <a:br>
                            <a:rPr lang="en-US" sz="1200" baseline="0">
                              <a:solidFill>
                                <a:srgbClr val="92D050"/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rgbClr val="92D050"/>
                              </a:solidFill>
                            </a:rPr>
                            <a:t>R² = 0.9807</a:t>
                          </a:r>
                          <a:endParaRPr lang="en-US" sz="1200">
                            <a:solidFill>
                              <a:srgbClr val="92D050"/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rgbClr val="92D050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KOC'!$E$11:$E$20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3.4972269037993344</c:v>
                      </c:pt>
                      <c:pt idx="1">
                        <c:v>5.1721753918331004</c:v>
                      </c:pt>
                      <c:pt idx="2">
                        <c:v>6.6174633378540504</c:v>
                      </c:pt>
                      <c:pt idx="3">
                        <c:v>7.5192387361472015</c:v>
                      </c:pt>
                      <c:pt idx="4">
                        <c:v>7.0286392728933986</c:v>
                      </c:pt>
                      <c:pt idx="5">
                        <c:v>8.5947789209737202</c:v>
                      </c:pt>
                      <c:pt idx="6">
                        <c:v>8.8178594555423953</c:v>
                      </c:pt>
                      <c:pt idx="7">
                        <c:v>10.057099793095603</c:v>
                      </c:pt>
                      <c:pt idx="8">
                        <c:v>9.7408489798978071</c:v>
                      </c:pt>
                      <c:pt idx="9">
                        <c:v>11.128812139175297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KOC'!$BH$11:$BH$20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2.650784260844858</c:v>
                      </c:pt>
                      <c:pt idx="1">
                        <c:v>3.9036747448033906</c:v>
                      </c:pt>
                      <c:pt idx="2">
                        <c:v>4.8224420315836873</c:v>
                      </c:pt>
                      <c:pt idx="3">
                        <c:v>5.4453825762833077</c:v>
                      </c:pt>
                      <c:pt idx="4">
                        <c:v>5.011423054862048</c:v>
                      </c:pt>
                      <c:pt idx="5">
                        <c:v>5.9995989256860724</c:v>
                      </c:pt>
                      <c:pt idx="6">
                        <c:v>6.2282272451323815</c:v>
                      </c:pt>
                      <c:pt idx="7">
                        <c:v>6.7090320851713923</c:v>
                      </c:pt>
                      <c:pt idx="8">
                        <c:v>6.6037509973344992</c:v>
                      </c:pt>
                      <c:pt idx="9">
                        <c:v>7.2053976072424808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68-43C3-9699-1BF5F196EF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KOC'!$BK$2:$BM$2</c15:sqref>
                        </c15:formulaRef>
                      </c:ext>
                    </c:extLst>
                    <c:strCache>
                      <c:ptCount val="1"/>
                      <c:pt idx="0">
                        <c:v>MC19-PSCS-0602-0-2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4"/>
                  <c:spPr>
                    <a:noFill/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accent1">
                          <a:lumMod val="50000"/>
                        </a:schemeClr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0688527027453044"/>
                        <c:y val="-1.6267947218073099E-2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chemeClr val="accent1">
                                  <a:lumMod val="50000"/>
                                </a:schemeClr>
                              </a:solidFill>
                            </a:rPr>
                            <a:t>y = 2.126x - 4.6444</a:t>
                          </a:r>
                          <a:br>
                            <a:rPr lang="en-US" sz="1200" baseline="0">
                              <a:solidFill>
                                <a:schemeClr val="accent1">
                                  <a:lumMod val="50000"/>
                                </a:schemeClr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chemeClr val="accent1">
                                  <a:lumMod val="50000"/>
                                </a:schemeClr>
                              </a:solidFill>
                            </a:rPr>
                            <a:t>R² = 0.989</a:t>
                          </a:r>
                          <a:endParaRPr lang="en-US" sz="1200">
                            <a:solidFill>
                              <a:schemeClr val="accent1">
                                <a:lumMod val="50000"/>
                              </a:schemeClr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accent1">
                            <a:lumMod val="50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KOC'!$E$11:$E$20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3.4972269037993344</c:v>
                      </c:pt>
                      <c:pt idx="1">
                        <c:v>5.1721753918331004</c:v>
                      </c:pt>
                      <c:pt idx="2">
                        <c:v>6.6174633378540504</c:v>
                      </c:pt>
                      <c:pt idx="3">
                        <c:v>7.5192387361472015</c:v>
                      </c:pt>
                      <c:pt idx="4">
                        <c:v>7.0286392728933986</c:v>
                      </c:pt>
                      <c:pt idx="5">
                        <c:v>8.5947789209737202</c:v>
                      </c:pt>
                      <c:pt idx="6">
                        <c:v>8.8178594555423953</c:v>
                      </c:pt>
                      <c:pt idx="7">
                        <c:v>10.057099793095603</c:v>
                      </c:pt>
                      <c:pt idx="8">
                        <c:v>9.7408489798978071</c:v>
                      </c:pt>
                      <c:pt idx="9">
                        <c:v>11.128812139175297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KOC'!$BR$11:$BR$20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4.2341966062286325</c:v>
                      </c:pt>
                      <c:pt idx="1">
                        <c:v>5.3798520815834392</c:v>
                      </c:pt>
                      <c:pt idx="2">
                        <c:v>6.2757140965083194</c:v>
                      </c:pt>
                      <c:pt idx="3">
                        <c:v>6.8061522654288931</c:v>
                      </c:pt>
                      <c:pt idx="4">
                        <c:v>6.3979359971759742</c:v>
                      </c:pt>
                      <c:pt idx="5">
                        <c:v>7.3358244642105586</c:v>
                      </c:pt>
                      <c:pt idx="6">
                        <c:v>7.5867229165247521</c:v>
                      </c:pt>
                      <c:pt idx="7">
                        <c:v>8.1632626015101799</c:v>
                      </c:pt>
                      <c:pt idx="8">
                        <c:v>8.071582740660503</c:v>
                      </c:pt>
                      <c:pt idx="9">
                        <c:v>8.728445034605155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C68-43C3-9699-1BF5F196EFD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KOC'!$BU$2:$BW$2</c15:sqref>
                        </c15:formulaRef>
                      </c:ext>
                    </c:extLst>
                    <c:strCache>
                      <c:ptCount val="1"/>
                      <c:pt idx="0">
                        <c:v>MC19-PSCS-0602-2-4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chemeClr val="tx1">
                        <a:lumMod val="95000"/>
                        <a:lumOff val="5000"/>
                      </a:schemeClr>
                    </a:solidFill>
                    <a:ln w="9525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prstDash val="lg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626405938578694"/>
                        <c:y val="-3.9538708153137603E-4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chemeClr val="tx1">
                                  <a:lumMod val="95000"/>
                                  <a:lumOff val="5000"/>
                                </a:schemeClr>
                              </a:solidFill>
                            </a:rPr>
                            <a:t>y = 2.2928x - 4.4592</a:t>
                          </a:r>
                          <a:br>
                            <a:rPr lang="en-US" sz="1200" baseline="0">
                              <a:solidFill>
                                <a:schemeClr val="tx1">
                                  <a:lumMod val="95000"/>
                                  <a:lumOff val="5000"/>
                                </a:schemeClr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chemeClr val="tx1">
                                  <a:lumMod val="95000"/>
                                  <a:lumOff val="5000"/>
                                </a:schemeClr>
                              </a:solidFill>
                            </a:rPr>
                            <a:t>R² = 0.9811</a:t>
                          </a:r>
                          <a:endParaRPr lang="en-US" sz="1200">
                            <a:solidFill>
                              <a:schemeClr val="tx1">
                                <a:lumMod val="95000"/>
                                <a:lumOff val="5000"/>
                              </a:schemeClr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KOC'!$E$11:$E$20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3.4972269037993344</c:v>
                      </c:pt>
                      <c:pt idx="1">
                        <c:v>5.1721753918331004</c:v>
                      </c:pt>
                      <c:pt idx="2">
                        <c:v>6.6174633378540504</c:v>
                      </c:pt>
                      <c:pt idx="3">
                        <c:v>7.5192387361472015</c:v>
                      </c:pt>
                      <c:pt idx="4">
                        <c:v>7.0286392728933986</c:v>
                      </c:pt>
                      <c:pt idx="5">
                        <c:v>8.5947789209737202</c:v>
                      </c:pt>
                      <c:pt idx="6">
                        <c:v>8.8178594555423953</c:v>
                      </c:pt>
                      <c:pt idx="7">
                        <c:v>10.057099793095603</c:v>
                      </c:pt>
                      <c:pt idx="8">
                        <c:v>9.7408489798978071</c:v>
                      </c:pt>
                      <c:pt idx="9">
                        <c:v>11.128812139175297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 SPME KOC'!$CB$11:$CB$20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5.1077141977163931</c:v>
                      </c:pt>
                      <c:pt idx="1">
                        <c:v>6.3573185016067875</c:v>
                      </c:pt>
                      <c:pt idx="2">
                        <c:v>7.38488401008384</c:v>
                      </c:pt>
                      <c:pt idx="3">
                        <c:v>8.000976920119454</c:v>
                      </c:pt>
                      <c:pt idx="4">
                        <c:v>7.3226334821649672</c:v>
                      </c:pt>
                      <c:pt idx="5">
                        <c:v>8.3944997559687895</c:v>
                      </c:pt>
                      <c:pt idx="6">
                        <c:v>8.7375356722562252</c:v>
                      </c:pt>
                      <c:pt idx="7">
                        <c:v>9.5136814464829023</c:v>
                      </c:pt>
                      <c:pt idx="8">
                        <c:v>9.0888377782166092</c:v>
                      </c:pt>
                      <c:pt idx="9">
                        <c:v>9.9754935292119029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C68-43C3-9699-1BF5F196EFD6}"/>
                  </c:ext>
                </c:extLst>
              </c15:ser>
            </c15:filteredScatterSeries>
          </c:ext>
        </c:extLst>
      </c:scatterChart>
      <c:valAx>
        <c:axId val="952513888"/>
        <c:scaling>
          <c:orientation val="minMax"/>
          <c:max val="3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  <a:r>
                  <a:rPr lang="en-US" baseline="-25000"/>
                  <a:t>OC</a:t>
                </a:r>
                <a:r>
                  <a:rPr lang="en-US"/>
                  <a:t> Nguyen et al. 2005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08968"/>
        <c:crosses val="autoZero"/>
        <c:crossBetween val="midCat"/>
      </c:valAx>
      <c:valAx>
        <c:axId val="952508968"/>
        <c:scaling>
          <c:orientation val="minMax"/>
          <c:max val="9.0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  <a:r>
                  <a:rPr lang="en-US" baseline="-25000"/>
                  <a:t>OC</a:t>
                </a:r>
                <a:r>
                  <a:rPr lang="en-US"/>
                  <a:t> Ciba, L/kg-OC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138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42398114089494"/>
          <c:y val="0.36600563573607375"/>
          <c:w val="0.34074747535289795"/>
          <c:h val="0.47886183867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'Surface Water SPME'!$AH$2:$AJ$2</c:f>
              <c:strCache>
                <c:ptCount val="1"/>
                <c:pt idx="0">
                  <c:v>MC19-PSCS-0603-SW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112053954420748"/>
                  <c:y val="-0.549622081553531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y = -0.8111x + 2.6935</a:t>
                    </a:r>
                    <a:br>
                      <a:rPr lang="en-US" sz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</a:br>
                    <a:r>
                      <a:rPr lang="en-US" sz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R² = 0.8054</a:t>
                    </a:r>
                    <a:endParaRPr lang="en-US" sz="12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'Surface Water SPME'!$D$11:$D$20</c:f>
              <c:numCache>
                <c:formatCode>0.00</c:formatCode>
                <c:ptCount val="10"/>
                <c:pt idx="0">
                  <c:v>4.8056341587248852</c:v>
                </c:pt>
                <c:pt idx="1">
                  <c:v>5.4194235037398037</c:v>
                </c:pt>
                <c:pt idx="2">
                  <c:v>5.9257284661067979</c:v>
                </c:pt>
                <c:pt idx="3">
                  <c:v>6.2496956279216338</c:v>
                </c:pt>
                <c:pt idx="4">
                  <c:v>5.7357890896676595</c:v>
                </c:pt>
                <c:pt idx="5">
                  <c:v>6.3594183746060651</c:v>
                </c:pt>
                <c:pt idx="6">
                  <c:v>6.5613602392878043</c:v>
                </c:pt>
                <c:pt idx="7">
                  <c:v>7.1014722102047871</c:v>
                </c:pt>
                <c:pt idx="8">
                  <c:v>6.7994095894326971</c:v>
                </c:pt>
                <c:pt idx="9">
                  <c:v>7.2955124367934818</c:v>
                </c:pt>
              </c:numCache>
            </c:numRef>
          </c:xVal>
          <c:yVal>
            <c:numRef>
              <c:f>'Surface Water SPME'!$AP$11:$AP$20</c:f>
              <c:numCache>
                <c:formatCode>0.000</c:formatCode>
                <c:ptCount val="10"/>
                <c:pt idx="0">
                  <c:v>-1.0595224677380117</c:v>
                </c:pt>
                <c:pt idx="1">
                  <c:v>-1.6044775509213371</c:v>
                </c:pt>
                <c:pt idx="2">
                  <c:v>-1.9882728028212051</c:v>
                </c:pt>
                <c:pt idx="3">
                  <c:v>-2.5149959047463684</c:v>
                </c:pt>
                <c:pt idx="4">
                  <c:v>-1.95156948442471</c:v>
                </c:pt>
                <c:pt idx="5">
                  <c:v>-2.5129440290545118</c:v>
                </c:pt>
                <c:pt idx="6">
                  <c:v>-3.3836211574961141</c:v>
                </c:pt>
                <c:pt idx="7">
                  <c:v>-2.9273416061685618</c:v>
                </c:pt>
                <c:pt idx="8">
                  <c:v>-2.8316363308665942</c:v>
                </c:pt>
                <c:pt idx="9">
                  <c:v>-2.7819187232796114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1C-4254-B625-5D0AD3D4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9232"/>
        <c:axId val="648109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'Surface Water SPME'!$H$2:$J$2</c15:sqref>
                        </c15:formulaRef>
                      </c:ext>
                    </c:extLst>
                    <c:strCache>
                      <c:ptCount val="1"/>
                      <c:pt idx="0">
                        <c:v>MC19-PSCS-0601-SW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4641337308564585"/>
                        <c:y val="-0.7255749403873536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chemeClr val="accent1">
                                  <a:lumMod val="50000"/>
                                </a:schemeClr>
                              </a:solidFill>
                            </a:rPr>
                            <a:t>y = -0.6614x + 2.0029</a:t>
                          </a:r>
                          <a:br>
                            <a:rPr lang="en-US" sz="1200" baseline="0">
                              <a:solidFill>
                                <a:schemeClr val="accent1">
                                  <a:lumMod val="50000"/>
                                </a:schemeClr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chemeClr val="accent1">
                                  <a:lumMod val="50000"/>
                                </a:schemeClr>
                              </a:solidFill>
                            </a:rPr>
                            <a:t>R² = 0.988</a:t>
                          </a:r>
                          <a:endParaRPr lang="en-US" sz="1200">
                            <a:solidFill>
                              <a:schemeClr val="accent1">
                                <a:lumMod val="50000"/>
                              </a:schemeClr>
                            </a:solidFill>
                          </a:endParaRP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'Surface Water SPME'!$D$11:$D$19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4.8056341587248852</c:v>
                      </c:pt>
                      <c:pt idx="1">
                        <c:v>5.4194235037398037</c:v>
                      </c:pt>
                      <c:pt idx="2">
                        <c:v>5.9257284661067979</c:v>
                      </c:pt>
                      <c:pt idx="3">
                        <c:v>6.2496956279216338</c:v>
                      </c:pt>
                      <c:pt idx="4">
                        <c:v>5.7357890896676595</c:v>
                      </c:pt>
                      <c:pt idx="5">
                        <c:v>6.3594183746060651</c:v>
                      </c:pt>
                      <c:pt idx="6">
                        <c:v>6.5613602392878043</c:v>
                      </c:pt>
                      <c:pt idx="7">
                        <c:v>7.1014722102047871</c:v>
                      </c:pt>
                      <c:pt idx="8">
                        <c:v>6.7994095894326971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'Surface Water SPME'!$P$11:$P$19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-1.0978996215160348</c:v>
                      </c:pt>
                      <c:pt idx="1">
                        <c:v>-1.6090666489467129</c:v>
                      </c:pt>
                      <c:pt idx="2">
                        <c:v>-1.9490506328387867</c:v>
                      </c:pt>
                      <c:pt idx="3">
                        <c:v>-2.2055523534631067</c:v>
                      </c:pt>
                      <c:pt idx="4">
                        <c:v>-1.8209462505844816</c:v>
                      </c:pt>
                      <c:pt idx="5">
                        <c:v>-2.171895139461252</c:v>
                      </c:pt>
                      <c:pt idx="6">
                        <c:v>-2.3713646726162563</c:v>
                      </c:pt>
                      <c:pt idx="7">
                        <c:v>-2.6243188635481682</c:v>
                      </c:pt>
                      <c:pt idx="8">
                        <c:v>-2.4739075988440682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480-4588-86A0-DBDECC31EFC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SPME'!$U$2:$W$2</c15:sqref>
                        </c15:formulaRef>
                      </c:ext>
                    </c:extLst>
                    <c:strCache>
                      <c:ptCount val="1"/>
                      <c:pt idx="0">
                        <c:v>MC19-PSCS-0602-SW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32773403324584427"/>
                        <c:y val="-0.63791089839260284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 baseline="0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</a:rPr>
                            <a:t>y = -0.7206x + 2.4017</a:t>
                          </a:r>
                          <a:br>
                            <a:rPr lang="en-US" sz="1200" baseline="0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</a:rPr>
                          </a:br>
                          <a:r>
                            <a:rPr lang="en-US" sz="1200" baseline="0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</a:rPr>
                            <a:t>R² = 0.9929</a:t>
                          </a:r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SPME'!$D$11:$D$17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4.8056341587248852</c:v>
                      </c:pt>
                      <c:pt idx="1">
                        <c:v>5.4194235037398037</c:v>
                      </c:pt>
                      <c:pt idx="2">
                        <c:v>5.9257284661067979</c:v>
                      </c:pt>
                      <c:pt idx="3">
                        <c:v>6.2496956279216338</c:v>
                      </c:pt>
                      <c:pt idx="4">
                        <c:v>5.7357890896676595</c:v>
                      </c:pt>
                      <c:pt idx="5">
                        <c:v>6.3594183746060651</c:v>
                      </c:pt>
                      <c:pt idx="6">
                        <c:v>6.5613602392878043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'Surface Water SPME'!$AC$11:$AC$17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-1.0400331867166037</c:v>
                      </c:pt>
                      <c:pt idx="1">
                        <c:v>-1.492468909193615</c:v>
                      </c:pt>
                      <c:pt idx="2">
                        <c:v>-1.8576041656535789</c:v>
                      </c:pt>
                      <c:pt idx="3">
                        <c:v>-2.1439622830115477</c:v>
                      </c:pt>
                      <c:pt idx="4">
                        <c:v>-1.7925200118969042</c:v>
                      </c:pt>
                      <c:pt idx="5">
                        <c:v>-2.1422309240541724</c:v>
                      </c:pt>
                      <c:pt idx="6">
                        <c:v>-2.3033885578715481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1C-4254-B625-5D0AD3D42273}"/>
                  </c:ext>
                </c:extLst>
              </c15:ser>
            </c15:filteredScatterSeries>
          </c:ext>
        </c:extLst>
      </c:scatterChart>
      <c:valAx>
        <c:axId val="6481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560"/>
        <c:crosses val="autoZero"/>
        <c:crossBetween val="midCat"/>
      </c:valAx>
      <c:valAx>
        <c:axId val="6481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log K</a:t>
            </a:r>
            <a:r>
              <a:rPr lang="en-US" baseline="-25000"/>
              <a:t>OC</a:t>
            </a:r>
            <a:r>
              <a:rPr lang="en-US"/>
              <a:t> by Several Models with Range of KOW for DDTs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905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Deposits!$AL$12:$AL$20</c:f>
              <c:numCache>
                <c:formatCode>General</c:formatCode>
                <c:ptCount val="9"/>
                <c:pt idx="0">
                  <c:v>5.28</c:v>
                </c:pt>
                <c:pt idx="1">
                  <c:v>5.88</c:v>
                </c:pt>
                <c:pt idx="2">
                  <c:v>6.35</c:v>
                </c:pt>
                <c:pt idx="3">
                  <c:v>6.64</c:v>
                </c:pt>
                <c:pt idx="4">
                  <c:v>5.81</c:v>
                </c:pt>
                <c:pt idx="5">
                  <c:v>6.41</c:v>
                </c:pt>
                <c:pt idx="6">
                  <c:v>7.52</c:v>
                </c:pt>
                <c:pt idx="7">
                  <c:v>6.85</c:v>
                </c:pt>
                <c:pt idx="8">
                  <c:v>7.3</c:v>
                </c:pt>
              </c:numCache>
            </c:numRef>
          </c:xVal>
          <c:yVal>
            <c:numRef>
              <c:f>Deposits!$E$12:$E$20</c:f>
              <c:numCache>
                <c:formatCode>0.00</c:formatCode>
                <c:ptCount val="9"/>
                <c:pt idx="0">
                  <c:v>3.5993389230776551</c:v>
                </c:pt>
                <c:pt idx="1">
                  <c:v>5.1213079115569577</c:v>
                </c:pt>
                <c:pt idx="2">
                  <c:v>6.3885619982004886</c:v>
                </c:pt>
                <c:pt idx="3">
                  <c:v>7.0923537593378221</c:v>
                </c:pt>
                <c:pt idx="4">
                  <c:v>6.7714158550120036</c:v>
                </c:pt>
                <c:pt idx="5">
                  <c:v>8.3373281465970912</c:v>
                </c:pt>
                <c:pt idx="6">
                  <c:v>9.3881859209727931</c:v>
                </c:pt>
                <c:pt idx="7">
                  <c:v>9.1561831730064629</c:v>
                </c:pt>
                <c:pt idx="8">
                  <c:v>10.527742948190678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9-4997-BFA3-707933D1056D}"/>
            </c:ext>
          </c:extLst>
        </c:ser>
        <c:ser>
          <c:idx val="1"/>
          <c:order val="1"/>
          <c:tx>
            <c:v>Nguyen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Deposits!$AL$12:$AL$20</c:f>
              <c:numCache>
                <c:formatCode>General</c:formatCode>
                <c:ptCount val="9"/>
                <c:pt idx="0">
                  <c:v>5.28</c:v>
                </c:pt>
                <c:pt idx="1">
                  <c:v>5.88</c:v>
                </c:pt>
                <c:pt idx="2">
                  <c:v>6.35</c:v>
                </c:pt>
                <c:pt idx="3">
                  <c:v>6.64</c:v>
                </c:pt>
                <c:pt idx="4">
                  <c:v>5.81</c:v>
                </c:pt>
                <c:pt idx="5">
                  <c:v>6.41</c:v>
                </c:pt>
                <c:pt idx="6">
                  <c:v>7.52</c:v>
                </c:pt>
                <c:pt idx="7">
                  <c:v>6.85</c:v>
                </c:pt>
                <c:pt idx="8">
                  <c:v>7.3</c:v>
                </c:pt>
              </c:numCache>
            </c:numRef>
          </c:xVal>
          <c:yVal>
            <c:numRef>
              <c:f>Deposits!$Z$12:$Z$20</c:f>
              <c:numCache>
                <c:formatCode>0.00</c:formatCode>
                <c:ptCount val="9"/>
                <c:pt idx="0">
                  <c:v>4.3659199999999991</c:v>
                </c:pt>
                <c:pt idx="1">
                  <c:v>4.764791999999999</c:v>
                </c:pt>
                <c:pt idx="2">
                  <c:v>5.154863999999999</c:v>
                </c:pt>
                <c:pt idx="3">
                  <c:v>5.3819359999999987</c:v>
                </c:pt>
                <c:pt idx="4">
                  <c:v>5.3159359999999989</c:v>
                </c:pt>
                <c:pt idx="5">
                  <c:v>5.6950080000000005</c:v>
                </c:pt>
                <c:pt idx="6">
                  <c:v>6.1620799999999987</c:v>
                </c:pt>
                <c:pt idx="7">
                  <c:v>6.0850799999999996</c:v>
                </c:pt>
                <c:pt idx="8">
                  <c:v>6.604951999999999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9-4997-BFA3-707933D1056D}"/>
            </c:ext>
          </c:extLst>
        </c:ser>
        <c:ser>
          <c:idx val="2"/>
          <c:order val="2"/>
          <c:tx>
            <c:v>Poole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Deposits!$AL$12:$AL$20</c:f>
              <c:numCache>
                <c:formatCode>General</c:formatCode>
                <c:ptCount val="9"/>
                <c:pt idx="0">
                  <c:v>5.28</c:v>
                </c:pt>
                <c:pt idx="1">
                  <c:v>5.88</c:v>
                </c:pt>
                <c:pt idx="2">
                  <c:v>6.35</c:v>
                </c:pt>
                <c:pt idx="3">
                  <c:v>6.64</c:v>
                </c:pt>
                <c:pt idx="4">
                  <c:v>5.81</c:v>
                </c:pt>
                <c:pt idx="5">
                  <c:v>6.41</c:v>
                </c:pt>
                <c:pt idx="6">
                  <c:v>7.52</c:v>
                </c:pt>
                <c:pt idx="7">
                  <c:v>6.85</c:v>
                </c:pt>
                <c:pt idx="8">
                  <c:v>7.3</c:v>
                </c:pt>
              </c:numCache>
            </c:numRef>
          </c:xVal>
          <c:yVal>
            <c:numRef>
              <c:f>Deposits!$AB$12:$AB$20</c:f>
              <c:numCache>
                <c:formatCode>0.00</c:formatCode>
                <c:ptCount val="9"/>
                <c:pt idx="0">
                  <c:v>4.2347399999999995</c:v>
                </c:pt>
                <c:pt idx="1">
                  <c:v>4.5669639999999996</c:v>
                </c:pt>
                <c:pt idx="2">
                  <c:v>4.8971879999999999</c:v>
                </c:pt>
                <c:pt idx="3">
                  <c:v>5.1183119999999995</c:v>
                </c:pt>
                <c:pt idx="4">
                  <c:v>5.061312</c:v>
                </c:pt>
                <c:pt idx="5">
                  <c:v>5.3820360000000003</c:v>
                </c:pt>
                <c:pt idx="6">
                  <c:v>5.7787600000000001</c:v>
                </c:pt>
                <c:pt idx="7">
                  <c:v>5.7122599999999997</c:v>
                </c:pt>
                <c:pt idx="8">
                  <c:v>6.1489839999999996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59-4997-BFA3-707933D1056D}"/>
            </c:ext>
          </c:extLst>
        </c:ser>
        <c:ser>
          <c:idx val="3"/>
          <c:order val="3"/>
          <c:tx>
            <c:v>Bronner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Deposits!$AM$12:$AM$20</c:f>
              <c:numCache>
                <c:formatCode>General</c:formatCode>
                <c:ptCount val="9"/>
              </c:numCache>
            </c:numRef>
          </c:xVal>
          <c:yVal>
            <c:numRef>
              <c:f>Deposits!$AD$12:$AD$20</c:f>
              <c:numCache>
                <c:formatCode>0.00</c:formatCode>
                <c:ptCount val="9"/>
                <c:pt idx="0">
                  <c:v>4.4676100000000005</c:v>
                </c:pt>
                <c:pt idx="1">
                  <c:v>4.9708860000000001</c:v>
                </c:pt>
                <c:pt idx="2">
                  <c:v>5.4478620000000006</c:v>
                </c:pt>
                <c:pt idx="3">
                  <c:v>5.7223379999999997</c:v>
                </c:pt>
                <c:pt idx="4">
                  <c:v>5.6737380000000002</c:v>
                </c:pt>
                <c:pt idx="5">
                  <c:v>6.1426140000000009</c:v>
                </c:pt>
                <c:pt idx="6">
                  <c:v>6.6762900000000007</c:v>
                </c:pt>
                <c:pt idx="7">
                  <c:v>6.6195900000000005</c:v>
                </c:pt>
                <c:pt idx="8">
                  <c:v>7.2119660000000012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59-4997-BFA3-707933D1056D}"/>
            </c:ext>
          </c:extLst>
        </c:ser>
        <c:ser>
          <c:idx val="4"/>
          <c:order val="4"/>
          <c:tx>
            <c:v>Endo low TOC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6699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Deposits!$AL$12:$AL$20</c:f>
              <c:numCache>
                <c:formatCode>General</c:formatCode>
                <c:ptCount val="9"/>
                <c:pt idx="0">
                  <c:v>5.28</c:v>
                </c:pt>
                <c:pt idx="1">
                  <c:v>5.88</c:v>
                </c:pt>
                <c:pt idx="2">
                  <c:v>6.35</c:v>
                </c:pt>
                <c:pt idx="3">
                  <c:v>6.64</c:v>
                </c:pt>
                <c:pt idx="4">
                  <c:v>5.81</c:v>
                </c:pt>
                <c:pt idx="5">
                  <c:v>6.41</c:v>
                </c:pt>
                <c:pt idx="6">
                  <c:v>7.52</c:v>
                </c:pt>
                <c:pt idx="7">
                  <c:v>6.85</c:v>
                </c:pt>
                <c:pt idx="8">
                  <c:v>7.3</c:v>
                </c:pt>
              </c:numCache>
            </c:numRef>
          </c:xVal>
          <c:yVal>
            <c:numRef>
              <c:f>Deposits!$AF$12:$AF$20</c:f>
              <c:numCache>
                <c:formatCode>0.00</c:formatCode>
                <c:ptCount val="9"/>
                <c:pt idx="0">
                  <c:v>6.1606899999999998</c:v>
                </c:pt>
                <c:pt idx="1">
                  <c:v>6.9414940000000005</c:v>
                </c:pt>
                <c:pt idx="2">
                  <c:v>7.6859980000000006</c:v>
                </c:pt>
                <c:pt idx="3">
                  <c:v>8.3082020000000014</c:v>
                </c:pt>
                <c:pt idx="4">
                  <c:v>8.2896019999999986</c:v>
                </c:pt>
                <c:pt idx="5">
                  <c:v>9.0310060000000014</c:v>
                </c:pt>
                <c:pt idx="6">
                  <c:v>9.7972099999999998</c:v>
                </c:pt>
                <c:pt idx="7">
                  <c:v>9.7755100000000006</c:v>
                </c:pt>
                <c:pt idx="8">
                  <c:v>10.590413999999999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59-4997-BFA3-707933D1056D}"/>
            </c:ext>
          </c:extLst>
        </c:ser>
        <c:ser>
          <c:idx val="5"/>
          <c:order val="5"/>
          <c:tx>
            <c:v>Endo High TOC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Deposits!$AL$12:$AL$20</c:f>
              <c:numCache>
                <c:formatCode>General</c:formatCode>
                <c:ptCount val="9"/>
                <c:pt idx="0">
                  <c:v>5.28</c:v>
                </c:pt>
                <c:pt idx="1">
                  <c:v>5.88</c:v>
                </c:pt>
                <c:pt idx="2">
                  <c:v>6.35</c:v>
                </c:pt>
                <c:pt idx="3">
                  <c:v>6.64</c:v>
                </c:pt>
                <c:pt idx="4">
                  <c:v>5.81</c:v>
                </c:pt>
                <c:pt idx="5">
                  <c:v>6.41</c:v>
                </c:pt>
                <c:pt idx="6">
                  <c:v>7.52</c:v>
                </c:pt>
                <c:pt idx="7">
                  <c:v>6.85</c:v>
                </c:pt>
                <c:pt idx="8">
                  <c:v>7.3</c:v>
                </c:pt>
              </c:numCache>
            </c:numRef>
          </c:xVal>
          <c:yVal>
            <c:numRef>
              <c:f>Deposits!$AJ$12:$AJ$20</c:f>
              <c:numCache>
                <c:formatCode>0.00</c:formatCode>
                <c:ptCount val="9"/>
                <c:pt idx="0">
                  <c:v>5.0080899999999993</c:v>
                </c:pt>
                <c:pt idx="1">
                  <c:v>5.6375139999999995</c:v>
                </c:pt>
                <c:pt idx="2">
                  <c:v>6.232937999999999</c:v>
                </c:pt>
                <c:pt idx="3">
                  <c:v>6.6612619999999989</c:v>
                </c:pt>
                <c:pt idx="4">
                  <c:v>6.6354619999999986</c:v>
                </c:pt>
                <c:pt idx="5">
                  <c:v>7.2265860000000011</c:v>
                </c:pt>
                <c:pt idx="6">
                  <c:v>7.8521099999999997</c:v>
                </c:pt>
                <c:pt idx="7">
                  <c:v>7.8220099999999988</c:v>
                </c:pt>
                <c:pt idx="8">
                  <c:v>8.4987339999999989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59-4997-BFA3-707933D1056D}"/>
            </c:ext>
          </c:extLst>
        </c:ser>
        <c:ser>
          <c:idx val="6"/>
          <c:order val="6"/>
          <c:tx>
            <c:v>Endo Coal Tar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Deposits!$AL$12:$AL$20</c:f>
              <c:numCache>
                <c:formatCode>General</c:formatCode>
                <c:ptCount val="9"/>
                <c:pt idx="0">
                  <c:v>5.28</c:v>
                </c:pt>
                <c:pt idx="1">
                  <c:v>5.88</c:v>
                </c:pt>
                <c:pt idx="2">
                  <c:v>6.35</c:v>
                </c:pt>
                <c:pt idx="3">
                  <c:v>6.64</c:v>
                </c:pt>
                <c:pt idx="4">
                  <c:v>5.81</c:v>
                </c:pt>
                <c:pt idx="5">
                  <c:v>6.41</c:v>
                </c:pt>
                <c:pt idx="6">
                  <c:v>7.52</c:v>
                </c:pt>
                <c:pt idx="7">
                  <c:v>6.85</c:v>
                </c:pt>
                <c:pt idx="8">
                  <c:v>7.3</c:v>
                </c:pt>
              </c:numCache>
            </c:numRef>
          </c:xVal>
          <c:yVal>
            <c:numRef>
              <c:f>Deposits!$AH$12:$AH$20</c:f>
              <c:numCache>
                <c:formatCode>0.00</c:formatCode>
                <c:ptCount val="9"/>
                <c:pt idx="0">
                  <c:v>5.9147400000000001</c:v>
                </c:pt>
                <c:pt idx="1">
                  <c:v>6.5455040000000002</c:v>
                </c:pt>
                <c:pt idx="2">
                  <c:v>7.1366680000000002</c:v>
                </c:pt>
                <c:pt idx="3">
                  <c:v>7.5104319999999998</c:v>
                </c:pt>
                <c:pt idx="4">
                  <c:v>7.4804319999999995</c:v>
                </c:pt>
                <c:pt idx="5">
                  <c:v>8.0665960000000005</c:v>
                </c:pt>
                <c:pt idx="6">
                  <c:v>8.6927599999999998</c:v>
                </c:pt>
                <c:pt idx="7">
                  <c:v>8.6577599999999997</c:v>
                </c:pt>
                <c:pt idx="8">
                  <c:v>9.3435240000000004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59-4997-BFA3-707933D1056D}"/>
            </c:ext>
          </c:extLst>
        </c:ser>
        <c:ser>
          <c:idx val="7"/>
          <c:order val="7"/>
          <c:tx>
            <c:v>DDT Low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5.87</c:v>
              </c:pt>
              <c:pt idx="1">
                <c:v>5.87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559-4997-BFA3-707933D1056D}"/>
            </c:ext>
          </c:extLst>
        </c:ser>
        <c:ser>
          <c:idx val="8"/>
          <c:order val="8"/>
          <c:tx>
            <c:v>DDT High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6.79</c:v>
              </c:pt>
              <c:pt idx="1">
                <c:v>6.79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559-4997-BFA3-707933D1056D}"/>
            </c:ext>
          </c:extLst>
        </c:ser>
        <c:ser>
          <c:idx val="9"/>
          <c:order val="9"/>
          <c:tx>
            <c:v>Sand 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'Sed SPME KOC'!$C$11:$C$20</c:f>
              <c:numCache>
                <c:formatCode>General</c:formatCode>
                <c:ptCount val="10"/>
                <c:pt idx="0">
                  <c:v>5.28</c:v>
                </c:pt>
                <c:pt idx="1">
                  <c:v>5.88</c:v>
                </c:pt>
                <c:pt idx="2">
                  <c:v>6.35</c:v>
                </c:pt>
                <c:pt idx="3">
                  <c:v>6.64</c:v>
                </c:pt>
                <c:pt idx="4">
                  <c:v>5.81</c:v>
                </c:pt>
                <c:pt idx="5">
                  <c:v>6.51</c:v>
                </c:pt>
                <c:pt idx="6">
                  <c:v>6.41</c:v>
                </c:pt>
                <c:pt idx="7">
                  <c:v>7.52</c:v>
                </c:pt>
                <c:pt idx="8">
                  <c:v>6.85</c:v>
                </c:pt>
                <c:pt idx="9">
                  <c:v>7.3</c:v>
                </c:pt>
              </c:numCache>
            </c:numRef>
          </c:xVal>
          <c:yVal>
            <c:numRef>
              <c:f>'Sed SPME KOC'!$E$11:$E$20</c:f>
              <c:numCache>
                <c:formatCode>0.00</c:formatCode>
                <c:ptCount val="10"/>
                <c:pt idx="0">
                  <c:v>3.4972269037993344</c:v>
                </c:pt>
                <c:pt idx="1">
                  <c:v>5.1721753918331004</c:v>
                </c:pt>
                <c:pt idx="2">
                  <c:v>6.6174633378540504</c:v>
                </c:pt>
                <c:pt idx="3">
                  <c:v>7.5192387361472015</c:v>
                </c:pt>
                <c:pt idx="4">
                  <c:v>7.0286392728933986</c:v>
                </c:pt>
                <c:pt idx="5">
                  <c:v>8.5947789209737202</c:v>
                </c:pt>
                <c:pt idx="6">
                  <c:v>8.8178594555423953</c:v>
                </c:pt>
                <c:pt idx="7">
                  <c:v>10.057099793095603</c:v>
                </c:pt>
                <c:pt idx="8">
                  <c:v>9.7408489798978071</c:v>
                </c:pt>
                <c:pt idx="9">
                  <c:v>11.128812139175297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59-4997-BFA3-707933D1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31216"/>
        <c:axId val="1824447488"/>
      </c:scatterChart>
      <c:valAx>
        <c:axId val="143733121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  <a:r>
                  <a:rPr lang="en-US" baseline="-25000"/>
                  <a:t>OW</a:t>
                </a:r>
                <a:r>
                  <a:rPr lang="en-US"/>
                  <a:t>, L/kg-octanol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47488"/>
        <c:crosses val="autoZero"/>
        <c:crossBetween val="midCat"/>
      </c:valAx>
      <c:valAx>
        <c:axId val="1824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  <a:r>
                  <a:rPr lang="en-US" baseline="-25000"/>
                  <a:t>OC</a:t>
                </a:r>
                <a:r>
                  <a:rPr lang="en-US"/>
                  <a:t>, L/kg-oc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2</xdr:row>
      <xdr:rowOff>147637</xdr:rowOff>
    </xdr:from>
    <xdr:ext cx="3252429" cy="89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2CF0BB-D8F6-4347-9147-B87C5DAE8231}"/>
                </a:ext>
              </a:extLst>
            </xdr:cNvPr>
            <xdr:cNvSpPr txBox="1"/>
          </xdr:nvSpPr>
          <xdr:spPr>
            <a:xfrm>
              <a:off x="4057650" y="528637"/>
              <a:ext cx="3252429" cy="891719"/>
            </a:xfrm>
            <a:prstGeom prst="rect">
              <a:avLst/>
            </a:prstGeom>
            <a:solidFill>
              <a:schemeClr val="bg1"/>
            </a:solidFill>
            <a:ln w="6350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𝑃𝑅𝐶</m:t>
                        </m:r>
                      </m:sub>
                    </m:sSub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𝐸𝑋𝑃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f>
                              <m:f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𝑃𝐸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𝛿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𝑊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p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𝑃𝐸</m:t>
                                    </m:r>
                                  </m:sub>
                                </m:sSub>
                              </m:den>
                            </m:f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2CF0BB-D8F6-4347-9147-B87C5DAE8231}"/>
                </a:ext>
              </a:extLst>
            </xdr:cNvPr>
            <xdr:cNvSpPr txBox="1"/>
          </xdr:nvSpPr>
          <xdr:spPr>
            <a:xfrm>
              <a:off x="4057650" y="528637"/>
              <a:ext cx="3252429" cy="891719"/>
            </a:xfrm>
            <a:prstGeom prst="rect">
              <a:avLst/>
            </a:prstGeom>
            <a:solidFill>
              <a:schemeClr val="bg1"/>
            </a:solidFill>
            <a:ln w="6350"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𝑓_𝑃𝑅𝐶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𝐸𝑋𝑃 (−𝑡/((𝐾_𝑃𝐸 𝐿𝛿)/𝐷_𝑊 +𝐿^2/(3𝐷_𝑃𝐸 )))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20</xdr:row>
      <xdr:rowOff>171450</xdr:rowOff>
    </xdr:from>
    <xdr:ext cx="2760628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990811-492F-495E-B36B-E363C0E15AB7}"/>
                </a:ext>
              </a:extLst>
            </xdr:cNvPr>
            <xdr:cNvSpPr txBox="1"/>
          </xdr:nvSpPr>
          <xdr:spPr>
            <a:xfrm>
              <a:off x="276225" y="3771900"/>
              <a:ext cx="276062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𝑝𝑒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=3.691+0.533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𝐶𝑙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−0.181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𝑜𝑟𝑡h𝑜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990811-492F-495E-B36B-E363C0E15AB7}"/>
                </a:ext>
              </a:extLst>
            </xdr:cNvPr>
            <xdr:cNvSpPr txBox="1"/>
          </xdr:nvSpPr>
          <xdr:spPr>
            <a:xfrm>
              <a:off x="276225" y="3771900"/>
              <a:ext cx="276062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log⁡〖𝐾_𝑝𝑒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=3.691+0.533𝑁_𝐶𝑙−0.181𝑁_(𝐶𝑙−𝑜𝑟𝑡ℎ𝑜)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557212</xdr:colOff>
      <xdr:row>37</xdr:row>
      <xdr:rowOff>80962</xdr:rowOff>
    </xdr:from>
    <xdr:ext cx="1614416" cy="255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8180B27-BD77-4A17-B08A-1E2811FE5147}"/>
                </a:ext>
              </a:extLst>
            </xdr:cNvPr>
            <xdr:cNvSpPr txBox="1"/>
          </xdr:nvSpPr>
          <xdr:spPr>
            <a:xfrm>
              <a:off x="557212" y="7138987"/>
              <a:ext cx="1614416" cy="255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2.7×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−4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𝑀𝑊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0.71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8180B27-BD77-4A17-B08A-1E2811FE5147}"/>
                </a:ext>
              </a:extLst>
            </xdr:cNvPr>
            <xdr:cNvSpPr txBox="1"/>
          </xdr:nvSpPr>
          <xdr:spPr>
            <a:xfrm>
              <a:off x="557212" y="7138987"/>
              <a:ext cx="1614416" cy="255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𝐷_𝑊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2.7×10^(−4))⁄〖𝑀𝑊〗^0.71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547687</xdr:colOff>
      <xdr:row>46</xdr:row>
      <xdr:rowOff>52387</xdr:rowOff>
    </xdr:from>
    <xdr:ext cx="2287357" cy="5164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837F82-2A60-49ED-BFAD-CF6C79345973}"/>
                </a:ext>
              </a:extLst>
            </xdr:cNvPr>
            <xdr:cNvSpPr txBox="1"/>
          </xdr:nvSpPr>
          <xdr:spPr>
            <a:xfrm>
              <a:off x="3810000" y="9299575"/>
              <a:ext cx="2287357" cy="516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𝑡𝑎𝑟𝑔𝑒𝑡</m:t>
                        </m:r>
                      </m:sub>
                    </m:sSub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f>
                                  <m:f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𝐾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𝑃𝐸</m:t>
                                        </m:r>
                                      </m:sub>
                                    </m:s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𝐿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𝛿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𝐷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𝑊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𝐿</m:t>
                                        </m:r>
                                      </m:e>
                                      <m:sup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num>
                                  <m:den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  <m:sSub>
                                      <m:sSub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𝐷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𝑃𝐸</m:t>
                                        </m:r>
                                      </m:sub>
                                    </m:sSub>
                                  </m:den>
                                </m:f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837F82-2A60-49ED-BFAD-CF6C79345973}"/>
                </a:ext>
              </a:extLst>
            </xdr:cNvPr>
            <xdr:cNvSpPr txBox="1"/>
          </xdr:nvSpPr>
          <xdr:spPr>
            <a:xfrm>
              <a:off x="3810000" y="9299575"/>
              <a:ext cx="2287357" cy="516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𝑓_𝑡𝑎𝑟𝑔𝑒𝑡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1−𝑒^(−(𝑡/((𝐾_𝑃𝐸 𝐿𝛿)/𝐷_𝑊 +𝐿^2/(3𝐷_𝑃𝐸 )))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122238</xdr:colOff>
      <xdr:row>73</xdr:row>
      <xdr:rowOff>150019</xdr:rowOff>
    </xdr:from>
    <xdr:ext cx="2082943" cy="399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347875D-4304-4341-A2AD-1B8E077D9FE2}"/>
                </a:ext>
              </a:extLst>
            </xdr:cNvPr>
            <xdr:cNvSpPr txBox="1"/>
          </xdr:nvSpPr>
          <xdr:spPr>
            <a:xfrm>
              <a:off x="122238" y="12103894"/>
              <a:ext cx="2082943" cy="399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𝑃𝑅𝐶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𝑒𝑥𝑝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𝑅𝐷𝑡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𝑃𝐸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𝑒𝑟𝑓𝑐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𝑅𝐷𝑡</m:t>
                                </m:r>
                              </m:e>
                            </m:rad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𝑃𝐸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347875D-4304-4341-A2AD-1B8E077D9FE2}"/>
                </a:ext>
              </a:extLst>
            </xdr:cNvPr>
            <xdr:cNvSpPr txBox="1"/>
          </xdr:nvSpPr>
          <xdr:spPr>
            <a:xfrm>
              <a:off x="122238" y="12103894"/>
              <a:ext cx="2082943" cy="399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𝑓_𝑃𝑅𝐶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𝑒𝑥𝑝(𝑅𝐷𝑡/(𝐿^2 𝐾_𝑃𝐸^2 ))𝑒𝑟𝑓𝑐(√𝑅𝐷𝑡/(𝐿𝐾_𝑃𝐸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527050</xdr:colOff>
      <xdr:row>81</xdr:row>
      <xdr:rowOff>157955</xdr:rowOff>
    </xdr:from>
    <xdr:ext cx="851067" cy="319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A316A03-4A6F-4748-8814-65D7CD4E8C97}"/>
                </a:ext>
              </a:extLst>
            </xdr:cNvPr>
            <xdr:cNvSpPr txBox="1"/>
          </xdr:nvSpPr>
          <xdr:spPr>
            <a:xfrm>
              <a:off x="527050" y="13675518"/>
              <a:ext cx="851067" cy="319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𝑅𝐷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≅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A316A03-4A6F-4748-8814-65D7CD4E8C97}"/>
                </a:ext>
              </a:extLst>
            </xdr:cNvPr>
            <xdr:cNvSpPr txBox="1"/>
          </xdr:nvSpPr>
          <xdr:spPr>
            <a:xfrm>
              <a:off x="527050" y="13675518"/>
              <a:ext cx="851067" cy="319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𝑅𝐷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≅(𝐾_𝑑 𝐷_𝑊 𝜃)/𝜏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415925</xdr:colOff>
      <xdr:row>100</xdr:row>
      <xdr:rowOff>94455</xdr:rowOff>
    </xdr:from>
    <xdr:ext cx="841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1E2FE5-E47F-45DB-BC6A-2CBC09F29121}"/>
                </a:ext>
              </a:extLst>
            </xdr:cNvPr>
            <xdr:cNvSpPr txBox="1"/>
          </xdr:nvSpPr>
          <xdr:spPr>
            <a:xfrm>
              <a:off x="415925" y="16914018"/>
              <a:ext cx="841833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𝜇𝜃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1E2FE5-E47F-45DB-BC6A-2CBC09F29121}"/>
                </a:ext>
              </a:extLst>
            </xdr:cNvPr>
            <xdr:cNvSpPr txBox="1"/>
          </xdr:nvSpPr>
          <xdr:spPr>
            <a:xfrm>
              <a:off x="415925" y="16914018"/>
              <a:ext cx="841833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=𝛾𝜃^2+𝜇𝜃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584200</xdr:colOff>
      <xdr:row>81</xdr:row>
      <xdr:rowOff>127793</xdr:rowOff>
    </xdr:from>
    <xdr:ext cx="1266372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48E3DAB-EF76-45CE-AE4B-F6F71D5BCF89}"/>
                </a:ext>
              </a:extLst>
            </xdr:cNvPr>
            <xdr:cNvSpPr txBox="1"/>
          </xdr:nvSpPr>
          <xdr:spPr>
            <a:xfrm>
              <a:off x="2012950" y="13645356"/>
              <a:ext cx="1266372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𝑅𝐷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≅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𝑂𝐶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𝑂𝐶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48E3DAB-EF76-45CE-AE4B-F6F71D5BCF89}"/>
                </a:ext>
              </a:extLst>
            </xdr:cNvPr>
            <xdr:cNvSpPr txBox="1"/>
          </xdr:nvSpPr>
          <xdr:spPr>
            <a:xfrm>
              <a:off x="2012950" y="13645356"/>
              <a:ext cx="1266372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𝑅𝐷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≅(𝑓_𝑂𝐶 𝐾_𝑂𝐶 𝜌_𝑏 𝐷_𝑊 𝜃)/𝜏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582613</xdr:colOff>
      <xdr:row>73</xdr:row>
      <xdr:rowOff>157956</xdr:rowOff>
    </xdr:from>
    <xdr:ext cx="3129318" cy="440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E8EE244-E3BF-4B27-A700-248288176790}"/>
                </a:ext>
              </a:extLst>
            </xdr:cNvPr>
            <xdr:cNvSpPr txBox="1"/>
          </xdr:nvSpPr>
          <xdr:spPr>
            <a:xfrm>
              <a:off x="2916238" y="12151519"/>
              <a:ext cx="3129318" cy="440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𝑃𝑅𝐶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𝑒𝑥𝑝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𝑂𝐶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𝑂𝐶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𝑏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𝐷𝑡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𝑃𝐸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𝑒𝑟𝑓𝑐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𝑂𝐶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𝑂𝐶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𝑏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𝐷𝑡</m:t>
                                </m:r>
                              </m:e>
                            </m:rad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𝑃𝐸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E8EE244-E3BF-4B27-A700-248288176790}"/>
                </a:ext>
              </a:extLst>
            </xdr:cNvPr>
            <xdr:cNvSpPr txBox="1"/>
          </xdr:nvSpPr>
          <xdr:spPr>
            <a:xfrm>
              <a:off x="2916238" y="12151519"/>
              <a:ext cx="3129318" cy="440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𝑓_𝑃𝑅𝐶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𝑒𝑥𝑝((𝑓_𝑂𝐶 𝐾_𝑂𝐶 𝜌_𝑏 𝜃𝐷𝑡)/(𝐿^2 𝐾_𝑃𝐸^2 𝜏))𝑒𝑟𝑓𝑐(√(𝑓_𝑂𝐶 𝐾_𝑂𝐶 𝜌_𝑏 𝜃𝐷𝑡)/(𝐿𝐾_𝑃𝐸 𝜏))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433387</xdr:colOff>
      <xdr:row>81</xdr:row>
      <xdr:rowOff>96043</xdr:rowOff>
    </xdr:from>
    <xdr:ext cx="1524072" cy="350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C651A86-1DFE-44A7-8D23-1055C26E67AE}"/>
                </a:ext>
              </a:extLst>
            </xdr:cNvPr>
            <xdr:cNvSpPr txBox="1"/>
          </xdr:nvSpPr>
          <xdr:spPr>
            <a:xfrm>
              <a:off x="3989387" y="13613606"/>
              <a:ext cx="1524072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𝑅𝐷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≅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𝑂𝐶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𝑂𝐶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𝐷𝑂𝐶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𝐷𝑂𝐶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C651A86-1DFE-44A7-8D23-1055C26E67AE}"/>
                </a:ext>
              </a:extLst>
            </xdr:cNvPr>
            <xdr:cNvSpPr txBox="1"/>
          </xdr:nvSpPr>
          <xdr:spPr>
            <a:xfrm>
              <a:off x="3989387" y="13613606"/>
              <a:ext cx="1524072" cy="350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𝑅𝐷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≅(𝑓_𝑂𝐶 𝐾_𝑂𝐶 𝜌_𝑏 𝐷_𝑊 𝜃)/(𝜏𝐾_𝐷𝑂𝐶 𝐷𝑂𝐶×10^(−6)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409574</xdr:colOff>
      <xdr:row>2</xdr:row>
      <xdr:rowOff>52385</xdr:rowOff>
    </xdr:from>
    <xdr:to>
      <xdr:col>33</xdr:col>
      <xdr:colOff>590550</xdr:colOff>
      <xdr:row>18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4A7DB-AC9D-4641-B2B4-5F6B45AAE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47</xdr:row>
      <xdr:rowOff>4762</xdr:rowOff>
    </xdr:from>
    <xdr:ext cx="2760628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183B3D-B7E7-4BF3-B5B6-16D82EC63374}"/>
                </a:ext>
              </a:extLst>
            </xdr:cNvPr>
            <xdr:cNvSpPr txBox="1"/>
          </xdr:nvSpPr>
          <xdr:spPr>
            <a:xfrm>
              <a:off x="609600" y="8415337"/>
              <a:ext cx="276062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𝑝𝑒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=3.691+0.533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𝐶𝑙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−0.181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𝑜𝑟𝑡h𝑜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183B3D-B7E7-4BF3-B5B6-16D82EC63374}"/>
                </a:ext>
              </a:extLst>
            </xdr:cNvPr>
            <xdr:cNvSpPr txBox="1"/>
          </xdr:nvSpPr>
          <xdr:spPr>
            <a:xfrm>
              <a:off x="609600" y="8415337"/>
              <a:ext cx="276062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log⁡〖𝐾_𝑝𝑒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=3.691+0.533𝑁_𝐶𝑙−0.181𝑁_(𝐶𝑙−𝑜𝑟𝑡ℎ𝑜) 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523875</xdr:colOff>
      <xdr:row>17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625F5-5A15-4C72-95EB-88182EDF3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190499</xdr:rowOff>
    </xdr:from>
    <xdr:to>
      <xdr:col>17</xdr:col>
      <xdr:colOff>95250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1DD36-EE19-417C-A401-0CD1AED84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552450</xdr:colOff>
      <xdr:row>1</xdr:row>
      <xdr:rowOff>123825</xdr:rowOff>
    </xdr:from>
    <xdr:to>
      <xdr:col>26</xdr:col>
      <xdr:colOff>561975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B4740-2156-43F9-BAE0-A9D4E3C27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18</xdr:row>
      <xdr:rowOff>114300</xdr:rowOff>
    </xdr:from>
    <xdr:to>
      <xdr:col>9</xdr:col>
      <xdr:colOff>295275</xdr:colOff>
      <xdr:row>34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E812EB-7DA7-4760-AC28-259C0509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600074</xdr:colOff>
      <xdr:row>18</xdr:row>
      <xdr:rowOff>142875</xdr:rowOff>
    </xdr:from>
    <xdr:to>
      <xdr:col>18</xdr:col>
      <xdr:colOff>571499</xdr:colOff>
      <xdr:row>34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2017F2-5B3C-4FB1-ABA1-3AB52122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276225</xdr:colOff>
      <xdr:row>19</xdr:row>
      <xdr:rowOff>85725</xdr:rowOff>
    </xdr:from>
    <xdr:to>
      <xdr:col>28</xdr:col>
      <xdr:colOff>538163</xdr:colOff>
      <xdr:row>34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A83F48-3F30-43BE-A0D0-E3A740627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400050</xdr:colOff>
      <xdr:row>51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6F9DD3-AB35-4652-AE79-D2A9C223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19</xdr:row>
      <xdr:rowOff>182488</xdr:rowOff>
    </xdr:from>
    <xdr:to>
      <xdr:col>41</xdr:col>
      <xdr:colOff>378286</xdr:colOff>
      <xdr:row>52</xdr:row>
      <xdr:rowOff>55193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965D77-78CA-4883-9C5D-F266D3BBB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0.14421</cdr:x>
      <cdr:y>0.04741</cdr:y>
    </cdr:from>
    <cdr:to>
      <cdr:x>0.93119</cdr:x>
      <cdr:y>0.08924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EFB9BF-41F1-4F71-B4F5-2E9FE96BFE58}"/>
            </a:ext>
          </a:extLst>
        </cdr:cNvPr>
        <cdr:cNvSpPr txBox="1"/>
      </cdr:nvSpPr>
      <cdr:spPr>
        <a:xfrm xmlns:a="http://schemas.openxmlformats.org/drawingml/2006/main">
          <a:off x="1111249" y="269876"/>
          <a:ext cx="6064251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Endo et al. 2009 for high TOC appeared to work the best within the range of log KOW for the DDTs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mptox.epa.gov/dashboar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16C8-3D9F-4A0C-A419-05DA8E70E521}">
  <dimension ref="A1:P18"/>
  <sheetViews>
    <sheetView workbookViewId="0">
      <selection activeCell="P3" sqref="P3"/>
    </sheetView>
  </sheetViews>
  <sheetFormatPr defaultRowHeight="15" x14ac:dyDescent="0.25"/>
  <cols>
    <col min="8" max="8" width="10.140625" customWidth="1"/>
    <col min="9" max="10" width="9.140625" customWidth="1"/>
    <col min="11" max="11" width="10.85546875" customWidth="1"/>
    <col min="12" max="13" width="9.140625" customWidth="1"/>
    <col min="14" max="14" width="10.28515625" customWidth="1"/>
    <col min="15" max="15" width="11" customWidth="1"/>
    <col min="16" max="16" width="9.7109375" customWidth="1"/>
  </cols>
  <sheetData>
    <row r="1" spans="1:16" ht="15" customHeight="1" x14ac:dyDescent="0.25">
      <c r="B1">
        <v>1</v>
      </c>
      <c r="C1">
        <f>B1+1</f>
        <v>2</v>
      </c>
      <c r="D1">
        <f t="shared" ref="D1:P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</row>
    <row r="2" spans="1:16" ht="90" x14ac:dyDescent="0.25">
      <c r="B2" s="13" t="s">
        <v>65</v>
      </c>
      <c r="C2" t="s">
        <v>10</v>
      </c>
      <c r="D2" t="s">
        <v>11</v>
      </c>
      <c r="E2" t="s">
        <v>12</v>
      </c>
      <c r="F2" s="15" t="s">
        <v>13</v>
      </c>
      <c r="G2" s="27"/>
      <c r="H2" s="13" t="s">
        <v>571</v>
      </c>
      <c r="I2" t="s">
        <v>19</v>
      </c>
      <c r="J2" t="s">
        <v>20</v>
      </c>
      <c r="K2" s="15" t="s">
        <v>573</v>
      </c>
      <c r="L2" s="15" t="s">
        <v>574</v>
      </c>
      <c r="M2" s="15" t="s">
        <v>575</v>
      </c>
      <c r="N2" s="18" t="s">
        <v>579</v>
      </c>
      <c r="O2" s="15" t="s">
        <v>572</v>
      </c>
      <c r="P2" s="17" t="s">
        <v>578</v>
      </c>
    </row>
    <row r="3" spans="1:16" x14ac:dyDescent="0.25">
      <c r="A3" t="s">
        <v>0</v>
      </c>
      <c r="B3">
        <v>14</v>
      </c>
      <c r="C3" s="1">
        <v>1320</v>
      </c>
      <c r="D3" s="1">
        <v>1390</v>
      </c>
      <c r="E3" s="1">
        <v>1330</v>
      </c>
      <c r="F3" s="3">
        <f>AVERAGE(C3:E3)</f>
        <v>1346.6666666666667</v>
      </c>
      <c r="G3">
        <v>456</v>
      </c>
      <c r="H3" s="2">
        <f>G3/(F3)</f>
        <v>0.33861386138613858</v>
      </c>
      <c r="I3">
        <v>5.28</v>
      </c>
      <c r="J3" s="2">
        <f>1.8*I3-4.9</f>
        <v>4.604000000000001</v>
      </c>
      <c r="K3" s="16">
        <f t="shared" ref="K3:K18" si="1">10^(VLOOKUP(B3,Chem_Prop,5,FALSE))</f>
        <v>63919.616214142108</v>
      </c>
      <c r="L3" s="16">
        <f t="shared" ref="L3:L12" si="2">10^(VLOOKUP(B3,Chem_Prop,18,FALSE))*86400</f>
        <v>86400</v>
      </c>
      <c r="M3" s="2">
        <f t="shared" ref="M3:M12" si="3">10^(VLOOKUP(B3,Chem_Prop,24,FALSE))*86400</f>
        <v>0.50171447741666797</v>
      </c>
      <c r="N3" s="20">
        <v>0.10305063722649081</v>
      </c>
      <c r="O3" s="2">
        <f t="shared" ref="O3:O12" si="4">EXP(-T/((K3*L*N3/M3)+(L^2/(3*L3))))</f>
        <v>1.6550372413721981E-2</v>
      </c>
      <c r="P3" s="2">
        <f>O3-H3</f>
        <v>-0.3220634889724166</v>
      </c>
    </row>
    <row r="4" spans="1:16" x14ac:dyDescent="0.25">
      <c r="A4" t="s">
        <v>1</v>
      </c>
      <c r="B4">
        <v>36</v>
      </c>
      <c r="C4" s="1">
        <v>1650</v>
      </c>
      <c r="D4" s="1">
        <v>1670</v>
      </c>
      <c r="E4" s="1">
        <v>1270</v>
      </c>
      <c r="F4" s="3">
        <f t="shared" ref="F4:F12" si="5">AVERAGE(C4:E4)</f>
        <v>1530</v>
      </c>
      <c r="G4">
        <v>674</v>
      </c>
      <c r="H4" s="2">
        <f t="shared" ref="H4:H12" si="6">G4/(F4)</f>
        <v>0.44052287581699345</v>
      </c>
      <c r="I4">
        <v>5.88</v>
      </c>
      <c r="J4" s="2">
        <f t="shared" ref="J4:J12" si="7">1.8*I4-4.9</f>
        <v>5.6839999999999993</v>
      </c>
      <c r="K4" s="16">
        <f t="shared" si="1"/>
        <v>262677.88071364415</v>
      </c>
      <c r="L4" s="16">
        <f t="shared" si="2"/>
        <v>9.8598303504936671E+203</v>
      </c>
      <c r="M4" s="2">
        <f t="shared" si="3"/>
        <v>0.45309549993879755</v>
      </c>
      <c r="N4" s="20">
        <v>3.289249642120657E-2</v>
      </c>
      <c r="O4" s="2">
        <f t="shared" si="4"/>
        <v>5.9383668049411281E-2</v>
      </c>
      <c r="P4" s="2">
        <f t="shared" ref="P4:P12" si="8">O4-H4</f>
        <v>-0.38113920776758214</v>
      </c>
    </row>
    <row r="5" spans="1:16" x14ac:dyDescent="0.25">
      <c r="A5" t="s">
        <v>2</v>
      </c>
      <c r="B5">
        <v>78</v>
      </c>
      <c r="C5" s="1">
        <v>743</v>
      </c>
      <c r="D5" s="1">
        <v>742</v>
      </c>
      <c r="E5" s="1">
        <v>578</v>
      </c>
      <c r="F5" s="3">
        <f t="shared" si="5"/>
        <v>687.66666666666663</v>
      </c>
      <c r="G5">
        <v>390</v>
      </c>
      <c r="H5" s="2">
        <f t="shared" si="6"/>
        <v>0.56713523994183235</v>
      </c>
      <c r="I5">
        <v>6.35</v>
      </c>
      <c r="J5" s="2">
        <f t="shared" si="7"/>
        <v>6.5299999999999994</v>
      </c>
      <c r="K5" s="16">
        <f t="shared" si="1"/>
        <v>842807.64446312503</v>
      </c>
      <c r="L5" s="16">
        <f t="shared" si="2"/>
        <v>86400</v>
      </c>
      <c r="M5" s="2">
        <f t="shared" si="3"/>
        <v>0.41446452428724656</v>
      </c>
      <c r="N5" s="20">
        <v>1.355938300769672E-2</v>
      </c>
      <c r="O5" s="2">
        <f t="shared" si="4"/>
        <v>0.14186612439500132</v>
      </c>
      <c r="P5" s="2">
        <f t="shared" si="8"/>
        <v>-0.425269115546831</v>
      </c>
    </row>
    <row r="6" spans="1:16" x14ac:dyDescent="0.25">
      <c r="A6" t="s">
        <v>3</v>
      </c>
      <c r="B6">
        <v>121</v>
      </c>
      <c r="C6" s="1">
        <v>750</v>
      </c>
      <c r="D6" s="1">
        <v>791</v>
      </c>
      <c r="E6" s="1">
        <v>619</v>
      </c>
      <c r="F6" s="3">
        <f t="shared" si="5"/>
        <v>720</v>
      </c>
      <c r="G6">
        <v>459</v>
      </c>
      <c r="H6" s="2">
        <f t="shared" si="6"/>
        <v>0.63749999999999996</v>
      </c>
      <c r="I6">
        <v>6.64</v>
      </c>
      <c r="J6" s="2">
        <f t="shared" si="7"/>
        <v>7.0519999999999996</v>
      </c>
      <c r="K6" s="16">
        <f t="shared" si="1"/>
        <v>1777033.55268118</v>
      </c>
      <c r="L6" s="16">
        <f t="shared" si="2"/>
        <v>2.4718228491938433E+225</v>
      </c>
      <c r="M6" s="2">
        <f t="shared" si="3"/>
        <v>0.38291771022895116</v>
      </c>
      <c r="N6" s="20">
        <v>7.4884275147062826E-3</v>
      </c>
      <c r="O6" s="2">
        <f t="shared" si="4"/>
        <v>0.21236753326724345</v>
      </c>
      <c r="P6" s="2">
        <f t="shared" si="8"/>
        <v>-0.42513246673275651</v>
      </c>
    </row>
    <row r="7" spans="1:16" x14ac:dyDescent="0.25">
      <c r="A7" t="s">
        <v>4</v>
      </c>
      <c r="B7">
        <v>104</v>
      </c>
      <c r="C7" s="1">
        <v>1740</v>
      </c>
      <c r="D7" s="1">
        <v>1860</v>
      </c>
      <c r="E7" s="1">
        <v>1280</v>
      </c>
      <c r="F7" s="3">
        <f t="shared" si="5"/>
        <v>1626.6666666666667</v>
      </c>
      <c r="G7">
        <v>713</v>
      </c>
      <c r="H7" s="2">
        <f t="shared" si="6"/>
        <v>0.43831967213114753</v>
      </c>
      <c r="I7">
        <v>5.81</v>
      </c>
      <c r="J7" s="2">
        <f t="shared" si="7"/>
        <v>5.5579999999999998</v>
      </c>
      <c r="K7" s="16">
        <f t="shared" si="1"/>
        <v>544238.28532434627</v>
      </c>
      <c r="L7" s="16">
        <f t="shared" si="2"/>
        <v>86400</v>
      </c>
      <c r="M7" s="2">
        <f t="shared" si="3"/>
        <v>0.38291771022895116</v>
      </c>
      <c r="N7" s="20">
        <v>1.3332888245386712E-2</v>
      </c>
      <c r="O7" s="2">
        <f t="shared" si="4"/>
        <v>5.8338416842425522E-2</v>
      </c>
      <c r="P7" s="2">
        <f t="shared" si="8"/>
        <v>-0.37998125528872201</v>
      </c>
    </row>
    <row r="8" spans="1:16" x14ac:dyDescent="0.25">
      <c r="A8" t="s">
        <v>5</v>
      </c>
      <c r="B8">
        <v>142</v>
      </c>
      <c r="C8" s="1">
        <v>4100</v>
      </c>
      <c r="D8" s="1">
        <v>4310</v>
      </c>
      <c r="E8" s="1">
        <v>2980</v>
      </c>
      <c r="F8" s="3">
        <f t="shared" si="5"/>
        <v>3796.6666666666665</v>
      </c>
      <c r="G8">
        <v>2010</v>
      </c>
      <c r="H8" s="2">
        <f t="shared" si="6"/>
        <v>0.52941176470588236</v>
      </c>
      <c r="I8">
        <v>6.51</v>
      </c>
      <c r="J8" s="2">
        <f t="shared" si="7"/>
        <v>6.8179999999999996</v>
      </c>
      <c r="K8" s="16">
        <f t="shared" si="1"/>
        <v>2287801.6801761277</v>
      </c>
      <c r="L8" s="16">
        <f t="shared" si="2"/>
        <v>86400</v>
      </c>
      <c r="M8" s="2">
        <f t="shared" si="3"/>
        <v>0.35659524089143563</v>
      </c>
      <c r="N8" s="20">
        <v>3.8312780774620368E-3</v>
      </c>
      <c r="O8" s="2">
        <f t="shared" si="4"/>
        <v>0.11184674258498228</v>
      </c>
      <c r="P8" s="2">
        <f t="shared" si="8"/>
        <v>-0.41756502212090008</v>
      </c>
    </row>
    <row r="9" spans="1:16" x14ac:dyDescent="0.25">
      <c r="A9" t="s">
        <v>6</v>
      </c>
      <c r="B9">
        <v>155</v>
      </c>
      <c r="C9" s="1">
        <v>589</v>
      </c>
      <c r="D9" s="1">
        <v>630</v>
      </c>
      <c r="E9" s="1">
        <v>452</v>
      </c>
      <c r="F9" s="3">
        <f t="shared" si="5"/>
        <v>557</v>
      </c>
      <c r="G9">
        <v>344</v>
      </c>
      <c r="H9" s="2">
        <f t="shared" si="6"/>
        <v>0.61759425493716336</v>
      </c>
      <c r="I9">
        <v>6.41</v>
      </c>
      <c r="J9" s="2">
        <f t="shared" si="7"/>
        <v>6.6379999999999999</v>
      </c>
      <c r="K9" s="16">
        <f t="shared" si="1"/>
        <v>3642170.2218736345</v>
      </c>
      <c r="L9" s="16">
        <f t="shared" si="2"/>
        <v>86400</v>
      </c>
      <c r="M9" s="2">
        <f t="shared" si="3"/>
        <v>0.35659524089143563</v>
      </c>
      <c r="N9" s="20">
        <v>3.1769733707551415E-3</v>
      </c>
      <c r="O9" s="2">
        <f t="shared" si="4"/>
        <v>0.19024922252505397</v>
      </c>
      <c r="P9" s="2">
        <f t="shared" si="8"/>
        <v>-0.42734503241210942</v>
      </c>
    </row>
    <row r="10" spans="1:16" x14ac:dyDescent="0.25">
      <c r="A10" t="s">
        <v>7</v>
      </c>
      <c r="B10">
        <v>192</v>
      </c>
      <c r="C10" s="1">
        <v>805</v>
      </c>
      <c r="D10" s="1">
        <v>830</v>
      </c>
      <c r="E10" s="1">
        <v>660</v>
      </c>
      <c r="F10" s="3">
        <f t="shared" si="5"/>
        <v>765</v>
      </c>
      <c r="G10">
        <v>598</v>
      </c>
      <c r="H10" s="2">
        <f t="shared" si="6"/>
        <v>0.78169934640522876</v>
      </c>
      <c r="I10">
        <v>7.52</v>
      </c>
      <c r="J10" s="2">
        <f t="shared" si="7"/>
        <v>8.6359999999999992</v>
      </c>
      <c r="K10" s="16">
        <f t="shared" si="1"/>
        <v>12632002.71097157</v>
      </c>
      <c r="L10" s="16">
        <f t="shared" si="2"/>
        <v>86400</v>
      </c>
      <c r="M10" s="2">
        <f t="shared" si="3"/>
        <v>0.33424680832245074</v>
      </c>
      <c r="N10" s="20">
        <v>1.6808095931995443E-3</v>
      </c>
      <c r="O10" s="2">
        <f t="shared" si="4"/>
        <v>0.42840827802584647</v>
      </c>
      <c r="P10" s="2">
        <f t="shared" si="8"/>
        <v>-0.35329106837938229</v>
      </c>
    </row>
    <row r="11" spans="1:16" x14ac:dyDescent="0.25">
      <c r="A11" t="s">
        <v>8</v>
      </c>
      <c r="B11">
        <v>184</v>
      </c>
      <c r="C11" s="1">
        <v>747</v>
      </c>
      <c r="D11" s="1">
        <v>798</v>
      </c>
      <c r="E11" s="1">
        <v>584</v>
      </c>
      <c r="F11" s="3">
        <f t="shared" si="5"/>
        <v>709.66666666666663</v>
      </c>
      <c r="G11">
        <v>499</v>
      </c>
      <c r="H11" s="2">
        <f t="shared" si="6"/>
        <v>0.70314701737905128</v>
      </c>
      <c r="I11">
        <v>6.85</v>
      </c>
      <c r="J11" s="2">
        <f t="shared" si="7"/>
        <v>7.43</v>
      </c>
      <c r="K11" s="16">
        <f t="shared" si="1"/>
        <v>6301001.593298153</v>
      </c>
      <c r="L11" s="16">
        <f t="shared" si="2"/>
        <v>86400</v>
      </c>
      <c r="M11" s="2">
        <f t="shared" si="3"/>
        <v>0.33424680832245074</v>
      </c>
      <c r="N11" s="20">
        <v>2.3554793199487721E-3</v>
      </c>
      <c r="O11" s="2">
        <f t="shared" si="4"/>
        <v>0.29741009544458696</v>
      </c>
      <c r="P11" s="2">
        <f t="shared" si="8"/>
        <v>-0.40573692193446431</v>
      </c>
    </row>
    <row r="12" spans="1:16" x14ac:dyDescent="0.25">
      <c r="A12" t="s">
        <v>9</v>
      </c>
      <c r="B12">
        <v>204</v>
      </c>
      <c r="C12" s="1">
        <v>1240</v>
      </c>
      <c r="D12" s="1">
        <v>1270</v>
      </c>
      <c r="E12" s="1">
        <v>1050</v>
      </c>
      <c r="F12" s="3">
        <f t="shared" si="5"/>
        <v>1186.6666666666667</v>
      </c>
      <c r="G12">
        <v>928</v>
      </c>
      <c r="H12" s="2">
        <f t="shared" si="6"/>
        <v>0.78202247191011232</v>
      </c>
      <c r="I12">
        <v>7.3</v>
      </c>
      <c r="J12" s="2">
        <f t="shared" si="7"/>
        <v>8.24</v>
      </c>
      <c r="K12" s="16">
        <f t="shared" si="1"/>
        <v>19747514.291125294</v>
      </c>
      <c r="L12" s="16">
        <f t="shared" si="2"/>
        <v>86400</v>
      </c>
      <c r="M12" s="2">
        <f t="shared" si="3"/>
        <v>0.31499856731758102</v>
      </c>
      <c r="N12" s="20">
        <v>1.0147845007872009E-3</v>
      </c>
      <c r="O12" s="2">
        <f t="shared" si="4"/>
        <v>0.42895527066452249</v>
      </c>
      <c r="P12" s="2">
        <f t="shared" si="8"/>
        <v>-0.35306720124558982</v>
      </c>
    </row>
    <row r="13" spans="1:16" x14ac:dyDescent="0.25">
      <c r="A13" t="s">
        <v>29</v>
      </c>
      <c r="B13" t="s">
        <v>29</v>
      </c>
      <c r="I13">
        <f t="shared" ref="I13:I18" si="9">VLOOKUP(B13,DDT_Prop,3,FALSE)</f>
        <v>6.51</v>
      </c>
      <c r="K13" s="16">
        <f t="shared" si="1"/>
        <v>677967.49341078789</v>
      </c>
      <c r="L13" s="16">
        <v>4.2316889993433612E-5</v>
      </c>
      <c r="M13" s="2">
        <v>0.41353639976675849</v>
      </c>
    </row>
    <row r="14" spans="1:16" x14ac:dyDescent="0.25">
      <c r="A14" t="s">
        <v>30</v>
      </c>
      <c r="B14" t="s">
        <v>30</v>
      </c>
      <c r="I14">
        <f t="shared" si="9"/>
        <v>6.51</v>
      </c>
      <c r="K14" s="16">
        <f t="shared" si="1"/>
        <v>760710.19883052027</v>
      </c>
      <c r="L14" s="16">
        <v>4.0412316207213793E-5</v>
      </c>
      <c r="M14" s="2">
        <v>0.41353639976675849</v>
      </c>
    </row>
    <row r="15" spans="1:16" x14ac:dyDescent="0.25">
      <c r="A15" t="s">
        <v>31</v>
      </c>
      <c r="B15" t="s">
        <v>31</v>
      </c>
      <c r="I15">
        <f t="shared" si="9"/>
        <v>6.02</v>
      </c>
      <c r="K15" s="16">
        <f t="shared" si="1"/>
        <v>59018.623536026826</v>
      </c>
      <c r="L15" s="16">
        <v>3.7714967905550364E-5</v>
      </c>
      <c r="M15" s="2">
        <v>0.385934623618432</v>
      </c>
    </row>
    <row r="16" spans="1:16" x14ac:dyDescent="0.25">
      <c r="A16" t="s">
        <v>32</v>
      </c>
      <c r="B16" t="s">
        <v>32</v>
      </c>
      <c r="I16">
        <f t="shared" si="9"/>
        <v>6.02</v>
      </c>
      <c r="K16" s="16">
        <f t="shared" si="1"/>
        <v>69343.153997951944</v>
      </c>
      <c r="L16" s="16">
        <v>3.5197656002275242E-5</v>
      </c>
      <c r="M16" s="2">
        <v>0.385934623618432</v>
      </c>
    </row>
    <row r="17" spans="1:13" x14ac:dyDescent="0.25">
      <c r="A17" t="s">
        <v>50</v>
      </c>
      <c r="B17" t="s">
        <v>50</v>
      </c>
      <c r="I17">
        <f t="shared" si="9"/>
        <v>6.91</v>
      </c>
      <c r="K17" s="16">
        <f t="shared" si="1"/>
        <v>726465.662952026</v>
      </c>
      <c r="L17" s="16">
        <v>2.2208219563122964E-5</v>
      </c>
      <c r="M17" s="2">
        <v>0.3601751473183698</v>
      </c>
    </row>
    <row r="18" spans="1:13" x14ac:dyDescent="0.25">
      <c r="A18" t="s">
        <v>51</v>
      </c>
      <c r="B18" t="s">
        <v>51</v>
      </c>
      <c r="I18">
        <f t="shared" si="9"/>
        <v>6.91</v>
      </c>
      <c r="K18" s="16">
        <f t="shared" si="1"/>
        <v>399173.02011301357</v>
      </c>
      <c r="L18" s="16">
        <v>2.2208219563122964E-5</v>
      </c>
      <c r="M18" s="2">
        <v>0.3601751473183698</v>
      </c>
    </row>
  </sheetData>
  <pageMargins left="0.7" right="0.7" top="0.75" bottom="0.75" header="0.3" footer="0.3"/>
  <pageSetup orientation="portrait" r:id="rId1"/>
  <ignoredErrors>
    <ignoredError sqref="F3 F4:F1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415D-8897-4287-8218-953EBFCDE106}">
  <dimension ref="A1:N7"/>
  <sheetViews>
    <sheetView workbookViewId="0">
      <selection activeCell="J1" sqref="J1"/>
    </sheetView>
  </sheetViews>
  <sheetFormatPr defaultRowHeight="15" x14ac:dyDescent="0.25"/>
  <sheetData>
    <row r="1" spans="1:14" ht="18" x14ac:dyDescent="0.35">
      <c r="A1" t="s">
        <v>606</v>
      </c>
      <c r="B1" t="s">
        <v>607</v>
      </c>
      <c r="C1" t="s">
        <v>608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77</v>
      </c>
      <c r="J1" t="s">
        <v>609</v>
      </c>
      <c r="K1" t="s">
        <v>712</v>
      </c>
      <c r="L1" t="s">
        <v>756</v>
      </c>
      <c r="M1" t="s">
        <v>764</v>
      </c>
      <c r="N1" t="s">
        <v>765</v>
      </c>
    </row>
    <row r="2" spans="1:14" x14ac:dyDescent="0.25">
      <c r="A2" t="s">
        <v>31</v>
      </c>
      <c r="B2">
        <v>5.87</v>
      </c>
      <c r="C2">
        <v>6.02</v>
      </c>
      <c r="D2">
        <v>1.8</v>
      </c>
      <c r="E2">
        <v>1.73</v>
      </c>
      <c r="F2">
        <v>0.1</v>
      </c>
      <c r="G2">
        <v>0.26</v>
      </c>
      <c r="H2">
        <v>2.0956000000000001</v>
      </c>
      <c r="I2" s="2">
        <v>320.04000000000002</v>
      </c>
      <c r="J2">
        <v>119900</v>
      </c>
      <c r="K2" s="2">
        <f t="shared" ref="K2:K7" si="0">D2*e_Nguyen+E2*s_Nguyen+F2*a_Nguyen+G2*b_Nguyen+H2*v_Nguyen+c_Nguyen</f>
        <v>5.1525679999999996</v>
      </c>
      <c r="L2" s="2">
        <f t="shared" ref="L2:L7" si="1">e_Kipka*D2+s_Kipka*E2+a_Kipka*F2+b_Kipka*G2+v_Kipka*H2+c_Kipka</f>
        <v>4.6515938800000001</v>
      </c>
      <c r="M2" s="2">
        <f t="shared" ref="M2:M7" si="2">e_Neal_ha*D2+s_Neal_ha*E2+a_Neal_ha*F2+b_Neal_ha*G2+v_Neal_ha*H2+c_Neal_ha</f>
        <v>6.7480640000000012</v>
      </c>
      <c r="N2" s="2">
        <f t="shared" ref="N2:N7" si="3">e_Neal_SRFA*D2+s_Neal_SRFA*E2+a_Neal_SRFA*F2+b_Neal_SRFA*G2+v_Neal_SRFA*H2+c_Neal_SRFA</f>
        <v>4.187716</v>
      </c>
    </row>
    <row r="3" spans="1:14" x14ac:dyDescent="0.25">
      <c r="A3" t="s">
        <v>29</v>
      </c>
      <c r="B3">
        <v>5.87</v>
      </c>
      <c r="C3">
        <v>6.51</v>
      </c>
      <c r="D3">
        <v>1.9</v>
      </c>
      <c r="E3">
        <v>1.5</v>
      </c>
      <c r="F3">
        <v>0</v>
      </c>
      <c r="G3">
        <v>0.18</v>
      </c>
      <c r="H3">
        <v>2.0526</v>
      </c>
      <c r="I3" s="2">
        <v>318.02409999999998</v>
      </c>
      <c r="J3">
        <v>119900</v>
      </c>
      <c r="K3" s="2">
        <f t="shared" si="0"/>
        <v>5.4735279999999991</v>
      </c>
      <c r="L3" s="2">
        <f t="shared" si="1"/>
        <v>4.9790734800000003</v>
      </c>
      <c r="M3" s="2">
        <f t="shared" si="2"/>
        <v>6.9662440000000005</v>
      </c>
      <c r="N3" s="2">
        <f t="shared" si="3"/>
        <v>4.4660359999999999</v>
      </c>
    </row>
    <row r="4" spans="1:14" x14ac:dyDescent="0.25">
      <c r="A4" t="s">
        <v>50</v>
      </c>
      <c r="B4">
        <v>6.79</v>
      </c>
      <c r="C4">
        <v>6.91</v>
      </c>
      <c r="D4">
        <v>1.85</v>
      </c>
      <c r="E4">
        <v>1.7</v>
      </c>
      <c r="F4">
        <v>0</v>
      </c>
      <c r="G4">
        <v>0.25</v>
      </c>
      <c r="H4">
        <v>2.218</v>
      </c>
      <c r="I4" s="2">
        <v>354.48480000000001</v>
      </c>
      <c r="J4">
        <v>172000</v>
      </c>
      <c r="K4" s="2">
        <f t="shared" si="0"/>
        <v>5.5130399999999993</v>
      </c>
      <c r="L4" s="2">
        <f t="shared" si="1"/>
        <v>4.8915864000000004</v>
      </c>
      <c r="M4" s="2">
        <f t="shared" si="2"/>
        <v>7.2464200000000005</v>
      </c>
      <c r="N4" s="2">
        <f t="shared" si="3"/>
        <v>4.6079799999999995</v>
      </c>
    </row>
    <row r="5" spans="1:14" x14ac:dyDescent="0.25">
      <c r="A5" t="s">
        <v>32</v>
      </c>
      <c r="B5">
        <v>5.87</v>
      </c>
      <c r="C5">
        <v>6.02</v>
      </c>
      <c r="D5">
        <v>1.6736</v>
      </c>
      <c r="E5">
        <v>1.4444999999999999</v>
      </c>
      <c r="F5">
        <v>8.7999999999999995E-2</v>
      </c>
      <c r="G5">
        <v>0.22070000000000001</v>
      </c>
      <c r="H5">
        <v>2.0956000000000001</v>
      </c>
      <c r="I5" s="2">
        <v>320.04000000000002</v>
      </c>
      <c r="J5">
        <v>117500</v>
      </c>
      <c r="K5" s="2">
        <f t="shared" si="0"/>
        <v>5.2951019999999991</v>
      </c>
      <c r="L5" s="2">
        <f t="shared" si="1"/>
        <v>4.7833173300000009</v>
      </c>
      <c r="M5" s="2">
        <f t="shared" si="2"/>
        <v>6.9480080000000006</v>
      </c>
      <c r="N5" s="2">
        <f t="shared" si="3"/>
        <v>4.3848130000000003</v>
      </c>
    </row>
    <row r="6" spans="1:14" x14ac:dyDescent="0.25">
      <c r="A6" t="s">
        <v>30</v>
      </c>
      <c r="B6">
        <v>6</v>
      </c>
      <c r="C6">
        <v>6.51</v>
      </c>
      <c r="D6">
        <v>1.8025</v>
      </c>
      <c r="E6">
        <v>1.5327999999999999</v>
      </c>
      <c r="F6">
        <v>0</v>
      </c>
      <c r="G6">
        <v>0.29670000000000002</v>
      </c>
      <c r="H6">
        <v>2.0526</v>
      </c>
      <c r="I6" s="2">
        <v>318.02409999999998</v>
      </c>
      <c r="J6">
        <v>117500</v>
      </c>
      <c r="K6" s="2">
        <f t="shared" si="0"/>
        <v>5.1115959999999996</v>
      </c>
      <c r="L6" s="2">
        <f t="shared" si="1"/>
        <v>4.6400961200000008</v>
      </c>
      <c r="M6" s="2">
        <f t="shared" si="2"/>
        <v>6.4948830000000006</v>
      </c>
      <c r="N6" s="2">
        <f t="shared" si="3"/>
        <v>4.0945309999999999</v>
      </c>
    </row>
    <row r="7" spans="1:14" x14ac:dyDescent="0.25">
      <c r="A7" t="s">
        <v>51</v>
      </c>
      <c r="B7">
        <v>6.79</v>
      </c>
      <c r="C7">
        <v>6.91</v>
      </c>
      <c r="D7">
        <v>1.758</v>
      </c>
      <c r="E7">
        <v>1.5118</v>
      </c>
      <c r="F7">
        <v>0</v>
      </c>
      <c r="G7">
        <v>0.215</v>
      </c>
      <c r="H7">
        <v>2.218</v>
      </c>
      <c r="I7" s="2">
        <v>354.48480000000001</v>
      </c>
      <c r="J7">
        <v>168600</v>
      </c>
      <c r="K7" s="2">
        <f t="shared" si="0"/>
        <v>5.616644</v>
      </c>
      <c r="L7" s="2">
        <f t="shared" si="1"/>
        <v>4.9887925400000004</v>
      </c>
      <c r="M7" s="2">
        <f t="shared" si="2"/>
        <v>7.4090040000000013</v>
      </c>
      <c r="N7" s="2">
        <f t="shared" si="3"/>
        <v>4.7553859999999997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129F-61B0-4C1D-8FE3-7B04C8A42A0B}">
  <sheetPr>
    <tabColor theme="9" tint="0.59999389629810485"/>
  </sheetPr>
  <dimension ref="A1"/>
  <sheetViews>
    <sheetView topLeftCell="V41" zoomScale="90" zoomScaleNormal="90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8B7A-C2A4-491E-8B9F-34B64F049E08}">
  <dimension ref="A1:S224"/>
  <sheetViews>
    <sheetView workbookViewId="0">
      <selection activeCell="R2" sqref="R2"/>
    </sheetView>
  </sheetViews>
  <sheetFormatPr defaultRowHeight="15" x14ac:dyDescent="0.25"/>
  <cols>
    <col min="16" max="16" width="9.85546875" customWidth="1"/>
  </cols>
  <sheetData>
    <row r="1" spans="1:19" ht="18" x14ac:dyDescent="0.35">
      <c r="A1" t="s">
        <v>71</v>
      </c>
      <c r="B1" t="s">
        <v>72</v>
      </c>
      <c r="C1" t="s">
        <v>73</v>
      </c>
      <c r="D1" t="s">
        <v>72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771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637</v>
      </c>
      <c r="Q1" t="s">
        <v>761</v>
      </c>
      <c r="R1" t="s">
        <v>858</v>
      </c>
      <c r="S1" t="s">
        <v>765</v>
      </c>
    </row>
    <row r="2" spans="1:19" x14ac:dyDescent="0.25">
      <c r="A2" t="s">
        <v>84</v>
      </c>
      <c r="B2">
        <v>1</v>
      </c>
      <c r="C2" t="s">
        <v>85</v>
      </c>
      <c r="D2">
        <v>1</v>
      </c>
      <c r="E2">
        <v>0</v>
      </c>
      <c r="H2">
        <v>188.65000000000003</v>
      </c>
      <c r="I2">
        <v>4.46</v>
      </c>
      <c r="J2" s="2">
        <f t="shared" ref="J2:J65" si="0">K2*e_Abraham+L2*s_Abraham+M2*a_Abraham+N2*b_Abraham+O2*v_Abraham+c_Abraham</f>
        <v>4.4516949999999991</v>
      </c>
      <c r="K2">
        <v>1.49</v>
      </c>
      <c r="L2">
        <v>1.03</v>
      </c>
      <c r="M2">
        <v>0</v>
      </c>
      <c r="N2">
        <v>0.16500000000000001</v>
      </c>
      <c r="O2">
        <v>1.3594999999999999</v>
      </c>
      <c r="P2" s="2">
        <f t="shared" ref="P2:P65" si="1">e_Nguyen*K2+s_Nguyen*L2+a_Nguyen*M2+b_Nguyen*N2+v_Nguyen*O2+c_Nguyen</f>
        <v>3.8103599999999997</v>
      </c>
      <c r="Q2" s="2">
        <f t="shared" ref="Q2:Q65" si="2">e_Kipka*K2+s_Kipka*L2+a_Kipka*M2+b_Kipka*N2+v_Kipka*O2+c_Kipka</f>
        <v>4.0223521</v>
      </c>
      <c r="R2" s="2">
        <f t="shared" ref="R2:R65" si="3">e_Neal_ha*K2+s_Neal_ha*L2+a_Neal_ha*M2+b_Neal_ha*N2+v_Neal_ha*O2+c_Neal_ha</f>
        <v>4.2889299999999997</v>
      </c>
      <c r="S2" s="2">
        <f t="shared" ref="S2:S65" si="4">e_Neal_SRFA*K2+s_Neal_SRFA*L2+a_Neal_SRFA*M2+b_Neal_SRFA*N2+v_Neal_SRFA*O2+c_Neal_SRFA</f>
        <v>2.5587699999999995</v>
      </c>
    </row>
    <row r="3" spans="1:19" x14ac:dyDescent="0.25">
      <c r="A3" t="s">
        <v>86</v>
      </c>
      <c r="B3">
        <v>2</v>
      </c>
      <c r="C3" t="s">
        <v>87</v>
      </c>
      <c r="D3">
        <v>2</v>
      </c>
      <c r="E3">
        <v>0</v>
      </c>
      <c r="H3">
        <v>188.65000000000003</v>
      </c>
      <c r="I3">
        <v>4.6900000000000004</v>
      </c>
      <c r="J3" s="2">
        <f t="shared" si="0"/>
        <v>4.6028840000000004</v>
      </c>
      <c r="K3">
        <v>1.45</v>
      </c>
      <c r="L3">
        <v>1.18</v>
      </c>
      <c r="M3">
        <v>0</v>
      </c>
      <c r="N3">
        <v>0.16500000000000001</v>
      </c>
      <c r="O3">
        <v>1.4463999999999999</v>
      </c>
      <c r="P3" s="2">
        <f t="shared" si="1"/>
        <v>3.8564919999999998</v>
      </c>
      <c r="Q3" s="2">
        <f t="shared" si="2"/>
        <v>4.0112707200000006</v>
      </c>
      <c r="R3" s="2">
        <f t="shared" si="3"/>
        <v>4.5297160000000005</v>
      </c>
      <c r="S3" s="2">
        <f t="shared" si="4"/>
        <v>2.6876039999999999</v>
      </c>
    </row>
    <row r="4" spans="1:19" x14ac:dyDescent="0.25">
      <c r="A4" t="s">
        <v>88</v>
      </c>
      <c r="B4">
        <v>3</v>
      </c>
      <c r="C4" t="s">
        <v>89</v>
      </c>
      <c r="D4">
        <v>3</v>
      </c>
      <c r="E4">
        <v>0</v>
      </c>
      <c r="H4">
        <v>188.65000000000003</v>
      </c>
      <c r="I4">
        <v>4.6900000000000004</v>
      </c>
      <c r="J4" s="2">
        <f t="shared" si="0"/>
        <v>4.6028840000000004</v>
      </c>
      <c r="K4">
        <v>1.45</v>
      </c>
      <c r="L4">
        <v>1.18</v>
      </c>
      <c r="M4">
        <v>0</v>
      </c>
      <c r="N4">
        <v>0.16500000000000001</v>
      </c>
      <c r="O4">
        <v>1.4463999999999999</v>
      </c>
      <c r="P4" s="2">
        <f t="shared" si="1"/>
        <v>3.8564919999999998</v>
      </c>
      <c r="Q4" s="2">
        <f t="shared" si="2"/>
        <v>4.0112707200000006</v>
      </c>
      <c r="R4" s="2">
        <f t="shared" si="3"/>
        <v>4.5297160000000005</v>
      </c>
      <c r="S4" s="2">
        <f t="shared" si="4"/>
        <v>2.6876039999999999</v>
      </c>
    </row>
    <row r="5" spans="1:19" x14ac:dyDescent="0.25">
      <c r="A5" t="s">
        <v>90</v>
      </c>
      <c r="B5">
        <v>4</v>
      </c>
      <c r="C5" t="s">
        <v>91</v>
      </c>
      <c r="D5">
        <v>4</v>
      </c>
      <c r="E5">
        <v>0</v>
      </c>
      <c r="H5">
        <v>223.09</v>
      </c>
      <c r="I5">
        <v>4.6500000000000004</v>
      </c>
      <c r="J5" s="2">
        <f t="shared" si="0"/>
        <v>4.8402500000000002</v>
      </c>
      <c r="K5">
        <v>1.64</v>
      </c>
      <c r="L5">
        <v>1.05</v>
      </c>
      <c r="M5">
        <v>0</v>
      </c>
      <c r="N5">
        <v>0.11</v>
      </c>
      <c r="O5">
        <v>1.395</v>
      </c>
      <c r="P5" s="2">
        <f t="shared" si="1"/>
        <v>4.1507999999999994</v>
      </c>
      <c r="Q5" s="2">
        <f t="shared" si="2"/>
        <v>4.3002560000000001</v>
      </c>
      <c r="R5" s="2">
        <f t="shared" si="3"/>
        <v>4.6939000000000002</v>
      </c>
      <c r="S5" s="2">
        <f t="shared" si="4"/>
        <v>2.8785999999999996</v>
      </c>
    </row>
    <row r="6" spans="1:19" x14ac:dyDescent="0.25">
      <c r="A6" t="s">
        <v>92</v>
      </c>
      <c r="B6">
        <v>5</v>
      </c>
      <c r="C6" t="s">
        <v>93</v>
      </c>
      <c r="D6">
        <v>5</v>
      </c>
      <c r="E6">
        <v>0</v>
      </c>
      <c r="H6">
        <v>223.09</v>
      </c>
      <c r="I6">
        <v>4.97</v>
      </c>
      <c r="J6" s="2">
        <f t="shared" si="0"/>
        <v>5.0131389999999998</v>
      </c>
      <c r="K6">
        <v>1.62</v>
      </c>
      <c r="L6">
        <v>1.19</v>
      </c>
      <c r="M6">
        <v>0</v>
      </c>
      <c r="N6">
        <v>0.11</v>
      </c>
      <c r="O6">
        <v>1.4819</v>
      </c>
      <c r="P6" s="2">
        <f t="shared" si="1"/>
        <v>4.2261319999999998</v>
      </c>
      <c r="Q6" s="2">
        <f t="shared" si="2"/>
        <v>4.3128816200000006</v>
      </c>
      <c r="R6" s="2">
        <f t="shared" si="3"/>
        <v>4.9516860000000005</v>
      </c>
      <c r="S6" s="2">
        <f t="shared" si="4"/>
        <v>3.0263339999999994</v>
      </c>
    </row>
    <row r="7" spans="1:19" x14ac:dyDescent="0.25">
      <c r="A7" t="s">
        <v>94</v>
      </c>
      <c r="B7">
        <v>6</v>
      </c>
      <c r="C7" t="s">
        <v>95</v>
      </c>
      <c r="D7">
        <v>6</v>
      </c>
      <c r="E7">
        <v>0</v>
      </c>
      <c r="H7">
        <v>223.09</v>
      </c>
      <c r="I7">
        <v>5.0599999999999996</v>
      </c>
      <c r="J7" s="2">
        <f t="shared" si="0"/>
        <v>5.0131389999999998</v>
      </c>
      <c r="K7">
        <v>1.62</v>
      </c>
      <c r="L7">
        <v>1.19</v>
      </c>
      <c r="M7">
        <v>0</v>
      </c>
      <c r="N7">
        <v>0.11</v>
      </c>
      <c r="O7">
        <v>1.4819</v>
      </c>
      <c r="P7" s="2">
        <f t="shared" si="1"/>
        <v>4.2261319999999998</v>
      </c>
      <c r="Q7" s="2">
        <f t="shared" si="2"/>
        <v>4.3128816200000006</v>
      </c>
      <c r="R7" s="2">
        <f t="shared" si="3"/>
        <v>4.9516860000000005</v>
      </c>
      <c r="S7" s="2">
        <f t="shared" si="4"/>
        <v>3.0263339999999994</v>
      </c>
    </row>
    <row r="8" spans="1:19" x14ac:dyDescent="0.25">
      <c r="A8" t="s">
        <v>96</v>
      </c>
      <c r="B8">
        <v>7</v>
      </c>
      <c r="C8" t="s">
        <v>97</v>
      </c>
      <c r="D8">
        <v>7</v>
      </c>
      <c r="E8">
        <v>0</v>
      </c>
      <c r="H8">
        <v>223.09</v>
      </c>
      <c r="I8">
        <v>5.07</v>
      </c>
      <c r="J8" s="2">
        <f t="shared" si="0"/>
        <v>5.0131389999999998</v>
      </c>
      <c r="K8">
        <v>1.62</v>
      </c>
      <c r="L8">
        <v>1.19</v>
      </c>
      <c r="M8">
        <v>0</v>
      </c>
      <c r="N8">
        <v>0.11</v>
      </c>
      <c r="O8">
        <v>1.4819</v>
      </c>
      <c r="P8" s="2">
        <f t="shared" si="1"/>
        <v>4.2261319999999998</v>
      </c>
      <c r="Q8" s="2">
        <f t="shared" si="2"/>
        <v>4.3128816200000006</v>
      </c>
      <c r="R8" s="2">
        <f t="shared" si="3"/>
        <v>4.9516860000000005</v>
      </c>
      <c r="S8" s="2">
        <f t="shared" si="4"/>
        <v>3.0263339999999994</v>
      </c>
    </row>
    <row r="9" spans="1:19" x14ac:dyDescent="0.25">
      <c r="A9" t="s">
        <v>98</v>
      </c>
      <c r="B9">
        <v>8</v>
      </c>
      <c r="C9" t="s">
        <v>99</v>
      </c>
      <c r="D9">
        <v>8</v>
      </c>
      <c r="E9">
        <v>0</v>
      </c>
      <c r="H9">
        <v>223.09</v>
      </c>
      <c r="I9">
        <v>5.07</v>
      </c>
      <c r="J9" s="2">
        <f t="shared" si="0"/>
        <v>5.0131389999999998</v>
      </c>
      <c r="K9">
        <v>1.62</v>
      </c>
      <c r="L9">
        <v>1.19</v>
      </c>
      <c r="M9">
        <v>0</v>
      </c>
      <c r="N9">
        <v>0.11</v>
      </c>
      <c r="O9">
        <v>1.4819</v>
      </c>
      <c r="P9" s="2">
        <f t="shared" si="1"/>
        <v>4.2261319999999998</v>
      </c>
      <c r="Q9" s="2">
        <f t="shared" si="2"/>
        <v>4.3128816200000006</v>
      </c>
      <c r="R9" s="2">
        <f t="shared" si="3"/>
        <v>4.9516860000000005</v>
      </c>
      <c r="S9" s="2">
        <f t="shared" si="4"/>
        <v>3.0263339999999994</v>
      </c>
    </row>
    <row r="10" spans="1:19" x14ac:dyDescent="0.25">
      <c r="A10" t="s">
        <v>100</v>
      </c>
      <c r="B10">
        <v>9</v>
      </c>
      <c r="C10" t="s">
        <v>101</v>
      </c>
      <c r="D10">
        <v>9</v>
      </c>
      <c r="E10">
        <v>0</v>
      </c>
      <c r="H10">
        <v>223.09</v>
      </c>
      <c r="I10">
        <v>5.0599999999999996</v>
      </c>
      <c r="J10" s="2">
        <f t="shared" si="0"/>
        <v>5.0131389999999998</v>
      </c>
      <c r="K10">
        <v>1.62</v>
      </c>
      <c r="L10">
        <v>1.19</v>
      </c>
      <c r="M10">
        <v>0</v>
      </c>
      <c r="N10">
        <v>0.11</v>
      </c>
      <c r="O10">
        <v>1.4819</v>
      </c>
      <c r="P10" s="2">
        <f t="shared" si="1"/>
        <v>4.2261319999999998</v>
      </c>
      <c r="Q10" s="2">
        <f t="shared" si="2"/>
        <v>4.3128816200000006</v>
      </c>
      <c r="R10" s="2">
        <f t="shared" si="3"/>
        <v>4.9516860000000005</v>
      </c>
      <c r="S10" s="2">
        <f t="shared" si="4"/>
        <v>3.0263339999999994</v>
      </c>
    </row>
    <row r="11" spans="1:19" x14ac:dyDescent="0.25">
      <c r="A11" t="s">
        <v>102</v>
      </c>
      <c r="B11">
        <v>10</v>
      </c>
      <c r="C11" t="s">
        <v>103</v>
      </c>
      <c r="D11">
        <v>10</v>
      </c>
      <c r="E11">
        <v>0</v>
      </c>
      <c r="H11">
        <v>223.09</v>
      </c>
      <c r="I11">
        <v>4.84</v>
      </c>
      <c r="J11" s="2">
        <f t="shared" si="0"/>
        <v>4.8402500000000002</v>
      </c>
      <c r="K11">
        <v>1.64</v>
      </c>
      <c r="L11">
        <v>1.05</v>
      </c>
      <c r="M11">
        <v>0</v>
      </c>
      <c r="N11">
        <v>0.11</v>
      </c>
      <c r="O11">
        <v>1.395</v>
      </c>
      <c r="P11" s="2">
        <f t="shared" si="1"/>
        <v>4.1507999999999994</v>
      </c>
      <c r="Q11" s="2">
        <f t="shared" si="2"/>
        <v>4.3002560000000001</v>
      </c>
      <c r="R11" s="2">
        <f t="shared" si="3"/>
        <v>4.6939000000000002</v>
      </c>
      <c r="S11" s="2">
        <f t="shared" si="4"/>
        <v>2.8785999999999996</v>
      </c>
    </row>
    <row r="12" spans="1:19" x14ac:dyDescent="0.25">
      <c r="A12" t="s">
        <v>104</v>
      </c>
      <c r="B12">
        <v>11</v>
      </c>
      <c r="C12" t="s">
        <v>105</v>
      </c>
      <c r="D12">
        <v>11</v>
      </c>
      <c r="E12">
        <v>0</v>
      </c>
      <c r="H12">
        <v>223.09</v>
      </c>
      <c r="I12">
        <v>5.28</v>
      </c>
      <c r="J12" s="2">
        <f t="shared" si="0"/>
        <v>5.153827999999999</v>
      </c>
      <c r="K12">
        <v>1.58</v>
      </c>
      <c r="L12">
        <v>1.35</v>
      </c>
      <c r="M12">
        <v>0</v>
      </c>
      <c r="N12">
        <v>0.11</v>
      </c>
      <c r="O12">
        <v>1.5688</v>
      </c>
      <c r="P12" s="2">
        <f t="shared" si="1"/>
        <v>4.2650639999999997</v>
      </c>
      <c r="Q12" s="2">
        <f t="shared" si="2"/>
        <v>4.2959732400000004</v>
      </c>
      <c r="R12" s="2">
        <f t="shared" si="3"/>
        <v>5.1872720000000001</v>
      </c>
      <c r="S12" s="2">
        <f t="shared" si="4"/>
        <v>3.1488679999999993</v>
      </c>
    </row>
    <row r="13" spans="1:19" x14ac:dyDescent="0.25">
      <c r="A13" t="s">
        <v>106</v>
      </c>
      <c r="B13">
        <v>12</v>
      </c>
      <c r="C13" t="s">
        <v>107</v>
      </c>
      <c r="D13">
        <v>12</v>
      </c>
      <c r="E13">
        <v>0</v>
      </c>
      <c r="H13">
        <v>223.09</v>
      </c>
      <c r="I13">
        <v>5.22</v>
      </c>
      <c r="J13" s="2">
        <f t="shared" si="0"/>
        <v>5.153827999999999</v>
      </c>
      <c r="K13">
        <v>1.58</v>
      </c>
      <c r="L13">
        <v>1.35</v>
      </c>
      <c r="M13">
        <v>0</v>
      </c>
      <c r="N13">
        <v>0.11</v>
      </c>
      <c r="O13">
        <v>1.5688</v>
      </c>
      <c r="P13" s="2">
        <f t="shared" si="1"/>
        <v>4.2650639999999997</v>
      </c>
      <c r="Q13" s="2">
        <f t="shared" si="2"/>
        <v>4.2959732400000004</v>
      </c>
      <c r="R13" s="2">
        <f t="shared" si="3"/>
        <v>5.1872720000000001</v>
      </c>
      <c r="S13" s="2">
        <f t="shared" si="4"/>
        <v>3.1488679999999993</v>
      </c>
    </row>
    <row r="14" spans="1:19" x14ac:dyDescent="0.25">
      <c r="A14" t="s">
        <v>108</v>
      </c>
      <c r="B14">
        <v>13</v>
      </c>
      <c r="C14" t="s">
        <v>109</v>
      </c>
      <c r="D14">
        <v>13</v>
      </c>
      <c r="E14">
        <v>0</v>
      </c>
      <c r="H14">
        <v>223.09</v>
      </c>
      <c r="I14">
        <v>5.29</v>
      </c>
      <c r="J14" s="2">
        <f t="shared" si="0"/>
        <v>5.153827999999999</v>
      </c>
      <c r="K14">
        <v>1.58</v>
      </c>
      <c r="L14">
        <v>1.35</v>
      </c>
      <c r="M14">
        <v>0</v>
      </c>
      <c r="N14">
        <v>0.11</v>
      </c>
      <c r="O14">
        <v>1.5688</v>
      </c>
      <c r="P14" s="2">
        <f t="shared" si="1"/>
        <v>4.2650639999999997</v>
      </c>
      <c r="Q14" s="2">
        <f t="shared" si="2"/>
        <v>4.2959732400000004</v>
      </c>
      <c r="R14" s="2">
        <f t="shared" si="3"/>
        <v>5.1872720000000001</v>
      </c>
      <c r="S14" s="2">
        <f t="shared" si="4"/>
        <v>3.1488679999999993</v>
      </c>
    </row>
    <row r="15" spans="1:19" x14ac:dyDescent="0.25">
      <c r="A15" t="s">
        <v>110</v>
      </c>
      <c r="B15" t="s">
        <v>111</v>
      </c>
      <c r="D15" t="s">
        <v>111</v>
      </c>
      <c r="E15">
        <v>0</v>
      </c>
      <c r="H15">
        <v>223.09</v>
      </c>
      <c r="I15">
        <v>5.2549999999999999</v>
      </c>
      <c r="J15" s="2">
        <f t="shared" si="0"/>
        <v>5.153827999999999</v>
      </c>
      <c r="K15">
        <v>1.58</v>
      </c>
      <c r="L15">
        <v>1.35</v>
      </c>
      <c r="M15">
        <v>0</v>
      </c>
      <c r="N15">
        <v>0.11</v>
      </c>
      <c r="O15">
        <v>1.5688</v>
      </c>
      <c r="P15" s="2">
        <f t="shared" si="1"/>
        <v>4.2650639999999997</v>
      </c>
      <c r="Q15" s="2">
        <f t="shared" si="2"/>
        <v>4.2959732400000004</v>
      </c>
      <c r="R15" s="2">
        <f t="shared" si="3"/>
        <v>5.1872720000000001</v>
      </c>
      <c r="S15" s="2">
        <f t="shared" si="4"/>
        <v>3.1488679999999993</v>
      </c>
    </row>
    <row r="16" spans="1:19" x14ac:dyDescent="0.25">
      <c r="A16" t="s">
        <v>112</v>
      </c>
      <c r="B16">
        <v>14</v>
      </c>
      <c r="C16" t="s">
        <v>113</v>
      </c>
      <c r="D16">
        <v>14</v>
      </c>
      <c r="E16">
        <v>0</v>
      </c>
      <c r="H16">
        <v>223.09</v>
      </c>
      <c r="I16">
        <v>5.28</v>
      </c>
      <c r="J16" s="2">
        <f t="shared" si="0"/>
        <v>5.1992899999999995</v>
      </c>
      <c r="K16">
        <v>1.65</v>
      </c>
      <c r="L16">
        <v>1.18</v>
      </c>
      <c r="M16">
        <v>0</v>
      </c>
      <c r="N16">
        <v>0.16</v>
      </c>
      <c r="O16">
        <v>1.569</v>
      </c>
      <c r="P16" s="2">
        <f t="shared" si="1"/>
        <v>4.3659199999999991</v>
      </c>
      <c r="Q16" s="2">
        <f t="shared" si="2"/>
        <v>4.3581702</v>
      </c>
      <c r="R16" s="2">
        <f t="shared" si="3"/>
        <v>5.1477599999999999</v>
      </c>
      <c r="S16" s="2">
        <f t="shared" si="4"/>
        <v>3.1766399999999999</v>
      </c>
    </row>
    <row r="17" spans="1:19" x14ac:dyDescent="0.25">
      <c r="A17" t="s">
        <v>114</v>
      </c>
      <c r="B17">
        <v>15</v>
      </c>
      <c r="C17" t="s">
        <v>115</v>
      </c>
      <c r="D17">
        <v>15</v>
      </c>
      <c r="E17">
        <v>0</v>
      </c>
      <c r="H17">
        <v>223.09</v>
      </c>
      <c r="I17">
        <v>5.3</v>
      </c>
      <c r="J17" s="2">
        <f t="shared" si="0"/>
        <v>5.153827999999999</v>
      </c>
      <c r="K17">
        <v>1.58</v>
      </c>
      <c r="L17">
        <v>1.35</v>
      </c>
      <c r="M17">
        <v>0</v>
      </c>
      <c r="N17">
        <v>0.11</v>
      </c>
      <c r="O17">
        <v>1.5688</v>
      </c>
      <c r="P17" s="2">
        <f t="shared" si="1"/>
        <v>4.2650639999999997</v>
      </c>
      <c r="Q17" s="2">
        <f t="shared" si="2"/>
        <v>4.2959732400000004</v>
      </c>
      <c r="R17" s="2">
        <f t="shared" si="3"/>
        <v>5.1872720000000001</v>
      </c>
      <c r="S17" s="2">
        <f t="shared" si="4"/>
        <v>3.1488679999999993</v>
      </c>
    </row>
    <row r="18" spans="1:19" x14ac:dyDescent="0.25">
      <c r="A18" t="s">
        <v>116</v>
      </c>
      <c r="B18" t="s">
        <v>117</v>
      </c>
      <c r="D18" t="s">
        <v>117</v>
      </c>
      <c r="E18">
        <v>0</v>
      </c>
      <c r="H18">
        <v>240.31</v>
      </c>
      <c r="I18">
        <v>5.23</v>
      </c>
      <c r="J18" s="2">
        <f t="shared" si="0"/>
        <v>5.2910609999999991</v>
      </c>
      <c r="K18">
        <v>1.6800000000000002</v>
      </c>
      <c r="L18">
        <v>1.27</v>
      </c>
      <c r="M18">
        <v>0</v>
      </c>
      <c r="N18">
        <v>8.2500000000000004E-2</v>
      </c>
      <c r="O18">
        <v>1.5430999999999999</v>
      </c>
      <c r="P18" s="2">
        <f t="shared" si="1"/>
        <v>4.4285179999999995</v>
      </c>
      <c r="Q18" s="2">
        <f t="shared" si="2"/>
        <v>4.4536763800000001</v>
      </c>
      <c r="R18" s="2">
        <f t="shared" si="3"/>
        <v>5.2801140000000002</v>
      </c>
      <c r="S18" s="2">
        <f t="shared" si="4"/>
        <v>3.2569659999999994</v>
      </c>
    </row>
    <row r="19" spans="1:19" x14ac:dyDescent="0.25">
      <c r="A19" t="s">
        <v>118</v>
      </c>
      <c r="B19">
        <v>16</v>
      </c>
      <c r="C19" t="s">
        <v>119</v>
      </c>
      <c r="D19">
        <v>16</v>
      </c>
      <c r="E19">
        <v>0</v>
      </c>
      <c r="H19">
        <v>257.53000000000003</v>
      </c>
      <c r="I19">
        <v>5.16</v>
      </c>
      <c r="J19" s="2">
        <f t="shared" si="0"/>
        <v>5.4282940000000011</v>
      </c>
      <c r="K19">
        <v>1.78</v>
      </c>
      <c r="L19">
        <v>1.19</v>
      </c>
      <c r="M19">
        <v>0</v>
      </c>
      <c r="N19">
        <v>5.5E-2</v>
      </c>
      <c r="O19">
        <v>1.5174000000000001</v>
      </c>
      <c r="P19" s="2">
        <f t="shared" si="1"/>
        <v>4.5919720000000002</v>
      </c>
      <c r="Q19" s="2">
        <f t="shared" si="2"/>
        <v>4.6113795199999998</v>
      </c>
      <c r="R19" s="2">
        <f t="shared" si="3"/>
        <v>5.3729560000000003</v>
      </c>
      <c r="S19" s="2">
        <f t="shared" si="4"/>
        <v>3.3650639999999994</v>
      </c>
    </row>
    <row r="20" spans="1:19" x14ac:dyDescent="0.25">
      <c r="A20" t="s">
        <v>120</v>
      </c>
      <c r="B20">
        <v>17</v>
      </c>
      <c r="C20" t="s">
        <v>121</v>
      </c>
      <c r="D20">
        <v>17</v>
      </c>
      <c r="E20">
        <v>0</v>
      </c>
      <c r="H20">
        <v>257.53000000000003</v>
      </c>
      <c r="I20">
        <v>5.25</v>
      </c>
      <c r="J20" s="2">
        <f t="shared" si="0"/>
        <v>5.4282940000000011</v>
      </c>
      <c r="K20">
        <v>1.78</v>
      </c>
      <c r="L20">
        <v>1.19</v>
      </c>
      <c r="M20">
        <v>0</v>
      </c>
      <c r="N20">
        <v>5.5E-2</v>
      </c>
      <c r="O20">
        <v>1.5174000000000001</v>
      </c>
      <c r="P20" s="2">
        <f t="shared" si="1"/>
        <v>4.5919720000000002</v>
      </c>
      <c r="Q20" s="2">
        <f t="shared" si="2"/>
        <v>4.6113795199999998</v>
      </c>
      <c r="R20" s="2">
        <f t="shared" si="3"/>
        <v>5.3729560000000003</v>
      </c>
      <c r="S20" s="2">
        <f t="shared" si="4"/>
        <v>3.3650639999999994</v>
      </c>
    </row>
    <row r="21" spans="1:19" x14ac:dyDescent="0.25">
      <c r="A21" t="s">
        <v>122</v>
      </c>
      <c r="B21">
        <v>18</v>
      </c>
      <c r="C21" t="s">
        <v>123</v>
      </c>
      <c r="D21">
        <v>18</v>
      </c>
      <c r="E21">
        <v>0</v>
      </c>
      <c r="H21">
        <v>257.53000000000003</v>
      </c>
      <c r="I21">
        <v>5.24</v>
      </c>
      <c r="J21" s="2">
        <f t="shared" si="0"/>
        <v>5.4282940000000011</v>
      </c>
      <c r="K21">
        <v>1.78</v>
      </c>
      <c r="L21">
        <v>1.19</v>
      </c>
      <c r="M21">
        <v>0</v>
      </c>
      <c r="N21">
        <v>5.5E-2</v>
      </c>
      <c r="O21">
        <v>1.5174000000000001</v>
      </c>
      <c r="P21" s="2">
        <f t="shared" si="1"/>
        <v>4.5919720000000002</v>
      </c>
      <c r="Q21" s="2">
        <f t="shared" si="2"/>
        <v>4.6113795199999998</v>
      </c>
      <c r="R21" s="2">
        <f t="shared" si="3"/>
        <v>5.3729560000000003</v>
      </c>
      <c r="S21" s="2">
        <f t="shared" si="4"/>
        <v>3.3650639999999994</v>
      </c>
    </row>
    <row r="22" spans="1:19" x14ac:dyDescent="0.25">
      <c r="A22" t="s">
        <v>124</v>
      </c>
      <c r="B22">
        <v>19</v>
      </c>
      <c r="C22" t="s">
        <v>125</v>
      </c>
      <c r="D22">
        <v>19</v>
      </c>
      <c r="E22">
        <v>0</v>
      </c>
      <c r="H22">
        <v>257.53000000000003</v>
      </c>
      <c r="I22">
        <v>5.0199999999999996</v>
      </c>
      <c r="J22" s="2">
        <f t="shared" si="0"/>
        <v>5.2246050000000004</v>
      </c>
      <c r="K22">
        <v>1.82</v>
      </c>
      <c r="L22">
        <v>1.0900000000000001</v>
      </c>
      <c r="M22">
        <v>0</v>
      </c>
      <c r="N22">
        <v>5.5E-2</v>
      </c>
      <c r="O22">
        <v>1.4305000000000001</v>
      </c>
      <c r="P22" s="2">
        <f t="shared" si="1"/>
        <v>4.5098399999999996</v>
      </c>
      <c r="Q22" s="2">
        <f t="shared" si="2"/>
        <v>4.5933259</v>
      </c>
      <c r="R22" s="2">
        <f t="shared" si="3"/>
        <v>5.1061700000000005</v>
      </c>
      <c r="S22" s="2">
        <f t="shared" si="4"/>
        <v>3.2047300000000005</v>
      </c>
    </row>
    <row r="23" spans="1:19" x14ac:dyDescent="0.25">
      <c r="A23" t="s">
        <v>126</v>
      </c>
      <c r="B23">
        <v>20</v>
      </c>
      <c r="C23" t="s">
        <v>127</v>
      </c>
      <c r="D23">
        <v>20</v>
      </c>
      <c r="E23">
        <v>0</v>
      </c>
      <c r="H23">
        <v>257.53000000000003</v>
      </c>
      <c r="I23">
        <v>5.57</v>
      </c>
      <c r="J23" s="2">
        <f t="shared" si="0"/>
        <v>5.5745830000000005</v>
      </c>
      <c r="K23">
        <v>1.75</v>
      </c>
      <c r="L23">
        <v>1.35</v>
      </c>
      <c r="M23">
        <v>0</v>
      </c>
      <c r="N23">
        <v>5.5E-2</v>
      </c>
      <c r="O23">
        <v>1.6043000000000001</v>
      </c>
      <c r="P23" s="2">
        <f t="shared" si="1"/>
        <v>4.6419039999999994</v>
      </c>
      <c r="Q23" s="2">
        <f t="shared" si="2"/>
        <v>4.6034111400000004</v>
      </c>
      <c r="R23" s="2">
        <f t="shared" si="3"/>
        <v>5.6144420000000004</v>
      </c>
      <c r="S23" s="2">
        <f t="shared" si="4"/>
        <v>3.4938979999999997</v>
      </c>
    </row>
    <row r="24" spans="1:19" x14ac:dyDescent="0.25">
      <c r="A24" t="s">
        <v>128</v>
      </c>
      <c r="B24">
        <v>21</v>
      </c>
      <c r="C24" t="s">
        <v>129</v>
      </c>
      <c r="D24">
        <v>21</v>
      </c>
      <c r="E24">
        <v>0</v>
      </c>
      <c r="H24">
        <v>257.53000000000003</v>
      </c>
      <c r="I24">
        <v>5.51</v>
      </c>
      <c r="J24" s="2">
        <f t="shared" si="0"/>
        <v>5.5745830000000005</v>
      </c>
      <c r="K24">
        <v>1.75</v>
      </c>
      <c r="L24">
        <v>1.35</v>
      </c>
      <c r="M24">
        <v>0</v>
      </c>
      <c r="N24">
        <v>5.5E-2</v>
      </c>
      <c r="O24">
        <v>1.6043000000000001</v>
      </c>
      <c r="P24" s="2">
        <f t="shared" si="1"/>
        <v>4.6419039999999994</v>
      </c>
      <c r="Q24" s="2">
        <f t="shared" si="2"/>
        <v>4.6034111400000004</v>
      </c>
      <c r="R24" s="2">
        <f t="shared" si="3"/>
        <v>5.6144420000000004</v>
      </c>
      <c r="S24" s="2">
        <f t="shared" si="4"/>
        <v>3.4938979999999997</v>
      </c>
    </row>
    <row r="25" spans="1:19" x14ac:dyDescent="0.25">
      <c r="A25" t="s">
        <v>130</v>
      </c>
      <c r="B25">
        <v>22</v>
      </c>
      <c r="C25" t="s">
        <v>131</v>
      </c>
      <c r="D25">
        <v>22</v>
      </c>
      <c r="E25">
        <v>0</v>
      </c>
      <c r="H25">
        <v>257.53000000000003</v>
      </c>
      <c r="I25">
        <v>5.58</v>
      </c>
      <c r="J25" s="2">
        <f t="shared" si="0"/>
        <v>5.5745830000000005</v>
      </c>
      <c r="K25">
        <v>1.75</v>
      </c>
      <c r="L25">
        <v>1.35</v>
      </c>
      <c r="M25">
        <v>0</v>
      </c>
      <c r="N25">
        <v>5.5E-2</v>
      </c>
      <c r="O25">
        <v>1.6043000000000001</v>
      </c>
      <c r="P25" s="2">
        <f t="shared" si="1"/>
        <v>4.6419039999999994</v>
      </c>
      <c r="Q25" s="2">
        <f t="shared" si="2"/>
        <v>4.6034111400000004</v>
      </c>
      <c r="R25" s="2">
        <f t="shared" si="3"/>
        <v>5.6144420000000004</v>
      </c>
      <c r="S25" s="2">
        <f t="shared" si="4"/>
        <v>3.4938979999999997</v>
      </c>
    </row>
    <row r="26" spans="1:19" x14ac:dyDescent="0.25">
      <c r="A26" t="s">
        <v>132</v>
      </c>
      <c r="B26">
        <v>23</v>
      </c>
      <c r="C26" t="s">
        <v>133</v>
      </c>
      <c r="D26">
        <v>23</v>
      </c>
      <c r="E26">
        <v>0</v>
      </c>
      <c r="H26">
        <v>257.53000000000003</v>
      </c>
      <c r="I26">
        <v>5.57</v>
      </c>
      <c r="J26" s="2">
        <f t="shared" si="0"/>
        <v>5.5745830000000005</v>
      </c>
      <c r="K26">
        <v>1.75</v>
      </c>
      <c r="L26">
        <v>1.35</v>
      </c>
      <c r="M26">
        <v>0</v>
      </c>
      <c r="N26">
        <v>5.5E-2</v>
      </c>
      <c r="O26">
        <v>1.6043000000000001</v>
      </c>
      <c r="P26" s="2">
        <f t="shared" si="1"/>
        <v>4.6419039999999994</v>
      </c>
      <c r="Q26" s="2">
        <f t="shared" si="2"/>
        <v>4.6034111400000004</v>
      </c>
      <c r="R26" s="2">
        <f t="shared" si="3"/>
        <v>5.6144420000000004</v>
      </c>
      <c r="S26" s="2">
        <f t="shared" si="4"/>
        <v>3.4938979999999997</v>
      </c>
    </row>
    <row r="27" spans="1:19" x14ac:dyDescent="0.25">
      <c r="A27" t="s">
        <v>134</v>
      </c>
      <c r="B27">
        <v>24</v>
      </c>
      <c r="C27" t="s">
        <v>135</v>
      </c>
      <c r="D27">
        <v>24</v>
      </c>
      <c r="E27">
        <v>0</v>
      </c>
      <c r="H27">
        <v>257.53000000000003</v>
      </c>
      <c r="I27">
        <v>5.35</v>
      </c>
      <c r="J27" s="2">
        <f t="shared" si="0"/>
        <v>5.4282940000000011</v>
      </c>
      <c r="K27">
        <v>1.78</v>
      </c>
      <c r="L27">
        <v>1.19</v>
      </c>
      <c r="M27">
        <v>0</v>
      </c>
      <c r="N27">
        <v>5.5E-2</v>
      </c>
      <c r="O27">
        <v>1.5174000000000001</v>
      </c>
      <c r="P27" s="2">
        <f t="shared" si="1"/>
        <v>4.5919720000000002</v>
      </c>
      <c r="Q27" s="2">
        <f t="shared" si="2"/>
        <v>4.6113795199999998</v>
      </c>
      <c r="R27" s="2">
        <f t="shared" si="3"/>
        <v>5.3729560000000003</v>
      </c>
      <c r="S27" s="2">
        <f t="shared" si="4"/>
        <v>3.3650639999999994</v>
      </c>
    </row>
    <row r="28" spans="1:19" x14ac:dyDescent="0.25">
      <c r="A28" t="s">
        <v>136</v>
      </c>
      <c r="B28">
        <v>25</v>
      </c>
      <c r="C28" t="s">
        <v>137</v>
      </c>
      <c r="D28">
        <v>25</v>
      </c>
      <c r="E28">
        <v>0</v>
      </c>
      <c r="H28">
        <v>257.53000000000003</v>
      </c>
      <c r="I28">
        <v>5.67</v>
      </c>
      <c r="J28" s="2">
        <f t="shared" si="0"/>
        <v>5.5745830000000005</v>
      </c>
      <c r="K28">
        <v>1.75</v>
      </c>
      <c r="L28">
        <v>1.35</v>
      </c>
      <c r="M28">
        <v>0</v>
      </c>
      <c r="N28">
        <v>5.5E-2</v>
      </c>
      <c r="O28">
        <v>1.6043000000000001</v>
      </c>
      <c r="P28" s="2">
        <f t="shared" si="1"/>
        <v>4.6419039999999994</v>
      </c>
      <c r="Q28" s="2">
        <f t="shared" si="2"/>
        <v>4.6034111400000004</v>
      </c>
      <c r="R28" s="2">
        <f t="shared" si="3"/>
        <v>5.6144420000000004</v>
      </c>
      <c r="S28" s="2">
        <f t="shared" si="4"/>
        <v>3.4938979999999997</v>
      </c>
    </row>
    <row r="29" spans="1:19" x14ac:dyDescent="0.25">
      <c r="A29" t="s">
        <v>138</v>
      </c>
      <c r="B29">
        <v>26</v>
      </c>
      <c r="C29" t="s">
        <v>139</v>
      </c>
      <c r="D29">
        <v>26</v>
      </c>
      <c r="E29">
        <v>0</v>
      </c>
      <c r="H29">
        <v>257.53000000000003</v>
      </c>
      <c r="I29">
        <v>5.66</v>
      </c>
      <c r="J29" s="2">
        <f t="shared" si="0"/>
        <v>5.5745830000000005</v>
      </c>
      <c r="K29">
        <v>1.75</v>
      </c>
      <c r="L29">
        <v>1.35</v>
      </c>
      <c r="M29">
        <v>0</v>
      </c>
      <c r="N29">
        <v>5.5E-2</v>
      </c>
      <c r="O29">
        <v>1.6043000000000001</v>
      </c>
      <c r="P29" s="2">
        <f t="shared" si="1"/>
        <v>4.6419039999999994</v>
      </c>
      <c r="Q29" s="2">
        <f t="shared" si="2"/>
        <v>4.6034111400000004</v>
      </c>
      <c r="R29" s="2">
        <f t="shared" si="3"/>
        <v>5.6144420000000004</v>
      </c>
      <c r="S29" s="2">
        <f t="shared" si="4"/>
        <v>3.4938979999999997</v>
      </c>
    </row>
    <row r="30" spans="1:19" x14ac:dyDescent="0.25">
      <c r="A30" t="s">
        <v>140</v>
      </c>
      <c r="B30" t="s">
        <v>141</v>
      </c>
      <c r="D30" t="s">
        <v>141</v>
      </c>
      <c r="E30">
        <v>0</v>
      </c>
      <c r="H30">
        <v>257.53000000000003</v>
      </c>
      <c r="I30">
        <v>5.63</v>
      </c>
      <c r="J30" s="2">
        <f t="shared" si="0"/>
        <v>5.5745830000000005</v>
      </c>
      <c r="K30">
        <v>1.75</v>
      </c>
      <c r="L30">
        <v>1.35</v>
      </c>
      <c r="M30">
        <v>0</v>
      </c>
      <c r="N30">
        <v>5.5E-2</v>
      </c>
      <c r="O30">
        <v>1.6043000000000001</v>
      </c>
      <c r="P30" s="2">
        <f t="shared" si="1"/>
        <v>4.6419039999999994</v>
      </c>
      <c r="Q30" s="2">
        <f t="shared" si="2"/>
        <v>4.6034111400000004</v>
      </c>
      <c r="R30" s="2">
        <f t="shared" si="3"/>
        <v>5.6144420000000004</v>
      </c>
      <c r="S30" s="2">
        <f t="shared" si="4"/>
        <v>3.4938979999999997</v>
      </c>
    </row>
    <row r="31" spans="1:19" x14ac:dyDescent="0.25">
      <c r="A31" t="s">
        <v>142</v>
      </c>
      <c r="B31">
        <v>27</v>
      </c>
      <c r="C31" t="s">
        <v>143</v>
      </c>
      <c r="D31">
        <v>27</v>
      </c>
      <c r="E31">
        <v>0</v>
      </c>
      <c r="H31">
        <v>257.53000000000003</v>
      </c>
      <c r="I31">
        <v>5.44</v>
      </c>
      <c r="J31" s="2">
        <f t="shared" si="0"/>
        <v>5.4282940000000011</v>
      </c>
      <c r="K31">
        <v>1.78</v>
      </c>
      <c r="L31">
        <v>1.19</v>
      </c>
      <c r="M31">
        <v>0</v>
      </c>
      <c r="N31">
        <v>5.5E-2</v>
      </c>
      <c r="O31">
        <v>1.5174000000000001</v>
      </c>
      <c r="P31" s="2">
        <f t="shared" si="1"/>
        <v>4.5919720000000002</v>
      </c>
      <c r="Q31" s="2">
        <f t="shared" si="2"/>
        <v>4.6113795199999998</v>
      </c>
      <c r="R31" s="2">
        <f t="shared" si="3"/>
        <v>5.3729560000000003</v>
      </c>
      <c r="S31" s="2">
        <f t="shared" si="4"/>
        <v>3.3650639999999994</v>
      </c>
    </row>
    <row r="32" spans="1:19" x14ac:dyDescent="0.25">
      <c r="A32" t="s">
        <v>144</v>
      </c>
      <c r="B32">
        <v>28</v>
      </c>
      <c r="C32" t="s">
        <v>145</v>
      </c>
      <c r="D32">
        <v>28</v>
      </c>
      <c r="E32">
        <v>0</v>
      </c>
      <c r="H32">
        <v>257.53000000000003</v>
      </c>
      <c r="I32">
        <v>5.67</v>
      </c>
      <c r="J32" s="2">
        <f t="shared" si="0"/>
        <v>5.5745830000000005</v>
      </c>
      <c r="K32">
        <v>1.75</v>
      </c>
      <c r="L32">
        <v>1.35</v>
      </c>
      <c r="M32">
        <v>0</v>
      </c>
      <c r="N32">
        <v>5.5E-2</v>
      </c>
      <c r="O32">
        <v>1.6043000000000001</v>
      </c>
      <c r="P32" s="2">
        <f t="shared" si="1"/>
        <v>4.6419039999999994</v>
      </c>
      <c r="Q32" s="2">
        <f t="shared" si="2"/>
        <v>4.6034111400000004</v>
      </c>
      <c r="R32" s="2">
        <f t="shared" si="3"/>
        <v>5.6144420000000004</v>
      </c>
      <c r="S32" s="2">
        <f t="shared" si="4"/>
        <v>3.4938979999999997</v>
      </c>
    </row>
    <row r="33" spans="1:19" x14ac:dyDescent="0.25">
      <c r="A33" t="s">
        <v>146</v>
      </c>
      <c r="B33" t="s">
        <v>147</v>
      </c>
      <c r="D33" t="s">
        <v>147</v>
      </c>
      <c r="E33">
        <v>0</v>
      </c>
      <c r="H33">
        <v>257.53000000000003</v>
      </c>
      <c r="I33">
        <v>5.67</v>
      </c>
      <c r="J33" s="2">
        <f t="shared" si="0"/>
        <v>5.5745830000000005</v>
      </c>
      <c r="K33">
        <v>1.75</v>
      </c>
      <c r="L33">
        <v>1.35</v>
      </c>
      <c r="M33">
        <v>0</v>
      </c>
      <c r="N33">
        <v>5.5E-2</v>
      </c>
      <c r="O33">
        <v>1.6043000000000001</v>
      </c>
      <c r="P33" s="2">
        <f t="shared" si="1"/>
        <v>4.6419039999999994</v>
      </c>
      <c r="Q33" s="2">
        <f t="shared" si="2"/>
        <v>4.6034111400000004</v>
      </c>
      <c r="R33" s="2">
        <f t="shared" si="3"/>
        <v>5.6144420000000004</v>
      </c>
      <c r="S33" s="2">
        <f t="shared" si="4"/>
        <v>3.4938979999999997</v>
      </c>
    </row>
    <row r="34" spans="1:19" x14ac:dyDescent="0.25">
      <c r="A34" t="s">
        <v>148</v>
      </c>
      <c r="B34">
        <v>29</v>
      </c>
      <c r="C34" t="s">
        <v>149</v>
      </c>
      <c r="D34">
        <v>29</v>
      </c>
      <c r="E34">
        <v>0</v>
      </c>
      <c r="H34">
        <v>257.53000000000003</v>
      </c>
      <c r="I34">
        <v>5.6</v>
      </c>
      <c r="J34" s="2">
        <f t="shared" si="0"/>
        <v>5.5745830000000005</v>
      </c>
      <c r="K34">
        <v>1.75</v>
      </c>
      <c r="L34">
        <v>1.35</v>
      </c>
      <c r="M34">
        <v>0</v>
      </c>
      <c r="N34">
        <v>5.5E-2</v>
      </c>
      <c r="O34">
        <v>1.6043000000000001</v>
      </c>
      <c r="P34" s="2">
        <f t="shared" si="1"/>
        <v>4.6419039999999994</v>
      </c>
      <c r="Q34" s="2">
        <f t="shared" si="2"/>
        <v>4.6034111400000004</v>
      </c>
      <c r="R34" s="2">
        <f t="shared" si="3"/>
        <v>5.6144420000000004</v>
      </c>
      <c r="S34" s="2">
        <f t="shared" si="4"/>
        <v>3.4938979999999997</v>
      </c>
    </row>
    <row r="35" spans="1:19" x14ac:dyDescent="0.25">
      <c r="A35" t="s">
        <v>150</v>
      </c>
      <c r="B35">
        <v>30</v>
      </c>
      <c r="C35" t="s">
        <v>151</v>
      </c>
      <c r="D35">
        <v>30</v>
      </c>
      <c r="E35">
        <v>0</v>
      </c>
      <c r="H35">
        <v>257.53000000000003</v>
      </c>
      <c r="I35">
        <v>5.44</v>
      </c>
      <c r="J35" s="2">
        <f t="shared" si="0"/>
        <v>5.4282940000000011</v>
      </c>
      <c r="K35">
        <v>1.78</v>
      </c>
      <c r="L35">
        <v>1.19</v>
      </c>
      <c r="M35">
        <v>0</v>
      </c>
      <c r="N35">
        <v>5.5E-2</v>
      </c>
      <c r="O35">
        <v>1.5174000000000001</v>
      </c>
      <c r="P35" s="2">
        <f t="shared" si="1"/>
        <v>4.5919720000000002</v>
      </c>
      <c r="Q35" s="2">
        <f t="shared" si="2"/>
        <v>4.6113795199999998</v>
      </c>
      <c r="R35" s="2">
        <f t="shared" si="3"/>
        <v>5.3729560000000003</v>
      </c>
      <c r="S35" s="2">
        <f t="shared" si="4"/>
        <v>3.3650639999999994</v>
      </c>
    </row>
    <row r="36" spans="1:19" x14ac:dyDescent="0.25">
      <c r="A36" t="s">
        <v>152</v>
      </c>
      <c r="B36">
        <v>31</v>
      </c>
      <c r="C36" t="s">
        <v>153</v>
      </c>
      <c r="D36">
        <v>31</v>
      </c>
      <c r="E36">
        <v>0</v>
      </c>
      <c r="H36">
        <v>257.53000000000003</v>
      </c>
      <c r="I36">
        <v>5.67</v>
      </c>
      <c r="J36" s="2">
        <f t="shared" si="0"/>
        <v>5.5745830000000005</v>
      </c>
      <c r="K36">
        <v>1.75</v>
      </c>
      <c r="L36">
        <v>1.35</v>
      </c>
      <c r="M36">
        <v>0</v>
      </c>
      <c r="N36">
        <v>5.5E-2</v>
      </c>
      <c r="O36">
        <v>1.6043000000000001</v>
      </c>
      <c r="P36" s="2">
        <f t="shared" si="1"/>
        <v>4.6419039999999994</v>
      </c>
      <c r="Q36" s="2">
        <f t="shared" si="2"/>
        <v>4.6034111400000004</v>
      </c>
      <c r="R36" s="2">
        <f t="shared" si="3"/>
        <v>5.6144420000000004</v>
      </c>
      <c r="S36" s="2">
        <f t="shared" si="4"/>
        <v>3.4938979999999997</v>
      </c>
    </row>
    <row r="37" spans="1:19" x14ac:dyDescent="0.25">
      <c r="A37" t="s">
        <v>154</v>
      </c>
      <c r="B37">
        <v>32</v>
      </c>
      <c r="C37" t="s">
        <v>155</v>
      </c>
      <c r="D37">
        <v>32</v>
      </c>
      <c r="E37">
        <v>0</v>
      </c>
      <c r="H37">
        <v>257.53000000000003</v>
      </c>
      <c r="I37">
        <v>5.44</v>
      </c>
      <c r="J37" s="2">
        <f t="shared" si="0"/>
        <v>5.4282940000000011</v>
      </c>
      <c r="K37">
        <v>1.78</v>
      </c>
      <c r="L37">
        <v>1.19</v>
      </c>
      <c r="M37">
        <v>0</v>
      </c>
      <c r="N37">
        <v>5.5E-2</v>
      </c>
      <c r="O37">
        <v>1.5174000000000001</v>
      </c>
      <c r="P37" s="2">
        <f t="shared" si="1"/>
        <v>4.5919720000000002</v>
      </c>
      <c r="Q37" s="2">
        <f t="shared" si="2"/>
        <v>4.6113795199999998</v>
      </c>
      <c r="R37" s="2">
        <f t="shared" si="3"/>
        <v>5.3729560000000003</v>
      </c>
      <c r="S37" s="2">
        <f t="shared" si="4"/>
        <v>3.3650639999999994</v>
      </c>
    </row>
    <row r="38" spans="1:19" x14ac:dyDescent="0.25">
      <c r="A38" t="s">
        <v>156</v>
      </c>
      <c r="B38">
        <v>33</v>
      </c>
      <c r="C38" t="s">
        <v>157</v>
      </c>
      <c r="D38">
        <v>33</v>
      </c>
      <c r="E38">
        <v>0</v>
      </c>
      <c r="H38">
        <v>257.53000000000003</v>
      </c>
      <c r="I38">
        <v>5.6</v>
      </c>
      <c r="J38" s="2">
        <f t="shared" si="0"/>
        <v>5.5745830000000005</v>
      </c>
      <c r="K38">
        <v>1.75</v>
      </c>
      <c r="L38">
        <v>1.35</v>
      </c>
      <c r="M38">
        <v>0</v>
      </c>
      <c r="N38">
        <v>5.5E-2</v>
      </c>
      <c r="O38">
        <v>1.6043000000000001</v>
      </c>
      <c r="P38" s="2">
        <f t="shared" si="1"/>
        <v>4.6419039999999994</v>
      </c>
      <c r="Q38" s="2">
        <f t="shared" si="2"/>
        <v>4.6034111400000004</v>
      </c>
      <c r="R38" s="2">
        <f t="shared" si="3"/>
        <v>5.6144420000000004</v>
      </c>
      <c r="S38" s="2">
        <f t="shared" si="4"/>
        <v>3.4938979999999997</v>
      </c>
    </row>
    <row r="39" spans="1:19" x14ac:dyDescent="0.25">
      <c r="A39" t="s">
        <v>158</v>
      </c>
      <c r="B39">
        <v>34</v>
      </c>
      <c r="C39" t="s">
        <v>159</v>
      </c>
      <c r="D39">
        <v>34</v>
      </c>
      <c r="E39">
        <v>0</v>
      </c>
      <c r="H39">
        <v>257.53000000000003</v>
      </c>
      <c r="I39">
        <v>5.66</v>
      </c>
      <c r="J39" s="2">
        <f t="shared" si="0"/>
        <v>5.5745830000000005</v>
      </c>
      <c r="K39">
        <v>1.75</v>
      </c>
      <c r="L39">
        <v>1.35</v>
      </c>
      <c r="M39">
        <v>0</v>
      </c>
      <c r="N39">
        <v>5.5E-2</v>
      </c>
      <c r="O39">
        <v>1.6043000000000001</v>
      </c>
      <c r="P39" s="2">
        <f t="shared" si="1"/>
        <v>4.6419039999999994</v>
      </c>
      <c r="Q39" s="2">
        <f t="shared" si="2"/>
        <v>4.6034111400000004</v>
      </c>
      <c r="R39" s="2">
        <f t="shared" si="3"/>
        <v>5.6144420000000004</v>
      </c>
      <c r="S39" s="2">
        <f t="shared" si="4"/>
        <v>3.4938979999999997</v>
      </c>
    </row>
    <row r="40" spans="1:19" x14ac:dyDescent="0.25">
      <c r="A40" t="s">
        <v>160</v>
      </c>
      <c r="B40">
        <v>35</v>
      </c>
      <c r="C40" t="s">
        <v>161</v>
      </c>
      <c r="D40">
        <v>35</v>
      </c>
      <c r="E40">
        <v>0</v>
      </c>
      <c r="H40">
        <v>257.53000000000003</v>
      </c>
      <c r="I40">
        <v>5.82</v>
      </c>
      <c r="J40" s="2">
        <f t="shared" si="0"/>
        <v>5.7047720000000002</v>
      </c>
      <c r="K40">
        <v>1.71</v>
      </c>
      <c r="L40">
        <v>1.52</v>
      </c>
      <c r="M40">
        <v>0</v>
      </c>
      <c r="N40">
        <v>5.5E-2</v>
      </c>
      <c r="O40">
        <v>1.6912</v>
      </c>
      <c r="P40" s="2">
        <f t="shared" si="1"/>
        <v>4.6736359999999992</v>
      </c>
      <c r="Q40" s="2">
        <f t="shared" si="2"/>
        <v>4.5806757600000001</v>
      </c>
      <c r="R40" s="2">
        <f t="shared" si="3"/>
        <v>5.8448280000000006</v>
      </c>
      <c r="S40" s="2">
        <f t="shared" si="4"/>
        <v>3.6101320000000001</v>
      </c>
    </row>
    <row r="41" spans="1:19" x14ac:dyDescent="0.25">
      <c r="A41" t="s">
        <v>162</v>
      </c>
      <c r="B41">
        <v>36</v>
      </c>
      <c r="C41" t="s">
        <v>163</v>
      </c>
      <c r="D41">
        <v>36</v>
      </c>
      <c r="E41">
        <v>0</v>
      </c>
      <c r="H41">
        <v>257.53000000000003</v>
      </c>
      <c r="I41">
        <v>5.88</v>
      </c>
      <c r="J41" s="2">
        <f t="shared" si="0"/>
        <v>5.7113339999999999</v>
      </c>
      <c r="K41">
        <v>1.79</v>
      </c>
      <c r="L41">
        <v>1.31</v>
      </c>
      <c r="M41">
        <v>0</v>
      </c>
      <c r="N41">
        <v>0.13</v>
      </c>
      <c r="O41">
        <v>1.6914</v>
      </c>
      <c r="P41" s="2">
        <f t="shared" si="1"/>
        <v>4.764791999999999</v>
      </c>
      <c r="Q41" s="2">
        <f t="shared" si="2"/>
        <v>4.6252707200000005</v>
      </c>
      <c r="R41" s="2">
        <f t="shared" si="3"/>
        <v>5.7470160000000003</v>
      </c>
      <c r="S41" s="2">
        <f t="shared" si="4"/>
        <v>3.6074039999999998</v>
      </c>
    </row>
    <row r="42" spans="1:19" x14ac:dyDescent="0.25">
      <c r="A42" t="s">
        <v>164</v>
      </c>
      <c r="B42">
        <v>37</v>
      </c>
      <c r="C42" t="s">
        <v>165</v>
      </c>
      <c r="D42">
        <v>37</v>
      </c>
      <c r="E42">
        <v>0</v>
      </c>
      <c r="H42">
        <v>257.53000000000003</v>
      </c>
      <c r="I42">
        <v>5.83</v>
      </c>
      <c r="J42" s="2">
        <f t="shared" si="0"/>
        <v>5.7047720000000002</v>
      </c>
      <c r="K42">
        <v>1.71</v>
      </c>
      <c r="L42">
        <v>1.52</v>
      </c>
      <c r="M42">
        <v>0</v>
      </c>
      <c r="N42">
        <v>5.5E-2</v>
      </c>
      <c r="O42">
        <v>1.6912</v>
      </c>
      <c r="P42" s="2">
        <f t="shared" si="1"/>
        <v>4.6736359999999992</v>
      </c>
      <c r="Q42" s="2">
        <f t="shared" si="2"/>
        <v>4.5806757600000001</v>
      </c>
      <c r="R42" s="2">
        <f t="shared" si="3"/>
        <v>5.8448280000000006</v>
      </c>
      <c r="S42" s="2">
        <f t="shared" si="4"/>
        <v>3.6101320000000001</v>
      </c>
    </row>
    <row r="43" spans="1:19" x14ac:dyDescent="0.25">
      <c r="A43" t="s">
        <v>166</v>
      </c>
      <c r="B43" t="s">
        <v>167</v>
      </c>
      <c r="D43" t="s">
        <v>167</v>
      </c>
      <c r="E43">
        <v>0</v>
      </c>
      <c r="H43">
        <v>274.75</v>
      </c>
      <c r="I43">
        <v>5.8900000000000006</v>
      </c>
      <c r="J43" s="2">
        <f t="shared" si="0"/>
        <v>5.8605549999999997</v>
      </c>
      <c r="K43">
        <v>1.8149999999999999</v>
      </c>
      <c r="L43">
        <v>1.425</v>
      </c>
      <c r="M43">
        <v>0</v>
      </c>
      <c r="N43">
        <v>2.75E-2</v>
      </c>
      <c r="O43">
        <v>1.6655</v>
      </c>
      <c r="P43" s="2">
        <f t="shared" si="1"/>
        <v>4.8533899999999992</v>
      </c>
      <c r="Q43" s="2">
        <f t="shared" si="2"/>
        <v>4.7515894000000003</v>
      </c>
      <c r="R43" s="2">
        <f t="shared" si="3"/>
        <v>5.9484199999999996</v>
      </c>
      <c r="S43" s="2">
        <f t="shared" si="4"/>
        <v>3.7308300000000001</v>
      </c>
    </row>
    <row r="44" spans="1:19" x14ac:dyDescent="0.25">
      <c r="A44" t="s">
        <v>168</v>
      </c>
      <c r="B44">
        <v>38</v>
      </c>
      <c r="C44" t="s">
        <v>169</v>
      </c>
      <c r="D44">
        <v>38</v>
      </c>
      <c r="E44">
        <v>0</v>
      </c>
      <c r="H44">
        <v>257.53000000000003</v>
      </c>
      <c r="I44">
        <v>5.76</v>
      </c>
      <c r="J44" s="2">
        <f t="shared" si="0"/>
        <v>5.7047720000000002</v>
      </c>
      <c r="K44">
        <v>1.71</v>
      </c>
      <c r="L44">
        <v>1.52</v>
      </c>
      <c r="M44">
        <v>0</v>
      </c>
      <c r="N44">
        <v>5.5E-2</v>
      </c>
      <c r="O44">
        <v>1.6912</v>
      </c>
      <c r="P44" s="2">
        <f t="shared" si="1"/>
        <v>4.6736359999999992</v>
      </c>
      <c r="Q44" s="2">
        <f t="shared" si="2"/>
        <v>4.5806757600000001</v>
      </c>
      <c r="R44" s="2">
        <f t="shared" si="3"/>
        <v>5.8448280000000006</v>
      </c>
      <c r="S44" s="2">
        <f t="shared" si="4"/>
        <v>3.6101320000000001</v>
      </c>
    </row>
    <row r="45" spans="1:19" x14ac:dyDescent="0.25">
      <c r="A45" t="s">
        <v>170</v>
      </c>
      <c r="B45">
        <v>39</v>
      </c>
      <c r="C45" t="s">
        <v>171</v>
      </c>
      <c r="D45">
        <v>39</v>
      </c>
      <c r="E45">
        <v>0</v>
      </c>
      <c r="H45">
        <v>257.53000000000003</v>
      </c>
      <c r="I45">
        <v>5.89</v>
      </c>
      <c r="J45" s="2">
        <f t="shared" si="0"/>
        <v>5.7047720000000002</v>
      </c>
      <c r="K45">
        <v>1.71</v>
      </c>
      <c r="L45">
        <v>1.52</v>
      </c>
      <c r="M45">
        <v>0</v>
      </c>
      <c r="N45">
        <v>5.5E-2</v>
      </c>
      <c r="O45">
        <v>1.6912</v>
      </c>
      <c r="P45" s="2">
        <f t="shared" si="1"/>
        <v>4.6736359999999992</v>
      </c>
      <c r="Q45" s="2">
        <f t="shared" si="2"/>
        <v>4.5806757600000001</v>
      </c>
      <c r="R45" s="2">
        <f t="shared" si="3"/>
        <v>5.8448280000000006</v>
      </c>
      <c r="S45" s="2">
        <f t="shared" si="4"/>
        <v>3.6101320000000001</v>
      </c>
    </row>
    <row r="46" spans="1:19" x14ac:dyDescent="0.25">
      <c r="A46" t="s">
        <v>172</v>
      </c>
      <c r="B46">
        <v>40</v>
      </c>
      <c r="C46" t="s">
        <v>173</v>
      </c>
      <c r="D46">
        <v>40</v>
      </c>
      <c r="E46">
        <v>0</v>
      </c>
      <c r="H46">
        <v>291.96999999999997</v>
      </c>
      <c r="I46">
        <v>5.66</v>
      </c>
      <c r="J46" s="2">
        <f t="shared" si="0"/>
        <v>6.0163379999999993</v>
      </c>
      <c r="K46">
        <v>1.92</v>
      </c>
      <c r="L46">
        <v>1.33</v>
      </c>
      <c r="M46">
        <v>0</v>
      </c>
      <c r="N46">
        <v>0</v>
      </c>
      <c r="O46">
        <v>1.6397999999999999</v>
      </c>
      <c r="P46" s="2">
        <f t="shared" si="1"/>
        <v>5.0331439999999992</v>
      </c>
      <c r="Q46" s="2">
        <f t="shared" si="2"/>
        <v>4.9225030400000005</v>
      </c>
      <c r="R46" s="2">
        <f t="shared" si="3"/>
        <v>6.0520119999999995</v>
      </c>
      <c r="S46" s="2">
        <f t="shared" si="4"/>
        <v>3.8515279999999992</v>
      </c>
    </row>
    <row r="47" spans="1:19" x14ac:dyDescent="0.25">
      <c r="A47" t="s">
        <v>174</v>
      </c>
      <c r="B47" t="s">
        <v>175</v>
      </c>
      <c r="D47" t="s">
        <v>175</v>
      </c>
      <c r="E47">
        <v>0</v>
      </c>
      <c r="H47">
        <v>291.96999999999997</v>
      </c>
      <c r="I47">
        <v>5.82</v>
      </c>
      <c r="J47" s="2">
        <f t="shared" si="0"/>
        <v>6.0163379999999993</v>
      </c>
      <c r="K47">
        <v>1.92</v>
      </c>
      <c r="L47">
        <v>1.33</v>
      </c>
      <c r="M47">
        <v>0</v>
      </c>
      <c r="N47">
        <v>0</v>
      </c>
      <c r="O47">
        <v>1.6397999999999999</v>
      </c>
      <c r="P47" s="2">
        <f t="shared" si="1"/>
        <v>5.0331439999999992</v>
      </c>
      <c r="Q47" s="2">
        <f t="shared" si="2"/>
        <v>4.9225030400000005</v>
      </c>
      <c r="R47" s="2">
        <f t="shared" si="3"/>
        <v>6.0520119999999995</v>
      </c>
      <c r="S47" s="2">
        <f t="shared" si="4"/>
        <v>3.8515279999999992</v>
      </c>
    </row>
    <row r="48" spans="1:19" x14ac:dyDescent="0.25">
      <c r="A48" t="s">
        <v>176</v>
      </c>
      <c r="B48">
        <v>41</v>
      </c>
      <c r="C48" t="s">
        <v>177</v>
      </c>
      <c r="D48">
        <v>41</v>
      </c>
      <c r="E48">
        <v>0</v>
      </c>
      <c r="H48">
        <v>291.96999999999997</v>
      </c>
      <c r="I48">
        <v>5.69</v>
      </c>
      <c r="J48" s="2">
        <f t="shared" si="0"/>
        <v>6.0163379999999993</v>
      </c>
      <c r="K48">
        <v>1.92</v>
      </c>
      <c r="L48">
        <v>1.33</v>
      </c>
      <c r="M48">
        <v>0</v>
      </c>
      <c r="N48">
        <v>0</v>
      </c>
      <c r="O48">
        <v>1.6397999999999999</v>
      </c>
      <c r="P48" s="2">
        <f t="shared" si="1"/>
        <v>5.0331439999999992</v>
      </c>
      <c r="Q48" s="2">
        <f t="shared" si="2"/>
        <v>4.9225030400000005</v>
      </c>
      <c r="R48" s="2">
        <f t="shared" si="3"/>
        <v>6.0520119999999995</v>
      </c>
      <c r="S48" s="2">
        <f t="shared" si="4"/>
        <v>3.8515279999999992</v>
      </c>
    </row>
    <row r="49" spans="1:19" x14ac:dyDescent="0.25">
      <c r="A49" t="s">
        <v>178</v>
      </c>
      <c r="B49">
        <v>42</v>
      </c>
      <c r="C49" t="s">
        <v>179</v>
      </c>
      <c r="D49">
        <v>42</v>
      </c>
      <c r="E49">
        <v>0</v>
      </c>
      <c r="H49">
        <v>291.96999999999997</v>
      </c>
      <c r="I49">
        <v>5.76</v>
      </c>
      <c r="J49" s="2">
        <f t="shared" si="0"/>
        <v>6.0163379999999993</v>
      </c>
      <c r="K49">
        <v>1.92</v>
      </c>
      <c r="L49">
        <v>1.33</v>
      </c>
      <c r="M49">
        <v>0</v>
      </c>
      <c r="N49">
        <v>0</v>
      </c>
      <c r="O49">
        <v>1.6397999999999999</v>
      </c>
      <c r="P49" s="2">
        <f t="shared" si="1"/>
        <v>5.0331439999999992</v>
      </c>
      <c r="Q49" s="2">
        <f t="shared" si="2"/>
        <v>4.9225030400000005</v>
      </c>
      <c r="R49" s="2">
        <f t="shared" si="3"/>
        <v>6.0520119999999995</v>
      </c>
      <c r="S49" s="2">
        <f t="shared" si="4"/>
        <v>3.8515279999999992</v>
      </c>
    </row>
    <row r="50" spans="1:19" x14ac:dyDescent="0.25">
      <c r="A50" t="s">
        <v>180</v>
      </c>
      <c r="B50">
        <v>43</v>
      </c>
      <c r="C50" t="s">
        <v>181</v>
      </c>
      <c r="D50">
        <v>43</v>
      </c>
      <c r="E50">
        <v>0</v>
      </c>
      <c r="H50">
        <v>291.96999999999997</v>
      </c>
      <c r="I50">
        <v>5.75</v>
      </c>
      <c r="J50" s="2">
        <f t="shared" si="0"/>
        <v>6.0163379999999993</v>
      </c>
      <c r="K50">
        <v>1.92</v>
      </c>
      <c r="L50">
        <v>1.33</v>
      </c>
      <c r="M50">
        <v>0</v>
      </c>
      <c r="N50">
        <v>0</v>
      </c>
      <c r="O50">
        <v>1.6397999999999999</v>
      </c>
      <c r="P50" s="2">
        <f t="shared" si="1"/>
        <v>5.0331439999999992</v>
      </c>
      <c r="Q50" s="2">
        <f t="shared" si="2"/>
        <v>4.9225030400000005</v>
      </c>
      <c r="R50" s="2">
        <f t="shared" si="3"/>
        <v>6.0520119999999995</v>
      </c>
      <c r="S50" s="2">
        <f t="shared" si="4"/>
        <v>3.8515279999999992</v>
      </c>
    </row>
    <row r="51" spans="1:19" x14ac:dyDescent="0.25">
      <c r="A51" t="s">
        <v>182</v>
      </c>
      <c r="B51">
        <v>44</v>
      </c>
      <c r="C51" t="s">
        <v>183</v>
      </c>
      <c r="D51">
        <v>44</v>
      </c>
      <c r="E51">
        <v>0</v>
      </c>
      <c r="H51">
        <v>291.96999999999997</v>
      </c>
      <c r="I51">
        <v>5.75</v>
      </c>
      <c r="J51" s="2">
        <f t="shared" si="0"/>
        <v>6.0163379999999993</v>
      </c>
      <c r="K51">
        <v>1.92</v>
      </c>
      <c r="L51">
        <v>1.33</v>
      </c>
      <c r="M51">
        <v>0</v>
      </c>
      <c r="N51">
        <v>0</v>
      </c>
      <c r="O51">
        <v>1.6397999999999999</v>
      </c>
      <c r="P51" s="2">
        <f t="shared" si="1"/>
        <v>5.0331439999999992</v>
      </c>
      <c r="Q51" s="2">
        <f t="shared" si="2"/>
        <v>4.9225030400000005</v>
      </c>
      <c r="R51" s="2">
        <f t="shared" si="3"/>
        <v>6.0520119999999995</v>
      </c>
      <c r="S51" s="2">
        <f t="shared" si="4"/>
        <v>3.8515279999999992</v>
      </c>
    </row>
    <row r="52" spans="1:19" x14ac:dyDescent="0.25">
      <c r="A52" t="s">
        <v>184</v>
      </c>
      <c r="B52" t="s">
        <v>185</v>
      </c>
      <c r="D52" t="s">
        <v>185</v>
      </c>
      <c r="E52">
        <v>0</v>
      </c>
      <c r="H52">
        <v>291.96999999999997</v>
      </c>
      <c r="I52">
        <v>5.8</v>
      </c>
      <c r="J52" s="2">
        <f t="shared" si="0"/>
        <v>6.0163379999999993</v>
      </c>
      <c r="K52">
        <v>1.92</v>
      </c>
      <c r="L52">
        <v>1.33</v>
      </c>
      <c r="M52">
        <v>0</v>
      </c>
      <c r="N52">
        <v>0</v>
      </c>
      <c r="O52">
        <v>1.6397999999999999</v>
      </c>
      <c r="P52" s="2">
        <f t="shared" si="1"/>
        <v>5.0331439999999992</v>
      </c>
      <c r="Q52" s="2">
        <f t="shared" si="2"/>
        <v>4.9225030400000005</v>
      </c>
      <c r="R52" s="2">
        <f t="shared" si="3"/>
        <v>6.0520119999999995</v>
      </c>
      <c r="S52" s="2">
        <f t="shared" si="4"/>
        <v>3.8515279999999992</v>
      </c>
    </row>
    <row r="53" spans="1:19" x14ac:dyDescent="0.25">
      <c r="A53" t="s">
        <v>186</v>
      </c>
      <c r="B53">
        <v>45</v>
      </c>
      <c r="C53" t="s">
        <v>187</v>
      </c>
      <c r="D53">
        <v>45</v>
      </c>
      <c r="E53">
        <v>0</v>
      </c>
      <c r="H53">
        <v>291.96999999999997</v>
      </c>
      <c r="I53">
        <v>5.53</v>
      </c>
      <c r="J53" s="2">
        <f t="shared" si="0"/>
        <v>5.8287490000000002</v>
      </c>
      <c r="K53">
        <v>1.97</v>
      </c>
      <c r="L53">
        <v>1.22</v>
      </c>
      <c r="M53">
        <v>0</v>
      </c>
      <c r="N53">
        <v>0</v>
      </c>
      <c r="O53">
        <v>1.5528999999999999</v>
      </c>
      <c r="P53" s="2">
        <f t="shared" si="1"/>
        <v>4.9692119999999997</v>
      </c>
      <c r="Q53" s="2">
        <f t="shared" si="2"/>
        <v>4.9192164199999997</v>
      </c>
      <c r="R53" s="2">
        <f t="shared" si="3"/>
        <v>5.7963259999999996</v>
      </c>
      <c r="S53" s="2">
        <f t="shared" si="4"/>
        <v>3.7037940000000003</v>
      </c>
    </row>
    <row r="54" spans="1:19" x14ac:dyDescent="0.25">
      <c r="A54" t="s">
        <v>188</v>
      </c>
      <c r="B54">
        <v>46</v>
      </c>
      <c r="C54" t="s">
        <v>189</v>
      </c>
      <c r="D54">
        <v>46</v>
      </c>
      <c r="E54">
        <v>0</v>
      </c>
      <c r="H54">
        <v>291.96999999999997</v>
      </c>
      <c r="I54">
        <v>5.53</v>
      </c>
      <c r="J54" s="2">
        <f t="shared" si="0"/>
        <v>5.8287490000000002</v>
      </c>
      <c r="K54">
        <v>1.97</v>
      </c>
      <c r="L54">
        <v>1.22</v>
      </c>
      <c r="M54">
        <v>0</v>
      </c>
      <c r="N54">
        <v>0</v>
      </c>
      <c r="O54">
        <v>1.5528999999999999</v>
      </c>
      <c r="P54" s="2">
        <f t="shared" si="1"/>
        <v>4.9692119999999997</v>
      </c>
      <c r="Q54" s="2">
        <f t="shared" si="2"/>
        <v>4.9192164199999997</v>
      </c>
      <c r="R54" s="2">
        <f t="shared" si="3"/>
        <v>5.7963259999999996</v>
      </c>
      <c r="S54" s="2">
        <f t="shared" si="4"/>
        <v>3.7037940000000003</v>
      </c>
    </row>
    <row r="55" spans="1:19" x14ac:dyDescent="0.25">
      <c r="A55" t="s">
        <v>190</v>
      </c>
      <c r="B55">
        <v>47</v>
      </c>
      <c r="C55" t="s">
        <v>191</v>
      </c>
      <c r="D55">
        <v>47</v>
      </c>
      <c r="E55">
        <v>0</v>
      </c>
      <c r="H55">
        <v>291.96999999999997</v>
      </c>
      <c r="I55">
        <v>5.85</v>
      </c>
      <c r="J55" s="2">
        <f t="shared" si="0"/>
        <v>6.0163379999999993</v>
      </c>
      <c r="K55">
        <v>1.92</v>
      </c>
      <c r="L55">
        <v>1.33</v>
      </c>
      <c r="M55">
        <v>0</v>
      </c>
      <c r="N55">
        <v>0</v>
      </c>
      <c r="O55">
        <v>1.6397999999999999</v>
      </c>
      <c r="P55" s="2">
        <f t="shared" si="1"/>
        <v>5.0331439999999992</v>
      </c>
      <c r="Q55" s="2">
        <f t="shared" si="2"/>
        <v>4.9225030400000005</v>
      </c>
      <c r="R55" s="2">
        <f t="shared" si="3"/>
        <v>6.0520119999999995</v>
      </c>
      <c r="S55" s="2">
        <f t="shared" si="4"/>
        <v>3.8515279999999992</v>
      </c>
    </row>
    <row r="56" spans="1:19" x14ac:dyDescent="0.25">
      <c r="A56" t="s">
        <v>192</v>
      </c>
      <c r="B56">
        <v>48</v>
      </c>
      <c r="C56" t="s">
        <v>193</v>
      </c>
      <c r="D56">
        <v>48</v>
      </c>
      <c r="E56">
        <v>0</v>
      </c>
      <c r="H56">
        <v>291.96999999999997</v>
      </c>
      <c r="I56">
        <v>5.78</v>
      </c>
      <c r="J56" s="2">
        <f t="shared" si="0"/>
        <v>6.0163379999999993</v>
      </c>
      <c r="K56">
        <v>1.92</v>
      </c>
      <c r="L56">
        <v>1.33</v>
      </c>
      <c r="M56">
        <v>0</v>
      </c>
      <c r="N56">
        <v>0</v>
      </c>
      <c r="O56">
        <v>1.6397999999999999</v>
      </c>
      <c r="P56" s="2">
        <f t="shared" si="1"/>
        <v>5.0331439999999992</v>
      </c>
      <c r="Q56" s="2">
        <f t="shared" si="2"/>
        <v>4.9225030400000005</v>
      </c>
      <c r="R56" s="2">
        <f t="shared" si="3"/>
        <v>6.0520119999999995</v>
      </c>
      <c r="S56" s="2">
        <f t="shared" si="4"/>
        <v>3.8515279999999992</v>
      </c>
    </row>
    <row r="57" spans="1:19" x14ac:dyDescent="0.25">
      <c r="A57" t="s">
        <v>194</v>
      </c>
      <c r="B57">
        <v>49</v>
      </c>
      <c r="C57" t="s">
        <v>195</v>
      </c>
      <c r="D57">
        <v>49</v>
      </c>
      <c r="E57">
        <v>0</v>
      </c>
      <c r="H57">
        <v>291.96999999999997</v>
      </c>
      <c r="I57">
        <v>5.85</v>
      </c>
      <c r="J57" s="2">
        <f t="shared" si="0"/>
        <v>6.0163379999999993</v>
      </c>
      <c r="K57">
        <v>1.92</v>
      </c>
      <c r="L57">
        <v>1.33</v>
      </c>
      <c r="M57">
        <v>0</v>
      </c>
      <c r="N57">
        <v>0</v>
      </c>
      <c r="O57">
        <v>1.6397999999999999</v>
      </c>
      <c r="P57" s="2">
        <f t="shared" si="1"/>
        <v>5.0331439999999992</v>
      </c>
      <c r="Q57" s="2">
        <f t="shared" si="2"/>
        <v>4.9225030400000005</v>
      </c>
      <c r="R57" s="2">
        <f t="shared" si="3"/>
        <v>6.0520119999999995</v>
      </c>
      <c r="S57" s="2">
        <f t="shared" si="4"/>
        <v>3.8515279999999992</v>
      </c>
    </row>
    <row r="58" spans="1:19" x14ac:dyDescent="0.25">
      <c r="A58" t="s">
        <v>196</v>
      </c>
      <c r="B58">
        <v>50</v>
      </c>
      <c r="C58" t="s">
        <v>197</v>
      </c>
      <c r="D58">
        <v>50</v>
      </c>
      <c r="E58">
        <v>0</v>
      </c>
      <c r="H58">
        <v>291.96999999999997</v>
      </c>
      <c r="I58">
        <v>5.63</v>
      </c>
      <c r="J58" s="2">
        <f t="shared" si="0"/>
        <v>5.8287490000000002</v>
      </c>
      <c r="K58">
        <v>1.97</v>
      </c>
      <c r="L58">
        <v>1.22</v>
      </c>
      <c r="M58">
        <v>0</v>
      </c>
      <c r="N58">
        <v>0</v>
      </c>
      <c r="O58">
        <v>1.5528999999999999</v>
      </c>
      <c r="P58" s="2">
        <f t="shared" si="1"/>
        <v>4.9692119999999997</v>
      </c>
      <c r="Q58" s="2">
        <f t="shared" si="2"/>
        <v>4.9192164199999997</v>
      </c>
      <c r="R58" s="2">
        <f t="shared" si="3"/>
        <v>5.7963259999999996</v>
      </c>
      <c r="S58" s="2">
        <f t="shared" si="4"/>
        <v>3.7037940000000003</v>
      </c>
    </row>
    <row r="59" spans="1:19" x14ac:dyDescent="0.25">
      <c r="A59" t="s">
        <v>198</v>
      </c>
      <c r="B59">
        <v>51</v>
      </c>
      <c r="C59" t="s">
        <v>199</v>
      </c>
      <c r="D59">
        <v>51</v>
      </c>
      <c r="E59">
        <v>0</v>
      </c>
      <c r="H59">
        <v>291.96999999999997</v>
      </c>
      <c r="I59">
        <v>5.63</v>
      </c>
      <c r="J59" s="2">
        <f t="shared" si="0"/>
        <v>5.8287490000000002</v>
      </c>
      <c r="K59">
        <v>1.97</v>
      </c>
      <c r="L59">
        <v>1.22</v>
      </c>
      <c r="M59">
        <v>0</v>
      </c>
      <c r="N59">
        <v>0</v>
      </c>
      <c r="O59">
        <v>1.5528999999999999</v>
      </c>
      <c r="P59" s="2">
        <f t="shared" si="1"/>
        <v>4.9692119999999997</v>
      </c>
      <c r="Q59" s="2">
        <f t="shared" si="2"/>
        <v>4.9192164199999997</v>
      </c>
      <c r="R59" s="2">
        <f t="shared" si="3"/>
        <v>5.7963259999999996</v>
      </c>
      <c r="S59" s="2">
        <f t="shared" si="4"/>
        <v>3.7037940000000003</v>
      </c>
    </row>
    <row r="60" spans="1:19" x14ac:dyDescent="0.25">
      <c r="A60" t="s">
        <v>200</v>
      </c>
      <c r="B60">
        <v>52</v>
      </c>
      <c r="C60" t="s">
        <v>201</v>
      </c>
      <c r="D60">
        <v>52</v>
      </c>
      <c r="E60">
        <v>0</v>
      </c>
      <c r="H60">
        <v>291.96999999999997</v>
      </c>
      <c r="I60">
        <v>5.84</v>
      </c>
      <c r="J60" s="2">
        <f t="shared" si="0"/>
        <v>6.0163379999999993</v>
      </c>
      <c r="K60">
        <v>1.92</v>
      </c>
      <c r="L60">
        <v>1.33</v>
      </c>
      <c r="M60">
        <v>0</v>
      </c>
      <c r="N60">
        <v>0</v>
      </c>
      <c r="O60">
        <v>1.6397999999999999</v>
      </c>
      <c r="P60" s="2">
        <f t="shared" si="1"/>
        <v>5.0331439999999992</v>
      </c>
      <c r="Q60" s="2">
        <f t="shared" si="2"/>
        <v>4.9225030400000005</v>
      </c>
      <c r="R60" s="2">
        <f t="shared" si="3"/>
        <v>6.0520119999999995</v>
      </c>
      <c r="S60" s="2">
        <f t="shared" si="4"/>
        <v>3.8515279999999992</v>
      </c>
    </row>
    <row r="61" spans="1:19" x14ac:dyDescent="0.25">
      <c r="A61" t="s">
        <v>202</v>
      </c>
      <c r="B61">
        <v>53</v>
      </c>
      <c r="C61" t="s">
        <v>203</v>
      </c>
      <c r="D61">
        <v>53</v>
      </c>
      <c r="E61">
        <v>0</v>
      </c>
      <c r="H61">
        <v>291.96999999999997</v>
      </c>
      <c r="I61">
        <v>5.62</v>
      </c>
      <c r="J61" s="2">
        <f t="shared" si="0"/>
        <v>5.8287490000000002</v>
      </c>
      <c r="K61">
        <v>1.97</v>
      </c>
      <c r="L61">
        <v>1.22</v>
      </c>
      <c r="M61">
        <v>0</v>
      </c>
      <c r="N61">
        <v>0</v>
      </c>
      <c r="O61">
        <v>1.5528999999999999</v>
      </c>
      <c r="P61" s="2">
        <f t="shared" si="1"/>
        <v>4.9692119999999997</v>
      </c>
      <c r="Q61" s="2">
        <f t="shared" si="2"/>
        <v>4.9192164199999997</v>
      </c>
      <c r="R61" s="2">
        <f t="shared" si="3"/>
        <v>5.7963259999999996</v>
      </c>
      <c r="S61" s="2">
        <f t="shared" si="4"/>
        <v>3.7037940000000003</v>
      </c>
    </row>
    <row r="62" spans="1:19" x14ac:dyDescent="0.25">
      <c r="A62" t="s">
        <v>204</v>
      </c>
      <c r="B62">
        <v>54</v>
      </c>
      <c r="C62" t="s">
        <v>205</v>
      </c>
      <c r="D62">
        <v>54</v>
      </c>
      <c r="E62">
        <v>0</v>
      </c>
      <c r="H62">
        <v>291.96999999999997</v>
      </c>
      <c r="I62">
        <v>5.21</v>
      </c>
      <c r="J62" s="2">
        <f t="shared" si="0"/>
        <v>5.61876</v>
      </c>
      <c r="K62">
        <v>1.98</v>
      </c>
      <c r="L62">
        <v>1.1100000000000001</v>
      </c>
      <c r="M62">
        <v>0</v>
      </c>
      <c r="N62">
        <v>0</v>
      </c>
      <c r="O62">
        <v>1.466</v>
      </c>
      <c r="P62" s="2">
        <f t="shared" si="1"/>
        <v>4.8612799999999998</v>
      </c>
      <c r="Q62" s="2">
        <f t="shared" si="2"/>
        <v>4.8801698</v>
      </c>
      <c r="R62" s="2">
        <f t="shared" si="3"/>
        <v>5.5170400000000006</v>
      </c>
      <c r="S62" s="2">
        <f t="shared" si="4"/>
        <v>3.5308599999999997</v>
      </c>
    </row>
    <row r="63" spans="1:19" x14ac:dyDescent="0.25">
      <c r="A63" t="s">
        <v>206</v>
      </c>
      <c r="B63">
        <v>55</v>
      </c>
      <c r="C63" t="s">
        <v>207</v>
      </c>
      <c r="D63">
        <v>55</v>
      </c>
      <c r="E63">
        <v>0</v>
      </c>
      <c r="H63">
        <v>291.96999999999997</v>
      </c>
      <c r="I63">
        <v>6.11</v>
      </c>
      <c r="J63" s="2">
        <f t="shared" si="0"/>
        <v>6.1360269999999995</v>
      </c>
      <c r="K63">
        <v>1.88</v>
      </c>
      <c r="L63">
        <v>1.51</v>
      </c>
      <c r="M63">
        <v>0</v>
      </c>
      <c r="N63">
        <v>0</v>
      </c>
      <c r="O63">
        <v>1.7266999999999999</v>
      </c>
      <c r="P63" s="2">
        <f t="shared" si="1"/>
        <v>5.057675999999999</v>
      </c>
      <c r="Q63" s="2">
        <f t="shared" si="2"/>
        <v>4.8939406600000002</v>
      </c>
      <c r="R63" s="2">
        <f t="shared" si="3"/>
        <v>6.2771979999999994</v>
      </c>
      <c r="S63" s="2">
        <f t="shared" si="4"/>
        <v>3.961462</v>
      </c>
    </row>
    <row r="64" spans="1:19" x14ac:dyDescent="0.25">
      <c r="A64" t="s">
        <v>208</v>
      </c>
      <c r="B64">
        <v>56</v>
      </c>
      <c r="C64" t="s">
        <v>209</v>
      </c>
      <c r="D64">
        <v>56</v>
      </c>
      <c r="E64">
        <v>0</v>
      </c>
      <c r="H64">
        <v>291.96999999999997</v>
      </c>
      <c r="I64">
        <v>6.11</v>
      </c>
      <c r="J64" s="2">
        <f t="shared" si="0"/>
        <v>6.1360269999999995</v>
      </c>
      <c r="K64">
        <v>1.88</v>
      </c>
      <c r="L64">
        <v>1.51</v>
      </c>
      <c r="M64">
        <v>0</v>
      </c>
      <c r="N64">
        <v>0</v>
      </c>
      <c r="O64">
        <v>1.7266999999999999</v>
      </c>
      <c r="P64" s="2">
        <f t="shared" si="1"/>
        <v>5.057675999999999</v>
      </c>
      <c r="Q64" s="2">
        <f t="shared" si="2"/>
        <v>4.8939406600000002</v>
      </c>
      <c r="R64" s="2">
        <f t="shared" si="3"/>
        <v>6.2771979999999994</v>
      </c>
      <c r="S64" s="2">
        <f t="shared" si="4"/>
        <v>3.961462</v>
      </c>
    </row>
    <row r="65" spans="1:19" x14ac:dyDescent="0.25">
      <c r="A65" t="s">
        <v>210</v>
      </c>
      <c r="B65" t="s">
        <v>211</v>
      </c>
      <c r="D65" t="s">
        <v>211</v>
      </c>
      <c r="E65">
        <v>0</v>
      </c>
      <c r="H65">
        <v>291.96999999999997</v>
      </c>
      <c r="I65">
        <v>6.11</v>
      </c>
      <c r="J65" s="2">
        <f t="shared" si="0"/>
        <v>6.1360269999999995</v>
      </c>
      <c r="K65">
        <v>1.88</v>
      </c>
      <c r="L65">
        <v>1.51</v>
      </c>
      <c r="M65">
        <v>0</v>
      </c>
      <c r="N65">
        <v>0</v>
      </c>
      <c r="O65">
        <v>1.7266999999999999</v>
      </c>
      <c r="P65" s="2">
        <f t="shared" si="1"/>
        <v>5.057675999999999</v>
      </c>
      <c r="Q65" s="2">
        <f t="shared" si="2"/>
        <v>4.8939406600000002</v>
      </c>
      <c r="R65" s="2">
        <f t="shared" si="3"/>
        <v>6.2771979999999994</v>
      </c>
      <c r="S65" s="2">
        <f t="shared" si="4"/>
        <v>3.961462</v>
      </c>
    </row>
    <row r="66" spans="1:19" x14ac:dyDescent="0.25">
      <c r="A66" t="s">
        <v>212</v>
      </c>
      <c r="B66">
        <v>57</v>
      </c>
      <c r="C66" t="s">
        <v>213</v>
      </c>
      <c r="D66">
        <v>57</v>
      </c>
      <c r="E66">
        <v>0</v>
      </c>
      <c r="H66">
        <v>291.96999999999997</v>
      </c>
      <c r="I66">
        <v>6.17</v>
      </c>
      <c r="J66" s="2">
        <f t="shared" ref="J66:J129" si="5">K66*e_Abraham+L66*s_Abraham+M66*a_Abraham+N66*b_Abraham+O66*v_Abraham+c_Abraham</f>
        <v>6.1360269999999995</v>
      </c>
      <c r="K66">
        <v>1.88</v>
      </c>
      <c r="L66">
        <v>1.51</v>
      </c>
      <c r="M66">
        <v>0</v>
      </c>
      <c r="N66">
        <v>0</v>
      </c>
      <c r="O66">
        <v>1.7266999999999999</v>
      </c>
      <c r="P66" s="2">
        <f t="shared" ref="P66:P129" si="6">e_Nguyen*K66+s_Nguyen*L66+a_Nguyen*M66+b_Nguyen*N66+v_Nguyen*O66+c_Nguyen</f>
        <v>5.057675999999999</v>
      </c>
      <c r="Q66" s="2">
        <f t="shared" ref="Q66:Q129" si="7">e_Kipka*K66+s_Kipka*L66+a_Kipka*M66+b_Kipka*N66+v_Kipka*O66+c_Kipka</f>
        <v>4.8939406600000002</v>
      </c>
      <c r="R66" s="2">
        <f t="shared" ref="R66:R129" si="8">e_Neal_ha*K66+s_Neal_ha*L66+a_Neal_ha*M66+b_Neal_ha*N66+v_Neal_ha*O66+c_Neal_ha</f>
        <v>6.2771979999999994</v>
      </c>
      <c r="S66" s="2">
        <f t="shared" ref="S66:S129" si="9">e_Neal_SRFA*K66+s_Neal_SRFA*L66+a_Neal_SRFA*M66+b_Neal_SRFA*N66+v_Neal_SRFA*O66+c_Neal_SRFA</f>
        <v>3.961462</v>
      </c>
    </row>
    <row r="67" spans="1:19" x14ac:dyDescent="0.25">
      <c r="A67" t="s">
        <v>214</v>
      </c>
      <c r="B67">
        <v>58</v>
      </c>
      <c r="C67" t="s">
        <v>215</v>
      </c>
      <c r="D67">
        <v>58</v>
      </c>
      <c r="E67">
        <v>0</v>
      </c>
      <c r="H67">
        <v>291.96999999999997</v>
      </c>
      <c r="I67">
        <v>6.17</v>
      </c>
      <c r="J67" s="2">
        <f t="shared" si="5"/>
        <v>6.1360269999999995</v>
      </c>
      <c r="K67">
        <v>1.88</v>
      </c>
      <c r="L67">
        <v>1.51</v>
      </c>
      <c r="M67">
        <v>0</v>
      </c>
      <c r="N67">
        <v>0</v>
      </c>
      <c r="O67">
        <v>1.7266999999999999</v>
      </c>
      <c r="P67" s="2">
        <f t="shared" si="6"/>
        <v>5.057675999999999</v>
      </c>
      <c r="Q67" s="2">
        <f t="shared" si="7"/>
        <v>4.8939406600000002</v>
      </c>
      <c r="R67" s="2">
        <f t="shared" si="8"/>
        <v>6.2771979999999994</v>
      </c>
      <c r="S67" s="2">
        <f t="shared" si="9"/>
        <v>3.961462</v>
      </c>
    </row>
    <row r="68" spans="1:19" x14ac:dyDescent="0.25">
      <c r="A68" t="s">
        <v>216</v>
      </c>
      <c r="B68">
        <v>59</v>
      </c>
      <c r="C68" t="s">
        <v>217</v>
      </c>
      <c r="D68">
        <v>59</v>
      </c>
      <c r="E68">
        <v>0</v>
      </c>
      <c r="H68">
        <v>291.96999999999997</v>
      </c>
      <c r="I68">
        <v>5.95</v>
      </c>
      <c r="J68" s="2">
        <f t="shared" si="5"/>
        <v>6.0163379999999993</v>
      </c>
      <c r="K68">
        <v>1.92</v>
      </c>
      <c r="L68">
        <v>1.33</v>
      </c>
      <c r="M68">
        <v>0</v>
      </c>
      <c r="N68">
        <v>0</v>
      </c>
      <c r="O68">
        <v>1.6397999999999999</v>
      </c>
      <c r="P68" s="2">
        <f t="shared" si="6"/>
        <v>5.0331439999999992</v>
      </c>
      <c r="Q68" s="2">
        <f t="shared" si="7"/>
        <v>4.9225030400000005</v>
      </c>
      <c r="R68" s="2">
        <f t="shared" si="8"/>
        <v>6.0520119999999995</v>
      </c>
      <c r="S68" s="2">
        <f t="shared" si="9"/>
        <v>3.8515279999999992</v>
      </c>
    </row>
    <row r="69" spans="1:19" x14ac:dyDescent="0.25">
      <c r="A69" t="s">
        <v>218</v>
      </c>
      <c r="B69" t="s">
        <v>219</v>
      </c>
      <c r="D69" t="s">
        <v>219</v>
      </c>
      <c r="E69">
        <v>0</v>
      </c>
      <c r="H69">
        <v>291.96999999999997</v>
      </c>
      <c r="I69">
        <v>6</v>
      </c>
      <c r="J69" s="2">
        <f t="shared" si="5"/>
        <v>6.0163379999999993</v>
      </c>
      <c r="K69">
        <v>1.92</v>
      </c>
      <c r="L69">
        <v>1.33</v>
      </c>
      <c r="M69">
        <v>0</v>
      </c>
      <c r="N69">
        <v>0</v>
      </c>
      <c r="O69">
        <v>1.6397999999999999</v>
      </c>
      <c r="P69" s="2">
        <f t="shared" si="6"/>
        <v>5.0331439999999992</v>
      </c>
      <c r="Q69" s="2">
        <f t="shared" si="7"/>
        <v>4.9225030400000005</v>
      </c>
      <c r="R69" s="2">
        <f t="shared" si="8"/>
        <v>6.0520119999999995</v>
      </c>
      <c r="S69" s="2">
        <f t="shared" si="9"/>
        <v>3.8515279999999992</v>
      </c>
    </row>
    <row r="70" spans="1:19" x14ac:dyDescent="0.25">
      <c r="A70" t="s">
        <v>220</v>
      </c>
      <c r="B70">
        <v>60</v>
      </c>
      <c r="C70" t="s">
        <v>221</v>
      </c>
      <c r="D70">
        <v>60</v>
      </c>
      <c r="E70">
        <v>0</v>
      </c>
      <c r="H70">
        <v>291.96999999999997</v>
      </c>
      <c r="I70">
        <v>6.11</v>
      </c>
      <c r="J70" s="2">
        <f t="shared" si="5"/>
        <v>6.1360269999999995</v>
      </c>
      <c r="K70">
        <v>1.88</v>
      </c>
      <c r="L70">
        <v>1.51</v>
      </c>
      <c r="M70">
        <v>0</v>
      </c>
      <c r="N70">
        <v>0</v>
      </c>
      <c r="O70">
        <v>1.7266999999999999</v>
      </c>
      <c r="P70" s="2">
        <f t="shared" si="6"/>
        <v>5.057675999999999</v>
      </c>
      <c r="Q70" s="2">
        <f t="shared" si="7"/>
        <v>4.8939406600000002</v>
      </c>
      <c r="R70" s="2">
        <f t="shared" si="8"/>
        <v>6.2771979999999994</v>
      </c>
      <c r="S70" s="2">
        <f t="shared" si="9"/>
        <v>3.961462</v>
      </c>
    </row>
    <row r="71" spans="1:19" x14ac:dyDescent="0.25">
      <c r="A71" t="s">
        <v>222</v>
      </c>
      <c r="B71">
        <v>61</v>
      </c>
      <c r="C71" t="s">
        <v>223</v>
      </c>
      <c r="D71">
        <v>61</v>
      </c>
      <c r="E71">
        <v>0</v>
      </c>
      <c r="H71">
        <v>291.96999999999997</v>
      </c>
      <c r="I71">
        <v>6.04</v>
      </c>
      <c r="J71" s="2">
        <f t="shared" si="5"/>
        <v>6.1360269999999995</v>
      </c>
      <c r="K71">
        <v>1.88</v>
      </c>
      <c r="L71">
        <v>1.51</v>
      </c>
      <c r="M71">
        <v>0</v>
      </c>
      <c r="N71">
        <v>0</v>
      </c>
      <c r="O71">
        <v>1.7266999999999999</v>
      </c>
      <c r="P71" s="2">
        <f t="shared" si="6"/>
        <v>5.057675999999999</v>
      </c>
      <c r="Q71" s="2">
        <f t="shared" si="7"/>
        <v>4.8939406600000002</v>
      </c>
      <c r="R71" s="2">
        <f t="shared" si="8"/>
        <v>6.2771979999999994</v>
      </c>
      <c r="S71" s="2">
        <f t="shared" si="9"/>
        <v>3.961462</v>
      </c>
    </row>
    <row r="72" spans="1:19" x14ac:dyDescent="0.25">
      <c r="A72" t="s">
        <v>224</v>
      </c>
      <c r="B72">
        <v>62</v>
      </c>
      <c r="C72" t="s">
        <v>225</v>
      </c>
      <c r="D72">
        <v>62</v>
      </c>
      <c r="E72">
        <v>0</v>
      </c>
      <c r="H72">
        <v>291.96999999999997</v>
      </c>
      <c r="I72">
        <v>5.89</v>
      </c>
      <c r="J72" s="2">
        <f t="shared" si="5"/>
        <v>6.0163379999999993</v>
      </c>
      <c r="K72">
        <v>1.92</v>
      </c>
      <c r="L72">
        <v>1.33</v>
      </c>
      <c r="M72">
        <v>0</v>
      </c>
      <c r="N72">
        <v>0</v>
      </c>
      <c r="O72">
        <v>1.6397999999999999</v>
      </c>
      <c r="P72" s="2">
        <f t="shared" si="6"/>
        <v>5.0331439999999992</v>
      </c>
      <c r="Q72" s="2">
        <f t="shared" si="7"/>
        <v>4.9225030400000005</v>
      </c>
      <c r="R72" s="2">
        <f t="shared" si="8"/>
        <v>6.0520119999999995</v>
      </c>
      <c r="S72" s="2">
        <f t="shared" si="9"/>
        <v>3.8515279999999992</v>
      </c>
    </row>
    <row r="73" spans="1:19" x14ac:dyDescent="0.25">
      <c r="A73" t="s">
        <v>226</v>
      </c>
      <c r="B73">
        <v>63</v>
      </c>
      <c r="C73" t="s">
        <v>227</v>
      </c>
      <c r="D73">
        <v>63</v>
      </c>
      <c r="E73">
        <v>0</v>
      </c>
      <c r="H73">
        <v>291.96999999999997</v>
      </c>
      <c r="I73">
        <v>6.17</v>
      </c>
      <c r="J73" s="2">
        <f t="shared" si="5"/>
        <v>6.1360269999999995</v>
      </c>
      <c r="K73">
        <v>1.88</v>
      </c>
      <c r="L73">
        <v>1.51</v>
      </c>
      <c r="M73">
        <v>0</v>
      </c>
      <c r="N73">
        <v>0</v>
      </c>
      <c r="O73">
        <v>1.7266999999999999</v>
      </c>
      <c r="P73" s="2">
        <f t="shared" si="6"/>
        <v>5.057675999999999</v>
      </c>
      <c r="Q73" s="2">
        <f t="shared" si="7"/>
        <v>4.8939406600000002</v>
      </c>
      <c r="R73" s="2">
        <f t="shared" si="8"/>
        <v>6.2771979999999994</v>
      </c>
      <c r="S73" s="2">
        <f t="shared" si="9"/>
        <v>3.961462</v>
      </c>
    </row>
    <row r="74" spans="1:19" x14ac:dyDescent="0.25">
      <c r="A74" t="s">
        <v>228</v>
      </c>
      <c r="B74">
        <v>64</v>
      </c>
      <c r="C74" t="s">
        <v>229</v>
      </c>
      <c r="D74">
        <v>64</v>
      </c>
      <c r="E74">
        <v>0</v>
      </c>
      <c r="H74">
        <v>291.96999999999997</v>
      </c>
      <c r="I74">
        <v>5.95</v>
      </c>
      <c r="J74" s="2">
        <f t="shared" si="5"/>
        <v>6.0163379999999993</v>
      </c>
      <c r="K74">
        <v>1.92</v>
      </c>
      <c r="L74">
        <v>1.33</v>
      </c>
      <c r="M74">
        <v>0</v>
      </c>
      <c r="N74">
        <v>0</v>
      </c>
      <c r="O74">
        <v>1.6397999999999999</v>
      </c>
      <c r="P74" s="2">
        <f t="shared" si="6"/>
        <v>5.0331439999999992</v>
      </c>
      <c r="Q74" s="2">
        <f t="shared" si="7"/>
        <v>4.9225030400000005</v>
      </c>
      <c r="R74" s="2">
        <f t="shared" si="8"/>
        <v>6.0520119999999995</v>
      </c>
      <c r="S74" s="2">
        <f t="shared" si="9"/>
        <v>3.8515279999999992</v>
      </c>
    </row>
    <row r="75" spans="1:19" x14ac:dyDescent="0.25">
      <c r="A75" t="s">
        <v>230</v>
      </c>
      <c r="B75" t="s">
        <v>231</v>
      </c>
      <c r="D75" t="s">
        <v>231</v>
      </c>
      <c r="E75">
        <v>0</v>
      </c>
      <c r="H75">
        <v>291.96999999999997</v>
      </c>
      <c r="I75">
        <v>5.9649999999999999</v>
      </c>
      <c r="J75" s="2">
        <f t="shared" si="5"/>
        <v>6.0163379999999993</v>
      </c>
      <c r="K75">
        <v>1.92</v>
      </c>
      <c r="L75">
        <v>1.33</v>
      </c>
      <c r="M75">
        <v>0</v>
      </c>
      <c r="N75">
        <v>0</v>
      </c>
      <c r="O75">
        <v>1.6397999999999999</v>
      </c>
      <c r="P75" s="2">
        <f t="shared" si="6"/>
        <v>5.0331439999999992</v>
      </c>
      <c r="Q75" s="2">
        <f t="shared" si="7"/>
        <v>4.9225030400000005</v>
      </c>
      <c r="R75" s="2">
        <f t="shared" si="8"/>
        <v>6.0520119999999995</v>
      </c>
      <c r="S75" s="2">
        <f t="shared" si="9"/>
        <v>3.8515279999999992</v>
      </c>
    </row>
    <row r="76" spans="1:19" x14ac:dyDescent="0.25">
      <c r="A76" t="s">
        <v>232</v>
      </c>
      <c r="B76">
        <v>65</v>
      </c>
      <c r="C76" t="s">
        <v>233</v>
      </c>
      <c r="D76">
        <v>65</v>
      </c>
      <c r="E76">
        <v>0</v>
      </c>
      <c r="H76">
        <v>291.96999999999997</v>
      </c>
      <c r="I76">
        <v>5.86</v>
      </c>
      <c r="J76" s="2">
        <f t="shared" si="5"/>
        <v>6.0163379999999993</v>
      </c>
      <c r="K76">
        <v>1.92</v>
      </c>
      <c r="L76">
        <v>1.33</v>
      </c>
      <c r="M76">
        <v>0</v>
      </c>
      <c r="N76">
        <v>0</v>
      </c>
      <c r="O76">
        <v>1.6397999999999999</v>
      </c>
      <c r="P76" s="2">
        <f t="shared" si="6"/>
        <v>5.0331439999999992</v>
      </c>
      <c r="Q76" s="2">
        <f t="shared" si="7"/>
        <v>4.9225030400000005</v>
      </c>
      <c r="R76" s="2">
        <f t="shared" si="8"/>
        <v>6.0520119999999995</v>
      </c>
      <c r="S76" s="2">
        <f t="shared" si="9"/>
        <v>3.8515279999999992</v>
      </c>
    </row>
    <row r="77" spans="1:19" x14ac:dyDescent="0.25">
      <c r="A77" t="s">
        <v>234</v>
      </c>
      <c r="B77">
        <v>66</v>
      </c>
      <c r="C77" t="s">
        <v>235</v>
      </c>
      <c r="D77">
        <v>66</v>
      </c>
      <c r="E77">
        <v>0</v>
      </c>
      <c r="H77">
        <v>291.96999999999997</v>
      </c>
      <c r="I77">
        <v>6.2</v>
      </c>
      <c r="J77" s="2">
        <f t="shared" si="5"/>
        <v>6.1360269999999995</v>
      </c>
      <c r="K77">
        <v>1.88</v>
      </c>
      <c r="L77">
        <v>1.51</v>
      </c>
      <c r="M77">
        <v>0</v>
      </c>
      <c r="N77">
        <v>0</v>
      </c>
      <c r="O77">
        <v>1.7266999999999999</v>
      </c>
      <c r="P77" s="2">
        <f t="shared" si="6"/>
        <v>5.057675999999999</v>
      </c>
      <c r="Q77" s="2">
        <f t="shared" si="7"/>
        <v>4.8939406600000002</v>
      </c>
      <c r="R77" s="2">
        <f t="shared" si="8"/>
        <v>6.2771979999999994</v>
      </c>
      <c r="S77" s="2">
        <f t="shared" si="9"/>
        <v>3.961462</v>
      </c>
    </row>
    <row r="78" spans="1:19" x14ac:dyDescent="0.25">
      <c r="A78" t="s">
        <v>236</v>
      </c>
      <c r="B78">
        <v>67</v>
      </c>
      <c r="C78" t="s">
        <v>237</v>
      </c>
      <c r="D78">
        <v>67</v>
      </c>
      <c r="E78">
        <v>0</v>
      </c>
      <c r="H78">
        <v>291.96999999999997</v>
      </c>
      <c r="I78">
        <v>6.2</v>
      </c>
      <c r="J78" s="2">
        <f t="shared" si="5"/>
        <v>6.1360269999999995</v>
      </c>
      <c r="K78">
        <v>1.88</v>
      </c>
      <c r="L78">
        <v>1.51</v>
      </c>
      <c r="M78">
        <v>0</v>
      </c>
      <c r="N78">
        <v>0</v>
      </c>
      <c r="O78">
        <v>1.7266999999999999</v>
      </c>
      <c r="P78" s="2">
        <f t="shared" si="6"/>
        <v>5.057675999999999</v>
      </c>
      <c r="Q78" s="2">
        <f t="shared" si="7"/>
        <v>4.8939406600000002</v>
      </c>
      <c r="R78" s="2">
        <f t="shared" si="8"/>
        <v>6.2771979999999994</v>
      </c>
      <c r="S78" s="2">
        <f t="shared" si="9"/>
        <v>3.961462</v>
      </c>
    </row>
    <row r="79" spans="1:19" x14ac:dyDescent="0.25">
      <c r="A79" t="s">
        <v>238</v>
      </c>
      <c r="B79">
        <v>68</v>
      </c>
      <c r="C79" t="s">
        <v>239</v>
      </c>
      <c r="D79">
        <v>68</v>
      </c>
      <c r="E79">
        <v>0</v>
      </c>
      <c r="H79">
        <v>291.96999999999997</v>
      </c>
      <c r="I79">
        <v>6.26</v>
      </c>
      <c r="J79" s="2">
        <f t="shared" si="5"/>
        <v>6.1360269999999995</v>
      </c>
      <c r="K79">
        <v>1.88</v>
      </c>
      <c r="L79">
        <v>1.51</v>
      </c>
      <c r="M79">
        <v>0</v>
      </c>
      <c r="N79">
        <v>0</v>
      </c>
      <c r="O79">
        <v>1.7266999999999999</v>
      </c>
      <c r="P79" s="2">
        <f t="shared" si="6"/>
        <v>5.057675999999999</v>
      </c>
      <c r="Q79" s="2">
        <f t="shared" si="7"/>
        <v>4.8939406600000002</v>
      </c>
      <c r="R79" s="2">
        <f t="shared" si="8"/>
        <v>6.2771979999999994</v>
      </c>
      <c r="S79" s="2">
        <f t="shared" si="9"/>
        <v>3.961462</v>
      </c>
    </row>
    <row r="80" spans="1:19" x14ac:dyDescent="0.25">
      <c r="A80" t="s">
        <v>240</v>
      </c>
      <c r="B80">
        <v>69</v>
      </c>
      <c r="C80" t="s">
        <v>241</v>
      </c>
      <c r="D80">
        <v>69</v>
      </c>
      <c r="E80">
        <v>0</v>
      </c>
      <c r="H80">
        <v>291.96999999999997</v>
      </c>
      <c r="I80">
        <v>6.04</v>
      </c>
      <c r="J80" s="2">
        <f t="shared" si="5"/>
        <v>6.0163379999999993</v>
      </c>
      <c r="K80">
        <v>1.92</v>
      </c>
      <c r="L80">
        <v>1.33</v>
      </c>
      <c r="M80">
        <v>0</v>
      </c>
      <c r="N80">
        <v>0</v>
      </c>
      <c r="O80">
        <v>1.6397999999999999</v>
      </c>
      <c r="P80" s="2">
        <f t="shared" si="6"/>
        <v>5.0331439999999992</v>
      </c>
      <c r="Q80" s="2">
        <f t="shared" si="7"/>
        <v>4.9225030400000005</v>
      </c>
      <c r="R80" s="2">
        <f t="shared" si="8"/>
        <v>6.0520119999999995</v>
      </c>
      <c r="S80" s="2">
        <f t="shared" si="9"/>
        <v>3.8515279999999992</v>
      </c>
    </row>
    <row r="81" spans="1:19" x14ac:dyDescent="0.25">
      <c r="A81" t="s">
        <v>242</v>
      </c>
      <c r="B81">
        <v>70</v>
      </c>
      <c r="C81" t="s">
        <v>243</v>
      </c>
      <c r="D81">
        <v>70</v>
      </c>
      <c r="E81">
        <v>0</v>
      </c>
      <c r="H81">
        <v>291.96999999999997</v>
      </c>
      <c r="I81">
        <v>6.2</v>
      </c>
      <c r="J81" s="2">
        <f t="shared" si="5"/>
        <v>6.1360269999999995</v>
      </c>
      <c r="K81">
        <v>1.88</v>
      </c>
      <c r="L81">
        <v>1.51</v>
      </c>
      <c r="M81">
        <v>0</v>
      </c>
      <c r="N81">
        <v>0</v>
      </c>
      <c r="O81">
        <v>1.7266999999999999</v>
      </c>
      <c r="P81" s="2">
        <f t="shared" si="6"/>
        <v>5.057675999999999</v>
      </c>
      <c r="Q81" s="2">
        <f t="shared" si="7"/>
        <v>4.8939406600000002</v>
      </c>
      <c r="R81" s="2">
        <f t="shared" si="8"/>
        <v>6.2771979999999994</v>
      </c>
      <c r="S81" s="2">
        <f t="shared" si="9"/>
        <v>3.961462</v>
      </c>
    </row>
    <row r="82" spans="1:19" x14ac:dyDescent="0.25">
      <c r="A82" t="s">
        <v>244</v>
      </c>
      <c r="B82">
        <v>71</v>
      </c>
      <c r="C82" t="s">
        <v>245</v>
      </c>
      <c r="D82">
        <v>71</v>
      </c>
      <c r="E82">
        <v>0</v>
      </c>
      <c r="H82">
        <v>291.96999999999997</v>
      </c>
      <c r="I82">
        <v>5.98</v>
      </c>
      <c r="J82" s="2">
        <f t="shared" si="5"/>
        <v>6.0163379999999993</v>
      </c>
      <c r="K82">
        <v>1.92</v>
      </c>
      <c r="L82">
        <v>1.33</v>
      </c>
      <c r="M82">
        <v>0</v>
      </c>
      <c r="N82">
        <v>0</v>
      </c>
      <c r="O82">
        <v>1.6397999999999999</v>
      </c>
      <c r="P82" s="2">
        <f t="shared" si="6"/>
        <v>5.0331439999999992</v>
      </c>
      <c r="Q82" s="2">
        <f t="shared" si="7"/>
        <v>4.9225030400000005</v>
      </c>
      <c r="R82" s="2">
        <f t="shared" si="8"/>
        <v>6.0520119999999995</v>
      </c>
      <c r="S82" s="2">
        <f t="shared" si="9"/>
        <v>3.8515279999999992</v>
      </c>
    </row>
    <row r="83" spans="1:19" x14ac:dyDescent="0.25">
      <c r="A83" t="s">
        <v>246</v>
      </c>
      <c r="B83">
        <v>72</v>
      </c>
      <c r="C83" t="s">
        <v>247</v>
      </c>
      <c r="D83">
        <v>72</v>
      </c>
      <c r="E83">
        <v>0</v>
      </c>
      <c r="H83">
        <v>291.96999999999997</v>
      </c>
      <c r="I83">
        <v>6.26</v>
      </c>
      <c r="J83" s="2">
        <f t="shared" si="5"/>
        <v>6.1360269999999995</v>
      </c>
      <c r="K83">
        <v>1.88</v>
      </c>
      <c r="L83">
        <v>1.51</v>
      </c>
      <c r="M83">
        <v>0</v>
      </c>
      <c r="N83">
        <v>0</v>
      </c>
      <c r="O83">
        <v>1.7266999999999999</v>
      </c>
      <c r="P83" s="2">
        <f t="shared" si="6"/>
        <v>5.057675999999999</v>
      </c>
      <c r="Q83" s="2">
        <f t="shared" si="7"/>
        <v>4.8939406600000002</v>
      </c>
      <c r="R83" s="2">
        <f t="shared" si="8"/>
        <v>6.2771979999999994</v>
      </c>
      <c r="S83" s="2">
        <f t="shared" si="9"/>
        <v>3.961462</v>
      </c>
    </row>
    <row r="84" spans="1:19" x14ac:dyDescent="0.25">
      <c r="A84" t="s">
        <v>248</v>
      </c>
      <c r="B84">
        <v>73</v>
      </c>
      <c r="C84" t="s">
        <v>249</v>
      </c>
      <c r="D84">
        <v>73</v>
      </c>
      <c r="E84">
        <v>0</v>
      </c>
      <c r="H84">
        <v>291.96999999999997</v>
      </c>
      <c r="I84">
        <v>6.04</v>
      </c>
      <c r="J84" s="2">
        <f t="shared" si="5"/>
        <v>6.0163379999999993</v>
      </c>
      <c r="K84">
        <v>1.92</v>
      </c>
      <c r="L84">
        <v>1.33</v>
      </c>
      <c r="M84">
        <v>0</v>
      </c>
      <c r="N84">
        <v>0</v>
      </c>
      <c r="O84">
        <v>1.6397999999999999</v>
      </c>
      <c r="P84" s="2">
        <f t="shared" si="6"/>
        <v>5.0331439999999992</v>
      </c>
      <c r="Q84" s="2">
        <f t="shared" si="7"/>
        <v>4.9225030400000005</v>
      </c>
      <c r="R84" s="2">
        <f t="shared" si="8"/>
        <v>6.0520119999999995</v>
      </c>
      <c r="S84" s="2">
        <f t="shared" si="9"/>
        <v>3.8515279999999992</v>
      </c>
    </row>
    <row r="85" spans="1:19" x14ac:dyDescent="0.25">
      <c r="A85" t="s">
        <v>250</v>
      </c>
      <c r="B85">
        <v>74</v>
      </c>
      <c r="C85" t="s">
        <v>251</v>
      </c>
      <c r="D85">
        <v>74</v>
      </c>
      <c r="E85">
        <v>0</v>
      </c>
      <c r="H85">
        <v>291.96999999999997</v>
      </c>
      <c r="I85">
        <v>6.2</v>
      </c>
      <c r="J85" s="2">
        <f t="shared" si="5"/>
        <v>6.1360269999999995</v>
      </c>
      <c r="K85">
        <v>1.88</v>
      </c>
      <c r="L85">
        <v>1.51</v>
      </c>
      <c r="M85">
        <v>0</v>
      </c>
      <c r="N85">
        <v>0</v>
      </c>
      <c r="O85">
        <v>1.7266999999999999</v>
      </c>
      <c r="P85" s="2">
        <f t="shared" si="6"/>
        <v>5.057675999999999</v>
      </c>
      <c r="Q85" s="2">
        <f t="shared" si="7"/>
        <v>4.8939406600000002</v>
      </c>
      <c r="R85" s="2">
        <f t="shared" si="8"/>
        <v>6.2771979999999994</v>
      </c>
      <c r="S85" s="2">
        <f t="shared" si="9"/>
        <v>3.961462</v>
      </c>
    </row>
    <row r="86" spans="1:19" x14ac:dyDescent="0.25">
      <c r="A86" t="s">
        <v>252</v>
      </c>
      <c r="B86">
        <v>75</v>
      </c>
      <c r="C86" t="s">
        <v>253</v>
      </c>
      <c r="D86">
        <v>75</v>
      </c>
      <c r="E86">
        <v>0</v>
      </c>
      <c r="H86">
        <v>291.96999999999997</v>
      </c>
      <c r="I86">
        <v>6.05</v>
      </c>
      <c r="J86" s="2">
        <f t="shared" si="5"/>
        <v>6.0163379999999993</v>
      </c>
      <c r="K86">
        <v>1.92</v>
      </c>
      <c r="L86">
        <v>1.33</v>
      </c>
      <c r="M86">
        <v>0</v>
      </c>
      <c r="N86">
        <v>0</v>
      </c>
      <c r="O86">
        <v>1.6397999999999999</v>
      </c>
      <c r="P86" s="2">
        <f t="shared" si="6"/>
        <v>5.0331439999999992</v>
      </c>
      <c r="Q86" s="2">
        <f t="shared" si="7"/>
        <v>4.9225030400000005</v>
      </c>
      <c r="R86" s="2">
        <f t="shared" si="8"/>
        <v>6.0520119999999995</v>
      </c>
      <c r="S86" s="2">
        <f t="shared" si="9"/>
        <v>3.8515279999999992</v>
      </c>
    </row>
    <row r="87" spans="1:19" x14ac:dyDescent="0.25">
      <c r="A87" t="s">
        <v>254</v>
      </c>
      <c r="B87">
        <v>76</v>
      </c>
      <c r="C87" t="s">
        <v>255</v>
      </c>
      <c r="D87">
        <v>76</v>
      </c>
      <c r="E87">
        <v>0</v>
      </c>
      <c r="H87">
        <v>291.96999999999997</v>
      </c>
      <c r="I87">
        <v>6.13</v>
      </c>
      <c r="J87" s="2">
        <f t="shared" si="5"/>
        <v>6.1360269999999995</v>
      </c>
      <c r="K87">
        <v>1.88</v>
      </c>
      <c r="L87">
        <v>1.51</v>
      </c>
      <c r="M87">
        <v>0</v>
      </c>
      <c r="N87">
        <v>0</v>
      </c>
      <c r="O87">
        <v>1.7266999999999999</v>
      </c>
      <c r="P87" s="2">
        <f t="shared" si="6"/>
        <v>5.057675999999999</v>
      </c>
      <c r="Q87" s="2">
        <f t="shared" si="7"/>
        <v>4.8939406600000002</v>
      </c>
      <c r="R87" s="2">
        <f t="shared" si="8"/>
        <v>6.2771979999999994</v>
      </c>
      <c r="S87" s="2">
        <f t="shared" si="9"/>
        <v>3.961462</v>
      </c>
    </row>
    <row r="88" spans="1:19" x14ac:dyDescent="0.25">
      <c r="A88" t="s">
        <v>256</v>
      </c>
      <c r="B88">
        <v>77</v>
      </c>
      <c r="C88" t="s">
        <v>257</v>
      </c>
      <c r="D88">
        <v>77</v>
      </c>
      <c r="E88">
        <v>0</v>
      </c>
      <c r="F88">
        <v>1E-4</v>
      </c>
      <c r="G88">
        <v>3.6099999999999997E-5</v>
      </c>
      <c r="H88">
        <v>291.96999999999997</v>
      </c>
      <c r="I88">
        <v>6.36</v>
      </c>
      <c r="J88" s="2">
        <f t="shared" si="5"/>
        <v>6.2557160000000005</v>
      </c>
      <c r="K88">
        <v>1.84</v>
      </c>
      <c r="L88">
        <v>1.69</v>
      </c>
      <c r="M88">
        <v>0</v>
      </c>
      <c r="N88">
        <v>0</v>
      </c>
      <c r="O88">
        <v>1.8136000000000001</v>
      </c>
      <c r="P88" s="2">
        <f t="shared" si="6"/>
        <v>5.0822080000000005</v>
      </c>
      <c r="Q88" s="2">
        <f t="shared" si="7"/>
        <v>4.8653782799999998</v>
      </c>
      <c r="R88" s="2">
        <f t="shared" si="8"/>
        <v>6.5023840000000011</v>
      </c>
      <c r="S88" s="2">
        <f t="shared" si="9"/>
        <v>4.071396</v>
      </c>
    </row>
    <row r="89" spans="1:19" x14ac:dyDescent="0.25">
      <c r="A89" t="s">
        <v>258</v>
      </c>
      <c r="J89" s="2">
        <f t="shared" si="5"/>
        <v>6.4560765</v>
      </c>
      <c r="K89">
        <v>2.0550000000000002</v>
      </c>
      <c r="L89">
        <v>1.585</v>
      </c>
      <c r="M89">
        <v>0</v>
      </c>
      <c r="N89">
        <v>0</v>
      </c>
      <c r="O89">
        <v>1.80565</v>
      </c>
      <c r="P89" s="2">
        <f t="shared" si="6"/>
        <v>5.3761819999999991</v>
      </c>
      <c r="Q89" s="2">
        <f t="shared" si="7"/>
        <v>5.10851787</v>
      </c>
      <c r="R89" s="2">
        <f t="shared" si="8"/>
        <v>6.6525110000000005</v>
      </c>
      <c r="S89" s="2">
        <f t="shared" si="9"/>
        <v>4.2502589999999998</v>
      </c>
    </row>
    <row r="90" spans="1:19" x14ac:dyDescent="0.25">
      <c r="A90" t="s">
        <v>259</v>
      </c>
      <c r="B90">
        <v>78</v>
      </c>
      <c r="C90" t="s">
        <v>260</v>
      </c>
      <c r="D90">
        <v>78</v>
      </c>
      <c r="E90">
        <v>0</v>
      </c>
      <c r="H90">
        <v>291.96999999999997</v>
      </c>
      <c r="I90">
        <v>6.35</v>
      </c>
      <c r="J90" s="2">
        <f t="shared" si="5"/>
        <v>6.1943780000000004</v>
      </c>
      <c r="K90">
        <v>1.94</v>
      </c>
      <c r="L90">
        <v>1.44</v>
      </c>
      <c r="M90">
        <v>0</v>
      </c>
      <c r="N90">
        <v>0.11</v>
      </c>
      <c r="O90">
        <v>1.8138000000000001</v>
      </c>
      <c r="P90" s="2">
        <f t="shared" si="6"/>
        <v>5.154863999999999</v>
      </c>
      <c r="Q90" s="2">
        <f t="shared" si="7"/>
        <v>4.88137124</v>
      </c>
      <c r="R90" s="2">
        <f t="shared" si="8"/>
        <v>6.3181720000000006</v>
      </c>
      <c r="S90" s="2">
        <f t="shared" si="9"/>
        <v>4.0196680000000002</v>
      </c>
    </row>
    <row r="91" spans="1:19" x14ac:dyDescent="0.25">
      <c r="A91" t="s">
        <v>261</v>
      </c>
      <c r="B91">
        <v>79</v>
      </c>
      <c r="C91" t="s">
        <v>262</v>
      </c>
      <c r="D91">
        <v>79</v>
      </c>
      <c r="E91">
        <v>0</v>
      </c>
      <c r="H91">
        <v>291.96999999999997</v>
      </c>
      <c r="I91">
        <v>6.42</v>
      </c>
      <c r="J91" s="2">
        <f t="shared" si="5"/>
        <v>6.2557160000000005</v>
      </c>
      <c r="K91">
        <v>1.84</v>
      </c>
      <c r="L91">
        <v>1.69</v>
      </c>
      <c r="M91">
        <v>0</v>
      </c>
      <c r="N91">
        <v>0</v>
      </c>
      <c r="O91">
        <v>1.8136000000000001</v>
      </c>
      <c r="P91" s="2">
        <f t="shared" si="6"/>
        <v>5.0822080000000005</v>
      </c>
      <c r="Q91" s="2">
        <f t="shared" si="7"/>
        <v>4.8653782799999998</v>
      </c>
      <c r="R91" s="2">
        <f t="shared" si="8"/>
        <v>6.5023840000000011</v>
      </c>
      <c r="S91" s="2">
        <f t="shared" si="9"/>
        <v>4.071396</v>
      </c>
    </row>
    <row r="92" spans="1:19" x14ac:dyDescent="0.25">
      <c r="A92" t="s">
        <v>263</v>
      </c>
      <c r="B92">
        <v>80</v>
      </c>
      <c r="C92" t="s">
        <v>264</v>
      </c>
      <c r="D92">
        <v>80</v>
      </c>
      <c r="E92">
        <v>0</v>
      </c>
      <c r="H92">
        <v>291.96999999999997</v>
      </c>
      <c r="I92">
        <v>6.48</v>
      </c>
      <c r="J92" s="2">
        <f t="shared" si="5"/>
        <v>6.2557160000000005</v>
      </c>
      <c r="K92">
        <v>1.84</v>
      </c>
      <c r="L92">
        <v>1.69</v>
      </c>
      <c r="M92">
        <v>0</v>
      </c>
      <c r="N92">
        <v>0</v>
      </c>
      <c r="O92">
        <v>1.8136000000000001</v>
      </c>
      <c r="P92" s="2">
        <f t="shared" si="6"/>
        <v>5.0822080000000005</v>
      </c>
      <c r="Q92" s="2">
        <f t="shared" si="7"/>
        <v>4.8653782799999998</v>
      </c>
      <c r="R92" s="2">
        <f t="shared" si="8"/>
        <v>6.5023840000000011</v>
      </c>
      <c r="S92" s="2">
        <f t="shared" si="9"/>
        <v>4.071396</v>
      </c>
    </row>
    <row r="93" spans="1:19" x14ac:dyDescent="0.25">
      <c r="A93" t="s">
        <v>265</v>
      </c>
      <c r="B93">
        <v>81</v>
      </c>
      <c r="C93" t="s">
        <v>266</v>
      </c>
      <c r="D93">
        <v>81</v>
      </c>
      <c r="E93">
        <v>0</v>
      </c>
      <c r="F93">
        <v>2.9999999999999997E-4</v>
      </c>
      <c r="G93">
        <v>1.35E-6</v>
      </c>
      <c r="H93">
        <v>291.96999999999997</v>
      </c>
      <c r="I93">
        <v>6.36</v>
      </c>
      <c r="J93" s="2">
        <f t="shared" si="5"/>
        <v>6.2557160000000005</v>
      </c>
      <c r="K93">
        <v>1.84</v>
      </c>
      <c r="L93">
        <v>1.69</v>
      </c>
      <c r="M93">
        <v>0</v>
      </c>
      <c r="N93">
        <v>0</v>
      </c>
      <c r="O93">
        <v>1.8136000000000001</v>
      </c>
      <c r="P93" s="2">
        <f t="shared" si="6"/>
        <v>5.0822080000000005</v>
      </c>
      <c r="Q93" s="2">
        <f t="shared" si="7"/>
        <v>4.8653782799999998</v>
      </c>
      <c r="R93" s="2">
        <f t="shared" si="8"/>
        <v>6.5023840000000011</v>
      </c>
      <c r="S93" s="2">
        <f t="shared" si="9"/>
        <v>4.071396</v>
      </c>
    </row>
    <row r="94" spans="1:19" x14ac:dyDescent="0.25">
      <c r="A94" t="s">
        <v>267</v>
      </c>
      <c r="B94">
        <v>82</v>
      </c>
      <c r="C94" t="s">
        <v>268</v>
      </c>
      <c r="D94">
        <v>82</v>
      </c>
      <c r="E94">
        <v>0</v>
      </c>
      <c r="H94">
        <v>326.41000000000003</v>
      </c>
      <c r="I94">
        <v>6.2</v>
      </c>
      <c r="J94" s="2">
        <f t="shared" si="5"/>
        <v>6.4140819999999996</v>
      </c>
      <c r="K94">
        <v>2.06</v>
      </c>
      <c r="L94">
        <v>1.47</v>
      </c>
      <c r="M94">
        <v>0</v>
      </c>
      <c r="N94">
        <v>0</v>
      </c>
      <c r="O94">
        <v>1.7622</v>
      </c>
      <c r="P94" s="2">
        <f t="shared" si="6"/>
        <v>5.3654159999999997</v>
      </c>
      <c r="Q94" s="2">
        <f t="shared" si="7"/>
        <v>5.1239565599999999</v>
      </c>
      <c r="R94" s="2">
        <f t="shared" si="8"/>
        <v>6.5440680000000011</v>
      </c>
      <c r="S94" s="2">
        <f t="shared" si="9"/>
        <v>4.2015919999999998</v>
      </c>
    </row>
    <row r="95" spans="1:19" x14ac:dyDescent="0.25">
      <c r="A95" t="s">
        <v>269</v>
      </c>
      <c r="B95">
        <v>83</v>
      </c>
      <c r="C95" t="s">
        <v>270</v>
      </c>
      <c r="D95">
        <v>83</v>
      </c>
      <c r="E95">
        <v>0</v>
      </c>
      <c r="H95">
        <v>326.41000000000003</v>
      </c>
      <c r="I95">
        <v>6.26</v>
      </c>
      <c r="J95" s="2">
        <f t="shared" si="5"/>
        <v>6.4140819999999996</v>
      </c>
      <c r="K95">
        <v>2.06</v>
      </c>
      <c r="L95">
        <v>1.47</v>
      </c>
      <c r="M95">
        <v>0</v>
      </c>
      <c r="N95">
        <v>0</v>
      </c>
      <c r="O95">
        <v>1.7622</v>
      </c>
      <c r="P95" s="2">
        <f t="shared" si="6"/>
        <v>5.3654159999999997</v>
      </c>
      <c r="Q95" s="2">
        <f t="shared" si="7"/>
        <v>5.1239565599999999</v>
      </c>
      <c r="R95" s="2">
        <f t="shared" si="8"/>
        <v>6.5440680000000011</v>
      </c>
      <c r="S95" s="2">
        <f t="shared" si="9"/>
        <v>4.2015919999999998</v>
      </c>
    </row>
    <row r="96" spans="1:19" x14ac:dyDescent="0.25">
      <c r="A96" t="s">
        <v>271</v>
      </c>
      <c r="B96">
        <v>84</v>
      </c>
      <c r="C96" t="s">
        <v>272</v>
      </c>
      <c r="D96">
        <v>84</v>
      </c>
      <c r="E96">
        <v>0</v>
      </c>
      <c r="H96">
        <v>326.41000000000003</v>
      </c>
      <c r="I96">
        <v>6.04</v>
      </c>
      <c r="J96" s="2">
        <f t="shared" si="5"/>
        <v>6.2425930000000003</v>
      </c>
      <c r="K96">
        <v>2.12</v>
      </c>
      <c r="L96">
        <v>1.35</v>
      </c>
      <c r="M96">
        <v>0</v>
      </c>
      <c r="N96">
        <v>0</v>
      </c>
      <c r="O96">
        <v>1.6753</v>
      </c>
      <c r="P96" s="2">
        <f t="shared" si="6"/>
        <v>5.3196839999999996</v>
      </c>
      <c r="Q96" s="2">
        <f t="shared" si="7"/>
        <v>5.13543694</v>
      </c>
      <c r="R96" s="2">
        <f t="shared" si="8"/>
        <v>6.2994820000000002</v>
      </c>
      <c r="S96" s="2">
        <f t="shared" si="9"/>
        <v>4.0664579999999999</v>
      </c>
    </row>
    <row r="97" spans="1:19" x14ac:dyDescent="0.25">
      <c r="A97" t="s">
        <v>273</v>
      </c>
      <c r="B97">
        <v>85</v>
      </c>
      <c r="C97" t="s">
        <v>274</v>
      </c>
      <c r="D97">
        <v>85</v>
      </c>
      <c r="E97">
        <v>0</v>
      </c>
      <c r="H97">
        <v>326.41000000000003</v>
      </c>
      <c r="I97">
        <v>6.3</v>
      </c>
      <c r="J97" s="2">
        <f t="shared" si="5"/>
        <v>6.4140819999999996</v>
      </c>
      <c r="K97">
        <v>2.06</v>
      </c>
      <c r="L97">
        <v>1.47</v>
      </c>
      <c r="M97">
        <v>0</v>
      </c>
      <c r="N97">
        <v>0</v>
      </c>
      <c r="O97">
        <v>1.7622</v>
      </c>
      <c r="P97" s="2">
        <f t="shared" si="6"/>
        <v>5.3654159999999997</v>
      </c>
      <c r="Q97" s="2">
        <f t="shared" si="7"/>
        <v>5.1239565599999999</v>
      </c>
      <c r="R97" s="2">
        <f t="shared" si="8"/>
        <v>6.5440680000000011</v>
      </c>
      <c r="S97" s="2">
        <f t="shared" si="9"/>
        <v>4.2015919999999998</v>
      </c>
    </row>
    <row r="98" spans="1:19" x14ac:dyDescent="0.25">
      <c r="A98" t="s">
        <v>275</v>
      </c>
      <c r="B98">
        <v>86</v>
      </c>
      <c r="C98" t="s">
        <v>276</v>
      </c>
      <c r="D98">
        <v>86</v>
      </c>
      <c r="E98">
        <v>0</v>
      </c>
      <c r="H98">
        <v>326.41000000000003</v>
      </c>
      <c r="I98">
        <v>6.23</v>
      </c>
      <c r="J98" s="2">
        <f t="shared" si="5"/>
        <v>6.4140819999999996</v>
      </c>
      <c r="K98">
        <v>2.06</v>
      </c>
      <c r="L98">
        <v>1.47</v>
      </c>
      <c r="M98">
        <v>0</v>
      </c>
      <c r="N98">
        <v>0</v>
      </c>
      <c r="O98">
        <v>1.7622</v>
      </c>
      <c r="P98" s="2">
        <f t="shared" si="6"/>
        <v>5.3654159999999997</v>
      </c>
      <c r="Q98" s="2">
        <f t="shared" si="7"/>
        <v>5.1239565599999999</v>
      </c>
      <c r="R98" s="2">
        <f t="shared" si="8"/>
        <v>6.5440680000000011</v>
      </c>
      <c r="S98" s="2">
        <f t="shared" si="9"/>
        <v>4.2015919999999998</v>
      </c>
    </row>
    <row r="99" spans="1:19" x14ac:dyDescent="0.25">
      <c r="A99" t="s">
        <v>277</v>
      </c>
      <c r="B99">
        <v>87</v>
      </c>
      <c r="C99" t="s">
        <v>278</v>
      </c>
      <c r="D99">
        <v>87</v>
      </c>
      <c r="E99">
        <v>0</v>
      </c>
      <c r="H99">
        <v>326.41000000000003</v>
      </c>
      <c r="I99">
        <v>6.29</v>
      </c>
      <c r="J99" s="2">
        <f t="shared" si="5"/>
        <v>6.4140819999999996</v>
      </c>
      <c r="K99">
        <v>2.06</v>
      </c>
      <c r="L99">
        <v>1.47</v>
      </c>
      <c r="M99">
        <v>0</v>
      </c>
      <c r="N99">
        <v>0</v>
      </c>
      <c r="O99">
        <v>1.7622</v>
      </c>
      <c r="P99" s="2">
        <f t="shared" si="6"/>
        <v>5.3654159999999997</v>
      </c>
      <c r="Q99" s="2">
        <f t="shared" si="7"/>
        <v>5.1239565599999999</v>
      </c>
      <c r="R99" s="2">
        <f t="shared" si="8"/>
        <v>6.5440680000000011</v>
      </c>
      <c r="S99" s="2">
        <f t="shared" si="9"/>
        <v>4.2015919999999998</v>
      </c>
    </row>
    <row r="100" spans="1:19" x14ac:dyDescent="0.25">
      <c r="A100" t="s">
        <v>279</v>
      </c>
      <c r="B100">
        <v>88</v>
      </c>
      <c r="C100" t="s">
        <v>280</v>
      </c>
      <c r="D100">
        <v>88</v>
      </c>
      <c r="E100">
        <v>0</v>
      </c>
      <c r="H100">
        <v>326.41000000000003</v>
      </c>
      <c r="I100">
        <v>6.07</v>
      </c>
      <c r="J100" s="2">
        <f t="shared" si="5"/>
        <v>6.2425930000000003</v>
      </c>
      <c r="K100">
        <v>2.12</v>
      </c>
      <c r="L100">
        <v>1.35</v>
      </c>
      <c r="M100">
        <v>0</v>
      </c>
      <c r="N100">
        <v>0</v>
      </c>
      <c r="O100">
        <v>1.6753</v>
      </c>
      <c r="P100" s="2">
        <f t="shared" si="6"/>
        <v>5.3196839999999996</v>
      </c>
      <c r="Q100" s="2">
        <f t="shared" si="7"/>
        <v>5.13543694</v>
      </c>
      <c r="R100" s="2">
        <f t="shared" si="8"/>
        <v>6.2994820000000002</v>
      </c>
      <c r="S100" s="2">
        <f t="shared" si="9"/>
        <v>4.0664579999999999</v>
      </c>
    </row>
    <row r="101" spans="1:19" x14ac:dyDescent="0.25">
      <c r="A101" t="s">
        <v>281</v>
      </c>
      <c r="B101">
        <v>89</v>
      </c>
      <c r="C101" t="s">
        <v>282</v>
      </c>
      <c r="D101">
        <v>89</v>
      </c>
      <c r="E101">
        <v>0</v>
      </c>
      <c r="H101">
        <v>326.41000000000003</v>
      </c>
      <c r="I101">
        <v>6.07</v>
      </c>
      <c r="J101" s="2">
        <f t="shared" si="5"/>
        <v>6.2425930000000003</v>
      </c>
      <c r="K101">
        <v>2.12</v>
      </c>
      <c r="L101">
        <v>1.35</v>
      </c>
      <c r="M101">
        <v>0</v>
      </c>
      <c r="N101">
        <v>0</v>
      </c>
      <c r="O101">
        <v>1.6753</v>
      </c>
      <c r="P101" s="2">
        <f t="shared" si="6"/>
        <v>5.3196839999999996</v>
      </c>
      <c r="Q101" s="2">
        <f t="shared" si="7"/>
        <v>5.13543694</v>
      </c>
      <c r="R101" s="2">
        <f t="shared" si="8"/>
        <v>6.2994820000000002</v>
      </c>
      <c r="S101" s="2">
        <f t="shared" si="9"/>
        <v>4.0664579999999999</v>
      </c>
    </row>
    <row r="102" spans="1:19" x14ac:dyDescent="0.25">
      <c r="A102" t="s">
        <v>283</v>
      </c>
      <c r="B102">
        <v>90</v>
      </c>
      <c r="C102" t="s">
        <v>284</v>
      </c>
      <c r="D102">
        <v>90</v>
      </c>
      <c r="E102">
        <v>0</v>
      </c>
      <c r="H102">
        <v>326.41000000000003</v>
      </c>
      <c r="I102">
        <v>6.36</v>
      </c>
      <c r="J102" s="2">
        <f t="shared" si="5"/>
        <v>6.4140819999999996</v>
      </c>
      <c r="K102">
        <v>2.06</v>
      </c>
      <c r="L102">
        <v>1.47</v>
      </c>
      <c r="M102">
        <v>0</v>
      </c>
      <c r="N102">
        <v>0</v>
      </c>
      <c r="O102">
        <v>1.7622</v>
      </c>
      <c r="P102" s="2">
        <f t="shared" si="6"/>
        <v>5.3654159999999997</v>
      </c>
      <c r="Q102" s="2">
        <f t="shared" si="7"/>
        <v>5.1239565599999999</v>
      </c>
      <c r="R102" s="2">
        <f t="shared" si="8"/>
        <v>6.5440680000000011</v>
      </c>
      <c r="S102" s="2">
        <f t="shared" si="9"/>
        <v>4.2015919999999998</v>
      </c>
    </row>
    <row r="103" spans="1:19" x14ac:dyDescent="0.25">
      <c r="A103" t="s">
        <v>285</v>
      </c>
      <c r="B103" t="s">
        <v>286</v>
      </c>
      <c r="D103" t="s">
        <v>286</v>
      </c>
      <c r="H103">
        <v>326.41000000000003</v>
      </c>
      <c r="I103">
        <v>6.37</v>
      </c>
      <c r="J103" s="2">
        <f t="shared" si="5"/>
        <v>6.4140819999999996</v>
      </c>
      <c r="K103">
        <v>2.06</v>
      </c>
      <c r="L103">
        <v>1.47</v>
      </c>
      <c r="M103">
        <v>0</v>
      </c>
      <c r="N103">
        <v>0</v>
      </c>
      <c r="O103">
        <v>1.7622</v>
      </c>
      <c r="P103" s="2">
        <f t="shared" si="6"/>
        <v>5.3654159999999997</v>
      </c>
      <c r="Q103" s="2">
        <f t="shared" si="7"/>
        <v>5.1239565599999999</v>
      </c>
      <c r="R103" s="2">
        <f t="shared" si="8"/>
        <v>6.5440680000000011</v>
      </c>
      <c r="S103" s="2">
        <f t="shared" si="9"/>
        <v>4.2015919999999998</v>
      </c>
    </row>
    <row r="104" spans="1:19" x14ac:dyDescent="0.25">
      <c r="A104" t="s">
        <v>287</v>
      </c>
      <c r="B104">
        <v>91</v>
      </c>
      <c r="C104" t="s">
        <v>288</v>
      </c>
      <c r="D104">
        <v>91</v>
      </c>
      <c r="E104">
        <v>0</v>
      </c>
      <c r="H104">
        <v>326.41000000000003</v>
      </c>
      <c r="I104">
        <v>6.13</v>
      </c>
      <c r="J104" s="2">
        <f t="shared" si="5"/>
        <v>6.2425930000000003</v>
      </c>
      <c r="K104">
        <v>2.12</v>
      </c>
      <c r="L104">
        <v>1.35</v>
      </c>
      <c r="M104">
        <v>0</v>
      </c>
      <c r="N104">
        <v>0</v>
      </c>
      <c r="O104">
        <v>1.6753</v>
      </c>
      <c r="P104" s="2">
        <f t="shared" si="6"/>
        <v>5.3196839999999996</v>
      </c>
      <c r="Q104" s="2">
        <f t="shared" si="7"/>
        <v>5.13543694</v>
      </c>
      <c r="R104" s="2">
        <f t="shared" si="8"/>
        <v>6.2994820000000002</v>
      </c>
      <c r="S104" s="2">
        <f t="shared" si="9"/>
        <v>4.0664579999999999</v>
      </c>
    </row>
    <row r="105" spans="1:19" x14ac:dyDescent="0.25">
      <c r="A105" t="s">
        <v>289</v>
      </c>
      <c r="B105">
        <v>92</v>
      </c>
      <c r="C105" t="s">
        <v>290</v>
      </c>
      <c r="D105">
        <v>92</v>
      </c>
      <c r="E105">
        <v>0</v>
      </c>
      <c r="H105">
        <v>326.41000000000003</v>
      </c>
      <c r="I105">
        <v>6.35</v>
      </c>
      <c r="J105" s="2">
        <f t="shared" si="5"/>
        <v>6.4140819999999996</v>
      </c>
      <c r="K105">
        <v>2.06</v>
      </c>
      <c r="L105">
        <v>1.47</v>
      </c>
      <c r="M105">
        <v>0</v>
      </c>
      <c r="N105">
        <v>0</v>
      </c>
      <c r="O105">
        <v>1.7622</v>
      </c>
      <c r="P105" s="2">
        <f t="shared" si="6"/>
        <v>5.3654159999999997</v>
      </c>
      <c r="Q105" s="2">
        <f t="shared" si="7"/>
        <v>5.1239565599999999</v>
      </c>
      <c r="R105" s="2">
        <f t="shared" si="8"/>
        <v>6.5440680000000011</v>
      </c>
      <c r="S105" s="2">
        <f t="shared" si="9"/>
        <v>4.2015919999999998</v>
      </c>
    </row>
    <row r="106" spans="1:19" x14ac:dyDescent="0.25">
      <c r="A106" t="s">
        <v>291</v>
      </c>
      <c r="B106">
        <v>93</v>
      </c>
      <c r="C106" t="s">
        <v>292</v>
      </c>
      <c r="D106">
        <v>93</v>
      </c>
      <c r="E106">
        <v>0</v>
      </c>
      <c r="H106">
        <v>326.41000000000003</v>
      </c>
      <c r="I106">
        <v>6.04</v>
      </c>
      <c r="J106" s="2">
        <f t="shared" si="5"/>
        <v>6.2425930000000003</v>
      </c>
      <c r="K106">
        <v>2.12</v>
      </c>
      <c r="L106">
        <v>1.35</v>
      </c>
      <c r="M106">
        <v>0</v>
      </c>
      <c r="N106">
        <v>0</v>
      </c>
      <c r="O106">
        <v>1.6753</v>
      </c>
      <c r="P106" s="2">
        <f t="shared" si="6"/>
        <v>5.3196839999999996</v>
      </c>
      <c r="Q106" s="2">
        <f t="shared" si="7"/>
        <v>5.13543694</v>
      </c>
      <c r="R106" s="2">
        <f t="shared" si="8"/>
        <v>6.2994820000000002</v>
      </c>
      <c r="S106" s="2">
        <f t="shared" si="9"/>
        <v>4.0664579999999999</v>
      </c>
    </row>
    <row r="107" spans="1:19" x14ac:dyDescent="0.25">
      <c r="A107" t="s">
        <v>293</v>
      </c>
      <c r="B107">
        <v>94</v>
      </c>
      <c r="C107" t="s">
        <v>294</v>
      </c>
      <c r="D107">
        <v>94</v>
      </c>
      <c r="E107">
        <v>0</v>
      </c>
      <c r="H107">
        <v>326.41000000000003</v>
      </c>
      <c r="I107">
        <v>6.13</v>
      </c>
      <c r="J107" s="2">
        <f t="shared" si="5"/>
        <v>6.2425930000000003</v>
      </c>
      <c r="K107">
        <v>2.12</v>
      </c>
      <c r="L107">
        <v>1.35</v>
      </c>
      <c r="M107">
        <v>0</v>
      </c>
      <c r="N107">
        <v>0</v>
      </c>
      <c r="O107">
        <v>1.6753</v>
      </c>
      <c r="P107" s="2">
        <f t="shared" si="6"/>
        <v>5.3196839999999996</v>
      </c>
      <c r="Q107" s="2">
        <f t="shared" si="7"/>
        <v>5.13543694</v>
      </c>
      <c r="R107" s="2">
        <f t="shared" si="8"/>
        <v>6.2994820000000002</v>
      </c>
      <c r="S107" s="2">
        <f t="shared" si="9"/>
        <v>4.0664579999999999</v>
      </c>
    </row>
    <row r="108" spans="1:19" x14ac:dyDescent="0.25">
      <c r="A108" t="s">
        <v>295</v>
      </c>
      <c r="B108">
        <v>95</v>
      </c>
      <c r="C108" t="s">
        <v>296</v>
      </c>
      <c r="D108">
        <v>95</v>
      </c>
      <c r="E108">
        <v>0</v>
      </c>
      <c r="H108">
        <v>326.41000000000003</v>
      </c>
      <c r="I108">
        <v>6.13</v>
      </c>
      <c r="J108" s="2">
        <f t="shared" si="5"/>
        <v>6.2425930000000003</v>
      </c>
      <c r="K108">
        <v>2.12</v>
      </c>
      <c r="L108">
        <v>1.35</v>
      </c>
      <c r="M108">
        <v>0</v>
      </c>
      <c r="N108">
        <v>0</v>
      </c>
      <c r="O108">
        <v>1.6753</v>
      </c>
      <c r="P108" s="2">
        <f t="shared" si="6"/>
        <v>5.3196839999999996</v>
      </c>
      <c r="Q108" s="2">
        <f t="shared" si="7"/>
        <v>5.13543694</v>
      </c>
      <c r="R108" s="2">
        <f t="shared" si="8"/>
        <v>6.2994820000000002</v>
      </c>
      <c r="S108" s="2">
        <f t="shared" si="9"/>
        <v>4.0664579999999999</v>
      </c>
    </row>
    <row r="109" spans="1:19" x14ac:dyDescent="0.25">
      <c r="A109" t="s">
        <v>297</v>
      </c>
      <c r="B109">
        <v>96</v>
      </c>
      <c r="C109" t="s">
        <v>298</v>
      </c>
      <c r="D109">
        <v>96</v>
      </c>
      <c r="E109">
        <v>0</v>
      </c>
      <c r="H109">
        <v>326.41000000000003</v>
      </c>
      <c r="I109">
        <v>5.71</v>
      </c>
      <c r="J109" s="2">
        <f t="shared" si="5"/>
        <v>6.0592040000000011</v>
      </c>
      <c r="K109">
        <v>2.14</v>
      </c>
      <c r="L109">
        <v>1.22</v>
      </c>
      <c r="M109">
        <v>0</v>
      </c>
      <c r="N109">
        <v>0</v>
      </c>
      <c r="O109">
        <v>1.5884</v>
      </c>
      <c r="P109" s="2">
        <f t="shared" si="6"/>
        <v>5.237152</v>
      </c>
      <c r="Q109" s="2">
        <f t="shared" si="7"/>
        <v>5.1169843200000003</v>
      </c>
      <c r="R109" s="2">
        <f t="shared" si="8"/>
        <v>6.0364959999999996</v>
      </c>
      <c r="S109" s="2">
        <f t="shared" si="9"/>
        <v>3.9124239999999997</v>
      </c>
    </row>
    <row r="110" spans="1:19" x14ac:dyDescent="0.25">
      <c r="A110" t="s">
        <v>299</v>
      </c>
      <c r="B110">
        <v>97</v>
      </c>
      <c r="C110" t="s">
        <v>300</v>
      </c>
      <c r="D110">
        <v>97</v>
      </c>
      <c r="E110">
        <v>0</v>
      </c>
      <c r="H110">
        <v>326.41000000000003</v>
      </c>
      <c r="I110">
        <v>6.29</v>
      </c>
      <c r="J110" s="2">
        <f t="shared" si="5"/>
        <v>6.4140819999999996</v>
      </c>
      <c r="K110">
        <v>2.06</v>
      </c>
      <c r="L110">
        <v>1.47</v>
      </c>
      <c r="M110">
        <v>0</v>
      </c>
      <c r="N110">
        <v>0</v>
      </c>
      <c r="O110">
        <v>1.7622</v>
      </c>
      <c r="P110" s="2">
        <f t="shared" si="6"/>
        <v>5.3654159999999997</v>
      </c>
      <c r="Q110" s="2">
        <f t="shared" si="7"/>
        <v>5.1239565599999999</v>
      </c>
      <c r="R110" s="2">
        <f t="shared" si="8"/>
        <v>6.5440680000000011</v>
      </c>
      <c r="S110" s="2">
        <f t="shared" si="9"/>
        <v>4.2015919999999998</v>
      </c>
    </row>
    <row r="111" spans="1:19" x14ac:dyDescent="0.25">
      <c r="A111" t="s">
        <v>301</v>
      </c>
      <c r="B111">
        <v>98</v>
      </c>
      <c r="C111" t="s">
        <v>302</v>
      </c>
      <c r="D111">
        <v>98</v>
      </c>
      <c r="E111">
        <v>0</v>
      </c>
      <c r="H111">
        <v>326.41000000000003</v>
      </c>
      <c r="I111">
        <v>6.13</v>
      </c>
      <c r="J111" s="2">
        <f t="shared" si="5"/>
        <v>6.2425930000000003</v>
      </c>
      <c r="K111">
        <v>2.12</v>
      </c>
      <c r="L111">
        <v>1.35</v>
      </c>
      <c r="M111">
        <v>0</v>
      </c>
      <c r="N111">
        <v>0</v>
      </c>
      <c r="O111">
        <v>1.6753</v>
      </c>
      <c r="P111" s="2">
        <f t="shared" si="6"/>
        <v>5.3196839999999996</v>
      </c>
      <c r="Q111" s="2">
        <f t="shared" si="7"/>
        <v>5.13543694</v>
      </c>
      <c r="R111" s="2">
        <f t="shared" si="8"/>
        <v>6.2994820000000002</v>
      </c>
      <c r="S111" s="2">
        <f t="shared" si="9"/>
        <v>4.0664579999999999</v>
      </c>
    </row>
    <row r="112" spans="1:19" x14ac:dyDescent="0.25">
      <c r="A112" t="s">
        <v>303</v>
      </c>
      <c r="B112">
        <v>99</v>
      </c>
      <c r="C112" t="s">
        <v>304</v>
      </c>
      <c r="D112">
        <v>99</v>
      </c>
      <c r="E112">
        <v>0</v>
      </c>
      <c r="H112">
        <v>326.41000000000003</v>
      </c>
      <c r="I112">
        <v>6.39</v>
      </c>
      <c r="J112" s="2">
        <f t="shared" si="5"/>
        <v>6.4140819999999996</v>
      </c>
      <c r="K112">
        <v>2.06</v>
      </c>
      <c r="L112">
        <v>1.47</v>
      </c>
      <c r="M112">
        <v>0</v>
      </c>
      <c r="N112">
        <v>0</v>
      </c>
      <c r="O112">
        <v>1.7622</v>
      </c>
      <c r="P112" s="2">
        <f t="shared" si="6"/>
        <v>5.3654159999999997</v>
      </c>
      <c r="Q112" s="2">
        <f t="shared" si="7"/>
        <v>5.1239565599999999</v>
      </c>
      <c r="R112" s="2">
        <f t="shared" si="8"/>
        <v>6.5440680000000011</v>
      </c>
      <c r="S112" s="2">
        <f t="shared" si="9"/>
        <v>4.2015919999999998</v>
      </c>
    </row>
    <row r="113" spans="1:19" x14ac:dyDescent="0.25">
      <c r="A113" t="s">
        <v>305</v>
      </c>
      <c r="B113">
        <v>100</v>
      </c>
      <c r="C113" t="s">
        <v>306</v>
      </c>
      <c r="D113">
        <v>100</v>
      </c>
      <c r="E113">
        <v>0</v>
      </c>
      <c r="H113">
        <v>326.41000000000003</v>
      </c>
      <c r="I113">
        <v>6.23</v>
      </c>
      <c r="J113" s="2">
        <f t="shared" si="5"/>
        <v>6.2425930000000003</v>
      </c>
      <c r="K113">
        <v>2.12</v>
      </c>
      <c r="L113">
        <v>1.35</v>
      </c>
      <c r="M113">
        <v>0</v>
      </c>
      <c r="N113">
        <v>0</v>
      </c>
      <c r="O113">
        <v>1.6753</v>
      </c>
      <c r="P113" s="2">
        <f t="shared" si="6"/>
        <v>5.3196839999999996</v>
      </c>
      <c r="Q113" s="2">
        <f t="shared" si="7"/>
        <v>5.13543694</v>
      </c>
      <c r="R113" s="2">
        <f t="shared" si="8"/>
        <v>6.2994820000000002</v>
      </c>
      <c r="S113" s="2">
        <f t="shared" si="9"/>
        <v>4.0664579999999999</v>
      </c>
    </row>
    <row r="114" spans="1:19" x14ac:dyDescent="0.25">
      <c r="A114" t="s">
        <v>307</v>
      </c>
      <c r="B114">
        <v>101</v>
      </c>
      <c r="C114" t="s">
        <v>308</v>
      </c>
      <c r="D114">
        <v>101</v>
      </c>
      <c r="E114">
        <v>0</v>
      </c>
      <c r="H114">
        <v>326.41000000000003</v>
      </c>
      <c r="I114">
        <v>6.38</v>
      </c>
      <c r="J114" s="2">
        <f t="shared" si="5"/>
        <v>6.4140819999999996</v>
      </c>
      <c r="K114">
        <v>2.06</v>
      </c>
      <c r="L114">
        <v>1.47</v>
      </c>
      <c r="M114">
        <v>0</v>
      </c>
      <c r="N114">
        <v>0</v>
      </c>
      <c r="O114">
        <v>1.7622</v>
      </c>
      <c r="P114" s="2">
        <f t="shared" si="6"/>
        <v>5.3654159999999997</v>
      </c>
      <c r="Q114" s="2">
        <f t="shared" si="7"/>
        <v>5.1239565599999999</v>
      </c>
      <c r="R114" s="2">
        <f t="shared" si="8"/>
        <v>6.5440680000000011</v>
      </c>
      <c r="S114" s="2">
        <f t="shared" si="9"/>
        <v>4.2015919999999998</v>
      </c>
    </row>
    <row r="115" spans="1:19" x14ac:dyDescent="0.25">
      <c r="A115" t="s">
        <v>309</v>
      </c>
      <c r="B115">
        <v>102</v>
      </c>
      <c r="C115" t="s">
        <v>310</v>
      </c>
      <c r="D115">
        <v>102</v>
      </c>
      <c r="E115">
        <v>0</v>
      </c>
      <c r="H115">
        <v>326.41000000000003</v>
      </c>
      <c r="I115">
        <v>6.16</v>
      </c>
      <c r="J115" s="2">
        <f t="shared" si="5"/>
        <v>6.2425930000000003</v>
      </c>
      <c r="K115">
        <v>2.12</v>
      </c>
      <c r="L115">
        <v>1.35</v>
      </c>
      <c r="M115">
        <v>0</v>
      </c>
      <c r="N115">
        <v>0</v>
      </c>
      <c r="O115">
        <v>1.6753</v>
      </c>
      <c r="P115" s="2">
        <f t="shared" si="6"/>
        <v>5.3196839999999996</v>
      </c>
      <c r="Q115" s="2">
        <f t="shared" si="7"/>
        <v>5.13543694</v>
      </c>
      <c r="R115" s="2">
        <f t="shared" si="8"/>
        <v>6.2994820000000002</v>
      </c>
      <c r="S115" s="2">
        <f t="shared" si="9"/>
        <v>4.0664579999999999</v>
      </c>
    </row>
    <row r="116" spans="1:19" x14ac:dyDescent="0.25">
      <c r="A116" t="s">
        <v>311</v>
      </c>
      <c r="B116">
        <v>103</v>
      </c>
      <c r="C116" t="s">
        <v>312</v>
      </c>
      <c r="D116">
        <v>103</v>
      </c>
      <c r="E116">
        <v>0</v>
      </c>
      <c r="H116">
        <v>326.41000000000003</v>
      </c>
      <c r="I116">
        <v>6.22</v>
      </c>
      <c r="J116" s="2">
        <f t="shared" si="5"/>
        <v>6.2425930000000003</v>
      </c>
      <c r="K116">
        <v>2.12</v>
      </c>
      <c r="L116">
        <v>1.35</v>
      </c>
      <c r="M116">
        <v>0</v>
      </c>
      <c r="N116">
        <v>0</v>
      </c>
      <c r="O116">
        <v>1.6753</v>
      </c>
      <c r="P116" s="2">
        <f t="shared" si="6"/>
        <v>5.3196839999999996</v>
      </c>
      <c r="Q116" s="2">
        <f t="shared" si="7"/>
        <v>5.13543694</v>
      </c>
      <c r="R116" s="2">
        <f t="shared" si="8"/>
        <v>6.2994820000000002</v>
      </c>
      <c r="S116" s="2">
        <f t="shared" si="9"/>
        <v>4.0664579999999999</v>
      </c>
    </row>
    <row r="117" spans="1:19" x14ac:dyDescent="0.25">
      <c r="A117" t="s">
        <v>313</v>
      </c>
      <c r="B117">
        <v>104</v>
      </c>
      <c r="C117" t="s">
        <v>314</v>
      </c>
      <c r="D117">
        <v>104</v>
      </c>
      <c r="E117">
        <v>0</v>
      </c>
      <c r="H117">
        <v>326.41000000000003</v>
      </c>
      <c r="I117">
        <v>5.81</v>
      </c>
      <c r="J117" s="2">
        <f t="shared" si="5"/>
        <v>6.4354219999999991</v>
      </c>
      <c r="K117">
        <v>1.98</v>
      </c>
      <c r="L117">
        <v>1.61</v>
      </c>
      <c r="M117">
        <v>0</v>
      </c>
      <c r="N117">
        <v>0.13</v>
      </c>
      <c r="O117">
        <v>1.9361999999999999</v>
      </c>
      <c r="P117" s="2">
        <f t="shared" si="6"/>
        <v>5.3159359999999989</v>
      </c>
      <c r="Q117" s="2">
        <f t="shared" si="7"/>
        <v>4.9360637599999997</v>
      </c>
      <c r="R117" s="2">
        <f t="shared" si="8"/>
        <v>6.6676280000000006</v>
      </c>
      <c r="S117" s="2">
        <f t="shared" si="9"/>
        <v>4.238232</v>
      </c>
    </row>
    <row r="118" spans="1:19" x14ac:dyDescent="0.25">
      <c r="A118" t="s">
        <v>315</v>
      </c>
      <c r="B118">
        <v>105</v>
      </c>
      <c r="C118" t="s">
        <v>316</v>
      </c>
      <c r="D118">
        <v>105</v>
      </c>
      <c r="E118">
        <v>0</v>
      </c>
      <c r="F118">
        <v>3.0000000000000001E-5</v>
      </c>
      <c r="G118">
        <v>2.7999999999999998E-4</v>
      </c>
      <c r="H118">
        <v>326.41000000000003</v>
      </c>
      <c r="I118">
        <v>6.65</v>
      </c>
      <c r="J118" s="2">
        <f t="shared" si="5"/>
        <v>6.5071709999999996</v>
      </c>
      <c r="K118">
        <v>2.0099999999999998</v>
      </c>
      <c r="L118">
        <v>1.67</v>
      </c>
      <c r="M118">
        <v>0</v>
      </c>
      <c r="N118">
        <v>0</v>
      </c>
      <c r="O118">
        <v>1.8491</v>
      </c>
      <c r="P118" s="2">
        <f t="shared" si="6"/>
        <v>5.3645479999999983</v>
      </c>
      <c r="Q118" s="2">
        <f t="shared" si="7"/>
        <v>5.0748001800000004</v>
      </c>
      <c r="R118" s="2">
        <f t="shared" si="8"/>
        <v>6.7529539999999999</v>
      </c>
      <c r="S118" s="2">
        <f t="shared" si="9"/>
        <v>4.2926259999999994</v>
      </c>
    </row>
    <row r="119" spans="1:19" x14ac:dyDescent="0.25">
      <c r="A119" t="s">
        <v>317</v>
      </c>
      <c r="B119">
        <v>106</v>
      </c>
      <c r="C119" t="s">
        <v>318</v>
      </c>
      <c r="D119">
        <v>106</v>
      </c>
      <c r="E119">
        <v>0</v>
      </c>
      <c r="H119">
        <v>326.41000000000003</v>
      </c>
      <c r="I119">
        <v>6.64</v>
      </c>
      <c r="J119" s="2">
        <f t="shared" si="5"/>
        <v>6.5071709999999996</v>
      </c>
      <c r="K119">
        <v>2.0099999999999998</v>
      </c>
      <c r="L119">
        <v>1.67</v>
      </c>
      <c r="M119">
        <v>0</v>
      </c>
      <c r="N119">
        <v>0</v>
      </c>
      <c r="O119">
        <v>1.8491</v>
      </c>
      <c r="P119" s="2">
        <f t="shared" si="6"/>
        <v>5.3645479999999983</v>
      </c>
      <c r="Q119" s="2">
        <f t="shared" si="7"/>
        <v>5.0748001800000004</v>
      </c>
      <c r="R119" s="2">
        <f t="shared" si="8"/>
        <v>6.7529539999999999</v>
      </c>
      <c r="S119" s="2">
        <f t="shared" si="9"/>
        <v>4.2926259999999994</v>
      </c>
    </row>
    <row r="120" spans="1:19" x14ac:dyDescent="0.25">
      <c r="A120" t="s">
        <v>319</v>
      </c>
      <c r="B120">
        <v>107</v>
      </c>
      <c r="C120" t="s">
        <v>320</v>
      </c>
      <c r="D120">
        <v>107</v>
      </c>
      <c r="E120">
        <v>0</v>
      </c>
      <c r="H120">
        <v>326.41000000000003</v>
      </c>
      <c r="I120">
        <v>6.71</v>
      </c>
      <c r="J120" s="2">
        <f t="shared" si="5"/>
        <v>6.5071709999999996</v>
      </c>
      <c r="K120">
        <v>2.0099999999999998</v>
      </c>
      <c r="L120">
        <v>1.67</v>
      </c>
      <c r="M120">
        <v>0</v>
      </c>
      <c r="N120">
        <v>0</v>
      </c>
      <c r="O120">
        <v>1.8491</v>
      </c>
      <c r="P120" s="2">
        <f t="shared" si="6"/>
        <v>5.3645479999999983</v>
      </c>
      <c r="Q120" s="2">
        <f t="shared" si="7"/>
        <v>5.0748001800000004</v>
      </c>
      <c r="R120" s="2">
        <f t="shared" si="8"/>
        <v>6.7529539999999999</v>
      </c>
      <c r="S120" s="2">
        <f t="shared" si="9"/>
        <v>4.2926259999999994</v>
      </c>
    </row>
    <row r="121" spans="1:19" x14ac:dyDescent="0.25">
      <c r="A121" t="s">
        <v>321</v>
      </c>
      <c r="B121">
        <v>108</v>
      </c>
      <c r="C121" t="s">
        <v>322</v>
      </c>
      <c r="D121">
        <v>108</v>
      </c>
      <c r="E121">
        <v>0</v>
      </c>
      <c r="H121">
        <v>326.41000000000003</v>
      </c>
      <c r="I121">
        <v>6.71</v>
      </c>
      <c r="J121" s="2">
        <f t="shared" si="5"/>
        <v>6.5071709999999996</v>
      </c>
      <c r="K121">
        <v>2.0099999999999998</v>
      </c>
      <c r="L121">
        <v>1.67</v>
      </c>
      <c r="M121">
        <v>0</v>
      </c>
      <c r="N121">
        <v>0</v>
      </c>
      <c r="O121">
        <v>1.8491</v>
      </c>
      <c r="P121" s="2">
        <f t="shared" si="6"/>
        <v>5.3645479999999983</v>
      </c>
      <c r="Q121" s="2">
        <f t="shared" si="7"/>
        <v>5.0748001800000004</v>
      </c>
      <c r="R121" s="2">
        <f t="shared" si="8"/>
        <v>6.7529539999999999</v>
      </c>
      <c r="S121" s="2">
        <f t="shared" si="9"/>
        <v>4.2926259999999994</v>
      </c>
    </row>
    <row r="122" spans="1:19" x14ac:dyDescent="0.25">
      <c r="A122" t="s">
        <v>323</v>
      </c>
      <c r="B122">
        <v>109</v>
      </c>
      <c r="C122" t="s">
        <v>324</v>
      </c>
      <c r="D122">
        <v>109</v>
      </c>
      <c r="E122">
        <v>0</v>
      </c>
      <c r="H122">
        <v>326.41000000000003</v>
      </c>
      <c r="I122">
        <v>6.48</v>
      </c>
      <c r="J122" s="2">
        <f t="shared" si="5"/>
        <v>6.4140819999999996</v>
      </c>
      <c r="K122">
        <v>2.06</v>
      </c>
      <c r="L122">
        <v>1.47</v>
      </c>
      <c r="M122">
        <v>0</v>
      </c>
      <c r="N122">
        <v>0</v>
      </c>
      <c r="O122">
        <v>1.7622</v>
      </c>
      <c r="P122" s="2">
        <f t="shared" si="6"/>
        <v>5.3654159999999997</v>
      </c>
      <c r="Q122" s="2">
        <f t="shared" si="7"/>
        <v>5.1239565599999999</v>
      </c>
      <c r="R122" s="2">
        <f t="shared" si="8"/>
        <v>6.5440680000000011</v>
      </c>
      <c r="S122" s="2">
        <f t="shared" si="9"/>
        <v>4.2015919999999998</v>
      </c>
    </row>
    <row r="123" spans="1:19" x14ac:dyDescent="0.25">
      <c r="A123" t="s">
        <v>325</v>
      </c>
      <c r="B123">
        <v>110</v>
      </c>
      <c r="C123" t="s">
        <v>326</v>
      </c>
      <c r="D123">
        <v>110</v>
      </c>
      <c r="E123">
        <v>0</v>
      </c>
      <c r="H123">
        <v>326.41000000000003</v>
      </c>
      <c r="I123">
        <v>6.48</v>
      </c>
      <c r="J123" s="2">
        <f t="shared" si="5"/>
        <v>6.4140819999999996</v>
      </c>
      <c r="K123">
        <v>2.06</v>
      </c>
      <c r="L123">
        <v>1.47</v>
      </c>
      <c r="M123">
        <v>0</v>
      </c>
      <c r="N123">
        <v>0</v>
      </c>
      <c r="O123">
        <v>1.7622</v>
      </c>
      <c r="P123" s="2">
        <f t="shared" si="6"/>
        <v>5.3654159999999997</v>
      </c>
      <c r="Q123" s="2">
        <f t="shared" si="7"/>
        <v>5.1239565599999999</v>
      </c>
      <c r="R123" s="2">
        <f t="shared" si="8"/>
        <v>6.5440680000000011</v>
      </c>
      <c r="S123" s="2">
        <f t="shared" si="9"/>
        <v>4.2015919999999998</v>
      </c>
    </row>
    <row r="124" spans="1:19" x14ac:dyDescent="0.25">
      <c r="A124" t="s">
        <v>327</v>
      </c>
      <c r="B124">
        <v>111</v>
      </c>
      <c r="C124" t="s">
        <v>328</v>
      </c>
      <c r="D124">
        <v>111</v>
      </c>
      <c r="E124">
        <v>0</v>
      </c>
      <c r="H124">
        <v>326.41000000000003</v>
      </c>
      <c r="I124">
        <v>6.76</v>
      </c>
      <c r="J124" s="2">
        <f t="shared" si="5"/>
        <v>6.5071709999999996</v>
      </c>
      <c r="K124">
        <v>2.0099999999999998</v>
      </c>
      <c r="L124">
        <v>1.67</v>
      </c>
      <c r="M124">
        <v>0</v>
      </c>
      <c r="N124">
        <v>0</v>
      </c>
      <c r="O124">
        <v>1.8491</v>
      </c>
      <c r="P124" s="2">
        <f t="shared" si="6"/>
        <v>5.3645479999999983</v>
      </c>
      <c r="Q124" s="2">
        <f t="shared" si="7"/>
        <v>5.0748001800000004</v>
      </c>
      <c r="R124" s="2">
        <f t="shared" si="8"/>
        <v>6.7529539999999999</v>
      </c>
      <c r="S124" s="2">
        <f t="shared" si="9"/>
        <v>4.2926259999999994</v>
      </c>
    </row>
    <row r="125" spans="1:19" x14ac:dyDescent="0.25">
      <c r="A125" t="s">
        <v>329</v>
      </c>
      <c r="B125">
        <v>112</v>
      </c>
      <c r="C125" t="s">
        <v>330</v>
      </c>
      <c r="D125">
        <v>112</v>
      </c>
      <c r="E125">
        <v>0</v>
      </c>
      <c r="H125">
        <v>326.41000000000003</v>
      </c>
      <c r="I125">
        <v>6.45</v>
      </c>
      <c r="J125" s="2">
        <f t="shared" si="5"/>
        <v>6.4140819999999996</v>
      </c>
      <c r="K125">
        <v>2.06</v>
      </c>
      <c r="L125">
        <v>1.47</v>
      </c>
      <c r="M125">
        <v>0</v>
      </c>
      <c r="N125">
        <v>0</v>
      </c>
      <c r="O125">
        <v>1.7622</v>
      </c>
      <c r="P125" s="2">
        <f t="shared" si="6"/>
        <v>5.3654159999999997</v>
      </c>
      <c r="Q125" s="2">
        <f t="shared" si="7"/>
        <v>5.1239565599999999</v>
      </c>
      <c r="R125" s="2">
        <f t="shared" si="8"/>
        <v>6.5440680000000011</v>
      </c>
      <c r="S125" s="2">
        <f t="shared" si="9"/>
        <v>4.2015919999999998</v>
      </c>
    </row>
    <row r="126" spans="1:19" x14ac:dyDescent="0.25">
      <c r="A126" t="s">
        <v>331</v>
      </c>
      <c r="B126">
        <v>113</v>
      </c>
      <c r="C126" t="s">
        <v>332</v>
      </c>
      <c r="D126">
        <v>113</v>
      </c>
      <c r="E126">
        <v>0</v>
      </c>
      <c r="H126">
        <v>326.41000000000003</v>
      </c>
      <c r="I126">
        <v>6.54</v>
      </c>
      <c r="J126" s="2">
        <f t="shared" si="5"/>
        <v>6.4140819999999996</v>
      </c>
      <c r="K126">
        <v>2.06</v>
      </c>
      <c r="L126">
        <v>1.47</v>
      </c>
      <c r="M126">
        <v>0</v>
      </c>
      <c r="N126">
        <v>0</v>
      </c>
      <c r="O126">
        <v>1.7622</v>
      </c>
      <c r="P126" s="2">
        <f t="shared" si="6"/>
        <v>5.3654159999999997</v>
      </c>
      <c r="Q126" s="2">
        <f t="shared" si="7"/>
        <v>5.1239565599999999</v>
      </c>
      <c r="R126" s="2">
        <f t="shared" si="8"/>
        <v>6.5440680000000011</v>
      </c>
      <c r="S126" s="2">
        <f t="shared" si="9"/>
        <v>4.2015919999999998</v>
      </c>
    </row>
    <row r="127" spans="1:19" x14ac:dyDescent="0.25">
      <c r="A127" t="s">
        <v>333</v>
      </c>
      <c r="B127">
        <v>114</v>
      </c>
      <c r="C127" t="s">
        <v>334</v>
      </c>
      <c r="D127">
        <v>114</v>
      </c>
      <c r="E127">
        <v>0</v>
      </c>
      <c r="F127">
        <v>3.0000000000000001E-5</v>
      </c>
      <c r="G127">
        <v>5.8899999999999994E-2</v>
      </c>
      <c r="H127">
        <v>326.41000000000003</v>
      </c>
      <c r="I127">
        <v>6.65</v>
      </c>
      <c r="J127" s="2">
        <f t="shared" si="5"/>
        <v>6.5071709999999996</v>
      </c>
      <c r="K127">
        <v>2.0099999999999998</v>
      </c>
      <c r="L127">
        <v>1.67</v>
      </c>
      <c r="M127">
        <v>0</v>
      </c>
      <c r="N127">
        <v>0</v>
      </c>
      <c r="O127">
        <v>1.8491</v>
      </c>
      <c r="P127" s="2">
        <f t="shared" si="6"/>
        <v>5.3645479999999983</v>
      </c>
      <c r="Q127" s="2">
        <f t="shared" si="7"/>
        <v>5.0748001800000004</v>
      </c>
      <c r="R127" s="2">
        <f t="shared" si="8"/>
        <v>6.7529539999999999</v>
      </c>
      <c r="S127" s="2">
        <f t="shared" si="9"/>
        <v>4.2926259999999994</v>
      </c>
    </row>
    <row r="128" spans="1:19" x14ac:dyDescent="0.25">
      <c r="A128" t="s">
        <v>335</v>
      </c>
      <c r="B128">
        <v>115</v>
      </c>
      <c r="C128" t="s">
        <v>336</v>
      </c>
      <c r="D128">
        <v>115</v>
      </c>
      <c r="E128">
        <v>0</v>
      </c>
      <c r="H128">
        <v>326.41000000000003</v>
      </c>
      <c r="I128">
        <v>6.49</v>
      </c>
      <c r="J128" s="2">
        <f t="shared" si="5"/>
        <v>6.4140819999999996</v>
      </c>
      <c r="K128">
        <v>2.06</v>
      </c>
      <c r="L128">
        <v>1.47</v>
      </c>
      <c r="M128">
        <v>0</v>
      </c>
      <c r="N128">
        <v>0</v>
      </c>
      <c r="O128">
        <v>1.7622</v>
      </c>
      <c r="P128" s="2">
        <f t="shared" si="6"/>
        <v>5.3654159999999997</v>
      </c>
      <c r="Q128" s="2">
        <f t="shared" si="7"/>
        <v>5.1239565599999999</v>
      </c>
      <c r="R128" s="2">
        <f t="shared" si="8"/>
        <v>6.5440680000000011</v>
      </c>
      <c r="S128" s="2">
        <f t="shared" si="9"/>
        <v>4.2015919999999998</v>
      </c>
    </row>
    <row r="129" spans="1:19" x14ac:dyDescent="0.25">
      <c r="A129" t="s">
        <v>337</v>
      </c>
      <c r="B129">
        <v>116</v>
      </c>
      <c r="C129" t="s">
        <v>338</v>
      </c>
      <c r="D129">
        <v>116</v>
      </c>
      <c r="E129">
        <v>0</v>
      </c>
      <c r="H129">
        <v>326.41000000000003</v>
      </c>
      <c r="I129">
        <v>6.33</v>
      </c>
      <c r="J129" s="2">
        <f t="shared" si="5"/>
        <v>6.4140819999999996</v>
      </c>
      <c r="K129">
        <v>2.06</v>
      </c>
      <c r="L129">
        <v>1.47</v>
      </c>
      <c r="M129">
        <v>0</v>
      </c>
      <c r="N129">
        <v>0</v>
      </c>
      <c r="O129">
        <v>1.7622</v>
      </c>
      <c r="P129" s="2">
        <f t="shared" si="6"/>
        <v>5.3654159999999997</v>
      </c>
      <c r="Q129" s="2">
        <f t="shared" si="7"/>
        <v>5.1239565599999999</v>
      </c>
      <c r="R129" s="2">
        <f t="shared" si="8"/>
        <v>6.5440680000000011</v>
      </c>
      <c r="S129" s="2">
        <f t="shared" si="9"/>
        <v>4.2015919999999998</v>
      </c>
    </row>
    <row r="130" spans="1:19" x14ac:dyDescent="0.25">
      <c r="A130" t="s">
        <v>339</v>
      </c>
      <c r="B130">
        <v>117</v>
      </c>
      <c r="C130" t="s">
        <v>340</v>
      </c>
      <c r="D130">
        <v>117</v>
      </c>
      <c r="E130">
        <v>0</v>
      </c>
      <c r="H130">
        <v>326.41000000000003</v>
      </c>
      <c r="I130">
        <v>6.46</v>
      </c>
      <c r="J130" s="2">
        <f t="shared" ref="J130:J193" si="10">K130*e_Abraham+L130*s_Abraham+M130*a_Abraham+N130*b_Abraham+O130*v_Abraham+c_Abraham</f>
        <v>6.4140819999999996</v>
      </c>
      <c r="K130">
        <v>2.06</v>
      </c>
      <c r="L130">
        <v>1.47</v>
      </c>
      <c r="M130">
        <v>0</v>
      </c>
      <c r="N130">
        <v>0</v>
      </c>
      <c r="O130">
        <v>1.7622</v>
      </c>
      <c r="P130" s="2">
        <f t="shared" ref="P130:P193" si="11">e_Nguyen*K130+s_Nguyen*L130+a_Nguyen*M130+b_Nguyen*N130+v_Nguyen*O130+c_Nguyen</f>
        <v>5.3654159999999997</v>
      </c>
      <c r="Q130" s="2">
        <f t="shared" ref="Q130:Q193" si="12">e_Kipka*K130+s_Kipka*L130+a_Kipka*M130+b_Kipka*N130+v_Kipka*O130+c_Kipka</f>
        <v>5.1239565599999999</v>
      </c>
      <c r="R130" s="2">
        <f t="shared" ref="R130:R193" si="13">e_Neal_ha*K130+s_Neal_ha*L130+a_Neal_ha*M130+b_Neal_ha*N130+v_Neal_ha*O130+c_Neal_ha</f>
        <v>6.5440680000000011</v>
      </c>
      <c r="S130" s="2">
        <f t="shared" ref="S130:S193" si="14">e_Neal_SRFA*K130+s_Neal_SRFA*L130+a_Neal_SRFA*M130+b_Neal_SRFA*N130+v_Neal_SRFA*O130+c_Neal_SRFA</f>
        <v>4.2015919999999998</v>
      </c>
    </row>
    <row r="131" spans="1:19" x14ac:dyDescent="0.25">
      <c r="A131" t="s">
        <v>341</v>
      </c>
      <c r="B131">
        <v>118</v>
      </c>
      <c r="C131" t="s">
        <v>342</v>
      </c>
      <c r="D131">
        <v>118</v>
      </c>
      <c r="E131">
        <v>0</v>
      </c>
      <c r="F131">
        <v>3.0000000000000001E-5</v>
      </c>
      <c r="G131">
        <v>2.1000000000000001E-4</v>
      </c>
      <c r="H131">
        <v>326.41000000000003</v>
      </c>
      <c r="I131">
        <v>6.74</v>
      </c>
      <c r="J131" s="2">
        <f t="shared" si="10"/>
        <v>6.5071709999999996</v>
      </c>
      <c r="K131">
        <v>2.0099999999999998</v>
      </c>
      <c r="L131">
        <v>1.67</v>
      </c>
      <c r="M131">
        <v>0</v>
      </c>
      <c r="N131">
        <v>0</v>
      </c>
      <c r="O131">
        <v>1.8491</v>
      </c>
      <c r="P131" s="2">
        <f t="shared" si="11"/>
        <v>5.3645479999999983</v>
      </c>
      <c r="Q131" s="2">
        <f t="shared" si="12"/>
        <v>5.0748001800000004</v>
      </c>
      <c r="R131" s="2">
        <f t="shared" si="13"/>
        <v>6.7529539999999999</v>
      </c>
      <c r="S131" s="2">
        <f t="shared" si="14"/>
        <v>4.2926259999999994</v>
      </c>
    </row>
    <row r="132" spans="1:19" x14ac:dyDescent="0.25">
      <c r="A132" t="s">
        <v>343</v>
      </c>
      <c r="B132">
        <v>119</v>
      </c>
      <c r="C132" t="s">
        <v>344</v>
      </c>
      <c r="D132">
        <v>119</v>
      </c>
      <c r="E132">
        <v>0</v>
      </c>
      <c r="H132">
        <v>326.41000000000003</v>
      </c>
      <c r="I132">
        <v>6.58</v>
      </c>
      <c r="J132" s="2">
        <f t="shared" si="10"/>
        <v>6.4140819999999996</v>
      </c>
      <c r="K132">
        <v>2.06</v>
      </c>
      <c r="L132">
        <v>1.47</v>
      </c>
      <c r="M132">
        <v>0</v>
      </c>
      <c r="N132">
        <v>0</v>
      </c>
      <c r="O132">
        <v>1.7622</v>
      </c>
      <c r="P132" s="2">
        <f t="shared" si="11"/>
        <v>5.3654159999999997</v>
      </c>
      <c r="Q132" s="2">
        <f t="shared" si="12"/>
        <v>5.1239565599999999</v>
      </c>
      <c r="R132" s="2">
        <f t="shared" si="13"/>
        <v>6.5440680000000011</v>
      </c>
      <c r="S132" s="2">
        <f t="shared" si="14"/>
        <v>4.2015919999999998</v>
      </c>
    </row>
    <row r="133" spans="1:19" x14ac:dyDescent="0.25">
      <c r="A133" t="s">
        <v>345</v>
      </c>
      <c r="B133">
        <v>120</v>
      </c>
      <c r="C133" t="s">
        <v>346</v>
      </c>
      <c r="D133">
        <v>120</v>
      </c>
      <c r="E133">
        <v>0</v>
      </c>
      <c r="H133">
        <v>326.41000000000003</v>
      </c>
      <c r="I133">
        <v>6.79</v>
      </c>
      <c r="J133" s="2">
        <f t="shared" si="10"/>
        <v>6.5071709999999996</v>
      </c>
      <c r="K133">
        <v>2.0099999999999998</v>
      </c>
      <c r="L133">
        <v>1.67</v>
      </c>
      <c r="M133">
        <v>0</v>
      </c>
      <c r="N133">
        <v>0</v>
      </c>
      <c r="O133">
        <v>1.8491</v>
      </c>
      <c r="P133" s="2">
        <f t="shared" si="11"/>
        <v>5.3645479999999983</v>
      </c>
      <c r="Q133" s="2">
        <f t="shared" si="12"/>
        <v>5.0748001800000004</v>
      </c>
      <c r="R133" s="2">
        <f t="shared" si="13"/>
        <v>6.7529539999999999</v>
      </c>
      <c r="S133" s="2">
        <f t="shared" si="14"/>
        <v>4.2926259999999994</v>
      </c>
    </row>
    <row r="134" spans="1:19" x14ac:dyDescent="0.25">
      <c r="A134" t="s">
        <v>347</v>
      </c>
      <c r="B134">
        <v>121</v>
      </c>
      <c r="C134" t="s">
        <v>348</v>
      </c>
      <c r="D134">
        <v>121</v>
      </c>
      <c r="E134">
        <v>0</v>
      </c>
      <c r="H134">
        <v>326.41000000000003</v>
      </c>
      <c r="I134">
        <v>6.64</v>
      </c>
      <c r="J134" s="2">
        <f t="shared" si="10"/>
        <v>6.4690219999999989</v>
      </c>
      <c r="K134">
        <v>2.04</v>
      </c>
      <c r="L134">
        <v>1.61</v>
      </c>
      <c r="M134">
        <v>0</v>
      </c>
      <c r="N134">
        <v>0.13</v>
      </c>
      <c r="O134">
        <v>1.9361999999999999</v>
      </c>
      <c r="P134" s="2">
        <f t="shared" si="11"/>
        <v>5.3819359999999987</v>
      </c>
      <c r="Q134" s="2">
        <f t="shared" si="12"/>
        <v>4.9897037599999994</v>
      </c>
      <c r="R134" s="2">
        <f t="shared" si="13"/>
        <v>6.7030280000000007</v>
      </c>
      <c r="S134" s="2">
        <f t="shared" si="14"/>
        <v>4.2760319999999998</v>
      </c>
    </row>
    <row r="135" spans="1:19" x14ac:dyDescent="0.25">
      <c r="A135" t="s">
        <v>349</v>
      </c>
      <c r="B135">
        <v>122</v>
      </c>
      <c r="C135" t="s">
        <v>350</v>
      </c>
      <c r="D135">
        <v>122</v>
      </c>
      <c r="E135">
        <v>0</v>
      </c>
      <c r="H135">
        <v>326.41000000000003</v>
      </c>
      <c r="I135">
        <v>6.64</v>
      </c>
      <c r="J135" s="2">
        <f t="shared" si="10"/>
        <v>6.5071709999999996</v>
      </c>
      <c r="K135">
        <v>2.0099999999999998</v>
      </c>
      <c r="L135">
        <v>1.67</v>
      </c>
      <c r="M135">
        <v>0</v>
      </c>
      <c r="N135">
        <v>0</v>
      </c>
      <c r="O135">
        <v>1.8491</v>
      </c>
      <c r="P135" s="2">
        <f t="shared" si="11"/>
        <v>5.3645479999999983</v>
      </c>
      <c r="Q135" s="2">
        <f t="shared" si="12"/>
        <v>5.0748001800000004</v>
      </c>
      <c r="R135" s="2">
        <f t="shared" si="13"/>
        <v>6.7529539999999999</v>
      </c>
      <c r="S135" s="2">
        <f t="shared" si="14"/>
        <v>4.2926259999999994</v>
      </c>
    </row>
    <row r="136" spans="1:19" x14ac:dyDescent="0.25">
      <c r="A136" t="s">
        <v>351</v>
      </c>
      <c r="B136">
        <v>123</v>
      </c>
      <c r="C136" t="s">
        <v>352</v>
      </c>
      <c r="D136">
        <v>123</v>
      </c>
      <c r="E136">
        <v>0</v>
      </c>
      <c r="F136">
        <v>3.0000000000000001E-5</v>
      </c>
      <c r="G136">
        <v>3.2400000000000003E-6</v>
      </c>
      <c r="H136">
        <v>326.41000000000003</v>
      </c>
      <c r="I136">
        <v>6.74</v>
      </c>
      <c r="J136" s="2">
        <f t="shared" si="10"/>
        <v>6.5071709999999996</v>
      </c>
      <c r="K136">
        <v>2.0099999999999998</v>
      </c>
      <c r="L136">
        <v>1.67</v>
      </c>
      <c r="M136">
        <v>0</v>
      </c>
      <c r="N136">
        <v>0</v>
      </c>
      <c r="O136">
        <v>1.8491</v>
      </c>
      <c r="P136" s="2">
        <f t="shared" si="11"/>
        <v>5.3645479999999983</v>
      </c>
      <c r="Q136" s="2">
        <f t="shared" si="12"/>
        <v>5.0748001800000004</v>
      </c>
      <c r="R136" s="2">
        <f t="shared" si="13"/>
        <v>6.7529539999999999</v>
      </c>
      <c r="S136" s="2">
        <f t="shared" si="14"/>
        <v>4.2926259999999994</v>
      </c>
    </row>
    <row r="137" spans="1:19" x14ac:dyDescent="0.25">
      <c r="A137" t="s">
        <v>353</v>
      </c>
      <c r="B137">
        <v>124</v>
      </c>
      <c r="C137" t="s">
        <v>354</v>
      </c>
      <c r="D137">
        <v>124</v>
      </c>
      <c r="E137">
        <v>0</v>
      </c>
      <c r="H137">
        <v>326.41000000000003</v>
      </c>
      <c r="I137">
        <v>6.73</v>
      </c>
      <c r="J137" s="2">
        <f t="shared" si="10"/>
        <v>6.5071709999999996</v>
      </c>
      <c r="K137">
        <v>2.0099999999999998</v>
      </c>
      <c r="L137">
        <v>1.67</v>
      </c>
      <c r="M137">
        <v>0</v>
      </c>
      <c r="N137">
        <v>0</v>
      </c>
      <c r="O137">
        <v>1.8491</v>
      </c>
      <c r="P137" s="2">
        <f t="shared" si="11"/>
        <v>5.3645479999999983</v>
      </c>
      <c r="Q137" s="2">
        <f t="shared" si="12"/>
        <v>5.0748001800000004</v>
      </c>
      <c r="R137" s="2">
        <f t="shared" si="13"/>
        <v>6.7529539999999999</v>
      </c>
      <c r="S137" s="2">
        <f t="shared" si="14"/>
        <v>4.2926259999999994</v>
      </c>
    </row>
    <row r="138" spans="1:19" x14ac:dyDescent="0.25">
      <c r="A138" t="s">
        <v>355</v>
      </c>
      <c r="B138">
        <v>125</v>
      </c>
      <c r="C138" t="s">
        <v>356</v>
      </c>
      <c r="D138">
        <v>125</v>
      </c>
      <c r="E138">
        <v>0</v>
      </c>
      <c r="H138">
        <v>326.41000000000003</v>
      </c>
      <c r="I138">
        <v>6.51</v>
      </c>
      <c r="J138" s="2">
        <f t="shared" si="10"/>
        <v>6.4140819999999996</v>
      </c>
      <c r="K138">
        <v>2.06</v>
      </c>
      <c r="L138">
        <v>1.47</v>
      </c>
      <c r="M138">
        <v>0</v>
      </c>
      <c r="N138">
        <v>0</v>
      </c>
      <c r="O138">
        <v>1.7622</v>
      </c>
      <c r="P138" s="2">
        <f t="shared" si="11"/>
        <v>5.3654159999999997</v>
      </c>
      <c r="Q138" s="2">
        <f t="shared" si="12"/>
        <v>5.1239565599999999</v>
      </c>
      <c r="R138" s="2">
        <f t="shared" si="13"/>
        <v>6.5440680000000011</v>
      </c>
      <c r="S138" s="2">
        <f t="shared" si="14"/>
        <v>4.2015919999999998</v>
      </c>
    </row>
    <row r="139" spans="1:19" x14ac:dyDescent="0.25">
      <c r="A139" t="s">
        <v>357</v>
      </c>
      <c r="B139">
        <v>126</v>
      </c>
      <c r="C139" t="s">
        <v>358</v>
      </c>
      <c r="D139">
        <v>126</v>
      </c>
      <c r="E139">
        <v>0</v>
      </c>
      <c r="F139">
        <v>0.1</v>
      </c>
      <c r="G139">
        <v>3.6000000000000003E-6</v>
      </c>
      <c r="H139">
        <v>326.41000000000003</v>
      </c>
      <c r="I139">
        <v>6.89</v>
      </c>
      <c r="J139" s="2">
        <f t="shared" si="10"/>
        <v>6.6163599999999994</v>
      </c>
      <c r="K139">
        <v>1.97</v>
      </c>
      <c r="L139">
        <v>1.86</v>
      </c>
      <c r="M139">
        <v>0</v>
      </c>
      <c r="N139">
        <v>0</v>
      </c>
      <c r="O139">
        <v>1.9359999999999999</v>
      </c>
      <c r="P139" s="2">
        <f t="shared" si="11"/>
        <v>5.3818799999999998</v>
      </c>
      <c r="Q139" s="2">
        <f t="shared" si="12"/>
        <v>5.0404108000000001</v>
      </c>
      <c r="R139" s="2">
        <f t="shared" si="13"/>
        <v>6.9729400000000004</v>
      </c>
      <c r="S139" s="2">
        <f t="shared" si="14"/>
        <v>4.3962599999999998</v>
      </c>
    </row>
    <row r="140" spans="1:19" x14ac:dyDescent="0.25">
      <c r="A140" t="s">
        <v>359</v>
      </c>
      <c r="B140">
        <v>127</v>
      </c>
      <c r="C140" t="s">
        <v>360</v>
      </c>
      <c r="D140">
        <v>127</v>
      </c>
      <c r="E140">
        <v>0</v>
      </c>
      <c r="H140">
        <v>326.41000000000003</v>
      </c>
      <c r="I140">
        <v>6.95</v>
      </c>
      <c r="J140" s="2">
        <f t="shared" si="10"/>
        <v>6.6163599999999994</v>
      </c>
      <c r="K140">
        <v>1.97</v>
      </c>
      <c r="L140">
        <v>1.86</v>
      </c>
      <c r="M140">
        <v>0</v>
      </c>
      <c r="N140">
        <v>0</v>
      </c>
      <c r="O140">
        <v>1.9359999999999999</v>
      </c>
      <c r="P140" s="2">
        <f t="shared" si="11"/>
        <v>5.3818799999999998</v>
      </c>
      <c r="Q140" s="2">
        <f t="shared" si="12"/>
        <v>5.0404108000000001</v>
      </c>
      <c r="R140" s="2">
        <f t="shared" si="13"/>
        <v>6.9729400000000004</v>
      </c>
      <c r="S140" s="2">
        <f t="shared" si="14"/>
        <v>4.3962599999999998</v>
      </c>
    </row>
    <row r="141" spans="1:19" x14ac:dyDescent="0.25">
      <c r="A141" t="s">
        <v>361</v>
      </c>
      <c r="B141">
        <v>128</v>
      </c>
      <c r="C141" t="s">
        <v>362</v>
      </c>
      <c r="D141">
        <v>128</v>
      </c>
      <c r="E141">
        <v>0</v>
      </c>
      <c r="G141">
        <v>1.3999999999999999E-4</v>
      </c>
      <c r="H141">
        <v>360.85</v>
      </c>
      <c r="I141">
        <v>6.74</v>
      </c>
      <c r="J141" s="2">
        <f t="shared" si="10"/>
        <v>6.8118259999999999</v>
      </c>
      <c r="K141">
        <v>2.2000000000000002</v>
      </c>
      <c r="L141">
        <v>1.61</v>
      </c>
      <c r="M141">
        <v>0</v>
      </c>
      <c r="N141">
        <v>0</v>
      </c>
      <c r="O141">
        <v>1.8846000000000001</v>
      </c>
      <c r="P141" s="2">
        <f t="shared" si="11"/>
        <v>5.6976880000000003</v>
      </c>
      <c r="Q141" s="2">
        <f t="shared" si="12"/>
        <v>5.325410080000001</v>
      </c>
      <c r="R141" s="2">
        <f t="shared" si="13"/>
        <v>7.036124</v>
      </c>
      <c r="S141" s="2">
        <f t="shared" si="14"/>
        <v>4.5516560000000004</v>
      </c>
    </row>
    <row r="142" spans="1:19" x14ac:dyDescent="0.25">
      <c r="A142" t="s">
        <v>363</v>
      </c>
      <c r="B142">
        <v>129</v>
      </c>
      <c r="C142" t="s">
        <v>364</v>
      </c>
      <c r="D142">
        <v>129</v>
      </c>
      <c r="E142">
        <v>0</v>
      </c>
      <c r="H142">
        <v>360.85</v>
      </c>
      <c r="I142">
        <v>6.73</v>
      </c>
      <c r="J142" s="2">
        <f t="shared" si="10"/>
        <v>6.8118259999999999</v>
      </c>
      <c r="K142">
        <v>2.2000000000000002</v>
      </c>
      <c r="L142">
        <v>1.61</v>
      </c>
      <c r="M142">
        <v>0</v>
      </c>
      <c r="N142">
        <v>0</v>
      </c>
      <c r="O142">
        <v>1.8846000000000001</v>
      </c>
      <c r="P142" s="2">
        <f t="shared" si="11"/>
        <v>5.6976880000000003</v>
      </c>
      <c r="Q142" s="2">
        <f t="shared" si="12"/>
        <v>5.325410080000001</v>
      </c>
      <c r="R142" s="2">
        <f t="shared" si="13"/>
        <v>7.036124</v>
      </c>
      <c r="S142" s="2">
        <f t="shared" si="14"/>
        <v>4.5516560000000004</v>
      </c>
    </row>
    <row r="143" spans="1:19" x14ac:dyDescent="0.25">
      <c r="A143" t="s">
        <v>365</v>
      </c>
      <c r="B143">
        <v>130</v>
      </c>
      <c r="C143" t="s">
        <v>366</v>
      </c>
      <c r="D143">
        <v>130</v>
      </c>
      <c r="E143">
        <v>0</v>
      </c>
      <c r="H143">
        <v>360.85</v>
      </c>
      <c r="I143">
        <v>6.8</v>
      </c>
      <c r="J143" s="2">
        <f t="shared" si="10"/>
        <v>6.8118259999999999</v>
      </c>
      <c r="K143">
        <v>2.2000000000000002</v>
      </c>
      <c r="L143">
        <v>1.61</v>
      </c>
      <c r="M143">
        <v>0</v>
      </c>
      <c r="N143">
        <v>0</v>
      </c>
      <c r="O143">
        <v>1.8846000000000001</v>
      </c>
      <c r="P143" s="2">
        <f t="shared" si="11"/>
        <v>5.6976880000000003</v>
      </c>
      <c r="Q143" s="2">
        <f t="shared" si="12"/>
        <v>5.325410080000001</v>
      </c>
      <c r="R143" s="2">
        <f t="shared" si="13"/>
        <v>7.036124</v>
      </c>
      <c r="S143" s="2">
        <f t="shared" si="14"/>
        <v>4.5516560000000004</v>
      </c>
    </row>
    <row r="144" spans="1:19" x14ac:dyDescent="0.25">
      <c r="A144" t="s">
        <v>367</v>
      </c>
      <c r="B144">
        <v>131</v>
      </c>
      <c r="C144" t="s">
        <v>368</v>
      </c>
      <c r="D144">
        <v>131</v>
      </c>
      <c r="E144">
        <v>0</v>
      </c>
      <c r="H144">
        <v>360.85</v>
      </c>
      <c r="I144">
        <v>6.58</v>
      </c>
      <c r="J144" s="2">
        <f t="shared" si="10"/>
        <v>6.6564370000000004</v>
      </c>
      <c r="K144">
        <v>2.27</v>
      </c>
      <c r="L144">
        <v>1.48</v>
      </c>
      <c r="M144">
        <v>0</v>
      </c>
      <c r="N144">
        <v>0</v>
      </c>
      <c r="O144">
        <v>1.7977000000000001</v>
      </c>
      <c r="P144" s="2">
        <f t="shared" si="11"/>
        <v>5.6701559999999995</v>
      </c>
      <c r="Q144" s="2">
        <f t="shared" si="12"/>
        <v>5.3516574600000002</v>
      </c>
      <c r="R144" s="2">
        <f t="shared" si="13"/>
        <v>6.8026380000000009</v>
      </c>
      <c r="S144" s="2">
        <f t="shared" si="14"/>
        <v>4.4291220000000004</v>
      </c>
    </row>
    <row r="145" spans="1:19" x14ac:dyDescent="0.25">
      <c r="A145" t="s">
        <v>369</v>
      </c>
      <c r="B145">
        <v>132</v>
      </c>
      <c r="C145" t="s">
        <v>370</v>
      </c>
      <c r="D145">
        <v>132</v>
      </c>
      <c r="E145">
        <v>0</v>
      </c>
      <c r="H145">
        <v>360.85</v>
      </c>
      <c r="I145">
        <v>6.58</v>
      </c>
      <c r="J145" s="2">
        <f t="shared" si="10"/>
        <v>6.6564370000000004</v>
      </c>
      <c r="K145">
        <v>2.27</v>
      </c>
      <c r="L145">
        <v>1.48</v>
      </c>
      <c r="M145">
        <v>0</v>
      </c>
      <c r="N145">
        <v>0</v>
      </c>
      <c r="O145">
        <v>1.7977000000000001</v>
      </c>
      <c r="P145" s="2">
        <f t="shared" si="11"/>
        <v>5.6701559999999995</v>
      </c>
      <c r="Q145" s="2">
        <f t="shared" si="12"/>
        <v>5.3516574600000002</v>
      </c>
      <c r="R145" s="2">
        <f t="shared" si="13"/>
        <v>6.8026380000000009</v>
      </c>
      <c r="S145" s="2">
        <f t="shared" si="14"/>
        <v>4.4291220000000004</v>
      </c>
    </row>
    <row r="146" spans="1:19" x14ac:dyDescent="0.25">
      <c r="A146" t="s">
        <v>371</v>
      </c>
      <c r="B146">
        <v>133</v>
      </c>
      <c r="C146" t="s">
        <v>372</v>
      </c>
      <c r="D146">
        <v>133</v>
      </c>
      <c r="E146">
        <v>0</v>
      </c>
      <c r="H146">
        <v>360.85</v>
      </c>
      <c r="I146">
        <v>6.86</v>
      </c>
      <c r="J146" s="2">
        <f t="shared" si="10"/>
        <v>6.8118259999999999</v>
      </c>
      <c r="K146">
        <v>2.2000000000000002</v>
      </c>
      <c r="L146">
        <v>1.61</v>
      </c>
      <c r="M146">
        <v>0</v>
      </c>
      <c r="N146">
        <v>0</v>
      </c>
      <c r="O146">
        <v>1.8846000000000001</v>
      </c>
      <c r="P146" s="2">
        <f t="shared" si="11"/>
        <v>5.6976880000000003</v>
      </c>
      <c r="Q146" s="2">
        <f t="shared" si="12"/>
        <v>5.325410080000001</v>
      </c>
      <c r="R146" s="2">
        <f t="shared" si="13"/>
        <v>7.036124</v>
      </c>
      <c r="S146" s="2">
        <f t="shared" si="14"/>
        <v>4.5516560000000004</v>
      </c>
    </row>
    <row r="147" spans="1:19" x14ac:dyDescent="0.25">
      <c r="A147" t="s">
        <v>373</v>
      </c>
      <c r="B147">
        <v>134</v>
      </c>
      <c r="C147" t="s">
        <v>374</v>
      </c>
      <c r="D147">
        <v>134</v>
      </c>
      <c r="E147">
        <v>0</v>
      </c>
      <c r="H147">
        <v>360.85</v>
      </c>
      <c r="I147">
        <v>6.55</v>
      </c>
      <c r="J147" s="2">
        <f t="shared" si="10"/>
        <v>6.6564370000000004</v>
      </c>
      <c r="K147">
        <v>2.27</v>
      </c>
      <c r="L147">
        <v>1.48</v>
      </c>
      <c r="M147">
        <v>0</v>
      </c>
      <c r="N147">
        <v>0</v>
      </c>
      <c r="O147">
        <v>1.7977000000000001</v>
      </c>
      <c r="P147" s="2">
        <f t="shared" si="11"/>
        <v>5.6701559999999995</v>
      </c>
      <c r="Q147" s="2">
        <f t="shared" si="12"/>
        <v>5.3516574600000002</v>
      </c>
      <c r="R147" s="2">
        <f t="shared" si="13"/>
        <v>6.8026380000000009</v>
      </c>
      <c r="S147" s="2">
        <f t="shared" si="14"/>
        <v>4.4291220000000004</v>
      </c>
    </row>
    <row r="148" spans="1:19" x14ac:dyDescent="0.25">
      <c r="A148" t="s">
        <v>375</v>
      </c>
      <c r="B148">
        <v>135</v>
      </c>
      <c r="C148" t="s">
        <v>376</v>
      </c>
      <c r="D148">
        <v>135</v>
      </c>
      <c r="E148">
        <v>0</v>
      </c>
      <c r="H148">
        <v>360.85</v>
      </c>
      <c r="I148">
        <v>6.64</v>
      </c>
      <c r="J148" s="2">
        <f t="shared" si="10"/>
        <v>6.6564370000000004</v>
      </c>
      <c r="K148">
        <v>2.27</v>
      </c>
      <c r="L148">
        <v>1.48</v>
      </c>
      <c r="M148">
        <v>0</v>
      </c>
      <c r="N148">
        <v>0</v>
      </c>
      <c r="O148">
        <v>1.7977000000000001</v>
      </c>
      <c r="P148" s="2">
        <f t="shared" si="11"/>
        <v>5.6701559999999995</v>
      </c>
      <c r="Q148" s="2">
        <f t="shared" si="12"/>
        <v>5.3516574600000002</v>
      </c>
      <c r="R148" s="2">
        <f t="shared" si="13"/>
        <v>6.8026380000000009</v>
      </c>
      <c r="S148" s="2">
        <f t="shared" si="14"/>
        <v>4.4291220000000004</v>
      </c>
    </row>
    <row r="149" spans="1:19" x14ac:dyDescent="0.25">
      <c r="A149" t="s">
        <v>377</v>
      </c>
      <c r="B149">
        <v>136</v>
      </c>
      <c r="C149" t="s">
        <v>378</v>
      </c>
      <c r="D149">
        <v>136</v>
      </c>
      <c r="E149">
        <v>0</v>
      </c>
      <c r="H149">
        <v>360.85</v>
      </c>
      <c r="I149">
        <v>6.22</v>
      </c>
      <c r="J149" s="2">
        <f t="shared" si="10"/>
        <v>6.4996479999999996</v>
      </c>
      <c r="K149">
        <v>2.2999999999999998</v>
      </c>
      <c r="L149">
        <v>1.33</v>
      </c>
      <c r="M149">
        <v>0</v>
      </c>
      <c r="N149">
        <v>0</v>
      </c>
      <c r="O149">
        <v>1.7108000000000001</v>
      </c>
      <c r="P149" s="2">
        <f t="shared" si="11"/>
        <v>5.6130239999999993</v>
      </c>
      <c r="Q149" s="2">
        <f t="shared" si="12"/>
        <v>5.3537988400000005</v>
      </c>
      <c r="R149" s="2">
        <f t="shared" si="13"/>
        <v>6.5559520000000004</v>
      </c>
      <c r="S149" s="2">
        <f t="shared" si="14"/>
        <v>4.2939879999999997</v>
      </c>
    </row>
    <row r="150" spans="1:19" x14ac:dyDescent="0.25">
      <c r="A150" t="s">
        <v>379</v>
      </c>
      <c r="B150">
        <v>137</v>
      </c>
      <c r="C150" t="s">
        <v>380</v>
      </c>
      <c r="D150">
        <v>137</v>
      </c>
      <c r="E150">
        <v>0</v>
      </c>
      <c r="H150">
        <v>360.85</v>
      </c>
      <c r="I150">
        <v>6.83</v>
      </c>
      <c r="J150" s="2">
        <f t="shared" si="10"/>
        <v>6.8118259999999999</v>
      </c>
      <c r="K150">
        <v>2.2000000000000002</v>
      </c>
      <c r="L150">
        <v>1.61</v>
      </c>
      <c r="M150">
        <v>0</v>
      </c>
      <c r="N150">
        <v>0</v>
      </c>
      <c r="O150">
        <v>1.8846000000000001</v>
      </c>
      <c r="P150" s="2">
        <f t="shared" si="11"/>
        <v>5.6976880000000003</v>
      </c>
      <c r="Q150" s="2">
        <f t="shared" si="12"/>
        <v>5.325410080000001</v>
      </c>
      <c r="R150" s="2">
        <f t="shared" si="13"/>
        <v>7.036124</v>
      </c>
      <c r="S150" s="2">
        <f t="shared" si="14"/>
        <v>4.5516560000000004</v>
      </c>
    </row>
    <row r="151" spans="1:19" x14ac:dyDescent="0.25">
      <c r="A151" t="s">
        <v>381</v>
      </c>
      <c r="B151">
        <v>138</v>
      </c>
      <c r="C151" t="s">
        <v>382</v>
      </c>
      <c r="D151">
        <v>138</v>
      </c>
      <c r="E151">
        <v>0</v>
      </c>
      <c r="G151">
        <v>5.4000000000000001E-4</v>
      </c>
      <c r="H151">
        <v>360.85</v>
      </c>
      <c r="I151">
        <v>6.83</v>
      </c>
      <c r="J151" s="2">
        <f t="shared" si="10"/>
        <v>6.8118259999999999</v>
      </c>
      <c r="K151">
        <v>2.2000000000000002</v>
      </c>
      <c r="L151">
        <v>1.61</v>
      </c>
      <c r="M151">
        <v>0</v>
      </c>
      <c r="N151">
        <v>0</v>
      </c>
      <c r="O151">
        <v>1.8846000000000001</v>
      </c>
      <c r="P151" s="2">
        <f t="shared" si="11"/>
        <v>5.6976880000000003</v>
      </c>
      <c r="Q151" s="2">
        <f t="shared" si="12"/>
        <v>5.325410080000001</v>
      </c>
      <c r="R151" s="2">
        <f t="shared" si="13"/>
        <v>7.036124</v>
      </c>
      <c r="S151" s="2">
        <f t="shared" si="14"/>
        <v>4.5516560000000004</v>
      </c>
    </row>
    <row r="152" spans="1:19" x14ac:dyDescent="0.25">
      <c r="A152" t="s">
        <v>383</v>
      </c>
      <c r="B152" t="s">
        <v>384</v>
      </c>
      <c r="D152" t="s">
        <v>384</v>
      </c>
      <c r="H152">
        <v>360.85</v>
      </c>
      <c r="I152">
        <v>6.91</v>
      </c>
      <c r="J152" s="2">
        <f t="shared" si="10"/>
        <v>6.8118259999999999</v>
      </c>
      <c r="K152">
        <v>2.2000000000000002</v>
      </c>
      <c r="L152">
        <v>1.61</v>
      </c>
      <c r="M152">
        <v>0</v>
      </c>
      <c r="N152">
        <v>0</v>
      </c>
      <c r="O152">
        <v>1.8846000000000001</v>
      </c>
      <c r="P152" s="2">
        <f t="shared" si="11"/>
        <v>5.6976880000000003</v>
      </c>
      <c r="Q152" s="2">
        <f t="shared" si="12"/>
        <v>5.325410080000001</v>
      </c>
      <c r="R152" s="2">
        <f t="shared" si="13"/>
        <v>7.036124</v>
      </c>
      <c r="S152" s="2">
        <f t="shared" si="14"/>
        <v>4.5516560000000004</v>
      </c>
    </row>
    <row r="153" spans="1:19" x14ac:dyDescent="0.25">
      <c r="A153" t="s">
        <v>385</v>
      </c>
      <c r="B153">
        <v>139</v>
      </c>
      <c r="C153" t="s">
        <v>386</v>
      </c>
      <c r="D153">
        <v>139</v>
      </c>
      <c r="E153">
        <v>0</v>
      </c>
      <c r="H153">
        <v>360.85</v>
      </c>
      <c r="I153">
        <v>6.67</v>
      </c>
      <c r="J153" s="2">
        <f t="shared" si="10"/>
        <v>6.6564370000000004</v>
      </c>
      <c r="K153">
        <v>2.27</v>
      </c>
      <c r="L153">
        <v>1.48</v>
      </c>
      <c r="M153">
        <v>0</v>
      </c>
      <c r="N153">
        <v>0</v>
      </c>
      <c r="O153">
        <v>1.7977000000000001</v>
      </c>
      <c r="P153" s="2">
        <f t="shared" si="11"/>
        <v>5.6701559999999995</v>
      </c>
      <c r="Q153" s="2">
        <f t="shared" si="12"/>
        <v>5.3516574600000002</v>
      </c>
      <c r="R153" s="2">
        <f t="shared" si="13"/>
        <v>6.8026380000000009</v>
      </c>
      <c r="S153" s="2">
        <f t="shared" si="14"/>
        <v>4.4291220000000004</v>
      </c>
    </row>
    <row r="154" spans="1:19" x14ac:dyDescent="0.25">
      <c r="A154" t="s">
        <v>387</v>
      </c>
      <c r="B154">
        <v>140</v>
      </c>
      <c r="C154" t="s">
        <v>388</v>
      </c>
      <c r="D154">
        <v>140</v>
      </c>
      <c r="E154">
        <v>0</v>
      </c>
      <c r="H154">
        <v>360.85</v>
      </c>
      <c r="I154">
        <v>6.67</v>
      </c>
      <c r="J154" s="2">
        <f t="shared" si="10"/>
        <v>6.6564370000000004</v>
      </c>
      <c r="K154">
        <v>2.27</v>
      </c>
      <c r="L154">
        <v>1.48</v>
      </c>
      <c r="M154">
        <v>0</v>
      </c>
      <c r="N154">
        <v>0</v>
      </c>
      <c r="O154">
        <v>1.7977000000000001</v>
      </c>
      <c r="P154" s="2">
        <f t="shared" si="11"/>
        <v>5.6701559999999995</v>
      </c>
      <c r="Q154" s="2">
        <f t="shared" si="12"/>
        <v>5.3516574600000002</v>
      </c>
      <c r="R154" s="2">
        <f t="shared" si="13"/>
        <v>6.8026380000000009</v>
      </c>
      <c r="S154" s="2">
        <f t="shared" si="14"/>
        <v>4.4291220000000004</v>
      </c>
    </row>
    <row r="155" spans="1:19" x14ac:dyDescent="0.25">
      <c r="A155" t="s">
        <v>389</v>
      </c>
      <c r="B155">
        <v>141</v>
      </c>
      <c r="C155" t="s">
        <v>390</v>
      </c>
      <c r="D155">
        <v>141</v>
      </c>
      <c r="E155">
        <v>0</v>
      </c>
      <c r="H155">
        <v>360.85</v>
      </c>
      <c r="I155">
        <v>6.82</v>
      </c>
      <c r="J155" s="2">
        <f t="shared" si="10"/>
        <v>6.8118259999999999</v>
      </c>
      <c r="K155">
        <v>2.2000000000000002</v>
      </c>
      <c r="L155">
        <v>1.61</v>
      </c>
      <c r="M155">
        <v>0</v>
      </c>
      <c r="N155">
        <v>0</v>
      </c>
      <c r="O155">
        <v>1.8846000000000001</v>
      </c>
      <c r="P155" s="2">
        <f t="shared" si="11"/>
        <v>5.6976880000000003</v>
      </c>
      <c r="Q155" s="2">
        <f t="shared" si="12"/>
        <v>5.325410080000001</v>
      </c>
      <c r="R155" s="2">
        <f t="shared" si="13"/>
        <v>7.036124</v>
      </c>
      <c r="S155" s="2">
        <f t="shared" si="14"/>
        <v>4.5516560000000004</v>
      </c>
    </row>
    <row r="156" spans="1:19" x14ac:dyDescent="0.25">
      <c r="A156" t="s">
        <v>391</v>
      </c>
      <c r="B156">
        <v>142</v>
      </c>
      <c r="C156" t="s">
        <v>392</v>
      </c>
      <c r="D156">
        <v>142</v>
      </c>
      <c r="E156">
        <v>0</v>
      </c>
      <c r="H156">
        <v>360.85</v>
      </c>
      <c r="I156">
        <v>6.51</v>
      </c>
      <c r="J156" s="2">
        <f t="shared" si="10"/>
        <v>6.9352660000000004</v>
      </c>
      <c r="K156">
        <v>2.16</v>
      </c>
      <c r="L156">
        <v>1.74</v>
      </c>
      <c r="M156">
        <v>0</v>
      </c>
      <c r="N156">
        <v>0.11</v>
      </c>
      <c r="O156">
        <v>2.0586000000000002</v>
      </c>
      <c r="P156" s="2">
        <f t="shared" si="11"/>
        <v>5.7390080000000001</v>
      </c>
      <c r="Q156" s="2">
        <f t="shared" si="12"/>
        <v>5.2189842800000008</v>
      </c>
      <c r="R156" s="2">
        <f t="shared" si="13"/>
        <v>7.2564840000000004</v>
      </c>
      <c r="S156" s="2">
        <f t="shared" si="14"/>
        <v>4.6693959999999999</v>
      </c>
    </row>
    <row r="157" spans="1:19" x14ac:dyDescent="0.25">
      <c r="A157" t="s">
        <v>393</v>
      </c>
      <c r="B157">
        <v>143</v>
      </c>
      <c r="C157" t="s">
        <v>394</v>
      </c>
      <c r="D157">
        <v>143</v>
      </c>
      <c r="E157">
        <v>0</v>
      </c>
      <c r="H157">
        <v>360.85</v>
      </c>
      <c r="I157">
        <v>6.6</v>
      </c>
      <c r="J157" s="2">
        <f t="shared" si="10"/>
        <v>6.6564370000000004</v>
      </c>
      <c r="K157">
        <v>2.27</v>
      </c>
      <c r="L157">
        <v>1.48</v>
      </c>
      <c r="M157">
        <v>0</v>
      </c>
      <c r="N157">
        <v>0</v>
      </c>
      <c r="O157">
        <v>1.7977000000000001</v>
      </c>
      <c r="P157" s="2">
        <f t="shared" si="11"/>
        <v>5.6701559999999995</v>
      </c>
      <c r="Q157" s="2">
        <f t="shared" si="12"/>
        <v>5.3516574600000002</v>
      </c>
      <c r="R157" s="2">
        <f t="shared" si="13"/>
        <v>6.8026380000000009</v>
      </c>
      <c r="S157" s="2">
        <f t="shared" si="14"/>
        <v>4.4291220000000004</v>
      </c>
    </row>
    <row r="158" spans="1:19" x14ac:dyDescent="0.25">
      <c r="A158" t="s">
        <v>395</v>
      </c>
      <c r="B158">
        <v>144</v>
      </c>
      <c r="C158" t="s">
        <v>396</v>
      </c>
      <c r="D158">
        <v>144</v>
      </c>
      <c r="E158">
        <v>0</v>
      </c>
      <c r="H158">
        <v>360.85</v>
      </c>
      <c r="I158">
        <v>6.67</v>
      </c>
      <c r="J158" s="2">
        <f t="shared" si="10"/>
        <v>6.6564370000000004</v>
      </c>
      <c r="K158">
        <v>2.27</v>
      </c>
      <c r="L158">
        <v>1.48</v>
      </c>
      <c r="M158">
        <v>0</v>
      </c>
      <c r="N158">
        <v>0</v>
      </c>
      <c r="O158">
        <v>1.7977000000000001</v>
      </c>
      <c r="P158" s="2">
        <f t="shared" si="11"/>
        <v>5.6701559999999995</v>
      </c>
      <c r="Q158" s="2">
        <f t="shared" si="12"/>
        <v>5.3516574600000002</v>
      </c>
      <c r="R158" s="2">
        <f t="shared" si="13"/>
        <v>6.8026380000000009</v>
      </c>
      <c r="S158" s="2">
        <f t="shared" si="14"/>
        <v>4.4291220000000004</v>
      </c>
    </row>
    <row r="159" spans="1:19" x14ac:dyDescent="0.25">
      <c r="A159" t="s">
        <v>397</v>
      </c>
      <c r="B159">
        <v>145</v>
      </c>
      <c r="C159" t="s">
        <v>398</v>
      </c>
      <c r="D159">
        <v>145</v>
      </c>
      <c r="E159">
        <v>0</v>
      </c>
      <c r="H159">
        <v>360.85</v>
      </c>
      <c r="I159">
        <v>6.25</v>
      </c>
      <c r="J159" s="2">
        <f t="shared" si="10"/>
        <v>6.4996479999999996</v>
      </c>
      <c r="K159">
        <v>2.2999999999999998</v>
      </c>
      <c r="L159">
        <v>1.33</v>
      </c>
      <c r="M159">
        <v>0</v>
      </c>
      <c r="N159">
        <v>0</v>
      </c>
      <c r="O159">
        <v>1.7108000000000001</v>
      </c>
      <c r="P159" s="2">
        <f t="shared" si="11"/>
        <v>5.6130239999999993</v>
      </c>
      <c r="Q159" s="2">
        <f t="shared" si="12"/>
        <v>5.3537988400000005</v>
      </c>
      <c r="R159" s="2">
        <f t="shared" si="13"/>
        <v>6.5559520000000004</v>
      </c>
      <c r="S159" s="2">
        <f t="shared" si="14"/>
        <v>4.2939879999999997</v>
      </c>
    </row>
    <row r="160" spans="1:19" x14ac:dyDescent="0.25">
      <c r="A160" t="s">
        <v>399</v>
      </c>
      <c r="B160">
        <v>146</v>
      </c>
      <c r="C160" t="s">
        <v>400</v>
      </c>
      <c r="D160">
        <v>146</v>
      </c>
      <c r="E160">
        <v>0</v>
      </c>
      <c r="H160">
        <v>360.85</v>
      </c>
      <c r="I160">
        <v>6.89</v>
      </c>
      <c r="J160" s="2">
        <f t="shared" si="10"/>
        <v>6.8118259999999999</v>
      </c>
      <c r="K160">
        <v>2.2000000000000002</v>
      </c>
      <c r="L160">
        <v>1.61</v>
      </c>
      <c r="M160">
        <v>0</v>
      </c>
      <c r="N160">
        <v>0</v>
      </c>
      <c r="O160">
        <v>1.8846000000000001</v>
      </c>
      <c r="P160" s="2">
        <f t="shared" si="11"/>
        <v>5.6976880000000003</v>
      </c>
      <c r="Q160" s="2">
        <f t="shared" si="12"/>
        <v>5.325410080000001</v>
      </c>
      <c r="R160" s="2">
        <f t="shared" si="13"/>
        <v>7.036124</v>
      </c>
      <c r="S160" s="2">
        <f t="shared" si="14"/>
        <v>4.5516560000000004</v>
      </c>
    </row>
    <row r="161" spans="1:19" x14ac:dyDescent="0.25">
      <c r="A161" t="s">
        <v>401</v>
      </c>
      <c r="B161">
        <v>147</v>
      </c>
      <c r="C161" t="s">
        <v>402</v>
      </c>
      <c r="D161">
        <v>147</v>
      </c>
      <c r="E161">
        <v>0</v>
      </c>
      <c r="H161">
        <v>360.85</v>
      </c>
      <c r="I161">
        <v>6.64</v>
      </c>
      <c r="J161" s="2">
        <f t="shared" si="10"/>
        <v>6.6564370000000004</v>
      </c>
      <c r="K161">
        <v>2.27</v>
      </c>
      <c r="L161">
        <v>1.48</v>
      </c>
      <c r="M161">
        <v>0</v>
      </c>
      <c r="N161">
        <v>0</v>
      </c>
      <c r="O161">
        <v>1.7977000000000001</v>
      </c>
      <c r="P161" s="2">
        <f t="shared" si="11"/>
        <v>5.6701559999999995</v>
      </c>
      <c r="Q161" s="2">
        <f t="shared" si="12"/>
        <v>5.3516574600000002</v>
      </c>
      <c r="R161" s="2">
        <f t="shared" si="13"/>
        <v>6.8026380000000009</v>
      </c>
      <c r="S161" s="2">
        <f t="shared" si="14"/>
        <v>4.4291220000000004</v>
      </c>
    </row>
    <row r="162" spans="1:19" x14ac:dyDescent="0.25">
      <c r="A162" t="s">
        <v>403</v>
      </c>
      <c r="B162">
        <v>148</v>
      </c>
      <c r="C162" t="s">
        <v>404</v>
      </c>
      <c r="D162">
        <v>148</v>
      </c>
      <c r="E162">
        <v>0</v>
      </c>
      <c r="H162">
        <v>360.85</v>
      </c>
      <c r="I162">
        <v>6.73</v>
      </c>
      <c r="J162" s="2">
        <f t="shared" si="10"/>
        <v>6.6564370000000004</v>
      </c>
      <c r="K162">
        <v>2.27</v>
      </c>
      <c r="L162">
        <v>1.48</v>
      </c>
      <c r="M162">
        <v>0</v>
      </c>
      <c r="N162">
        <v>0</v>
      </c>
      <c r="O162">
        <v>1.7977000000000001</v>
      </c>
      <c r="P162" s="2">
        <f t="shared" si="11"/>
        <v>5.6701559999999995</v>
      </c>
      <c r="Q162" s="2">
        <f t="shared" si="12"/>
        <v>5.3516574600000002</v>
      </c>
      <c r="R162" s="2">
        <f t="shared" si="13"/>
        <v>6.8026380000000009</v>
      </c>
      <c r="S162" s="2">
        <f t="shared" si="14"/>
        <v>4.4291220000000004</v>
      </c>
    </row>
    <row r="163" spans="1:19" x14ac:dyDescent="0.25">
      <c r="A163" t="s">
        <v>405</v>
      </c>
      <c r="B163">
        <v>149</v>
      </c>
      <c r="C163" t="s">
        <v>406</v>
      </c>
      <c r="D163">
        <v>149</v>
      </c>
      <c r="E163">
        <v>0</v>
      </c>
      <c r="H163">
        <v>360.85</v>
      </c>
      <c r="I163">
        <v>6.67</v>
      </c>
      <c r="J163" s="2">
        <f t="shared" si="10"/>
        <v>6.6564370000000004</v>
      </c>
      <c r="K163">
        <v>2.27</v>
      </c>
      <c r="L163">
        <v>1.48</v>
      </c>
      <c r="M163">
        <v>0</v>
      </c>
      <c r="N163">
        <v>0</v>
      </c>
      <c r="O163">
        <v>1.7977000000000001</v>
      </c>
      <c r="P163" s="2">
        <f t="shared" si="11"/>
        <v>5.6701559999999995</v>
      </c>
      <c r="Q163" s="2">
        <f t="shared" si="12"/>
        <v>5.3516574600000002</v>
      </c>
      <c r="R163" s="2">
        <f t="shared" si="13"/>
        <v>6.8026380000000009</v>
      </c>
      <c r="S163" s="2">
        <f t="shared" si="14"/>
        <v>4.4291220000000004</v>
      </c>
    </row>
    <row r="164" spans="1:19" x14ac:dyDescent="0.25">
      <c r="A164" t="s">
        <v>407</v>
      </c>
      <c r="B164">
        <v>150</v>
      </c>
      <c r="C164" t="s">
        <v>408</v>
      </c>
      <c r="D164">
        <v>150</v>
      </c>
      <c r="E164">
        <v>0</v>
      </c>
      <c r="H164">
        <v>360.85</v>
      </c>
      <c r="I164">
        <v>6.32</v>
      </c>
      <c r="J164" s="2">
        <f t="shared" si="10"/>
        <v>6.4996479999999996</v>
      </c>
      <c r="K164">
        <v>2.2999999999999998</v>
      </c>
      <c r="L164">
        <v>1.33</v>
      </c>
      <c r="M164">
        <v>0</v>
      </c>
      <c r="N164">
        <v>0</v>
      </c>
      <c r="O164">
        <v>1.7108000000000001</v>
      </c>
      <c r="P164" s="2">
        <f t="shared" si="11"/>
        <v>5.6130239999999993</v>
      </c>
      <c r="Q164" s="2">
        <f t="shared" si="12"/>
        <v>5.3537988400000005</v>
      </c>
      <c r="R164" s="2">
        <f t="shared" si="13"/>
        <v>6.5559520000000004</v>
      </c>
      <c r="S164" s="2">
        <f t="shared" si="14"/>
        <v>4.2939879999999997</v>
      </c>
    </row>
    <row r="165" spans="1:19" x14ac:dyDescent="0.25">
      <c r="A165" t="s">
        <v>409</v>
      </c>
      <c r="B165">
        <v>151</v>
      </c>
      <c r="C165" t="s">
        <v>410</v>
      </c>
      <c r="D165">
        <v>151</v>
      </c>
      <c r="E165">
        <v>0</v>
      </c>
      <c r="H165">
        <v>360.85</v>
      </c>
      <c r="I165">
        <v>6.64</v>
      </c>
      <c r="J165" s="2">
        <f t="shared" si="10"/>
        <v>6.6564370000000004</v>
      </c>
      <c r="K165">
        <v>2.27</v>
      </c>
      <c r="L165">
        <v>1.48</v>
      </c>
      <c r="M165">
        <v>0</v>
      </c>
      <c r="N165">
        <v>0</v>
      </c>
      <c r="O165">
        <v>1.7977000000000001</v>
      </c>
      <c r="P165" s="2">
        <f t="shared" si="11"/>
        <v>5.6701559999999995</v>
      </c>
      <c r="Q165" s="2">
        <f t="shared" si="12"/>
        <v>5.3516574600000002</v>
      </c>
      <c r="R165" s="2">
        <f t="shared" si="13"/>
        <v>6.8026380000000009</v>
      </c>
      <c r="S165" s="2">
        <f t="shared" si="14"/>
        <v>4.4291220000000004</v>
      </c>
    </row>
    <row r="166" spans="1:19" x14ac:dyDescent="0.25">
      <c r="A166" t="s">
        <v>411</v>
      </c>
      <c r="B166">
        <v>152</v>
      </c>
      <c r="C166" t="s">
        <v>412</v>
      </c>
      <c r="D166">
        <v>152</v>
      </c>
      <c r="E166">
        <v>0</v>
      </c>
      <c r="H166">
        <v>360.85</v>
      </c>
      <c r="I166">
        <v>6.22</v>
      </c>
      <c r="J166" s="2">
        <f t="shared" si="10"/>
        <v>6.4996479999999996</v>
      </c>
      <c r="K166">
        <v>2.2999999999999998</v>
      </c>
      <c r="L166">
        <v>1.33</v>
      </c>
      <c r="M166">
        <v>0</v>
      </c>
      <c r="N166">
        <v>0</v>
      </c>
      <c r="O166">
        <v>1.7108000000000001</v>
      </c>
      <c r="P166" s="2">
        <f t="shared" si="11"/>
        <v>5.6130239999999993</v>
      </c>
      <c r="Q166" s="2">
        <f t="shared" si="12"/>
        <v>5.3537988400000005</v>
      </c>
      <c r="R166" s="2">
        <f t="shared" si="13"/>
        <v>6.5559520000000004</v>
      </c>
      <c r="S166" s="2">
        <f t="shared" si="14"/>
        <v>4.2939879999999997</v>
      </c>
    </row>
    <row r="167" spans="1:19" x14ac:dyDescent="0.25">
      <c r="A167" t="s">
        <v>413</v>
      </c>
      <c r="B167">
        <v>153</v>
      </c>
      <c r="C167" t="s">
        <v>414</v>
      </c>
      <c r="D167">
        <v>153</v>
      </c>
      <c r="E167">
        <v>0</v>
      </c>
      <c r="G167">
        <v>3.0000000000000001E-3</v>
      </c>
      <c r="H167">
        <v>360.85</v>
      </c>
      <c r="I167">
        <v>6.92</v>
      </c>
      <c r="J167" s="2">
        <f t="shared" si="10"/>
        <v>6.8118259999999999</v>
      </c>
      <c r="K167">
        <v>2.2000000000000002</v>
      </c>
      <c r="L167">
        <v>1.61</v>
      </c>
      <c r="M167">
        <v>0</v>
      </c>
      <c r="N167">
        <v>0</v>
      </c>
      <c r="O167">
        <v>1.8846000000000001</v>
      </c>
      <c r="P167" s="2">
        <f t="shared" si="11"/>
        <v>5.6976880000000003</v>
      </c>
      <c r="Q167" s="2">
        <f t="shared" si="12"/>
        <v>5.325410080000001</v>
      </c>
      <c r="R167" s="2">
        <f t="shared" si="13"/>
        <v>7.036124</v>
      </c>
      <c r="S167" s="2">
        <f t="shared" si="14"/>
        <v>4.5516560000000004</v>
      </c>
    </row>
    <row r="168" spans="1:19" x14ac:dyDescent="0.25">
      <c r="A168" t="s">
        <v>415</v>
      </c>
      <c r="B168">
        <v>154</v>
      </c>
      <c r="C168" t="s">
        <v>416</v>
      </c>
      <c r="D168">
        <v>154</v>
      </c>
      <c r="E168">
        <v>0</v>
      </c>
      <c r="H168">
        <v>360.85</v>
      </c>
      <c r="I168">
        <v>6.76</v>
      </c>
      <c r="J168" s="2">
        <f t="shared" si="10"/>
        <v>6.6564370000000004</v>
      </c>
      <c r="K168">
        <v>2.27</v>
      </c>
      <c r="L168">
        <v>1.48</v>
      </c>
      <c r="M168">
        <v>0</v>
      </c>
      <c r="N168">
        <v>0</v>
      </c>
      <c r="O168">
        <v>1.7977000000000001</v>
      </c>
      <c r="P168" s="2">
        <f t="shared" si="11"/>
        <v>5.6701559999999995</v>
      </c>
      <c r="Q168" s="2">
        <f t="shared" si="12"/>
        <v>5.3516574600000002</v>
      </c>
      <c r="R168" s="2">
        <f t="shared" si="13"/>
        <v>6.8026380000000009</v>
      </c>
      <c r="S168" s="2">
        <f t="shared" si="14"/>
        <v>4.4291220000000004</v>
      </c>
    </row>
    <row r="169" spans="1:19" x14ac:dyDescent="0.25">
      <c r="A169" t="s">
        <v>417</v>
      </c>
      <c r="B169">
        <v>155</v>
      </c>
      <c r="C169" t="s">
        <v>418</v>
      </c>
      <c r="D169">
        <v>155</v>
      </c>
      <c r="E169">
        <v>0</v>
      </c>
      <c r="H169">
        <v>360.85</v>
      </c>
      <c r="I169">
        <v>6.41</v>
      </c>
      <c r="J169" s="2">
        <f t="shared" si="10"/>
        <v>6.9128660000000011</v>
      </c>
      <c r="K169">
        <v>2.12</v>
      </c>
      <c r="L169">
        <v>1.74</v>
      </c>
      <c r="M169">
        <v>0</v>
      </c>
      <c r="N169">
        <v>0.11</v>
      </c>
      <c r="O169">
        <v>2.0586000000000002</v>
      </c>
      <c r="P169" s="2">
        <f t="shared" si="11"/>
        <v>5.6950080000000005</v>
      </c>
      <c r="Q169" s="2">
        <f t="shared" si="12"/>
        <v>5.183224280000001</v>
      </c>
      <c r="R169" s="2">
        <f t="shared" si="13"/>
        <v>7.2328840000000003</v>
      </c>
      <c r="S169" s="2">
        <f t="shared" si="14"/>
        <v>4.644196</v>
      </c>
    </row>
    <row r="170" spans="1:19" x14ac:dyDescent="0.25">
      <c r="A170" t="s">
        <v>419</v>
      </c>
      <c r="B170">
        <v>156</v>
      </c>
      <c r="C170" t="s">
        <v>420</v>
      </c>
      <c r="D170">
        <v>156</v>
      </c>
      <c r="E170">
        <v>0</v>
      </c>
      <c r="F170">
        <v>3.0000000000000001E-5</v>
      </c>
      <c r="G170">
        <v>1.7600000000000001E-5</v>
      </c>
      <c r="H170">
        <v>360.85</v>
      </c>
      <c r="I170">
        <v>7.18</v>
      </c>
      <c r="J170" s="2">
        <f t="shared" si="10"/>
        <v>6.8783150000000006</v>
      </c>
      <c r="K170">
        <v>2.14</v>
      </c>
      <c r="L170">
        <v>1.83</v>
      </c>
      <c r="M170">
        <v>0</v>
      </c>
      <c r="N170">
        <v>0</v>
      </c>
      <c r="O170">
        <v>1.9715</v>
      </c>
      <c r="P170" s="2">
        <f t="shared" si="11"/>
        <v>5.6714199999999995</v>
      </c>
      <c r="Q170" s="2">
        <f t="shared" si="12"/>
        <v>5.2556597000000007</v>
      </c>
      <c r="R170" s="2">
        <f t="shared" si="13"/>
        <v>7.2287099999999995</v>
      </c>
      <c r="S170" s="2">
        <f t="shared" si="14"/>
        <v>4.6237900000000005</v>
      </c>
    </row>
    <row r="171" spans="1:19" x14ac:dyDescent="0.25">
      <c r="A171" t="s">
        <v>421</v>
      </c>
      <c r="B171">
        <v>157</v>
      </c>
      <c r="C171" t="s">
        <v>422</v>
      </c>
      <c r="D171">
        <v>157</v>
      </c>
      <c r="E171">
        <v>0</v>
      </c>
      <c r="F171">
        <v>3.0000000000000001E-5</v>
      </c>
      <c r="G171">
        <v>7.9200000000000004E-6</v>
      </c>
      <c r="H171">
        <v>360.85</v>
      </c>
      <c r="I171">
        <v>7.18</v>
      </c>
      <c r="J171" s="2">
        <f t="shared" si="10"/>
        <v>6.8783150000000006</v>
      </c>
      <c r="K171">
        <v>2.14</v>
      </c>
      <c r="L171">
        <v>1.83</v>
      </c>
      <c r="M171">
        <v>0</v>
      </c>
      <c r="N171">
        <v>0</v>
      </c>
      <c r="O171">
        <v>1.9715</v>
      </c>
      <c r="P171" s="2">
        <f t="shared" si="11"/>
        <v>5.6714199999999995</v>
      </c>
      <c r="Q171" s="2">
        <f t="shared" si="12"/>
        <v>5.2556597000000007</v>
      </c>
      <c r="R171" s="2">
        <f t="shared" si="13"/>
        <v>7.2287099999999995</v>
      </c>
      <c r="S171" s="2">
        <f t="shared" si="14"/>
        <v>4.6237900000000005</v>
      </c>
    </row>
    <row r="172" spans="1:19" x14ac:dyDescent="0.25">
      <c r="A172" t="s">
        <v>423</v>
      </c>
      <c r="B172">
        <v>158</v>
      </c>
      <c r="C172" t="s">
        <v>424</v>
      </c>
      <c r="D172">
        <v>158</v>
      </c>
      <c r="E172">
        <v>0</v>
      </c>
      <c r="H172">
        <v>360.85</v>
      </c>
      <c r="I172">
        <v>7.02</v>
      </c>
      <c r="J172" s="2">
        <f t="shared" si="10"/>
        <v>6.8118259999999999</v>
      </c>
      <c r="K172">
        <v>2.2000000000000002</v>
      </c>
      <c r="L172">
        <v>1.61</v>
      </c>
      <c r="M172">
        <v>0</v>
      </c>
      <c r="N172">
        <v>0</v>
      </c>
      <c r="O172">
        <v>1.8846000000000001</v>
      </c>
      <c r="P172" s="2">
        <f t="shared" si="11"/>
        <v>5.6976880000000003</v>
      </c>
      <c r="Q172" s="2">
        <f t="shared" si="12"/>
        <v>5.325410080000001</v>
      </c>
      <c r="R172" s="2">
        <f t="shared" si="13"/>
        <v>7.036124</v>
      </c>
      <c r="S172" s="2">
        <f t="shared" si="14"/>
        <v>4.5516560000000004</v>
      </c>
    </row>
    <row r="173" spans="1:19" x14ac:dyDescent="0.25">
      <c r="A173" t="s">
        <v>425</v>
      </c>
      <c r="B173">
        <v>159</v>
      </c>
      <c r="C173" t="s">
        <v>426</v>
      </c>
      <c r="D173">
        <v>159</v>
      </c>
      <c r="E173">
        <v>0</v>
      </c>
      <c r="H173">
        <v>360.85</v>
      </c>
      <c r="I173">
        <v>7.24</v>
      </c>
      <c r="J173" s="2">
        <f t="shared" si="10"/>
        <v>6.8783150000000006</v>
      </c>
      <c r="K173">
        <v>2.14</v>
      </c>
      <c r="L173">
        <v>1.83</v>
      </c>
      <c r="M173">
        <v>0</v>
      </c>
      <c r="N173">
        <v>0</v>
      </c>
      <c r="O173">
        <v>1.9715</v>
      </c>
      <c r="P173" s="2">
        <f t="shared" si="11"/>
        <v>5.6714199999999995</v>
      </c>
      <c r="Q173" s="2">
        <f t="shared" si="12"/>
        <v>5.2556597000000007</v>
      </c>
      <c r="R173" s="2">
        <f t="shared" si="13"/>
        <v>7.2287099999999995</v>
      </c>
      <c r="S173" s="2">
        <f t="shared" si="14"/>
        <v>4.6237900000000005</v>
      </c>
    </row>
    <row r="174" spans="1:19" x14ac:dyDescent="0.25">
      <c r="A174" t="s">
        <v>427</v>
      </c>
      <c r="B174">
        <v>160</v>
      </c>
      <c r="C174" t="s">
        <v>428</v>
      </c>
      <c r="D174">
        <v>160</v>
      </c>
      <c r="E174">
        <v>0</v>
      </c>
      <c r="H174">
        <v>360.85</v>
      </c>
      <c r="I174">
        <v>6.93</v>
      </c>
      <c r="J174" s="2">
        <f t="shared" si="10"/>
        <v>6.8118259999999999</v>
      </c>
      <c r="K174">
        <v>2.2000000000000002</v>
      </c>
      <c r="L174">
        <v>1.61</v>
      </c>
      <c r="M174">
        <v>0</v>
      </c>
      <c r="N174">
        <v>0</v>
      </c>
      <c r="O174">
        <v>1.8846000000000001</v>
      </c>
      <c r="P174" s="2">
        <f t="shared" si="11"/>
        <v>5.6976880000000003</v>
      </c>
      <c r="Q174" s="2">
        <f t="shared" si="12"/>
        <v>5.325410080000001</v>
      </c>
      <c r="R174" s="2">
        <f t="shared" si="13"/>
        <v>7.036124</v>
      </c>
      <c r="S174" s="2">
        <f t="shared" si="14"/>
        <v>4.5516560000000004</v>
      </c>
    </row>
    <row r="175" spans="1:19" x14ac:dyDescent="0.25">
      <c r="A175" t="s">
        <v>429</v>
      </c>
      <c r="B175">
        <v>161</v>
      </c>
      <c r="C175" t="s">
        <v>430</v>
      </c>
      <c r="D175">
        <v>161</v>
      </c>
      <c r="E175">
        <v>0</v>
      </c>
      <c r="H175">
        <v>360.85</v>
      </c>
      <c r="I175">
        <v>7.08</v>
      </c>
      <c r="J175" s="2">
        <f t="shared" si="10"/>
        <v>6.8118259999999999</v>
      </c>
      <c r="K175">
        <v>2.2000000000000002</v>
      </c>
      <c r="L175">
        <v>1.61</v>
      </c>
      <c r="M175">
        <v>0</v>
      </c>
      <c r="N175">
        <v>0</v>
      </c>
      <c r="O175">
        <v>1.8846000000000001</v>
      </c>
      <c r="P175" s="2">
        <f t="shared" si="11"/>
        <v>5.6976880000000003</v>
      </c>
      <c r="Q175" s="2">
        <f t="shared" si="12"/>
        <v>5.325410080000001</v>
      </c>
      <c r="R175" s="2">
        <f t="shared" si="13"/>
        <v>7.036124</v>
      </c>
      <c r="S175" s="2">
        <f t="shared" si="14"/>
        <v>4.5516560000000004</v>
      </c>
    </row>
    <row r="176" spans="1:19" x14ac:dyDescent="0.25">
      <c r="A176" t="s">
        <v>431</v>
      </c>
      <c r="B176">
        <v>162</v>
      </c>
      <c r="C176" t="s">
        <v>432</v>
      </c>
      <c r="D176">
        <v>162</v>
      </c>
      <c r="E176">
        <v>0</v>
      </c>
      <c r="H176">
        <v>360.85</v>
      </c>
      <c r="I176">
        <v>7.24</v>
      </c>
      <c r="J176" s="2">
        <f t="shared" si="10"/>
        <v>6.8783150000000006</v>
      </c>
      <c r="K176">
        <v>2.14</v>
      </c>
      <c r="L176">
        <v>1.83</v>
      </c>
      <c r="M176">
        <v>0</v>
      </c>
      <c r="N176">
        <v>0</v>
      </c>
      <c r="O176">
        <v>1.9715</v>
      </c>
      <c r="P176" s="2">
        <f t="shared" si="11"/>
        <v>5.6714199999999995</v>
      </c>
      <c r="Q176" s="2">
        <f t="shared" si="12"/>
        <v>5.2556597000000007</v>
      </c>
      <c r="R176" s="2">
        <f t="shared" si="13"/>
        <v>7.2287099999999995</v>
      </c>
      <c r="S176" s="2">
        <f t="shared" si="14"/>
        <v>4.6237900000000005</v>
      </c>
    </row>
    <row r="177" spans="1:19" x14ac:dyDescent="0.25">
      <c r="A177" t="s">
        <v>433</v>
      </c>
      <c r="B177">
        <v>163</v>
      </c>
      <c r="C177" t="s">
        <v>434</v>
      </c>
      <c r="D177">
        <v>163</v>
      </c>
      <c r="E177">
        <v>0</v>
      </c>
      <c r="H177">
        <v>360.85</v>
      </c>
      <c r="I177">
        <v>6.99</v>
      </c>
      <c r="J177" s="2">
        <f t="shared" si="10"/>
        <v>6.8118259999999999</v>
      </c>
      <c r="K177">
        <v>2.2000000000000002</v>
      </c>
      <c r="L177">
        <v>1.61</v>
      </c>
      <c r="M177">
        <v>0</v>
      </c>
      <c r="N177">
        <v>0</v>
      </c>
      <c r="O177">
        <v>1.8846000000000001</v>
      </c>
      <c r="P177" s="2">
        <f t="shared" si="11"/>
        <v>5.6976880000000003</v>
      </c>
      <c r="Q177" s="2">
        <f t="shared" si="12"/>
        <v>5.325410080000001</v>
      </c>
      <c r="R177" s="2">
        <f t="shared" si="13"/>
        <v>7.036124</v>
      </c>
      <c r="S177" s="2">
        <f t="shared" si="14"/>
        <v>4.5516560000000004</v>
      </c>
    </row>
    <row r="178" spans="1:19" x14ac:dyDescent="0.25">
      <c r="A178" t="s">
        <v>435</v>
      </c>
      <c r="B178">
        <v>164</v>
      </c>
      <c r="C178" t="s">
        <v>436</v>
      </c>
      <c r="D178">
        <v>164</v>
      </c>
      <c r="E178">
        <v>0</v>
      </c>
      <c r="H178">
        <v>360.85</v>
      </c>
      <c r="I178">
        <v>7.02</v>
      </c>
      <c r="J178" s="2">
        <f t="shared" si="10"/>
        <v>6.8118259999999999</v>
      </c>
      <c r="K178">
        <v>2.2000000000000002</v>
      </c>
      <c r="L178">
        <v>1.61</v>
      </c>
      <c r="M178">
        <v>0</v>
      </c>
      <c r="N178">
        <v>0</v>
      </c>
      <c r="O178">
        <v>1.8846000000000001</v>
      </c>
      <c r="P178" s="2">
        <f t="shared" si="11"/>
        <v>5.6976880000000003</v>
      </c>
      <c r="Q178" s="2">
        <f t="shared" si="12"/>
        <v>5.325410080000001</v>
      </c>
      <c r="R178" s="2">
        <f t="shared" si="13"/>
        <v>7.036124</v>
      </c>
      <c r="S178" s="2">
        <f t="shared" si="14"/>
        <v>4.5516560000000004</v>
      </c>
    </row>
    <row r="179" spans="1:19" x14ac:dyDescent="0.25">
      <c r="A179" t="s">
        <v>437</v>
      </c>
      <c r="B179">
        <v>165</v>
      </c>
      <c r="C179" t="s">
        <v>438</v>
      </c>
      <c r="D179">
        <v>165</v>
      </c>
      <c r="E179">
        <v>0</v>
      </c>
      <c r="H179">
        <v>360.85</v>
      </c>
      <c r="I179">
        <v>7.05</v>
      </c>
      <c r="J179" s="2">
        <f t="shared" si="10"/>
        <v>6.8118259999999999</v>
      </c>
      <c r="K179">
        <v>2.2000000000000002</v>
      </c>
      <c r="L179">
        <v>1.61</v>
      </c>
      <c r="M179">
        <v>0</v>
      </c>
      <c r="N179">
        <v>0</v>
      </c>
      <c r="O179">
        <v>1.8846000000000001</v>
      </c>
      <c r="P179" s="2">
        <f t="shared" si="11"/>
        <v>5.6976880000000003</v>
      </c>
      <c r="Q179" s="2">
        <f t="shared" si="12"/>
        <v>5.325410080000001</v>
      </c>
      <c r="R179" s="2">
        <f t="shared" si="13"/>
        <v>7.036124</v>
      </c>
      <c r="S179" s="2">
        <f t="shared" si="14"/>
        <v>4.5516560000000004</v>
      </c>
    </row>
    <row r="180" spans="1:19" x14ac:dyDescent="0.25">
      <c r="A180" t="s">
        <v>439</v>
      </c>
      <c r="B180">
        <v>166</v>
      </c>
      <c r="C180" t="s">
        <v>440</v>
      </c>
      <c r="D180">
        <v>166</v>
      </c>
      <c r="E180">
        <v>0</v>
      </c>
      <c r="H180">
        <v>360.85</v>
      </c>
      <c r="I180">
        <v>6.93</v>
      </c>
      <c r="J180" s="2">
        <f t="shared" si="10"/>
        <v>6.8118259999999999</v>
      </c>
      <c r="K180">
        <v>2.2000000000000002</v>
      </c>
      <c r="L180">
        <v>1.61</v>
      </c>
      <c r="M180">
        <v>0</v>
      </c>
      <c r="N180">
        <v>0</v>
      </c>
      <c r="O180">
        <v>1.8846000000000001</v>
      </c>
      <c r="P180" s="2">
        <f t="shared" si="11"/>
        <v>5.6976880000000003</v>
      </c>
      <c r="Q180" s="2">
        <f t="shared" si="12"/>
        <v>5.325410080000001</v>
      </c>
      <c r="R180" s="2">
        <f t="shared" si="13"/>
        <v>7.036124</v>
      </c>
      <c r="S180" s="2">
        <f t="shared" si="14"/>
        <v>4.5516560000000004</v>
      </c>
    </row>
    <row r="181" spans="1:19" x14ac:dyDescent="0.25">
      <c r="A181" t="s">
        <v>441</v>
      </c>
      <c r="B181">
        <v>167</v>
      </c>
      <c r="C181" t="s">
        <v>442</v>
      </c>
      <c r="D181">
        <v>167</v>
      </c>
      <c r="E181">
        <v>0</v>
      </c>
      <c r="F181">
        <v>3.0000000000000001E-5</v>
      </c>
      <c r="G181">
        <v>4.9599999999999999E-6</v>
      </c>
      <c r="H181">
        <v>360.85</v>
      </c>
      <c r="I181">
        <v>7.27</v>
      </c>
      <c r="J181" s="2">
        <f t="shared" si="10"/>
        <v>6.8783150000000006</v>
      </c>
      <c r="K181">
        <v>2.14</v>
      </c>
      <c r="L181">
        <v>1.83</v>
      </c>
      <c r="M181">
        <v>0</v>
      </c>
      <c r="N181">
        <v>0</v>
      </c>
      <c r="O181">
        <v>1.9715</v>
      </c>
      <c r="P181" s="2">
        <f t="shared" si="11"/>
        <v>5.6714199999999995</v>
      </c>
      <c r="Q181" s="2">
        <f t="shared" si="12"/>
        <v>5.2556597000000007</v>
      </c>
      <c r="R181" s="2">
        <f t="shared" si="13"/>
        <v>7.2287099999999995</v>
      </c>
      <c r="S181" s="2">
        <f t="shared" si="14"/>
        <v>4.6237900000000005</v>
      </c>
    </row>
    <row r="182" spans="1:19" x14ac:dyDescent="0.25">
      <c r="A182" t="s">
        <v>443</v>
      </c>
      <c r="B182">
        <v>168</v>
      </c>
      <c r="C182" t="s">
        <v>444</v>
      </c>
      <c r="D182">
        <v>168</v>
      </c>
      <c r="E182">
        <v>0</v>
      </c>
      <c r="H182">
        <v>360.85</v>
      </c>
      <c r="I182">
        <v>7.11</v>
      </c>
      <c r="J182" s="2">
        <f t="shared" si="10"/>
        <v>6.6564370000000004</v>
      </c>
      <c r="K182">
        <v>2.27</v>
      </c>
      <c r="L182">
        <v>1.48</v>
      </c>
      <c r="M182">
        <v>0</v>
      </c>
      <c r="N182">
        <v>0</v>
      </c>
      <c r="O182">
        <v>1.7977000000000001</v>
      </c>
      <c r="P182" s="2">
        <f t="shared" si="11"/>
        <v>5.6701559999999995</v>
      </c>
      <c r="Q182" s="2">
        <f t="shared" si="12"/>
        <v>5.3516574600000002</v>
      </c>
      <c r="R182" s="2">
        <f t="shared" si="13"/>
        <v>6.8026380000000009</v>
      </c>
      <c r="S182" s="2">
        <f t="shared" si="14"/>
        <v>4.4291220000000004</v>
      </c>
    </row>
    <row r="183" spans="1:19" x14ac:dyDescent="0.25">
      <c r="A183" t="s">
        <v>445</v>
      </c>
      <c r="B183">
        <v>169</v>
      </c>
      <c r="C183" t="s">
        <v>446</v>
      </c>
      <c r="D183">
        <v>169</v>
      </c>
      <c r="E183">
        <v>0</v>
      </c>
      <c r="F183">
        <v>0.03</v>
      </c>
      <c r="G183">
        <v>9.9999999999999995E-7</v>
      </c>
      <c r="H183">
        <v>360.85</v>
      </c>
      <c r="I183">
        <v>7.42</v>
      </c>
      <c r="J183" s="2">
        <f t="shared" si="10"/>
        <v>6.9770039999999991</v>
      </c>
      <c r="K183">
        <v>2.1</v>
      </c>
      <c r="L183">
        <v>2.0299999999999998</v>
      </c>
      <c r="M183">
        <v>0</v>
      </c>
      <c r="N183">
        <v>0</v>
      </c>
      <c r="O183">
        <v>2.0583999999999998</v>
      </c>
      <c r="P183" s="2">
        <f t="shared" si="11"/>
        <v>5.6815519999999999</v>
      </c>
      <c r="Q183" s="2">
        <f t="shared" si="12"/>
        <v>5.2154433200000003</v>
      </c>
      <c r="R183" s="2">
        <f t="shared" si="13"/>
        <v>7.4434959999999997</v>
      </c>
      <c r="S183" s="2">
        <f t="shared" si="14"/>
        <v>4.7211239999999997</v>
      </c>
    </row>
    <row r="184" spans="1:19" x14ac:dyDescent="0.25">
      <c r="A184" t="s">
        <v>447</v>
      </c>
      <c r="B184">
        <v>170</v>
      </c>
      <c r="C184" t="s">
        <v>448</v>
      </c>
      <c r="D184">
        <v>170</v>
      </c>
      <c r="E184">
        <v>0</v>
      </c>
      <c r="G184">
        <v>1E-4</v>
      </c>
      <c r="H184">
        <v>395.29</v>
      </c>
      <c r="I184">
        <v>7.27</v>
      </c>
      <c r="J184" s="2">
        <f t="shared" si="10"/>
        <v>7.2095700000000003</v>
      </c>
      <c r="K184">
        <v>2.34</v>
      </c>
      <c r="L184">
        <v>1.75</v>
      </c>
      <c r="M184">
        <v>0</v>
      </c>
      <c r="N184">
        <v>0</v>
      </c>
      <c r="O184">
        <v>2.0070000000000001</v>
      </c>
      <c r="P184" s="2">
        <f t="shared" si="11"/>
        <v>6.02996</v>
      </c>
      <c r="Q184" s="2">
        <f t="shared" si="12"/>
        <v>5.5268636000000004</v>
      </c>
      <c r="R184" s="2">
        <f t="shared" si="13"/>
        <v>7.5281800000000008</v>
      </c>
      <c r="S184" s="2">
        <f t="shared" si="14"/>
        <v>4.9017200000000001</v>
      </c>
    </row>
    <row r="185" spans="1:19" x14ac:dyDescent="0.25">
      <c r="A185" t="s">
        <v>449</v>
      </c>
      <c r="B185">
        <v>171</v>
      </c>
      <c r="C185" t="s">
        <v>450</v>
      </c>
      <c r="D185">
        <v>171</v>
      </c>
      <c r="E185">
        <v>2.78</v>
      </c>
      <c r="H185">
        <v>395.29</v>
      </c>
      <c r="I185">
        <v>7.11</v>
      </c>
      <c r="J185" s="2">
        <f t="shared" si="10"/>
        <v>7.2095700000000003</v>
      </c>
      <c r="K185">
        <v>2.34</v>
      </c>
      <c r="L185">
        <v>1.75</v>
      </c>
      <c r="M185">
        <v>0</v>
      </c>
      <c r="N185">
        <v>0</v>
      </c>
      <c r="O185">
        <v>2.0070000000000001</v>
      </c>
      <c r="P185" s="2">
        <f t="shared" si="11"/>
        <v>6.02996</v>
      </c>
      <c r="Q185" s="2">
        <f t="shared" si="12"/>
        <v>5.5268636000000004</v>
      </c>
      <c r="R185" s="2">
        <f t="shared" si="13"/>
        <v>7.5281800000000008</v>
      </c>
      <c r="S185" s="2">
        <f t="shared" si="14"/>
        <v>4.9017200000000001</v>
      </c>
    </row>
    <row r="186" spans="1:19" x14ac:dyDescent="0.25">
      <c r="A186" t="s">
        <v>451</v>
      </c>
      <c r="B186">
        <v>172</v>
      </c>
      <c r="C186" t="s">
        <v>452</v>
      </c>
      <c r="D186">
        <v>172</v>
      </c>
      <c r="E186">
        <v>0</v>
      </c>
      <c r="H186">
        <v>395.29</v>
      </c>
      <c r="I186">
        <v>7.33</v>
      </c>
      <c r="J186" s="2">
        <f t="shared" si="10"/>
        <v>7.2095700000000003</v>
      </c>
      <c r="K186">
        <v>2.34</v>
      </c>
      <c r="L186">
        <v>1.75</v>
      </c>
      <c r="M186">
        <v>0</v>
      </c>
      <c r="N186">
        <v>0</v>
      </c>
      <c r="O186">
        <v>2.0070000000000001</v>
      </c>
      <c r="P186" s="2">
        <f t="shared" si="11"/>
        <v>6.02996</v>
      </c>
      <c r="Q186" s="2">
        <f t="shared" si="12"/>
        <v>5.5268636000000004</v>
      </c>
      <c r="R186" s="2">
        <f t="shared" si="13"/>
        <v>7.5281800000000008</v>
      </c>
      <c r="S186" s="2">
        <f t="shared" si="14"/>
        <v>4.9017200000000001</v>
      </c>
    </row>
    <row r="187" spans="1:19" x14ac:dyDescent="0.25">
      <c r="A187" t="s">
        <v>453</v>
      </c>
      <c r="B187">
        <v>173</v>
      </c>
      <c r="C187" t="s">
        <v>454</v>
      </c>
      <c r="D187">
        <v>173</v>
      </c>
      <c r="E187">
        <v>0</v>
      </c>
      <c r="H187">
        <v>395.29</v>
      </c>
      <c r="I187">
        <v>7.02</v>
      </c>
      <c r="J187" s="2">
        <f t="shared" si="10"/>
        <v>7.2095700000000003</v>
      </c>
      <c r="K187">
        <v>2.34</v>
      </c>
      <c r="L187">
        <v>1.75</v>
      </c>
      <c r="M187">
        <v>0</v>
      </c>
      <c r="N187">
        <v>0</v>
      </c>
      <c r="O187">
        <v>2.0070000000000001</v>
      </c>
      <c r="P187" s="2">
        <f t="shared" si="11"/>
        <v>6.02996</v>
      </c>
      <c r="Q187" s="2">
        <f t="shared" si="12"/>
        <v>5.5268636000000004</v>
      </c>
      <c r="R187" s="2">
        <f t="shared" si="13"/>
        <v>7.5281800000000008</v>
      </c>
      <c r="S187" s="2">
        <f t="shared" si="14"/>
        <v>4.9017200000000001</v>
      </c>
    </row>
    <row r="188" spans="1:19" x14ac:dyDescent="0.25">
      <c r="A188" t="s">
        <v>455</v>
      </c>
      <c r="B188">
        <v>174</v>
      </c>
      <c r="C188" t="s">
        <v>456</v>
      </c>
      <c r="D188">
        <v>174</v>
      </c>
      <c r="E188">
        <v>0</v>
      </c>
      <c r="H188">
        <v>395.29</v>
      </c>
      <c r="I188">
        <v>7.11</v>
      </c>
      <c r="J188" s="2">
        <f t="shared" si="10"/>
        <v>7.0702809999999996</v>
      </c>
      <c r="K188">
        <v>2.42</v>
      </c>
      <c r="L188">
        <v>1.61</v>
      </c>
      <c r="M188">
        <v>0</v>
      </c>
      <c r="N188">
        <v>0</v>
      </c>
      <c r="O188">
        <v>1.9200999999999999</v>
      </c>
      <c r="P188" s="2">
        <f t="shared" si="11"/>
        <v>6.0206279999999985</v>
      </c>
      <c r="Q188" s="2">
        <f t="shared" si="12"/>
        <v>5.5678779800000004</v>
      </c>
      <c r="R188" s="2">
        <f t="shared" si="13"/>
        <v>7.3057940000000006</v>
      </c>
      <c r="S188" s="2">
        <f t="shared" si="14"/>
        <v>4.7917859999999992</v>
      </c>
    </row>
    <row r="189" spans="1:19" x14ac:dyDescent="0.25">
      <c r="A189" t="s">
        <v>457</v>
      </c>
      <c r="B189">
        <v>175</v>
      </c>
      <c r="C189" t="s">
        <v>458</v>
      </c>
      <c r="D189">
        <v>175</v>
      </c>
      <c r="E189">
        <v>0</v>
      </c>
      <c r="H189">
        <v>395.29</v>
      </c>
      <c r="I189">
        <v>7.17</v>
      </c>
      <c r="J189" s="2">
        <f t="shared" si="10"/>
        <v>7.0702809999999996</v>
      </c>
      <c r="K189">
        <v>2.42</v>
      </c>
      <c r="L189">
        <v>1.61</v>
      </c>
      <c r="M189">
        <v>0</v>
      </c>
      <c r="N189">
        <v>0</v>
      </c>
      <c r="O189">
        <v>1.9200999999999999</v>
      </c>
      <c r="P189" s="2">
        <f t="shared" si="11"/>
        <v>6.0206279999999985</v>
      </c>
      <c r="Q189" s="2">
        <f t="shared" si="12"/>
        <v>5.5678779800000004</v>
      </c>
      <c r="R189" s="2">
        <f t="shared" si="13"/>
        <v>7.3057940000000006</v>
      </c>
      <c r="S189" s="2">
        <f t="shared" si="14"/>
        <v>4.7917859999999992</v>
      </c>
    </row>
    <row r="190" spans="1:19" x14ac:dyDescent="0.25">
      <c r="A190" t="s">
        <v>459</v>
      </c>
      <c r="B190">
        <v>176</v>
      </c>
      <c r="C190" t="s">
        <v>460</v>
      </c>
      <c r="D190">
        <v>176</v>
      </c>
      <c r="E190">
        <v>0</v>
      </c>
      <c r="H190">
        <v>395.29</v>
      </c>
      <c r="I190">
        <v>6.76</v>
      </c>
      <c r="J190" s="2">
        <f t="shared" si="10"/>
        <v>6.9400919999999999</v>
      </c>
      <c r="K190">
        <v>2.46</v>
      </c>
      <c r="L190">
        <v>1.44</v>
      </c>
      <c r="M190">
        <v>0</v>
      </c>
      <c r="N190">
        <v>0</v>
      </c>
      <c r="O190">
        <v>1.8331999999999999</v>
      </c>
      <c r="P190" s="2">
        <f t="shared" si="11"/>
        <v>5.9888959999999996</v>
      </c>
      <c r="Q190" s="2">
        <f t="shared" si="12"/>
        <v>5.5906133600000008</v>
      </c>
      <c r="R190" s="2">
        <f t="shared" si="13"/>
        <v>7.0754079999999995</v>
      </c>
      <c r="S190" s="2">
        <f t="shared" si="14"/>
        <v>4.6755519999999997</v>
      </c>
    </row>
    <row r="191" spans="1:19" x14ac:dyDescent="0.25">
      <c r="A191" t="s">
        <v>461</v>
      </c>
      <c r="B191">
        <v>177</v>
      </c>
      <c r="C191" t="s">
        <v>462</v>
      </c>
      <c r="D191">
        <v>177</v>
      </c>
      <c r="E191">
        <v>0</v>
      </c>
      <c r="H191">
        <v>395.29</v>
      </c>
      <c r="I191">
        <v>7.08</v>
      </c>
      <c r="J191" s="2">
        <f t="shared" si="10"/>
        <v>7.0702809999999996</v>
      </c>
      <c r="K191">
        <v>2.42</v>
      </c>
      <c r="L191">
        <v>1.61</v>
      </c>
      <c r="M191">
        <v>0</v>
      </c>
      <c r="N191">
        <v>0</v>
      </c>
      <c r="O191">
        <v>1.9200999999999999</v>
      </c>
      <c r="P191" s="2">
        <f t="shared" si="11"/>
        <v>6.0206279999999985</v>
      </c>
      <c r="Q191" s="2">
        <f t="shared" si="12"/>
        <v>5.5678779800000004</v>
      </c>
      <c r="R191" s="2">
        <f t="shared" si="13"/>
        <v>7.3057940000000006</v>
      </c>
      <c r="S191" s="2">
        <f t="shared" si="14"/>
        <v>4.7917859999999992</v>
      </c>
    </row>
    <row r="192" spans="1:19" x14ac:dyDescent="0.25">
      <c r="A192" t="s">
        <v>463</v>
      </c>
      <c r="B192">
        <v>178</v>
      </c>
      <c r="C192" t="s">
        <v>464</v>
      </c>
      <c r="D192">
        <v>178</v>
      </c>
      <c r="E192">
        <v>0</v>
      </c>
      <c r="H192">
        <v>395.29</v>
      </c>
      <c r="I192">
        <v>7.14</v>
      </c>
      <c r="J192" s="2">
        <f t="shared" si="10"/>
        <v>7.0702809999999996</v>
      </c>
      <c r="K192">
        <v>2.42</v>
      </c>
      <c r="L192">
        <v>1.61</v>
      </c>
      <c r="M192">
        <v>0</v>
      </c>
      <c r="N192">
        <v>0</v>
      </c>
      <c r="O192">
        <v>1.9200999999999999</v>
      </c>
      <c r="P192" s="2">
        <f t="shared" si="11"/>
        <v>6.0206279999999985</v>
      </c>
      <c r="Q192" s="2">
        <f t="shared" si="12"/>
        <v>5.5678779800000004</v>
      </c>
      <c r="R192" s="2">
        <f t="shared" si="13"/>
        <v>7.3057940000000006</v>
      </c>
      <c r="S192" s="2">
        <f t="shared" si="14"/>
        <v>4.7917859999999992</v>
      </c>
    </row>
    <row r="193" spans="1:19" x14ac:dyDescent="0.25">
      <c r="A193" t="s">
        <v>465</v>
      </c>
      <c r="B193">
        <v>179</v>
      </c>
      <c r="C193" t="s">
        <v>466</v>
      </c>
      <c r="D193">
        <v>179</v>
      </c>
      <c r="E193">
        <v>0</v>
      </c>
      <c r="H193">
        <v>395.29</v>
      </c>
      <c r="I193">
        <v>6.73</v>
      </c>
      <c r="J193" s="2">
        <f t="shared" si="10"/>
        <v>6.9400919999999999</v>
      </c>
      <c r="K193">
        <v>2.46</v>
      </c>
      <c r="L193">
        <v>1.44</v>
      </c>
      <c r="M193">
        <v>0</v>
      </c>
      <c r="N193">
        <v>0</v>
      </c>
      <c r="O193">
        <v>1.8331999999999999</v>
      </c>
      <c r="P193" s="2">
        <f t="shared" si="11"/>
        <v>5.9888959999999996</v>
      </c>
      <c r="Q193" s="2">
        <f t="shared" si="12"/>
        <v>5.5906133600000008</v>
      </c>
      <c r="R193" s="2">
        <f t="shared" si="13"/>
        <v>7.0754079999999995</v>
      </c>
      <c r="S193" s="2">
        <f t="shared" si="14"/>
        <v>4.6755519999999997</v>
      </c>
    </row>
    <row r="194" spans="1:19" x14ac:dyDescent="0.25">
      <c r="A194" t="s">
        <v>467</v>
      </c>
      <c r="B194">
        <v>180</v>
      </c>
      <c r="C194" t="s">
        <v>468</v>
      </c>
      <c r="D194">
        <v>180</v>
      </c>
      <c r="E194">
        <v>1.1399999999999999</v>
      </c>
      <c r="G194">
        <v>1.7999999999999999E-2</v>
      </c>
      <c r="H194">
        <v>395.29</v>
      </c>
      <c r="I194">
        <v>7.36</v>
      </c>
      <c r="J194" s="2">
        <f t="shared" ref="J194:J224" si="15">K194*e_Abraham+L194*s_Abraham+M194*a_Abraham+N194*b_Abraham+O194*v_Abraham+c_Abraham</f>
        <v>7.2095700000000003</v>
      </c>
      <c r="K194">
        <v>2.34</v>
      </c>
      <c r="L194">
        <v>1.75</v>
      </c>
      <c r="M194">
        <v>0</v>
      </c>
      <c r="N194">
        <v>0</v>
      </c>
      <c r="O194">
        <v>2.0070000000000001</v>
      </c>
      <c r="P194" s="2">
        <f t="shared" ref="P194:P224" si="16">e_Nguyen*K194+s_Nguyen*L194+a_Nguyen*M194+b_Nguyen*N194+v_Nguyen*O194+c_Nguyen</f>
        <v>6.02996</v>
      </c>
      <c r="Q194" s="2">
        <f t="shared" ref="Q194:Q224" si="17">e_Kipka*K194+s_Kipka*L194+a_Kipka*M194+b_Kipka*N194+v_Kipka*O194+c_Kipka</f>
        <v>5.5268636000000004</v>
      </c>
      <c r="R194" s="2">
        <f t="shared" ref="R194:R224" si="18">e_Neal_ha*K194+s_Neal_ha*L194+a_Neal_ha*M194+b_Neal_ha*N194+v_Neal_ha*O194+c_Neal_ha</f>
        <v>7.5281800000000008</v>
      </c>
      <c r="S194" s="2">
        <f t="shared" ref="S194:S224" si="19">e_Neal_SRFA*K194+s_Neal_SRFA*L194+a_Neal_SRFA*M194+b_Neal_SRFA*N194+v_Neal_SRFA*O194+c_Neal_SRFA</f>
        <v>4.9017200000000001</v>
      </c>
    </row>
    <row r="195" spans="1:19" x14ac:dyDescent="0.25">
      <c r="A195" t="s">
        <v>469</v>
      </c>
      <c r="B195">
        <v>181</v>
      </c>
      <c r="C195" t="s">
        <v>470</v>
      </c>
      <c r="D195">
        <v>181</v>
      </c>
      <c r="E195">
        <v>0</v>
      </c>
      <c r="H195">
        <v>395.29</v>
      </c>
      <c r="I195">
        <v>7.11</v>
      </c>
      <c r="J195" s="2">
        <f t="shared" si="15"/>
        <v>7.0702809999999996</v>
      </c>
      <c r="K195">
        <v>2.42</v>
      </c>
      <c r="L195">
        <v>1.61</v>
      </c>
      <c r="M195">
        <v>0</v>
      </c>
      <c r="N195">
        <v>0</v>
      </c>
      <c r="O195">
        <v>1.9200999999999999</v>
      </c>
      <c r="P195" s="2">
        <f t="shared" si="16"/>
        <v>6.0206279999999985</v>
      </c>
      <c r="Q195" s="2">
        <f t="shared" si="17"/>
        <v>5.5678779800000004</v>
      </c>
      <c r="R195" s="2">
        <f t="shared" si="18"/>
        <v>7.3057940000000006</v>
      </c>
      <c r="S195" s="2">
        <f t="shared" si="19"/>
        <v>4.7917859999999992</v>
      </c>
    </row>
    <row r="196" spans="1:19" x14ac:dyDescent="0.25">
      <c r="A196" t="s">
        <v>471</v>
      </c>
      <c r="B196">
        <v>182</v>
      </c>
      <c r="C196" t="s">
        <v>472</v>
      </c>
      <c r="D196">
        <v>182</v>
      </c>
      <c r="E196">
        <v>0</v>
      </c>
      <c r="H196">
        <v>395.29</v>
      </c>
      <c r="I196">
        <v>7.2</v>
      </c>
      <c r="J196" s="2">
        <f t="shared" si="15"/>
        <v>7.0702809999999996</v>
      </c>
      <c r="K196">
        <v>2.42</v>
      </c>
      <c r="L196">
        <v>1.61</v>
      </c>
      <c r="M196">
        <v>0</v>
      </c>
      <c r="N196">
        <v>0</v>
      </c>
      <c r="O196">
        <v>1.9200999999999999</v>
      </c>
      <c r="P196" s="2">
        <f t="shared" si="16"/>
        <v>6.0206279999999985</v>
      </c>
      <c r="Q196" s="2">
        <f t="shared" si="17"/>
        <v>5.5678779800000004</v>
      </c>
      <c r="R196" s="2">
        <f t="shared" si="18"/>
        <v>7.3057940000000006</v>
      </c>
      <c r="S196" s="2">
        <f t="shared" si="19"/>
        <v>4.7917859999999992</v>
      </c>
    </row>
    <row r="197" spans="1:19" x14ac:dyDescent="0.25">
      <c r="A197" t="s">
        <v>473</v>
      </c>
      <c r="B197">
        <v>183</v>
      </c>
      <c r="C197" t="s">
        <v>474</v>
      </c>
      <c r="D197">
        <v>183</v>
      </c>
      <c r="E197">
        <v>0</v>
      </c>
      <c r="H197">
        <v>395.29</v>
      </c>
      <c r="I197">
        <v>7.2</v>
      </c>
      <c r="J197" s="2">
        <f t="shared" si="15"/>
        <v>7.0702809999999996</v>
      </c>
      <c r="K197">
        <v>2.42</v>
      </c>
      <c r="L197">
        <v>1.61</v>
      </c>
      <c r="M197">
        <v>0</v>
      </c>
      <c r="N197">
        <v>0</v>
      </c>
      <c r="O197">
        <v>1.9200999999999999</v>
      </c>
      <c r="P197" s="2">
        <f t="shared" si="16"/>
        <v>6.0206279999999985</v>
      </c>
      <c r="Q197" s="2">
        <f t="shared" si="17"/>
        <v>5.5678779800000004</v>
      </c>
      <c r="R197" s="2">
        <f t="shared" si="18"/>
        <v>7.3057940000000006</v>
      </c>
      <c r="S197" s="2">
        <f t="shared" si="19"/>
        <v>4.7917859999999992</v>
      </c>
    </row>
    <row r="198" spans="1:19" x14ac:dyDescent="0.25">
      <c r="A198" t="s">
        <v>475</v>
      </c>
      <c r="B198">
        <v>184</v>
      </c>
      <c r="C198" t="s">
        <v>476</v>
      </c>
      <c r="D198">
        <v>184</v>
      </c>
      <c r="E198">
        <v>0</v>
      </c>
      <c r="H198">
        <v>395.29</v>
      </c>
      <c r="I198">
        <v>6.85</v>
      </c>
      <c r="J198" s="2">
        <f t="shared" si="15"/>
        <v>7.3959100000000007</v>
      </c>
      <c r="K198">
        <v>2.27</v>
      </c>
      <c r="L198">
        <v>1.87</v>
      </c>
      <c r="M198">
        <v>0</v>
      </c>
      <c r="N198">
        <v>0.09</v>
      </c>
      <c r="O198">
        <v>2.181</v>
      </c>
      <c r="P198" s="2">
        <f t="shared" si="16"/>
        <v>6.0850799999999996</v>
      </c>
      <c r="Q198" s="2">
        <f t="shared" si="17"/>
        <v>5.4393247999999996</v>
      </c>
      <c r="R198" s="2">
        <f t="shared" si="18"/>
        <v>7.8040400000000005</v>
      </c>
      <c r="S198" s="2">
        <f t="shared" si="19"/>
        <v>5.0564599999999995</v>
      </c>
    </row>
    <row r="199" spans="1:19" x14ac:dyDescent="0.25">
      <c r="A199" t="s">
        <v>477</v>
      </c>
      <c r="B199">
        <v>185</v>
      </c>
      <c r="C199" t="s">
        <v>478</v>
      </c>
      <c r="D199">
        <v>185</v>
      </c>
      <c r="E199">
        <v>0</v>
      </c>
      <c r="H199">
        <v>395.29</v>
      </c>
      <c r="I199">
        <v>7.11</v>
      </c>
      <c r="J199" s="2">
        <f t="shared" si="15"/>
        <v>7.0702809999999996</v>
      </c>
      <c r="K199">
        <v>2.42</v>
      </c>
      <c r="L199">
        <v>1.61</v>
      </c>
      <c r="M199">
        <v>0</v>
      </c>
      <c r="N199">
        <v>0</v>
      </c>
      <c r="O199">
        <v>1.9200999999999999</v>
      </c>
      <c r="P199" s="2">
        <f t="shared" si="16"/>
        <v>6.0206279999999985</v>
      </c>
      <c r="Q199" s="2">
        <f t="shared" si="17"/>
        <v>5.5678779800000004</v>
      </c>
      <c r="R199" s="2">
        <f t="shared" si="18"/>
        <v>7.3057940000000006</v>
      </c>
      <c r="S199" s="2">
        <f t="shared" si="19"/>
        <v>4.7917859999999992</v>
      </c>
    </row>
    <row r="200" spans="1:19" x14ac:dyDescent="0.25">
      <c r="A200" t="s">
        <v>479</v>
      </c>
      <c r="B200">
        <v>186</v>
      </c>
      <c r="C200" t="s">
        <v>480</v>
      </c>
      <c r="D200">
        <v>186</v>
      </c>
      <c r="E200">
        <v>0</v>
      </c>
      <c r="H200">
        <v>395.29</v>
      </c>
      <c r="I200">
        <v>6.69</v>
      </c>
      <c r="J200" s="2">
        <f t="shared" si="15"/>
        <v>6.9400919999999999</v>
      </c>
      <c r="K200">
        <v>2.46</v>
      </c>
      <c r="L200">
        <v>1.44</v>
      </c>
      <c r="M200">
        <v>0</v>
      </c>
      <c r="N200">
        <v>0</v>
      </c>
      <c r="O200">
        <v>1.8331999999999999</v>
      </c>
      <c r="P200" s="2">
        <f t="shared" si="16"/>
        <v>5.9888959999999996</v>
      </c>
      <c r="Q200" s="2">
        <f t="shared" si="17"/>
        <v>5.5906133600000008</v>
      </c>
      <c r="R200" s="2">
        <f t="shared" si="18"/>
        <v>7.0754079999999995</v>
      </c>
      <c r="S200" s="2">
        <f t="shared" si="19"/>
        <v>4.6755519999999997</v>
      </c>
    </row>
    <row r="201" spans="1:19" x14ac:dyDescent="0.25">
      <c r="A201" t="s">
        <v>481</v>
      </c>
      <c r="B201">
        <v>187</v>
      </c>
      <c r="C201" t="s">
        <v>482</v>
      </c>
      <c r="D201">
        <v>187</v>
      </c>
      <c r="E201">
        <v>3.79</v>
      </c>
      <c r="H201">
        <v>395.29</v>
      </c>
      <c r="I201">
        <v>7.17</v>
      </c>
      <c r="J201" s="2">
        <f t="shared" si="15"/>
        <v>7.0702809999999996</v>
      </c>
      <c r="K201">
        <v>2.42</v>
      </c>
      <c r="L201">
        <v>1.61</v>
      </c>
      <c r="M201">
        <v>0</v>
      </c>
      <c r="N201">
        <v>0</v>
      </c>
      <c r="O201">
        <v>1.9200999999999999</v>
      </c>
      <c r="P201" s="2">
        <f t="shared" si="16"/>
        <v>6.0206279999999985</v>
      </c>
      <c r="Q201" s="2">
        <f t="shared" si="17"/>
        <v>5.5678779800000004</v>
      </c>
      <c r="R201" s="2">
        <f t="shared" si="18"/>
        <v>7.3057940000000006</v>
      </c>
      <c r="S201" s="2">
        <f t="shared" si="19"/>
        <v>4.7917859999999992</v>
      </c>
    </row>
    <row r="202" spans="1:19" x14ac:dyDescent="0.25">
      <c r="A202" t="s">
        <v>483</v>
      </c>
      <c r="B202">
        <v>188</v>
      </c>
      <c r="C202" t="s">
        <v>484</v>
      </c>
      <c r="D202">
        <v>188</v>
      </c>
      <c r="E202">
        <v>0</v>
      </c>
      <c r="H202">
        <v>395.29</v>
      </c>
      <c r="I202">
        <v>6.82</v>
      </c>
      <c r="J202" s="2">
        <f t="shared" si="15"/>
        <v>6.9400919999999999</v>
      </c>
      <c r="K202">
        <v>2.46</v>
      </c>
      <c r="L202">
        <v>1.44</v>
      </c>
      <c r="M202">
        <v>0</v>
      </c>
      <c r="N202">
        <v>0</v>
      </c>
      <c r="O202">
        <v>1.8331999999999999</v>
      </c>
      <c r="P202" s="2">
        <f t="shared" si="16"/>
        <v>5.9888959999999996</v>
      </c>
      <c r="Q202" s="2">
        <f t="shared" si="17"/>
        <v>5.5906133600000008</v>
      </c>
      <c r="R202" s="2">
        <f t="shared" si="18"/>
        <v>7.0754079999999995</v>
      </c>
      <c r="S202" s="2">
        <f t="shared" si="19"/>
        <v>4.6755519999999997</v>
      </c>
    </row>
    <row r="203" spans="1:19" x14ac:dyDescent="0.25">
      <c r="A203" t="s">
        <v>485</v>
      </c>
      <c r="B203">
        <v>189</v>
      </c>
      <c r="C203" t="s">
        <v>486</v>
      </c>
      <c r="D203">
        <v>189</v>
      </c>
      <c r="E203">
        <v>0</v>
      </c>
      <c r="F203">
        <v>3.0000000000000001E-5</v>
      </c>
      <c r="G203">
        <v>4.4000000000000002E-6</v>
      </c>
      <c r="H203">
        <v>395.29</v>
      </c>
      <c r="I203">
        <v>7.71</v>
      </c>
      <c r="J203" s="2">
        <f t="shared" si="15"/>
        <v>7.2494590000000008</v>
      </c>
      <c r="K203">
        <v>2.27</v>
      </c>
      <c r="L203">
        <v>1.99</v>
      </c>
      <c r="M203">
        <v>0</v>
      </c>
      <c r="N203">
        <v>0</v>
      </c>
      <c r="O203">
        <v>2.0939000000000001</v>
      </c>
      <c r="P203" s="2">
        <f t="shared" si="16"/>
        <v>5.9782919999999997</v>
      </c>
      <c r="Q203" s="2">
        <f t="shared" si="17"/>
        <v>5.436519220000001</v>
      </c>
      <c r="R203" s="2">
        <f t="shared" si="18"/>
        <v>7.7044660000000018</v>
      </c>
      <c r="S203" s="2">
        <f t="shared" si="19"/>
        <v>4.9549539999999999</v>
      </c>
    </row>
    <row r="204" spans="1:19" x14ac:dyDescent="0.25">
      <c r="A204" t="s">
        <v>487</v>
      </c>
      <c r="B204">
        <v>190</v>
      </c>
      <c r="C204" t="s">
        <v>488</v>
      </c>
      <c r="D204">
        <v>190</v>
      </c>
      <c r="E204">
        <v>0</v>
      </c>
      <c r="H204">
        <v>395.29</v>
      </c>
      <c r="I204">
        <v>7.46</v>
      </c>
      <c r="J204" s="2">
        <f t="shared" si="15"/>
        <v>7.2095700000000003</v>
      </c>
      <c r="K204">
        <v>2.34</v>
      </c>
      <c r="L204">
        <v>1.75</v>
      </c>
      <c r="M204">
        <v>0</v>
      </c>
      <c r="N204">
        <v>0</v>
      </c>
      <c r="O204">
        <v>2.0070000000000001</v>
      </c>
      <c r="P204" s="2">
        <f t="shared" si="16"/>
        <v>6.02996</v>
      </c>
      <c r="Q204" s="2">
        <f t="shared" si="17"/>
        <v>5.5268636000000004</v>
      </c>
      <c r="R204" s="2">
        <f t="shared" si="18"/>
        <v>7.5281800000000008</v>
      </c>
      <c r="S204" s="2">
        <f t="shared" si="19"/>
        <v>4.9017200000000001</v>
      </c>
    </row>
    <row r="205" spans="1:19" x14ac:dyDescent="0.25">
      <c r="A205" t="s">
        <v>489</v>
      </c>
      <c r="B205">
        <v>191</v>
      </c>
      <c r="C205" t="s">
        <v>490</v>
      </c>
      <c r="D205">
        <v>191</v>
      </c>
      <c r="E205">
        <v>0</v>
      </c>
      <c r="H205">
        <v>395.29</v>
      </c>
      <c r="I205">
        <v>7.55</v>
      </c>
      <c r="J205" s="2">
        <f t="shared" si="15"/>
        <v>7.2095700000000003</v>
      </c>
      <c r="K205">
        <v>2.34</v>
      </c>
      <c r="L205">
        <v>1.75</v>
      </c>
      <c r="M205">
        <v>0</v>
      </c>
      <c r="N205">
        <v>0</v>
      </c>
      <c r="O205">
        <v>2.0070000000000001</v>
      </c>
      <c r="P205" s="2">
        <f t="shared" si="16"/>
        <v>6.02996</v>
      </c>
      <c r="Q205" s="2">
        <f t="shared" si="17"/>
        <v>5.5268636000000004</v>
      </c>
      <c r="R205" s="2">
        <f t="shared" si="18"/>
        <v>7.5281800000000008</v>
      </c>
      <c r="S205" s="2">
        <f t="shared" si="19"/>
        <v>4.9017200000000001</v>
      </c>
    </row>
    <row r="206" spans="1:19" x14ac:dyDescent="0.25">
      <c r="A206" t="s">
        <v>491</v>
      </c>
      <c r="B206">
        <v>192</v>
      </c>
      <c r="C206" t="s">
        <v>492</v>
      </c>
      <c r="D206">
        <v>192</v>
      </c>
      <c r="E206">
        <v>0</v>
      </c>
      <c r="H206">
        <v>395.29</v>
      </c>
      <c r="I206">
        <v>7.52</v>
      </c>
      <c r="J206" s="2">
        <f t="shared" si="15"/>
        <v>7.4351100000000008</v>
      </c>
      <c r="K206">
        <v>2.34</v>
      </c>
      <c r="L206">
        <v>1.87</v>
      </c>
      <c r="M206">
        <v>0</v>
      </c>
      <c r="N206">
        <v>0.09</v>
      </c>
      <c r="O206">
        <v>2.181</v>
      </c>
      <c r="P206" s="2">
        <f t="shared" si="16"/>
        <v>6.1620799999999987</v>
      </c>
      <c r="Q206" s="2">
        <f t="shared" si="17"/>
        <v>5.5019048000000002</v>
      </c>
      <c r="R206" s="2">
        <f t="shared" si="18"/>
        <v>7.8453400000000002</v>
      </c>
      <c r="S206" s="2">
        <f t="shared" si="19"/>
        <v>5.1005599999999998</v>
      </c>
    </row>
    <row r="207" spans="1:19" x14ac:dyDescent="0.25">
      <c r="A207" t="s">
        <v>493</v>
      </c>
      <c r="B207">
        <v>193</v>
      </c>
      <c r="C207" t="s">
        <v>494</v>
      </c>
      <c r="D207">
        <v>193</v>
      </c>
      <c r="E207">
        <v>0</v>
      </c>
      <c r="H207">
        <v>395.29</v>
      </c>
      <c r="I207">
        <v>7.52</v>
      </c>
      <c r="J207" s="2">
        <f t="shared" si="15"/>
        <v>7.2095700000000003</v>
      </c>
      <c r="K207">
        <v>2.34</v>
      </c>
      <c r="L207">
        <v>1.75</v>
      </c>
      <c r="M207">
        <v>0</v>
      </c>
      <c r="N207">
        <v>0</v>
      </c>
      <c r="O207">
        <v>2.0070000000000001</v>
      </c>
      <c r="P207" s="2">
        <f t="shared" si="16"/>
        <v>6.02996</v>
      </c>
      <c r="Q207" s="2">
        <f t="shared" si="17"/>
        <v>5.5268636000000004</v>
      </c>
      <c r="R207" s="2">
        <f t="shared" si="18"/>
        <v>7.5281800000000008</v>
      </c>
      <c r="S207" s="2">
        <f t="shared" si="19"/>
        <v>4.9017200000000001</v>
      </c>
    </row>
    <row r="208" spans="1:19" x14ac:dyDescent="0.25">
      <c r="A208" t="s">
        <v>495</v>
      </c>
      <c r="B208">
        <v>194</v>
      </c>
      <c r="C208" t="s">
        <v>496</v>
      </c>
      <c r="D208">
        <v>194</v>
      </c>
      <c r="E208">
        <v>3.19</v>
      </c>
      <c r="G208">
        <v>3.5000000000000003E-2</v>
      </c>
      <c r="H208">
        <v>429.73000000000008</v>
      </c>
      <c r="I208">
        <v>7.8</v>
      </c>
      <c r="J208" s="2">
        <f t="shared" si="15"/>
        <v>7.6073139999999997</v>
      </c>
      <c r="K208">
        <v>2.48</v>
      </c>
      <c r="L208">
        <v>1.89</v>
      </c>
      <c r="M208">
        <v>0</v>
      </c>
      <c r="N208">
        <v>0</v>
      </c>
      <c r="O208">
        <v>2.1294</v>
      </c>
      <c r="P208" s="2">
        <f t="shared" si="16"/>
        <v>6.3622319999999997</v>
      </c>
      <c r="Q208" s="2">
        <f t="shared" si="17"/>
        <v>5.7283171199999998</v>
      </c>
      <c r="R208" s="2">
        <f t="shared" si="18"/>
        <v>8.0202359999999988</v>
      </c>
      <c r="S208" s="2">
        <f t="shared" si="19"/>
        <v>5.2517839999999998</v>
      </c>
    </row>
    <row r="209" spans="1:19" x14ac:dyDescent="0.25">
      <c r="A209" t="s">
        <v>497</v>
      </c>
      <c r="B209">
        <v>195</v>
      </c>
      <c r="C209" t="s">
        <v>498</v>
      </c>
      <c r="D209">
        <v>195</v>
      </c>
      <c r="E209">
        <v>6.12</v>
      </c>
      <c r="H209">
        <v>429.73000000000008</v>
      </c>
      <c r="I209">
        <v>7.56</v>
      </c>
      <c r="J209" s="2">
        <f t="shared" si="15"/>
        <v>7.4841250000000006</v>
      </c>
      <c r="K209">
        <v>2.57</v>
      </c>
      <c r="L209">
        <v>1.74</v>
      </c>
      <c r="M209">
        <v>0</v>
      </c>
      <c r="N209">
        <v>0</v>
      </c>
      <c r="O209">
        <v>2.0425</v>
      </c>
      <c r="P209" s="2">
        <f t="shared" si="16"/>
        <v>6.3710999999999993</v>
      </c>
      <c r="Q209" s="2">
        <f t="shared" si="17"/>
        <v>5.7840985000000007</v>
      </c>
      <c r="R209" s="2">
        <f t="shared" si="18"/>
        <v>7.8089499999999994</v>
      </c>
      <c r="S209" s="2">
        <f t="shared" si="19"/>
        <v>5.1544499999999998</v>
      </c>
    </row>
    <row r="210" spans="1:19" x14ac:dyDescent="0.25">
      <c r="A210" t="s">
        <v>499</v>
      </c>
      <c r="B210">
        <v>196</v>
      </c>
      <c r="C210" t="s">
        <v>500</v>
      </c>
      <c r="D210">
        <v>196</v>
      </c>
      <c r="E210">
        <v>5.67</v>
      </c>
      <c r="G210">
        <v>0.15</v>
      </c>
      <c r="H210">
        <v>429.73000000000008</v>
      </c>
      <c r="I210">
        <v>7.65</v>
      </c>
      <c r="J210" s="2">
        <f t="shared" si="15"/>
        <v>7.4841250000000006</v>
      </c>
      <c r="K210">
        <v>2.57</v>
      </c>
      <c r="L210">
        <v>1.74</v>
      </c>
      <c r="M210">
        <v>0</v>
      </c>
      <c r="N210">
        <v>0</v>
      </c>
      <c r="O210">
        <v>2.0425</v>
      </c>
      <c r="P210" s="2">
        <f t="shared" si="16"/>
        <v>6.3710999999999993</v>
      </c>
      <c r="Q210" s="2">
        <f t="shared" si="17"/>
        <v>5.7840985000000007</v>
      </c>
      <c r="R210" s="2">
        <f t="shared" si="18"/>
        <v>7.8089499999999994</v>
      </c>
      <c r="S210" s="2">
        <f t="shared" si="19"/>
        <v>5.1544499999999998</v>
      </c>
    </row>
    <row r="211" spans="1:19" x14ac:dyDescent="0.25">
      <c r="A211" t="s">
        <v>501</v>
      </c>
      <c r="B211">
        <v>197</v>
      </c>
      <c r="C211" t="s">
        <v>502</v>
      </c>
      <c r="D211">
        <v>197</v>
      </c>
      <c r="E211">
        <v>0</v>
      </c>
      <c r="H211">
        <v>429.73000000000008</v>
      </c>
      <c r="I211">
        <v>7.3</v>
      </c>
      <c r="J211" s="2">
        <f t="shared" si="15"/>
        <v>7.3805359999999993</v>
      </c>
      <c r="K211">
        <v>2.62</v>
      </c>
      <c r="L211">
        <v>1.55</v>
      </c>
      <c r="M211">
        <v>0</v>
      </c>
      <c r="N211">
        <v>0</v>
      </c>
      <c r="O211">
        <v>1.9556</v>
      </c>
      <c r="P211" s="2">
        <f t="shared" si="16"/>
        <v>6.3647680000000006</v>
      </c>
      <c r="Q211" s="2">
        <f t="shared" si="17"/>
        <v>5.8274278800000001</v>
      </c>
      <c r="R211" s="2">
        <f t="shared" si="18"/>
        <v>7.5948640000000012</v>
      </c>
      <c r="S211" s="2">
        <f t="shared" si="19"/>
        <v>5.0571159999999997</v>
      </c>
    </row>
    <row r="212" spans="1:19" x14ac:dyDescent="0.25">
      <c r="A212" t="s">
        <v>503</v>
      </c>
      <c r="B212">
        <v>198</v>
      </c>
      <c r="C212" t="s">
        <v>504</v>
      </c>
      <c r="D212">
        <v>198</v>
      </c>
      <c r="E212">
        <v>0</v>
      </c>
      <c r="H212">
        <v>429.73000000000008</v>
      </c>
      <c r="I212">
        <v>7.62</v>
      </c>
      <c r="J212" s="2">
        <f t="shared" si="15"/>
        <v>7.4841250000000006</v>
      </c>
      <c r="K212">
        <v>2.57</v>
      </c>
      <c r="L212">
        <v>1.74</v>
      </c>
      <c r="M212">
        <v>0</v>
      </c>
      <c r="N212">
        <v>0</v>
      </c>
      <c r="O212">
        <v>2.0425</v>
      </c>
      <c r="P212" s="2">
        <f t="shared" si="16"/>
        <v>6.3710999999999993</v>
      </c>
      <c r="Q212" s="2">
        <f t="shared" si="17"/>
        <v>5.7840985000000007</v>
      </c>
      <c r="R212" s="2">
        <f t="shared" si="18"/>
        <v>7.8089499999999994</v>
      </c>
      <c r="S212" s="2">
        <f t="shared" si="19"/>
        <v>5.1544499999999998</v>
      </c>
    </row>
    <row r="213" spans="1:19" x14ac:dyDescent="0.25">
      <c r="A213" t="s">
        <v>505</v>
      </c>
      <c r="B213">
        <v>199</v>
      </c>
      <c r="C213" t="s">
        <v>506</v>
      </c>
      <c r="D213">
        <v>199</v>
      </c>
      <c r="E213">
        <v>0</v>
      </c>
      <c r="G213">
        <v>0.16</v>
      </c>
      <c r="H213">
        <v>429.73000000000008</v>
      </c>
      <c r="I213">
        <v>7.2</v>
      </c>
      <c r="J213" s="2">
        <f t="shared" si="15"/>
        <v>7.4841250000000006</v>
      </c>
      <c r="K213">
        <v>2.57</v>
      </c>
      <c r="L213">
        <v>1.74</v>
      </c>
      <c r="M213">
        <v>0</v>
      </c>
      <c r="N213">
        <v>0</v>
      </c>
      <c r="O213">
        <v>2.0425</v>
      </c>
      <c r="P213" s="2">
        <f t="shared" si="16"/>
        <v>6.3710999999999993</v>
      </c>
      <c r="Q213" s="2">
        <f t="shared" si="17"/>
        <v>5.7840985000000007</v>
      </c>
      <c r="R213" s="2">
        <f t="shared" si="18"/>
        <v>7.8089499999999994</v>
      </c>
      <c r="S213" s="2">
        <f t="shared" si="19"/>
        <v>5.1544499999999998</v>
      </c>
    </row>
    <row r="214" spans="1:19" x14ac:dyDescent="0.25">
      <c r="A214" t="s">
        <v>507</v>
      </c>
      <c r="B214">
        <v>200</v>
      </c>
      <c r="C214" t="s">
        <v>508</v>
      </c>
      <c r="D214">
        <v>200</v>
      </c>
      <c r="E214">
        <v>1.46</v>
      </c>
      <c r="H214">
        <v>429.73000000000008</v>
      </c>
      <c r="I214">
        <v>7.27</v>
      </c>
      <c r="J214" s="2">
        <f t="shared" si="15"/>
        <v>7.3805359999999993</v>
      </c>
      <c r="K214">
        <v>2.62</v>
      </c>
      <c r="L214">
        <v>1.55</v>
      </c>
      <c r="M214">
        <v>0</v>
      </c>
      <c r="N214">
        <v>0</v>
      </c>
      <c r="O214">
        <v>1.9556</v>
      </c>
      <c r="P214" s="2">
        <f t="shared" si="16"/>
        <v>6.3647680000000006</v>
      </c>
      <c r="Q214" s="2">
        <f t="shared" si="17"/>
        <v>5.8274278800000001</v>
      </c>
      <c r="R214" s="2">
        <f t="shared" si="18"/>
        <v>7.5948640000000012</v>
      </c>
      <c r="S214" s="2">
        <f t="shared" si="19"/>
        <v>5.0571159999999997</v>
      </c>
    </row>
    <row r="215" spans="1:19" x14ac:dyDescent="0.25">
      <c r="A215" t="s">
        <v>509</v>
      </c>
      <c r="B215">
        <v>201</v>
      </c>
      <c r="C215" t="s">
        <v>510</v>
      </c>
      <c r="D215">
        <v>201</v>
      </c>
      <c r="E215">
        <v>14.92</v>
      </c>
      <c r="G215">
        <v>1.2E-2</v>
      </c>
      <c r="H215">
        <v>429.73000000000008</v>
      </c>
      <c r="I215">
        <v>7.62</v>
      </c>
      <c r="J215" s="2">
        <f t="shared" si="15"/>
        <v>7.3805359999999993</v>
      </c>
      <c r="K215">
        <v>2.62</v>
      </c>
      <c r="L215">
        <v>1.55</v>
      </c>
      <c r="M215">
        <v>0</v>
      </c>
      <c r="N215">
        <v>0</v>
      </c>
      <c r="O215">
        <v>1.9556</v>
      </c>
      <c r="P215" s="2">
        <f t="shared" si="16"/>
        <v>6.3647680000000006</v>
      </c>
      <c r="Q215" s="2">
        <f t="shared" si="17"/>
        <v>5.8274278800000001</v>
      </c>
      <c r="R215" s="2">
        <f t="shared" si="18"/>
        <v>7.5948640000000012</v>
      </c>
      <c r="S215" s="2">
        <f t="shared" si="19"/>
        <v>5.0571159999999997</v>
      </c>
    </row>
    <row r="216" spans="1:19" x14ac:dyDescent="0.25">
      <c r="A216" t="s">
        <v>511</v>
      </c>
      <c r="J216" s="2">
        <f t="shared" si="15"/>
        <v>7.1561403333333331</v>
      </c>
      <c r="K216">
        <v>2.3666666666666667</v>
      </c>
      <c r="L216">
        <v>1.71</v>
      </c>
      <c r="M216">
        <v>0</v>
      </c>
      <c r="N216">
        <v>0</v>
      </c>
      <c r="O216">
        <v>1.9780333333333333</v>
      </c>
      <c r="P216" s="2">
        <f t="shared" si="16"/>
        <v>6.0220493333333325</v>
      </c>
      <c r="Q216" s="2">
        <f t="shared" si="17"/>
        <v>5.5366503933333338</v>
      </c>
      <c r="R216" s="2">
        <f t="shared" si="18"/>
        <v>7.4505846666666677</v>
      </c>
      <c r="S216" s="2">
        <f t="shared" si="19"/>
        <v>4.8608753333333334</v>
      </c>
    </row>
    <row r="217" spans="1:19" x14ac:dyDescent="0.25">
      <c r="A217" t="s">
        <v>512</v>
      </c>
      <c r="B217">
        <v>202</v>
      </c>
      <c r="C217" t="s">
        <v>513</v>
      </c>
      <c r="D217">
        <v>202</v>
      </c>
      <c r="E217">
        <v>2.78</v>
      </c>
      <c r="G217">
        <v>8.4000000000000005E-2</v>
      </c>
      <c r="H217">
        <v>429.73000000000008</v>
      </c>
      <c r="I217">
        <v>7.24</v>
      </c>
      <c r="J217" s="2">
        <f t="shared" si="15"/>
        <v>7.3805359999999993</v>
      </c>
      <c r="K217">
        <v>2.62</v>
      </c>
      <c r="L217">
        <v>1.55</v>
      </c>
      <c r="M217">
        <v>0</v>
      </c>
      <c r="N217">
        <v>0</v>
      </c>
      <c r="O217">
        <v>1.9556</v>
      </c>
      <c r="P217" s="2">
        <f t="shared" si="16"/>
        <v>6.3647680000000006</v>
      </c>
      <c r="Q217" s="2">
        <f t="shared" si="17"/>
        <v>5.8274278800000001</v>
      </c>
      <c r="R217" s="2">
        <f t="shared" si="18"/>
        <v>7.5948640000000012</v>
      </c>
      <c r="S217" s="2">
        <f t="shared" si="19"/>
        <v>5.0571159999999997</v>
      </c>
    </row>
    <row r="218" spans="1:19" x14ac:dyDescent="0.25">
      <c r="A218" t="s">
        <v>514</v>
      </c>
      <c r="B218">
        <v>203</v>
      </c>
      <c r="C218" t="s">
        <v>515</v>
      </c>
      <c r="D218">
        <v>203</v>
      </c>
      <c r="E218">
        <v>5.67</v>
      </c>
      <c r="H218">
        <v>429.73000000000008</v>
      </c>
      <c r="I218">
        <v>7.65</v>
      </c>
      <c r="J218" s="2">
        <f t="shared" si="15"/>
        <v>7.4841250000000006</v>
      </c>
      <c r="K218">
        <v>2.57</v>
      </c>
      <c r="L218">
        <v>1.74</v>
      </c>
      <c r="M218">
        <v>0</v>
      </c>
      <c r="N218">
        <v>0</v>
      </c>
      <c r="O218">
        <v>2.0425</v>
      </c>
      <c r="P218" s="2">
        <f t="shared" si="16"/>
        <v>6.3710999999999993</v>
      </c>
      <c r="Q218" s="2">
        <f t="shared" si="17"/>
        <v>5.7840985000000007</v>
      </c>
      <c r="R218" s="2">
        <f t="shared" si="18"/>
        <v>7.8089499999999994</v>
      </c>
      <c r="S218" s="2">
        <f t="shared" si="19"/>
        <v>5.1544499999999998</v>
      </c>
    </row>
    <row r="219" spans="1:19" x14ac:dyDescent="0.25">
      <c r="A219" t="s">
        <v>516</v>
      </c>
      <c r="B219">
        <v>204</v>
      </c>
      <c r="C219" t="s">
        <v>517</v>
      </c>
      <c r="D219">
        <v>204</v>
      </c>
      <c r="E219">
        <v>0</v>
      </c>
      <c r="H219">
        <v>429.73000000000008</v>
      </c>
      <c r="I219">
        <v>7.3</v>
      </c>
      <c r="J219" s="2">
        <f t="shared" si="15"/>
        <v>7.9695540000000005</v>
      </c>
      <c r="K219">
        <v>2.52</v>
      </c>
      <c r="L219">
        <v>2</v>
      </c>
      <c r="M219">
        <v>0</v>
      </c>
      <c r="N219">
        <v>0.06</v>
      </c>
      <c r="O219">
        <v>2.3033999999999999</v>
      </c>
      <c r="P219" s="2">
        <f t="shared" si="16"/>
        <v>6.604951999999999</v>
      </c>
      <c r="Q219" s="2">
        <f t="shared" si="17"/>
        <v>5.8047653200000005</v>
      </c>
      <c r="R219" s="2">
        <f t="shared" si="18"/>
        <v>8.4681959999999989</v>
      </c>
      <c r="S219" s="2">
        <f t="shared" si="19"/>
        <v>5.5565239999999996</v>
      </c>
    </row>
    <row r="220" spans="1:19" x14ac:dyDescent="0.25">
      <c r="A220" t="s">
        <v>518</v>
      </c>
      <c r="B220">
        <v>205</v>
      </c>
      <c r="C220" t="s">
        <v>519</v>
      </c>
      <c r="D220">
        <v>205</v>
      </c>
      <c r="E220">
        <v>0</v>
      </c>
      <c r="H220">
        <v>429.73000000000008</v>
      </c>
      <c r="I220">
        <v>8</v>
      </c>
      <c r="J220" s="2">
        <f t="shared" si="15"/>
        <v>7.6073139999999997</v>
      </c>
      <c r="K220">
        <v>2.48</v>
      </c>
      <c r="L220">
        <v>1.89</v>
      </c>
      <c r="M220">
        <v>0</v>
      </c>
      <c r="N220">
        <v>0</v>
      </c>
      <c r="O220">
        <v>2.1294</v>
      </c>
      <c r="P220" s="2">
        <f t="shared" si="16"/>
        <v>6.3622319999999997</v>
      </c>
      <c r="Q220" s="2">
        <f t="shared" si="17"/>
        <v>5.7283171199999998</v>
      </c>
      <c r="R220" s="2">
        <f t="shared" si="18"/>
        <v>8.0202359999999988</v>
      </c>
      <c r="S220" s="2">
        <f t="shared" si="19"/>
        <v>5.2517839999999998</v>
      </c>
    </row>
    <row r="221" spans="1:19" x14ac:dyDescent="0.25">
      <c r="A221" t="s">
        <v>520</v>
      </c>
      <c r="B221">
        <v>206</v>
      </c>
      <c r="C221" t="s">
        <v>521</v>
      </c>
      <c r="D221">
        <v>206</v>
      </c>
      <c r="E221">
        <v>28.7</v>
      </c>
      <c r="G221">
        <v>0.21</v>
      </c>
      <c r="H221">
        <v>464.17</v>
      </c>
      <c r="I221">
        <v>8.09</v>
      </c>
      <c r="J221" s="2">
        <f t="shared" si="15"/>
        <v>7.8979689999999989</v>
      </c>
      <c r="K221">
        <v>2.72</v>
      </c>
      <c r="L221">
        <v>1.87</v>
      </c>
      <c r="M221">
        <v>0</v>
      </c>
      <c r="N221">
        <v>0</v>
      </c>
      <c r="O221">
        <v>2.1648999999999998</v>
      </c>
      <c r="P221" s="2">
        <f t="shared" si="16"/>
        <v>6.7215719999999992</v>
      </c>
      <c r="Q221" s="2">
        <f t="shared" si="17"/>
        <v>6.0003190199999992</v>
      </c>
      <c r="R221" s="2">
        <f t="shared" si="18"/>
        <v>8.312106</v>
      </c>
      <c r="S221" s="2">
        <f t="shared" si="19"/>
        <v>5.5171139999999994</v>
      </c>
    </row>
    <row r="222" spans="1:19" x14ac:dyDescent="0.25">
      <c r="A222" t="s">
        <v>522</v>
      </c>
      <c r="B222">
        <v>207</v>
      </c>
      <c r="C222" t="s">
        <v>523</v>
      </c>
      <c r="D222">
        <v>207</v>
      </c>
      <c r="E222">
        <v>2.4700000000000002</v>
      </c>
      <c r="G222">
        <v>2.7000000000000003E-2</v>
      </c>
      <c r="H222">
        <v>464.17</v>
      </c>
      <c r="I222">
        <v>7.74</v>
      </c>
      <c r="J222" s="2">
        <f t="shared" si="15"/>
        <v>7.8209799999999987</v>
      </c>
      <c r="K222">
        <v>2.78</v>
      </c>
      <c r="L222">
        <v>1.66</v>
      </c>
      <c r="M222">
        <v>0</v>
      </c>
      <c r="N222">
        <v>0</v>
      </c>
      <c r="O222">
        <v>2.0779999999999998</v>
      </c>
      <c r="P222" s="2">
        <f t="shared" si="16"/>
        <v>6.7406399999999991</v>
      </c>
      <c r="Q222" s="2">
        <f t="shared" si="17"/>
        <v>6.0642423999999995</v>
      </c>
      <c r="R222" s="2">
        <f t="shared" si="18"/>
        <v>8.1143199999999993</v>
      </c>
      <c r="S222" s="2">
        <f t="shared" si="19"/>
        <v>5.4386799999999988</v>
      </c>
    </row>
    <row r="223" spans="1:19" x14ac:dyDescent="0.25">
      <c r="A223" t="s">
        <v>524</v>
      </c>
      <c r="B223">
        <v>208</v>
      </c>
      <c r="C223" t="s">
        <v>525</v>
      </c>
      <c r="D223">
        <v>208</v>
      </c>
      <c r="E223">
        <v>6.12</v>
      </c>
      <c r="G223">
        <v>0.11</v>
      </c>
      <c r="H223">
        <v>464.17</v>
      </c>
      <c r="I223">
        <v>7.71</v>
      </c>
      <c r="J223" s="2">
        <f t="shared" si="15"/>
        <v>7.8209799999999987</v>
      </c>
      <c r="K223">
        <v>2.78</v>
      </c>
      <c r="L223">
        <v>1.66</v>
      </c>
      <c r="M223">
        <v>0</v>
      </c>
      <c r="N223">
        <v>0</v>
      </c>
      <c r="O223">
        <v>2.0779999999999998</v>
      </c>
      <c r="P223" s="2">
        <f t="shared" si="16"/>
        <v>6.7406399999999991</v>
      </c>
      <c r="Q223" s="2">
        <f t="shared" si="17"/>
        <v>6.0642423999999995</v>
      </c>
      <c r="R223" s="2">
        <f t="shared" si="18"/>
        <v>8.1143199999999993</v>
      </c>
      <c r="S223" s="2">
        <f t="shared" si="19"/>
        <v>5.4386799999999988</v>
      </c>
    </row>
    <row r="224" spans="1:19" x14ac:dyDescent="0.25">
      <c r="A224" t="s">
        <v>526</v>
      </c>
      <c r="B224">
        <v>209</v>
      </c>
      <c r="C224" t="s">
        <v>527</v>
      </c>
      <c r="D224">
        <v>209</v>
      </c>
      <c r="E224">
        <v>8.1199999999999992</v>
      </c>
      <c r="G224">
        <v>4.8000000000000001E-2</v>
      </c>
      <c r="H224">
        <v>498.61</v>
      </c>
      <c r="I224">
        <v>8.18</v>
      </c>
      <c r="J224" s="2">
        <f t="shared" si="15"/>
        <v>8.2614240000000017</v>
      </c>
      <c r="K224">
        <v>2.94</v>
      </c>
      <c r="L224">
        <v>1.77</v>
      </c>
      <c r="M224">
        <v>0</v>
      </c>
      <c r="N224">
        <v>0</v>
      </c>
      <c r="O224">
        <v>2.2004000000000001</v>
      </c>
      <c r="P224" s="2">
        <f t="shared" si="16"/>
        <v>7.1165119999999993</v>
      </c>
      <c r="Q224" s="2">
        <f t="shared" si="17"/>
        <v>6.3010569200000006</v>
      </c>
      <c r="R224" s="2">
        <f t="shared" si="18"/>
        <v>8.633776000000001</v>
      </c>
      <c r="S224" s="2">
        <f t="shared" si="19"/>
        <v>5.8202439999999998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45B3-245A-4FC3-81ED-2F9F731227AB}">
  <sheetPr>
    <tabColor rgb="FFD9F5FF"/>
  </sheetPr>
  <dimension ref="A2:EX20"/>
  <sheetViews>
    <sheetView tabSelected="1" topLeftCell="DU1" workbookViewId="0">
      <selection activeCell="FA2" sqref="FA2"/>
    </sheetView>
  </sheetViews>
  <sheetFormatPr defaultColWidth="9.140625" defaultRowHeight="18" x14ac:dyDescent="0.35"/>
  <cols>
    <col min="1" max="1" width="13" style="158" customWidth="1"/>
    <col min="2" max="2" width="7.28515625" style="158" customWidth="1"/>
    <col min="3" max="6" width="10.7109375" style="158" customWidth="1"/>
    <col min="7" max="7" width="13" style="158" customWidth="1"/>
    <col min="8" max="10" width="9.140625" style="158" customWidth="1"/>
    <col min="11" max="11" width="10" style="158" customWidth="1"/>
    <col min="12" max="12" width="11.42578125" style="158" customWidth="1"/>
    <col min="13" max="13" width="10.42578125" style="158" customWidth="1"/>
    <col min="14" max="18" width="10.5703125" style="158" customWidth="1"/>
    <col min="19" max="23" width="9.140625" style="158" customWidth="1"/>
    <col min="24" max="30" width="11.7109375" style="158" customWidth="1"/>
    <col min="31" max="31" width="9.7109375" style="158" customWidth="1"/>
    <col min="32" max="36" width="9.140625" style="158" customWidth="1"/>
    <col min="37" max="43" width="11.7109375" style="158" customWidth="1"/>
    <col min="44" max="44" width="9.7109375" style="158" customWidth="1"/>
    <col min="45" max="49" width="9.140625" style="158" customWidth="1"/>
    <col min="50" max="53" width="11.7109375" style="158" customWidth="1"/>
    <col min="54" max="58" width="9.140625" style="158" customWidth="1"/>
    <col min="59" max="62" width="11.7109375" style="158" customWidth="1"/>
    <col min="63" max="64" width="9.140625" style="158" customWidth="1"/>
    <col min="65" max="67" width="9.140625" style="158"/>
    <col min="68" max="71" width="11.7109375" style="158" customWidth="1"/>
    <col min="72" max="76" width="9.140625" style="158"/>
    <col min="77" max="80" width="11.7109375" style="158" customWidth="1"/>
    <col min="81" max="85" width="9.140625" style="158"/>
    <col min="86" max="89" width="11.7109375" style="158" customWidth="1"/>
    <col min="90" max="94" width="9.140625" style="158"/>
    <col min="95" max="98" width="11.7109375" style="158" customWidth="1"/>
    <col min="99" max="103" width="9.140625" style="158"/>
    <col min="104" max="107" width="11.7109375" style="158" customWidth="1"/>
    <col min="108" max="112" width="9.140625" style="158"/>
    <col min="113" max="116" width="11.7109375" style="158" customWidth="1"/>
    <col min="117" max="121" width="9.140625" style="158"/>
    <col min="122" max="125" width="11.7109375" style="158" customWidth="1"/>
    <col min="126" max="130" width="9.140625" style="158"/>
    <col min="131" max="134" width="11.7109375" style="158" customWidth="1"/>
    <col min="135" max="139" width="9.140625" style="158"/>
    <col min="140" max="143" width="11.7109375" style="158" customWidth="1"/>
    <col min="144" max="148" width="9.140625" style="158"/>
    <col min="149" max="152" width="11.7109375" style="158" customWidth="1"/>
    <col min="153" max="16384" width="9.140625" style="158"/>
  </cols>
  <sheetData>
    <row r="2" spans="1:154" ht="15" customHeight="1" x14ac:dyDescent="0.35">
      <c r="A2" s="168" t="s">
        <v>593</v>
      </c>
      <c r="B2" s="168"/>
      <c r="C2" s="315" t="s">
        <v>602</v>
      </c>
      <c r="D2" s="316"/>
      <c r="E2" s="316"/>
      <c r="F2" s="317"/>
      <c r="G2" s="168"/>
      <c r="H2" s="310" t="s">
        <v>580</v>
      </c>
      <c r="I2" s="310"/>
      <c r="J2" s="310"/>
      <c r="K2" s="158" t="s">
        <v>768</v>
      </c>
      <c r="L2" s="158">
        <v>34.987000000000002</v>
      </c>
      <c r="M2" s="158" t="s">
        <v>769</v>
      </c>
      <c r="U2" s="310" t="s">
        <v>614</v>
      </c>
      <c r="V2" s="310"/>
      <c r="W2" s="310"/>
      <c r="X2" s="158" t="s">
        <v>768</v>
      </c>
      <c r="Y2" s="158">
        <v>35.009</v>
      </c>
      <c r="Z2" s="158" t="s">
        <v>769</v>
      </c>
      <c r="AH2" s="318" t="s">
        <v>615</v>
      </c>
      <c r="AI2" s="319"/>
      <c r="AJ2" s="320"/>
      <c r="AK2" s="158" t="s">
        <v>768</v>
      </c>
      <c r="AL2" s="158">
        <v>34.994</v>
      </c>
      <c r="AM2" s="158" t="s">
        <v>769</v>
      </c>
      <c r="AU2" s="310" t="s">
        <v>616</v>
      </c>
      <c r="AV2" s="310"/>
      <c r="AW2" s="310"/>
      <c r="AX2" s="158" t="s">
        <v>768</v>
      </c>
      <c r="AY2" s="158">
        <v>34.994</v>
      </c>
      <c r="AZ2" s="158" t="s">
        <v>769</v>
      </c>
      <c r="BD2" s="310" t="s">
        <v>617</v>
      </c>
      <c r="BE2" s="310"/>
      <c r="BF2" s="310"/>
      <c r="BM2" s="310" t="s">
        <v>618</v>
      </c>
      <c r="BN2" s="310"/>
      <c r="BO2" s="310"/>
      <c r="BV2" s="310" t="s">
        <v>619</v>
      </c>
      <c r="BW2" s="310"/>
      <c r="BX2" s="310"/>
      <c r="CE2" s="310" t="s">
        <v>621</v>
      </c>
      <c r="CF2" s="310"/>
      <c r="CG2" s="310"/>
      <c r="CN2" s="310" t="s">
        <v>622</v>
      </c>
      <c r="CO2" s="310"/>
      <c r="CP2" s="310"/>
      <c r="CW2" s="310" t="s">
        <v>623</v>
      </c>
      <c r="CX2" s="310"/>
      <c r="CY2" s="310"/>
      <c r="DF2" s="310" t="s">
        <v>624</v>
      </c>
      <c r="DG2" s="310"/>
      <c r="DH2" s="310"/>
      <c r="DO2" s="310" t="s">
        <v>625</v>
      </c>
      <c r="DP2" s="310"/>
      <c r="DQ2" s="310"/>
      <c r="DX2" s="310" t="s">
        <v>626</v>
      </c>
      <c r="DY2" s="310"/>
      <c r="DZ2" s="310"/>
      <c r="EG2" s="310" t="s">
        <v>627</v>
      </c>
      <c r="EH2" s="310"/>
      <c r="EI2" s="310"/>
      <c r="EP2" s="310" t="s">
        <v>628</v>
      </c>
      <c r="EQ2" s="310"/>
      <c r="ER2" s="310"/>
    </row>
    <row r="3" spans="1:154" ht="63" customHeight="1" x14ac:dyDescent="0.35">
      <c r="A3" s="312" t="s">
        <v>587</v>
      </c>
      <c r="B3" s="169" t="s">
        <v>598</v>
      </c>
      <c r="C3" s="163" t="s">
        <v>791</v>
      </c>
      <c r="D3" s="163" t="s">
        <v>792</v>
      </c>
      <c r="E3" s="163" t="s">
        <v>793</v>
      </c>
      <c r="F3" s="163" t="s">
        <v>794</v>
      </c>
      <c r="G3" s="313" t="s">
        <v>13</v>
      </c>
      <c r="H3" s="163" t="s">
        <v>581</v>
      </c>
      <c r="I3" s="310" t="s">
        <v>582</v>
      </c>
      <c r="J3" s="170" t="s">
        <v>583</v>
      </c>
      <c r="K3" s="306" t="s">
        <v>795</v>
      </c>
      <c r="L3" s="171" t="s">
        <v>601</v>
      </c>
      <c r="M3" s="308" t="s">
        <v>796</v>
      </c>
      <c r="N3" s="308" t="s">
        <v>797</v>
      </c>
      <c r="O3" s="172" t="s">
        <v>798</v>
      </c>
      <c r="P3" s="173" t="s">
        <v>799</v>
      </c>
      <c r="Q3" s="174" t="s">
        <v>766</v>
      </c>
      <c r="R3" s="161" t="s">
        <v>767</v>
      </c>
      <c r="S3" s="162" t="s">
        <v>778</v>
      </c>
      <c r="T3" s="163" t="s">
        <v>613</v>
      </c>
      <c r="U3" s="163" t="s">
        <v>581</v>
      </c>
      <c r="V3" s="310" t="s">
        <v>582</v>
      </c>
      <c r="W3" s="170" t="s">
        <v>583</v>
      </c>
      <c r="X3" s="306" t="s">
        <v>795</v>
      </c>
      <c r="Y3" s="175" t="s">
        <v>601</v>
      </c>
      <c r="Z3" s="308" t="s">
        <v>796</v>
      </c>
      <c r="AA3" s="308" t="s">
        <v>797</v>
      </c>
      <c r="AB3" s="172" t="s">
        <v>798</v>
      </c>
      <c r="AC3" s="173" t="s">
        <v>799</v>
      </c>
      <c r="AD3" s="174" t="s">
        <v>766</v>
      </c>
      <c r="AE3" s="161" t="s">
        <v>767</v>
      </c>
      <c r="AF3" s="162" t="s">
        <v>778</v>
      </c>
      <c r="AG3" s="163" t="s">
        <v>613</v>
      </c>
      <c r="AH3" s="176" t="s">
        <v>581</v>
      </c>
      <c r="AI3" s="308" t="s">
        <v>582</v>
      </c>
      <c r="AJ3" s="170" t="s">
        <v>583</v>
      </c>
      <c r="AK3" s="306" t="s">
        <v>795</v>
      </c>
      <c r="AL3" s="175" t="s">
        <v>601</v>
      </c>
      <c r="AM3" s="308" t="s">
        <v>796</v>
      </c>
      <c r="AN3" s="308" t="s">
        <v>797</v>
      </c>
      <c r="AO3" s="172" t="s">
        <v>798</v>
      </c>
      <c r="AP3" s="173" t="s">
        <v>799</v>
      </c>
      <c r="AQ3" s="174" t="s">
        <v>766</v>
      </c>
      <c r="AR3" s="161" t="s">
        <v>767</v>
      </c>
      <c r="AS3" s="162" t="s">
        <v>778</v>
      </c>
      <c r="AT3" s="163" t="s">
        <v>613</v>
      </c>
      <c r="AU3" s="176" t="s">
        <v>581</v>
      </c>
      <c r="AV3" s="310" t="s">
        <v>582</v>
      </c>
      <c r="AW3" s="170" t="s">
        <v>583</v>
      </c>
      <c r="AX3" s="306" t="s">
        <v>795</v>
      </c>
      <c r="AY3" s="175" t="s">
        <v>601</v>
      </c>
      <c r="AZ3" s="308" t="s">
        <v>796</v>
      </c>
      <c r="BA3" s="308" t="s">
        <v>797</v>
      </c>
      <c r="BB3" s="163" t="s">
        <v>612</v>
      </c>
      <c r="BC3" s="163" t="s">
        <v>613</v>
      </c>
      <c r="BD3" s="176" t="s">
        <v>581</v>
      </c>
      <c r="BE3" s="310" t="s">
        <v>582</v>
      </c>
      <c r="BF3" s="170" t="s">
        <v>583</v>
      </c>
      <c r="BG3" s="306" t="s">
        <v>795</v>
      </c>
      <c r="BH3" s="175" t="s">
        <v>601</v>
      </c>
      <c r="BI3" s="308" t="s">
        <v>796</v>
      </c>
      <c r="BJ3" s="308" t="s">
        <v>797</v>
      </c>
      <c r="BK3" s="163" t="s">
        <v>612</v>
      </c>
      <c r="BL3" s="163" t="s">
        <v>613</v>
      </c>
      <c r="BM3" s="176" t="s">
        <v>581</v>
      </c>
      <c r="BN3" s="310" t="s">
        <v>582</v>
      </c>
      <c r="BO3" s="170" t="s">
        <v>583</v>
      </c>
      <c r="BP3" s="306" t="s">
        <v>795</v>
      </c>
      <c r="BQ3" s="175" t="s">
        <v>601</v>
      </c>
      <c r="BR3" s="308" t="s">
        <v>796</v>
      </c>
      <c r="BS3" s="308" t="s">
        <v>797</v>
      </c>
      <c r="BT3" s="163" t="s">
        <v>612</v>
      </c>
      <c r="BU3" s="163" t="s">
        <v>613</v>
      </c>
      <c r="BV3" s="176" t="s">
        <v>581</v>
      </c>
      <c r="BW3" s="310" t="s">
        <v>582</v>
      </c>
      <c r="BX3" s="170" t="s">
        <v>583</v>
      </c>
      <c r="BY3" s="306" t="s">
        <v>795</v>
      </c>
      <c r="BZ3" s="175" t="s">
        <v>601</v>
      </c>
      <c r="CA3" s="308" t="s">
        <v>796</v>
      </c>
      <c r="CB3" s="308" t="s">
        <v>797</v>
      </c>
      <c r="CC3" s="163" t="s">
        <v>612</v>
      </c>
      <c r="CD3" s="163" t="s">
        <v>613</v>
      </c>
      <c r="CE3" s="176" t="s">
        <v>581</v>
      </c>
      <c r="CF3" s="310" t="s">
        <v>582</v>
      </c>
      <c r="CG3" s="170" t="s">
        <v>583</v>
      </c>
      <c r="CH3" s="306" t="s">
        <v>795</v>
      </c>
      <c r="CI3" s="175" t="s">
        <v>601</v>
      </c>
      <c r="CJ3" s="308" t="s">
        <v>796</v>
      </c>
      <c r="CK3" s="308" t="s">
        <v>797</v>
      </c>
      <c r="CL3" s="163" t="s">
        <v>612</v>
      </c>
      <c r="CM3" s="163" t="s">
        <v>613</v>
      </c>
      <c r="CN3" s="176" t="s">
        <v>581</v>
      </c>
      <c r="CO3" s="310" t="s">
        <v>582</v>
      </c>
      <c r="CP3" s="170" t="s">
        <v>583</v>
      </c>
      <c r="CQ3" s="306" t="s">
        <v>795</v>
      </c>
      <c r="CR3" s="175" t="s">
        <v>601</v>
      </c>
      <c r="CS3" s="308" t="s">
        <v>796</v>
      </c>
      <c r="CT3" s="308" t="s">
        <v>797</v>
      </c>
      <c r="CU3" s="163" t="s">
        <v>612</v>
      </c>
      <c r="CV3" s="163" t="s">
        <v>613</v>
      </c>
      <c r="CW3" s="176" t="s">
        <v>581</v>
      </c>
      <c r="CX3" s="310" t="s">
        <v>582</v>
      </c>
      <c r="CY3" s="170" t="s">
        <v>583</v>
      </c>
      <c r="CZ3" s="306" t="s">
        <v>795</v>
      </c>
      <c r="DA3" s="175" t="s">
        <v>601</v>
      </c>
      <c r="DB3" s="308" t="s">
        <v>796</v>
      </c>
      <c r="DC3" s="308" t="s">
        <v>797</v>
      </c>
      <c r="DD3" s="163" t="s">
        <v>612</v>
      </c>
      <c r="DE3" s="163" t="s">
        <v>613</v>
      </c>
      <c r="DF3" s="176" t="s">
        <v>581</v>
      </c>
      <c r="DG3" s="310" t="s">
        <v>582</v>
      </c>
      <c r="DH3" s="170" t="s">
        <v>583</v>
      </c>
      <c r="DI3" s="306" t="s">
        <v>795</v>
      </c>
      <c r="DJ3" s="175" t="s">
        <v>601</v>
      </c>
      <c r="DK3" s="308" t="s">
        <v>796</v>
      </c>
      <c r="DL3" s="308" t="s">
        <v>797</v>
      </c>
      <c r="DM3" s="163" t="s">
        <v>612</v>
      </c>
      <c r="DN3" s="163" t="s">
        <v>613</v>
      </c>
      <c r="DO3" s="176" t="s">
        <v>581</v>
      </c>
      <c r="DP3" s="310" t="s">
        <v>582</v>
      </c>
      <c r="DQ3" s="170" t="s">
        <v>583</v>
      </c>
      <c r="DR3" s="306" t="s">
        <v>795</v>
      </c>
      <c r="DS3" s="175" t="s">
        <v>601</v>
      </c>
      <c r="DT3" s="308" t="s">
        <v>796</v>
      </c>
      <c r="DU3" s="308" t="s">
        <v>797</v>
      </c>
      <c r="DV3" s="163" t="s">
        <v>612</v>
      </c>
      <c r="DW3" s="163" t="s">
        <v>613</v>
      </c>
      <c r="DX3" s="176" t="s">
        <v>581</v>
      </c>
      <c r="DY3" s="310" t="s">
        <v>582</v>
      </c>
      <c r="DZ3" s="170" t="s">
        <v>583</v>
      </c>
      <c r="EA3" s="306" t="s">
        <v>795</v>
      </c>
      <c r="EB3" s="175" t="s">
        <v>601</v>
      </c>
      <c r="EC3" s="308" t="s">
        <v>796</v>
      </c>
      <c r="ED3" s="308" t="s">
        <v>797</v>
      </c>
      <c r="EE3" s="163" t="s">
        <v>612</v>
      </c>
      <c r="EF3" s="163" t="s">
        <v>613</v>
      </c>
      <c r="EG3" s="176" t="s">
        <v>581</v>
      </c>
      <c r="EH3" s="310" t="s">
        <v>582</v>
      </c>
      <c r="EI3" s="170" t="s">
        <v>583</v>
      </c>
      <c r="EJ3" s="306" t="s">
        <v>795</v>
      </c>
      <c r="EK3" s="175" t="s">
        <v>601</v>
      </c>
      <c r="EL3" s="308" t="s">
        <v>796</v>
      </c>
      <c r="EM3" s="308" t="s">
        <v>797</v>
      </c>
      <c r="EN3" s="163" t="s">
        <v>612</v>
      </c>
      <c r="EO3" s="163" t="s">
        <v>613</v>
      </c>
      <c r="EP3" s="176" t="s">
        <v>581</v>
      </c>
      <c r="EQ3" s="310" t="s">
        <v>582</v>
      </c>
      <c r="ER3" s="170" t="s">
        <v>583</v>
      </c>
      <c r="ES3" s="306" t="s">
        <v>795</v>
      </c>
      <c r="ET3" s="175" t="s">
        <v>601</v>
      </c>
      <c r="EU3" s="308" t="s">
        <v>796</v>
      </c>
      <c r="EV3" s="308" t="s">
        <v>797</v>
      </c>
      <c r="EW3" s="163" t="s">
        <v>612</v>
      </c>
      <c r="EX3" s="163" t="s">
        <v>613</v>
      </c>
    </row>
    <row r="4" spans="1:154" x14ac:dyDescent="0.35">
      <c r="A4" s="312"/>
      <c r="B4" s="177"/>
      <c r="C4" s="163" t="s">
        <v>603</v>
      </c>
      <c r="D4" s="163" t="s">
        <v>603</v>
      </c>
      <c r="E4" s="163" t="s">
        <v>800</v>
      </c>
      <c r="F4" s="163" t="s">
        <v>800</v>
      </c>
      <c r="G4" s="314"/>
      <c r="H4" s="178" t="s">
        <v>584</v>
      </c>
      <c r="I4" s="310"/>
      <c r="J4" s="179" t="s">
        <v>584</v>
      </c>
      <c r="K4" s="307"/>
      <c r="L4" s="180" t="s">
        <v>600</v>
      </c>
      <c r="M4" s="309"/>
      <c r="N4" s="309"/>
      <c r="O4" s="163" t="s">
        <v>801</v>
      </c>
      <c r="P4" s="181"/>
      <c r="Q4" s="181"/>
      <c r="R4" s="164" t="s">
        <v>611</v>
      </c>
      <c r="S4" s="165" t="s">
        <v>611</v>
      </c>
      <c r="T4" s="166" t="s">
        <v>611</v>
      </c>
      <c r="U4" s="178" t="s">
        <v>584</v>
      </c>
      <c r="V4" s="310"/>
      <c r="W4" s="179" t="s">
        <v>584</v>
      </c>
      <c r="X4" s="307"/>
      <c r="Y4" s="182" t="s">
        <v>600</v>
      </c>
      <c r="Z4" s="309"/>
      <c r="AA4" s="309"/>
      <c r="AB4" s="163" t="s">
        <v>801</v>
      </c>
      <c r="AC4" s="181"/>
      <c r="AD4" s="181"/>
      <c r="AE4" s="164" t="s">
        <v>611</v>
      </c>
      <c r="AF4" s="165" t="s">
        <v>611</v>
      </c>
      <c r="AG4" s="178" t="s">
        <v>611</v>
      </c>
      <c r="AH4" s="183" t="s">
        <v>584</v>
      </c>
      <c r="AI4" s="309"/>
      <c r="AJ4" s="179" t="s">
        <v>584</v>
      </c>
      <c r="AK4" s="307"/>
      <c r="AL4" s="184" t="s">
        <v>600</v>
      </c>
      <c r="AM4" s="311"/>
      <c r="AN4" s="309"/>
      <c r="AO4" s="163" t="s">
        <v>801</v>
      </c>
      <c r="AP4" s="181"/>
      <c r="AQ4" s="181"/>
      <c r="AR4" s="164" t="s">
        <v>611</v>
      </c>
      <c r="AS4" s="165" t="s">
        <v>611</v>
      </c>
      <c r="AT4" s="178" t="s">
        <v>611</v>
      </c>
      <c r="AU4" s="183" t="s">
        <v>584</v>
      </c>
      <c r="AV4" s="310"/>
      <c r="AW4" s="179" t="s">
        <v>584</v>
      </c>
      <c r="AX4" s="307"/>
      <c r="AY4" s="182" t="s">
        <v>600</v>
      </c>
      <c r="AZ4" s="309"/>
      <c r="BA4" s="309"/>
      <c r="BB4" s="178" t="s">
        <v>611</v>
      </c>
      <c r="BC4" s="178" t="s">
        <v>611</v>
      </c>
      <c r="BD4" s="183" t="s">
        <v>584</v>
      </c>
      <c r="BE4" s="310"/>
      <c r="BF4" s="179" t="s">
        <v>584</v>
      </c>
      <c r="BG4" s="307"/>
      <c r="BH4" s="182" t="s">
        <v>600</v>
      </c>
      <c r="BI4" s="309"/>
      <c r="BJ4" s="309"/>
      <c r="BK4" s="178" t="s">
        <v>611</v>
      </c>
      <c r="BL4" s="178" t="s">
        <v>611</v>
      </c>
      <c r="BM4" s="183" t="s">
        <v>584</v>
      </c>
      <c r="BN4" s="310"/>
      <c r="BO4" s="179" t="s">
        <v>584</v>
      </c>
      <c r="BP4" s="307"/>
      <c r="BQ4" s="182" t="s">
        <v>600</v>
      </c>
      <c r="BR4" s="309"/>
      <c r="BS4" s="309"/>
      <c r="BT4" s="178" t="s">
        <v>611</v>
      </c>
      <c r="BU4" s="178" t="s">
        <v>611</v>
      </c>
      <c r="BV4" s="183" t="s">
        <v>584</v>
      </c>
      <c r="BW4" s="310"/>
      <c r="BX4" s="179" t="s">
        <v>584</v>
      </c>
      <c r="BY4" s="307"/>
      <c r="BZ4" s="182" t="s">
        <v>600</v>
      </c>
      <c r="CA4" s="309"/>
      <c r="CB4" s="309"/>
      <c r="CC4" s="178" t="s">
        <v>611</v>
      </c>
      <c r="CD4" s="178" t="s">
        <v>611</v>
      </c>
      <c r="CE4" s="183" t="s">
        <v>584</v>
      </c>
      <c r="CF4" s="310"/>
      <c r="CG4" s="179" t="s">
        <v>584</v>
      </c>
      <c r="CH4" s="307"/>
      <c r="CI4" s="182" t="s">
        <v>600</v>
      </c>
      <c r="CJ4" s="309"/>
      <c r="CK4" s="309"/>
      <c r="CL4" s="178" t="s">
        <v>611</v>
      </c>
      <c r="CM4" s="178" t="s">
        <v>611</v>
      </c>
      <c r="CN4" s="183" t="s">
        <v>584</v>
      </c>
      <c r="CO4" s="310"/>
      <c r="CP4" s="179" t="s">
        <v>584</v>
      </c>
      <c r="CQ4" s="307"/>
      <c r="CR4" s="182" t="s">
        <v>600</v>
      </c>
      <c r="CS4" s="309"/>
      <c r="CT4" s="309"/>
      <c r="CU4" s="178" t="s">
        <v>611</v>
      </c>
      <c r="CV4" s="178" t="s">
        <v>611</v>
      </c>
      <c r="CW4" s="183" t="s">
        <v>584</v>
      </c>
      <c r="CX4" s="310"/>
      <c r="CY4" s="179" t="s">
        <v>584</v>
      </c>
      <c r="CZ4" s="307"/>
      <c r="DA4" s="182" t="s">
        <v>600</v>
      </c>
      <c r="DB4" s="309"/>
      <c r="DC4" s="309"/>
      <c r="DD4" s="178" t="s">
        <v>611</v>
      </c>
      <c r="DE4" s="178" t="s">
        <v>611</v>
      </c>
      <c r="DF4" s="183" t="s">
        <v>584</v>
      </c>
      <c r="DG4" s="310"/>
      <c r="DH4" s="179" t="s">
        <v>584</v>
      </c>
      <c r="DI4" s="307"/>
      <c r="DJ4" s="182" t="s">
        <v>600</v>
      </c>
      <c r="DK4" s="309"/>
      <c r="DL4" s="309"/>
      <c r="DM4" s="178" t="s">
        <v>611</v>
      </c>
      <c r="DN4" s="178" t="s">
        <v>611</v>
      </c>
      <c r="DO4" s="183" t="s">
        <v>584</v>
      </c>
      <c r="DP4" s="310"/>
      <c r="DQ4" s="179" t="s">
        <v>584</v>
      </c>
      <c r="DR4" s="307"/>
      <c r="DS4" s="182" t="s">
        <v>600</v>
      </c>
      <c r="DT4" s="309"/>
      <c r="DU4" s="309"/>
      <c r="DV4" s="178" t="s">
        <v>611</v>
      </c>
      <c r="DW4" s="178" t="s">
        <v>611</v>
      </c>
      <c r="DX4" s="183" t="s">
        <v>584</v>
      </c>
      <c r="DY4" s="310"/>
      <c r="DZ4" s="179" t="s">
        <v>584</v>
      </c>
      <c r="EA4" s="307"/>
      <c r="EB4" s="182" t="s">
        <v>600</v>
      </c>
      <c r="EC4" s="309"/>
      <c r="ED4" s="309"/>
      <c r="EE4" s="178" t="s">
        <v>611</v>
      </c>
      <c r="EF4" s="178" t="s">
        <v>611</v>
      </c>
      <c r="EG4" s="183" t="s">
        <v>584</v>
      </c>
      <c r="EH4" s="310"/>
      <c r="EI4" s="179" t="s">
        <v>584</v>
      </c>
      <c r="EJ4" s="307"/>
      <c r="EK4" s="182" t="s">
        <v>600</v>
      </c>
      <c r="EL4" s="309"/>
      <c r="EM4" s="309"/>
      <c r="EN4" s="178" t="s">
        <v>611</v>
      </c>
      <c r="EO4" s="178" t="s">
        <v>611</v>
      </c>
      <c r="EP4" s="183" t="s">
        <v>584</v>
      </c>
      <c r="EQ4" s="310"/>
      <c r="ER4" s="179" t="s">
        <v>584</v>
      </c>
      <c r="ES4" s="307"/>
      <c r="ET4" s="182" t="s">
        <v>600</v>
      </c>
      <c r="EU4" s="309"/>
      <c r="EV4" s="309"/>
      <c r="EW4" s="178" t="s">
        <v>611</v>
      </c>
      <c r="EX4" s="178" t="s">
        <v>611</v>
      </c>
    </row>
    <row r="5" spans="1:154" x14ac:dyDescent="0.35">
      <c r="A5" s="158" t="s">
        <v>31</v>
      </c>
      <c r="B5" s="185" t="s">
        <v>66</v>
      </c>
      <c r="C5" s="186">
        <f t="shared" ref="C5:C10" si="0">VLOOKUP(A5,PRC,10,FALSE)</f>
        <v>59018.623536026826</v>
      </c>
      <c r="D5" s="187">
        <f t="shared" ref="D5:D11" si="1">LOG(C5)</f>
        <v>4.7709890764333576</v>
      </c>
      <c r="E5" s="186">
        <v>3.7714967905550364E-5</v>
      </c>
      <c r="F5" s="186">
        <v>0.385934623618432</v>
      </c>
      <c r="G5" s="188"/>
      <c r="H5" s="189">
        <v>144</v>
      </c>
      <c r="I5" s="190" t="s">
        <v>585</v>
      </c>
      <c r="J5" s="191">
        <v>0.79900000000000004</v>
      </c>
      <c r="K5" s="192"/>
      <c r="L5" s="193">
        <f t="shared" ref="L5:L10" si="2">35.179*C5^(-0.468)</f>
        <v>0.20580721806127614</v>
      </c>
      <c r="M5" s="194">
        <f t="shared" ref="M5:M10" si="3">1-EXP(-L$2/(($C5*L*L5/$F5)+(L^2/(3*$E5))))</f>
        <v>0.81912141404174799</v>
      </c>
      <c r="N5" s="195"/>
      <c r="O5" s="196">
        <f>-1*10^P5</f>
        <v>-7.0366803782113158E-2</v>
      </c>
      <c r="P5" s="193">
        <f t="shared" ref="P5:P10" si="4">-0.6614*D5+2.0029</f>
        <v>-1.1526321751530229</v>
      </c>
      <c r="Q5" s="193">
        <f t="shared" ref="Q5:Q10" si="5">1/(1-EXP(O5*L$2))</f>
        <v>1.0932197038431299</v>
      </c>
      <c r="R5" s="167">
        <f t="shared" ref="R5:R10" si="6">H5*Q5/$C5*1000000</f>
        <v>2667.355284172535</v>
      </c>
      <c r="S5" s="167">
        <f t="shared" ref="S5:S10" si="7">H5/1000/$C5/M5*1000000000</f>
        <v>2978.6888240071958</v>
      </c>
      <c r="T5" s="167">
        <v>2700</v>
      </c>
      <c r="U5" s="185">
        <v>108</v>
      </c>
      <c r="V5" s="185" t="s">
        <v>585</v>
      </c>
      <c r="W5" s="185">
        <v>0.72399999999999998</v>
      </c>
      <c r="X5" s="197"/>
      <c r="Y5" s="193">
        <f t="shared" ref="Y5:Y10" si="8">98.197*C5^(-0.557)</f>
        <v>0.21610126262265059</v>
      </c>
      <c r="Z5" s="194">
        <f t="shared" ref="Z5:Z10" si="9">1-EXP(-Y$2/(($C5*L*Y5/$F5)+(L^2/(3*$E5))))</f>
        <v>0.80397527230595456</v>
      </c>
      <c r="AA5" s="197"/>
      <c r="AB5" s="196">
        <f t="shared" ref="AB5:AB10" si="10">-1*10^AC5</f>
        <v>-9.198674926454202E-2</v>
      </c>
      <c r="AC5" s="193">
        <f t="shared" ref="AC5:AC10" si="11">-0.7206*D5+2.4017</f>
        <v>-1.0362747284778777</v>
      </c>
      <c r="AD5" s="193">
        <f t="shared" ref="AD5:AD10" si="12">1/(1-EXP(AB5*Y$2))</f>
        <v>1.0416021232184596</v>
      </c>
      <c r="AE5" s="198">
        <f t="shared" ref="AE5:AE10" si="13">U5*AD5/$C5*1000000</f>
        <v>1906.0598598834542</v>
      </c>
      <c r="AF5" s="198">
        <f t="shared" ref="AF5:AF10" si="14">U5/1000/$C5/Z5*1000000000</f>
        <v>2276.103400400305</v>
      </c>
      <c r="AG5" s="198">
        <v>2000</v>
      </c>
      <c r="AH5" s="185">
        <v>134</v>
      </c>
      <c r="AI5" s="185" t="s">
        <v>585</v>
      </c>
      <c r="AJ5" s="185">
        <v>0.64800000000000002</v>
      </c>
      <c r="AK5" s="192"/>
      <c r="AL5" s="193">
        <f t="shared" ref="AL5:AL10" si="15">-0.267*LN(D5)+0.5629</f>
        <v>0.14569817893289638</v>
      </c>
      <c r="AM5" s="194">
        <f t="shared" ref="AM5:AM10" si="16">1-EXP(-AL$2/(($C5*L*AL5/$F5)+(L^2/(3*$E5))))</f>
        <v>0.9106931150915063</v>
      </c>
      <c r="AN5" s="195"/>
      <c r="AO5" s="196">
        <f t="shared" ref="AO5:AO10" si="17">-1*10^AP5</f>
        <v>-6.66424201218936E-2</v>
      </c>
      <c r="AP5" s="193">
        <f t="shared" ref="AP5:AP10" si="18">-0.8111*D5+2.6935</f>
        <v>-1.1762492398950966</v>
      </c>
      <c r="AQ5" s="193">
        <f t="shared" ref="AQ5:AQ10" si="19">1/(1-EXP(AO5*AL$2))</f>
        <v>1.1075339136358437</v>
      </c>
      <c r="AR5" s="198">
        <f t="shared" ref="AR5:AR10" si="20">AH5*AQ5/$C5*1000000</f>
        <v>2514.6222587961443</v>
      </c>
      <c r="AS5" s="198">
        <f t="shared" ref="AS5:AS10" si="21">AH5/1000/$C5/AM5*1000000000</f>
        <v>2493.1227897900421</v>
      </c>
      <c r="AT5" s="198">
        <v>2500</v>
      </c>
      <c r="AU5" s="185">
        <v>206</v>
      </c>
      <c r="AV5" s="185" t="s">
        <v>585</v>
      </c>
      <c r="AW5" s="185">
        <v>0.76300000000000001</v>
      </c>
      <c r="AX5" s="192"/>
      <c r="AY5" s="196">
        <f t="shared" ref="AY5:AY10" si="22">2.508*C5^(-0.318)</f>
        <v>7.6234754461707646E-2</v>
      </c>
      <c r="AZ5" s="199">
        <f t="shared" ref="AZ5:AZ10" si="23">1-EXP(-T/(($C5*L*AY5/$F5)+(L^2/(3*$E5))))</f>
        <v>0.99011261149963814</v>
      </c>
      <c r="BA5" s="195"/>
      <c r="BB5" s="198">
        <f t="shared" ref="BB5:BB10" si="24">AU5/1000/$C5/AZ5*1000000000</f>
        <v>3525.2794681692208</v>
      </c>
      <c r="BC5" s="198">
        <v>4200</v>
      </c>
      <c r="BD5" s="185">
        <v>121</v>
      </c>
      <c r="BE5" s="185" t="s">
        <v>585</v>
      </c>
      <c r="BF5" s="185">
        <v>0.69599999999999995</v>
      </c>
      <c r="BG5" s="192"/>
      <c r="BH5" s="196">
        <f t="shared" ref="BH5:BH10" si="25">12.381*C5^(-0.482)</f>
        <v>6.2106776488024124E-2</v>
      </c>
      <c r="BI5" s="199">
        <f t="shared" ref="BI5:BI10" si="26">1-EXP(-T/(($C5*L*BH5/$F5)+(L^2/(3*$E5))))</f>
        <v>0.99653836899431014</v>
      </c>
      <c r="BJ5" s="195"/>
      <c r="BK5" s="198">
        <f t="shared" ref="BK5:BK10" si="27">BD5/1000/$C5/BI5*1000000000</f>
        <v>2057.3219950431612</v>
      </c>
      <c r="BL5" s="198">
        <v>2300</v>
      </c>
      <c r="BM5" s="185">
        <v>96.7</v>
      </c>
      <c r="BN5" s="185" t="s">
        <v>585</v>
      </c>
      <c r="BO5" s="185">
        <v>0.90700000000000003</v>
      </c>
      <c r="BQ5" s="200">
        <f t="shared" ref="BQ5:BQ10" si="28">14.834*C5^(-0.51)</f>
        <v>5.4708378848655072E-2</v>
      </c>
      <c r="BR5" s="199">
        <f t="shared" ref="BR5:BR10" si="29">1-EXP(-T/(($C5*L*BQ5/$F5)+(L^2/(3*$E5))))</f>
        <v>0.99839032647089831</v>
      </c>
      <c r="BT5" s="198">
        <f t="shared" ref="BT5:BT10" si="30">BM5/1000/$C5/BR5*1000000000</f>
        <v>1641.1075112507001</v>
      </c>
      <c r="BU5" s="201">
        <v>1800</v>
      </c>
      <c r="BV5" s="185">
        <v>68.3</v>
      </c>
      <c r="BW5" s="185" t="s">
        <v>585</v>
      </c>
      <c r="BX5" s="185">
        <v>0.47399999999999998</v>
      </c>
      <c r="BY5" s="192"/>
      <c r="BZ5" s="193">
        <f t="shared" ref="BZ5:BZ10" si="31">222.86*C5^(-0.71)</f>
        <v>9.1333454008104151E-2</v>
      </c>
      <c r="CA5" s="199">
        <f t="shared" ref="CA5:CA10" si="32">1-EXP(-T/(($C5*L*BZ5/$F5)+(L^2/(3*$E5))))</f>
        <v>0.97879753134797853</v>
      </c>
      <c r="CB5" s="195"/>
      <c r="CC5" s="198">
        <f t="shared" ref="CC5:CC10" si="33">BV5/1000/$C5/CA5*1000000000</f>
        <v>1182.3301430953886</v>
      </c>
      <c r="CD5" s="198">
        <v>1500</v>
      </c>
      <c r="CE5" s="185">
        <v>163</v>
      </c>
      <c r="CF5" s="185" t="s">
        <v>585</v>
      </c>
      <c r="CG5" s="185">
        <v>0.68200000000000005</v>
      </c>
      <c r="CI5" s="200">
        <f t="shared" ref="CI5:CI10" si="34">9.8339*C5^(-0.486)</f>
        <v>4.720903211100666E-2</v>
      </c>
      <c r="CJ5" s="199">
        <f t="shared" ref="CJ5:CJ10" si="35">1-EXP(-T/(($C5*L*CI5/$F5)+(L^2/(3*$E5))))</f>
        <v>0.99942007804085053</v>
      </c>
      <c r="CL5" s="198">
        <f t="shared" ref="CL5:CL10" si="36">CE5/1000/$C5/CJ5*1000000000</f>
        <v>2763.4426619596984</v>
      </c>
      <c r="CM5" s="201">
        <v>2900</v>
      </c>
      <c r="CN5" s="185">
        <v>175</v>
      </c>
      <c r="CO5" s="185" t="s">
        <v>585</v>
      </c>
      <c r="CP5" s="185">
        <v>0.72599999999999998</v>
      </c>
      <c r="CR5" s="200">
        <f t="shared" ref="CR5:CR10" si="37">27.055*C5^(-0.564)</f>
        <v>5.5132755547849535E-2</v>
      </c>
      <c r="CS5" s="199">
        <f t="shared" ref="CS5:CS10" si="38">1-EXP(-T/(($C5*L*CR5/$F5)+(L^2/(3*$E5))))</f>
        <v>0.99830868730700151</v>
      </c>
      <c r="CU5" s="198">
        <f t="shared" ref="CU5:CU10" si="39">CN5/1000/$C5/CS5*1000000000</f>
        <v>2970.1892497818681</v>
      </c>
      <c r="CV5" s="201">
        <v>3200</v>
      </c>
      <c r="CW5" s="185">
        <v>347</v>
      </c>
      <c r="CX5" s="185" t="s">
        <v>585</v>
      </c>
      <c r="CY5" s="185">
        <v>0.995</v>
      </c>
      <c r="DA5" s="200">
        <f t="shared" ref="DA5:DA10" si="40">-0.006*LN(C5)+0.1103</f>
        <v>4.4386350042602732E-2</v>
      </c>
      <c r="DB5" s="199">
        <f t="shared" ref="DB5:DB10" si="41">1-EXP(-T/(($C5*L*DA5/$F5)+(L^2/(3*$E5))))</f>
        <v>0.99963882719145314</v>
      </c>
      <c r="DD5" s="198">
        <f t="shared" ref="DD5:DD10" si="42">CW5/1000/$C5/DB5*1000000000</f>
        <v>5881.6243322536238</v>
      </c>
      <c r="DE5" s="202">
        <v>6600</v>
      </c>
      <c r="DF5" s="185">
        <v>275</v>
      </c>
      <c r="DG5" s="185" t="s">
        <v>585</v>
      </c>
      <c r="DH5" s="185">
        <v>1.44</v>
      </c>
      <c r="DJ5" s="200">
        <f t="shared" ref="DJ5:DJ10" si="43">0.00000000000003*C5^2-0.00000004*C5+0.0393</f>
        <v>3.7043750996281544E-2</v>
      </c>
      <c r="DK5" s="199">
        <f t="shared" ref="DK5:DK10" si="44">1-EXP(-T/(($C5*L*DJ5/$F5)+(L^2/(3*$E5))))</f>
        <v>0.99992482102805091</v>
      </c>
      <c r="DM5" s="198">
        <f t="shared" ref="DM5:DM10" si="45">DF5/1000/$C5/DK5*1000000000</f>
        <v>4659.8964749455399</v>
      </c>
      <c r="DN5" s="201">
        <v>4700</v>
      </c>
      <c r="DO5" s="185">
        <v>92.4</v>
      </c>
      <c r="DP5" s="185" t="s">
        <v>585</v>
      </c>
      <c r="DQ5" s="185">
        <v>0.70299999999999996</v>
      </c>
      <c r="DS5" s="200">
        <f t="shared" ref="DS5:DS10" si="46">260.28*C5^(-0.718)</f>
        <v>9.7694618473168737E-2</v>
      </c>
      <c r="DT5" s="199">
        <f t="shared" ref="DT5:DT10" si="47">1-EXP(-T/(($C5*L*DS5/$F5)+(L^2/(3*$E5))))</f>
        <v>0.97275303647954059</v>
      </c>
      <c r="DV5" s="198">
        <f t="shared" ref="DV5:DV10" si="48">DO5/1000/$C5/DT5*1000000000</f>
        <v>1609.460415189943</v>
      </c>
      <c r="DW5" s="201">
        <v>2100</v>
      </c>
      <c r="DX5" s="185">
        <v>87.6</v>
      </c>
      <c r="DY5" s="185" t="s">
        <v>585</v>
      </c>
      <c r="DZ5" s="185">
        <v>2.06</v>
      </c>
      <c r="EB5" s="200">
        <f t="shared" ref="EB5:EB10" si="49">4.3397*C5^(-0.418)</f>
        <v>4.3973018060293814E-2</v>
      </c>
      <c r="EC5" s="199">
        <f t="shared" ref="EC5:EC10" si="50">1-EXP(-T/(($C5*L*EB5/$F5)+(L^2/(3*$E5))))</f>
        <v>0.99966473647039289</v>
      </c>
      <c r="EE5" s="198">
        <f t="shared" ref="EE5:EE10" si="51">DX5/1000/$C5/EC5*1000000000</f>
        <v>1484.7750368387913</v>
      </c>
      <c r="EF5" s="202">
        <v>1500</v>
      </c>
      <c r="EG5" s="185">
        <v>261</v>
      </c>
      <c r="EH5" s="185" t="s">
        <v>585</v>
      </c>
      <c r="EI5" s="185">
        <v>0.81499999999999995</v>
      </c>
      <c r="EK5" s="200">
        <f t="shared" ref="EK5:EK10" si="52">27.631*C5^(-0.559)</f>
        <v>5.9485855133608351E-2</v>
      </c>
      <c r="EL5" s="199">
        <f t="shared" ref="EL5:EL10" si="53">1-EXP(-T/(($C5*L*EK5/$F5)+(L^2/(3*$E5))))</f>
        <v>0.99730268939402011</v>
      </c>
      <c r="EN5" s="198">
        <f t="shared" ref="EN5:EN10" si="54">EG5/1000/$C5/EL5*1000000000</f>
        <v>4434.2935572809974</v>
      </c>
      <c r="EO5" s="202">
        <v>4900</v>
      </c>
      <c r="EP5" s="185">
        <v>108</v>
      </c>
      <c r="EQ5" s="185" t="s">
        <v>585</v>
      </c>
      <c r="ER5" s="185">
        <v>1.1100000000000001</v>
      </c>
      <c r="ES5" s="192"/>
      <c r="ET5" s="196">
        <f t="shared" ref="ET5:ET10" si="55">-0.005*LN(C5)+0.0943</f>
        <v>3.9371958368835606E-2</v>
      </c>
      <c r="EU5" s="199">
        <f t="shared" ref="EU5:EU10" si="56">1-EXP(-T/(($C5*L*ET5/$F5)+(L^2/(3*$E5))))</f>
        <v>0.99986825766002474</v>
      </c>
      <c r="EV5" s="195"/>
      <c r="EW5" s="198">
        <f t="shared" ref="EW5:EW10" si="57">EP5/1000/$C5/EU5*1000000000</f>
        <v>1830.171962270211</v>
      </c>
      <c r="EX5" s="203">
        <v>2000</v>
      </c>
    </row>
    <row r="6" spans="1:154" x14ac:dyDescent="0.35">
      <c r="A6" s="188" t="s">
        <v>32</v>
      </c>
      <c r="B6" s="185" t="s">
        <v>66</v>
      </c>
      <c r="C6" s="186">
        <f t="shared" si="0"/>
        <v>69343.153997951944</v>
      </c>
      <c r="D6" s="187">
        <f t="shared" si="1"/>
        <v>4.8410035911818561</v>
      </c>
      <c r="E6" s="186">
        <v>3.5197656002275242E-5</v>
      </c>
      <c r="F6" s="186">
        <v>0.385934623618432</v>
      </c>
      <c r="G6" s="188"/>
      <c r="H6" s="189">
        <v>251</v>
      </c>
      <c r="I6" s="190" t="s">
        <v>585</v>
      </c>
      <c r="J6" s="191">
        <v>1.04</v>
      </c>
      <c r="K6" s="204"/>
      <c r="L6" s="193">
        <f t="shared" si="2"/>
        <v>0.19085072292125407</v>
      </c>
      <c r="M6" s="194">
        <f t="shared" si="3"/>
        <v>0.79182851456634584</v>
      </c>
      <c r="N6" s="197"/>
      <c r="O6" s="193">
        <f t="shared" ref="O6:O10" si="58">-1*10^P6</f>
        <v>-6.3249955572182853E-2</v>
      </c>
      <c r="P6" s="193">
        <f t="shared" si="4"/>
        <v>-1.1989397752076796</v>
      </c>
      <c r="Q6" s="193">
        <f t="shared" si="5"/>
        <v>1.1228134624645452</v>
      </c>
      <c r="R6" s="167">
        <f t="shared" si="6"/>
        <v>4064.2249858857672</v>
      </c>
      <c r="S6" s="167">
        <f t="shared" si="7"/>
        <v>4571.2923120088271</v>
      </c>
      <c r="T6" s="167">
        <v>4100</v>
      </c>
      <c r="U6" s="185">
        <v>136</v>
      </c>
      <c r="V6" s="185" t="s">
        <v>585</v>
      </c>
      <c r="W6" s="185">
        <v>0.94399999999999995</v>
      </c>
      <c r="X6" s="197"/>
      <c r="Y6" s="193">
        <f t="shared" si="8"/>
        <v>0.19754189684076384</v>
      </c>
      <c r="Z6" s="194">
        <f t="shared" si="9"/>
        <v>0.78067419704782559</v>
      </c>
      <c r="AA6" s="197"/>
      <c r="AB6" s="193">
        <f t="shared" si="10"/>
        <v>-8.189790873726735E-2</v>
      </c>
      <c r="AC6" s="193">
        <f t="shared" si="11"/>
        <v>-1.0867271878056455</v>
      </c>
      <c r="AD6" s="193">
        <f t="shared" si="12"/>
        <v>1.0602879285587683</v>
      </c>
      <c r="AE6" s="198">
        <f t="shared" si="13"/>
        <v>2079.5010029144541</v>
      </c>
      <c r="AF6" s="198">
        <f t="shared" si="14"/>
        <v>2512.265254513944</v>
      </c>
      <c r="AG6" s="198">
        <v>2200</v>
      </c>
      <c r="AH6" s="185">
        <v>132</v>
      </c>
      <c r="AI6" s="185" t="s">
        <v>585</v>
      </c>
      <c r="AJ6" s="185">
        <v>0.84499999999999997</v>
      </c>
      <c r="AK6" s="204"/>
      <c r="AL6" s="193">
        <f t="shared" si="15"/>
        <v>0.14180841190674276</v>
      </c>
      <c r="AM6" s="194">
        <f t="shared" si="16"/>
        <v>0.87905696172729786</v>
      </c>
      <c r="AN6" s="197"/>
      <c r="AO6" s="193">
        <f t="shared" si="17"/>
        <v>-5.8473890103932377E-2</v>
      </c>
      <c r="AP6" s="193">
        <f t="shared" si="18"/>
        <v>-1.2330380128076039</v>
      </c>
      <c r="AQ6" s="193">
        <f t="shared" si="19"/>
        <v>1.1483963031123217</v>
      </c>
      <c r="AR6" s="198">
        <f t="shared" si="20"/>
        <v>2186.0602420147147</v>
      </c>
      <c r="AS6" s="198">
        <f t="shared" si="21"/>
        <v>2165.4757383749215</v>
      </c>
      <c r="AT6" s="198">
        <v>2200</v>
      </c>
      <c r="AU6" s="185">
        <v>305</v>
      </c>
      <c r="AV6" s="185" t="s">
        <v>585</v>
      </c>
      <c r="AW6" s="185">
        <v>0.995</v>
      </c>
      <c r="AX6" s="204"/>
      <c r="AY6" s="196">
        <f t="shared" si="22"/>
        <v>7.2424981036693481E-2</v>
      </c>
      <c r="AZ6" s="194">
        <f t="shared" si="23"/>
        <v>0.98401188732504385</v>
      </c>
      <c r="BA6" s="197"/>
      <c r="BB6" s="198">
        <f t="shared" si="24"/>
        <v>4469.8804030222555</v>
      </c>
      <c r="BC6" s="198">
        <v>5500</v>
      </c>
      <c r="BD6" s="185">
        <v>185</v>
      </c>
      <c r="BE6" s="185" t="s">
        <v>585</v>
      </c>
      <c r="BF6" s="185">
        <v>0.90700000000000003</v>
      </c>
      <c r="BG6" s="204"/>
      <c r="BH6" s="193">
        <f t="shared" si="25"/>
        <v>5.746348916055883E-2</v>
      </c>
      <c r="BI6" s="194">
        <f t="shared" si="26"/>
        <v>0.99454986587367267</v>
      </c>
      <c r="BJ6" s="197"/>
      <c r="BK6" s="198">
        <f t="shared" si="27"/>
        <v>2682.5113862821263</v>
      </c>
      <c r="BL6" s="198">
        <v>3100</v>
      </c>
      <c r="BM6" s="185">
        <v>147</v>
      </c>
      <c r="BN6" s="185" t="s">
        <v>585</v>
      </c>
      <c r="BO6" s="185">
        <v>1.18</v>
      </c>
      <c r="BQ6" s="200">
        <f t="shared" si="28"/>
        <v>5.0390241896220822E-2</v>
      </c>
      <c r="BR6" s="194">
        <f t="shared" si="29"/>
        <v>0.99737648264004619</v>
      </c>
      <c r="BT6" s="198">
        <f t="shared" si="30"/>
        <v>2125.4682401039368</v>
      </c>
      <c r="BU6" s="201">
        <v>2300</v>
      </c>
      <c r="BV6" s="185">
        <v>122</v>
      </c>
      <c r="BW6" s="185" t="s">
        <v>585</v>
      </c>
      <c r="BX6" s="185">
        <v>0.61799999999999999</v>
      </c>
      <c r="BY6" s="204"/>
      <c r="BZ6" s="193">
        <f t="shared" si="31"/>
        <v>8.1455342935302391E-2</v>
      </c>
      <c r="CA6" s="194">
        <f t="shared" si="32"/>
        <v>0.97471602040144656</v>
      </c>
      <c r="CB6" s="197"/>
      <c r="CC6" s="198">
        <f t="shared" si="33"/>
        <v>1805.0038614051405</v>
      </c>
      <c r="CD6" s="198">
        <v>2300</v>
      </c>
      <c r="CE6" s="185">
        <v>216</v>
      </c>
      <c r="CF6" s="185" t="s">
        <v>585</v>
      </c>
      <c r="CG6" s="185">
        <v>0.89</v>
      </c>
      <c r="CI6" s="200">
        <f t="shared" si="34"/>
        <v>4.365138645942436E-2</v>
      </c>
      <c r="CJ6" s="194">
        <f t="shared" si="35"/>
        <v>0.99895111846831763</v>
      </c>
      <c r="CL6" s="198">
        <f t="shared" si="36"/>
        <v>3118.2140388317662</v>
      </c>
      <c r="CM6" s="201">
        <v>3300</v>
      </c>
      <c r="CN6" s="185">
        <v>232</v>
      </c>
      <c r="CO6" s="185" t="s">
        <v>585</v>
      </c>
      <c r="CP6" s="185">
        <v>0.94699999999999995</v>
      </c>
      <c r="CR6" s="200">
        <f t="shared" si="37"/>
        <v>5.0340962268806549E-2</v>
      </c>
      <c r="CS6" s="194">
        <f t="shared" si="38"/>
        <v>0.99739169146721696</v>
      </c>
      <c r="CU6" s="198">
        <f t="shared" si="39"/>
        <v>3354.4293366511638</v>
      </c>
      <c r="CV6" s="201">
        <v>3700</v>
      </c>
      <c r="CW6" s="185">
        <v>366</v>
      </c>
      <c r="CX6" s="185" t="s">
        <v>585</v>
      </c>
      <c r="CY6" s="185">
        <v>1.3</v>
      </c>
      <c r="DA6" s="200">
        <f t="shared" si="40"/>
        <v>4.3419063774884095E-2</v>
      </c>
      <c r="DB6" s="194">
        <f t="shared" si="41"/>
        <v>0.99898889143898806</v>
      </c>
      <c r="DD6" s="198">
        <f t="shared" si="42"/>
        <v>5283.4406738911584</v>
      </c>
      <c r="DE6" s="202">
        <v>6100</v>
      </c>
      <c r="DF6" s="185">
        <v>495</v>
      </c>
      <c r="DG6" s="185" t="s">
        <v>585</v>
      </c>
      <c r="DH6" s="185">
        <v>1.87</v>
      </c>
      <c r="DJ6" s="200">
        <f t="shared" si="43"/>
        <v>3.6670528030273437E-2</v>
      </c>
      <c r="DK6" s="194">
        <f t="shared" si="44"/>
        <v>0.99971548809254496</v>
      </c>
      <c r="DM6" s="198">
        <f t="shared" si="45"/>
        <v>7140.4435034638782</v>
      </c>
      <c r="DN6" s="201">
        <v>7200</v>
      </c>
      <c r="DO6" s="185">
        <v>152</v>
      </c>
      <c r="DP6" s="185" t="s">
        <v>585</v>
      </c>
      <c r="DQ6" s="185">
        <v>0.91600000000000004</v>
      </c>
      <c r="DS6" s="200">
        <f t="shared" si="46"/>
        <v>8.7016221213386369E-2</v>
      </c>
      <c r="DT6" s="194">
        <f t="shared" si="47"/>
        <v>0.96802037394318907</v>
      </c>
      <c r="DV6" s="198">
        <f t="shared" si="48"/>
        <v>2264.4122661230508</v>
      </c>
      <c r="DW6" s="201">
        <v>3000</v>
      </c>
      <c r="DX6" s="185">
        <v>140</v>
      </c>
      <c r="DY6" s="185" t="s">
        <v>585</v>
      </c>
      <c r="DZ6" s="185">
        <v>2.81</v>
      </c>
      <c r="EB6" s="200">
        <f t="shared" si="49"/>
        <v>4.1107418743925053E-2</v>
      </c>
      <c r="EC6" s="194">
        <f t="shared" si="50"/>
        <v>0.999313714085861</v>
      </c>
      <c r="EE6" s="198">
        <f t="shared" si="51"/>
        <v>2020.3313223360258</v>
      </c>
      <c r="EF6" s="202">
        <v>2100</v>
      </c>
      <c r="EG6" s="185">
        <v>355</v>
      </c>
      <c r="EH6" s="185" t="s">
        <v>585</v>
      </c>
      <c r="EI6" s="185">
        <v>1.06</v>
      </c>
      <c r="EK6" s="200">
        <f t="shared" si="52"/>
        <v>5.4359517768270818E-2</v>
      </c>
      <c r="EL6" s="194">
        <f t="shared" si="53"/>
        <v>0.99595204511443303</v>
      </c>
      <c r="EN6" s="198">
        <f t="shared" si="54"/>
        <v>5140.2747652039825</v>
      </c>
      <c r="EO6" s="202">
        <v>5800</v>
      </c>
      <c r="EP6" s="185">
        <v>152</v>
      </c>
      <c r="EQ6" s="185" t="s">
        <v>585</v>
      </c>
      <c r="ER6" s="185">
        <v>1.45</v>
      </c>
      <c r="ES6" s="204"/>
      <c r="ET6" s="193">
        <f t="shared" si="55"/>
        <v>3.8565886479070083E-2</v>
      </c>
      <c r="EU6" s="194">
        <f t="shared" si="56"/>
        <v>0.99957517262112372</v>
      </c>
      <c r="EV6" s="197"/>
      <c r="EW6" s="198">
        <f t="shared" si="57"/>
        <v>2192.9288248186899</v>
      </c>
      <c r="EX6" s="203">
        <v>2400</v>
      </c>
    </row>
    <row r="7" spans="1:154" x14ac:dyDescent="0.35">
      <c r="A7" s="188" t="s">
        <v>29</v>
      </c>
      <c r="B7" s="185" t="s">
        <v>66</v>
      </c>
      <c r="C7" s="186">
        <f t="shared" si="0"/>
        <v>677967.49341078789</v>
      </c>
      <c r="D7" s="187">
        <f t="shared" si="1"/>
        <v>5.8312088711963259</v>
      </c>
      <c r="E7" s="186">
        <v>4.2316889993433612E-5</v>
      </c>
      <c r="F7" s="186">
        <v>0.41353639976675849</v>
      </c>
      <c r="G7" s="188"/>
      <c r="H7" s="189">
        <v>229</v>
      </c>
      <c r="I7" s="190" t="s">
        <v>585</v>
      </c>
      <c r="J7" s="191">
        <v>0.68100000000000005</v>
      </c>
      <c r="K7" s="204"/>
      <c r="L7" s="193">
        <f t="shared" si="2"/>
        <v>6.5656501594933234E-2</v>
      </c>
      <c r="M7" s="194">
        <f t="shared" si="3"/>
        <v>0.39349016337929121</v>
      </c>
      <c r="N7" s="197"/>
      <c r="O7" s="193">
        <f t="shared" si="58"/>
        <v>-1.4000335805611771E-2</v>
      </c>
      <c r="P7" s="193">
        <f t="shared" si="4"/>
        <v>-1.8538615474092501</v>
      </c>
      <c r="Q7" s="193">
        <f t="shared" si="5"/>
        <v>2.5821824989477125</v>
      </c>
      <c r="R7" s="167">
        <f t="shared" si="6"/>
        <v>872.19490315701478</v>
      </c>
      <c r="S7" s="167">
        <f t="shared" si="7"/>
        <v>858.40597315711022</v>
      </c>
      <c r="T7" s="167">
        <v>720</v>
      </c>
      <c r="U7" s="185">
        <v>234</v>
      </c>
      <c r="V7" s="185" t="s">
        <v>585</v>
      </c>
      <c r="W7" s="185">
        <v>0.45600000000000002</v>
      </c>
      <c r="X7" s="197"/>
      <c r="Y7" s="193">
        <f t="shared" si="8"/>
        <v>5.5477244080656192E-2</v>
      </c>
      <c r="Z7" s="194">
        <f t="shared" si="9"/>
        <v>0.44686335949975597</v>
      </c>
      <c r="AA7" s="197"/>
      <c r="AB7" s="193">
        <f t="shared" si="10"/>
        <v>-1.583911410279536E-2</v>
      </c>
      <c r="AC7" s="193">
        <f t="shared" si="11"/>
        <v>-1.8002691125840729</v>
      </c>
      <c r="AD7" s="193">
        <f t="shared" si="12"/>
        <v>2.3493631671163731</v>
      </c>
      <c r="AE7" s="198">
        <f t="shared" si="13"/>
        <v>810.8810325691104</v>
      </c>
      <c r="AF7" s="198">
        <f t="shared" si="14"/>
        <v>772.38217040327993</v>
      </c>
      <c r="AG7" s="198">
        <v>660</v>
      </c>
      <c r="AH7" s="185">
        <v>295</v>
      </c>
      <c r="AI7" s="185" t="s">
        <v>585</v>
      </c>
      <c r="AJ7" s="185">
        <v>0.47499999999999998</v>
      </c>
      <c r="AK7" s="204"/>
      <c r="AL7" s="193">
        <f t="shared" si="15"/>
        <v>9.211910324450201E-2</v>
      </c>
      <c r="AM7" s="194">
        <f t="shared" si="16"/>
        <v>0.2998551975774234</v>
      </c>
      <c r="AN7" s="197"/>
      <c r="AO7" s="193">
        <f t="shared" si="17"/>
        <v>-9.200395239137309E-3</v>
      </c>
      <c r="AP7" s="193">
        <f t="shared" si="18"/>
        <v>-2.0361935154273403</v>
      </c>
      <c r="AQ7" s="193">
        <f t="shared" si="19"/>
        <v>3.6327727526598199</v>
      </c>
      <c r="AR7" s="198">
        <f t="shared" si="20"/>
        <v>1580.7069991559488</v>
      </c>
      <c r="AS7" s="198">
        <f t="shared" si="21"/>
        <v>1451.1141054114594</v>
      </c>
      <c r="AT7" s="198">
        <v>1200</v>
      </c>
      <c r="AU7" s="185">
        <v>313</v>
      </c>
      <c r="AV7" s="185" t="s">
        <v>585</v>
      </c>
      <c r="AW7" s="185">
        <v>0.55100000000000005</v>
      </c>
      <c r="AX7" s="204"/>
      <c r="AY7" s="196">
        <f t="shared" si="22"/>
        <v>3.5075438661277762E-2</v>
      </c>
      <c r="AZ7" s="194">
        <f t="shared" si="23"/>
        <v>0.60792649500464013</v>
      </c>
      <c r="BA7" s="197"/>
      <c r="BB7" s="198">
        <f t="shared" si="24"/>
        <v>759.42413446019327</v>
      </c>
      <c r="BC7" s="198">
        <v>1600</v>
      </c>
      <c r="BD7" s="185">
        <v>255</v>
      </c>
      <c r="BE7" s="185" t="s">
        <v>585</v>
      </c>
      <c r="BF7" s="185">
        <v>0.65500000000000003</v>
      </c>
      <c r="BG7" s="204"/>
      <c r="BH7" s="193">
        <f t="shared" si="25"/>
        <v>1.9147542743405552E-2</v>
      </c>
      <c r="BI7" s="194">
        <f t="shared" si="26"/>
        <v>0.82004449209919361</v>
      </c>
      <c r="BJ7" s="197"/>
      <c r="BK7" s="198">
        <f t="shared" si="27"/>
        <v>458.66319635479965</v>
      </c>
      <c r="BL7" s="198">
        <v>830</v>
      </c>
      <c r="BM7" s="185">
        <v>200</v>
      </c>
      <c r="BN7" s="185" t="s">
        <v>585</v>
      </c>
      <c r="BO7" s="185">
        <v>0.92600000000000005</v>
      </c>
      <c r="BQ7" s="200">
        <f t="shared" si="28"/>
        <v>1.5752219336699257E-2</v>
      </c>
      <c r="BR7" s="194">
        <f t="shared" si="29"/>
        <v>0.87564850676947203</v>
      </c>
      <c r="BT7" s="198">
        <f t="shared" si="30"/>
        <v>336.89247700451699</v>
      </c>
      <c r="BU7" s="201">
        <v>570</v>
      </c>
      <c r="BV7" s="185">
        <v>118</v>
      </c>
      <c r="BW7" s="185" t="s">
        <v>585</v>
      </c>
      <c r="BX7" s="185">
        <v>0.35699999999999998</v>
      </c>
      <c r="BY7" s="204"/>
      <c r="BZ7" s="193">
        <f t="shared" si="31"/>
        <v>1.6138896172852423E-2</v>
      </c>
      <c r="CA7" s="194">
        <f t="shared" si="32"/>
        <v>0.86928111154030119</v>
      </c>
      <c r="CB7" s="197"/>
      <c r="CC7" s="198">
        <f t="shared" si="33"/>
        <v>200.22250616467753</v>
      </c>
      <c r="CD7" s="198">
        <v>360</v>
      </c>
      <c r="CE7" s="185">
        <v>353</v>
      </c>
      <c r="CF7" s="185" t="s">
        <v>585</v>
      </c>
      <c r="CG7" s="185">
        <v>0.61899999999999999</v>
      </c>
      <c r="CI7" s="200">
        <f t="shared" si="34"/>
        <v>1.441312908678982E-2</v>
      </c>
      <c r="CJ7" s="194">
        <f t="shared" si="35"/>
        <v>0.89753976195100149</v>
      </c>
      <c r="CL7" s="198">
        <f t="shared" si="36"/>
        <v>580.11238414517982</v>
      </c>
      <c r="CM7" s="201">
        <v>930</v>
      </c>
      <c r="CN7" s="185">
        <v>346</v>
      </c>
      <c r="CO7" s="185" t="s">
        <v>585</v>
      </c>
      <c r="CP7" s="185">
        <v>0.59299999999999997</v>
      </c>
      <c r="CR7" s="200">
        <f t="shared" si="37"/>
        <v>1.3913799310904459E-2</v>
      </c>
      <c r="CS7" s="194">
        <f t="shared" si="38"/>
        <v>0.9055820090507859</v>
      </c>
      <c r="CU7" s="198">
        <f t="shared" si="39"/>
        <v>563.55906727911952</v>
      </c>
      <c r="CV7" s="201">
        <v>920</v>
      </c>
      <c r="CW7" s="185">
        <v>366</v>
      </c>
      <c r="CX7" s="185" t="s">
        <v>585</v>
      </c>
      <c r="CY7" s="185">
        <v>1.21</v>
      </c>
      <c r="DA7" s="200">
        <f t="shared" si="40"/>
        <v>2.9738872274292213E-2</v>
      </c>
      <c r="DB7" s="194">
        <f t="shared" si="41"/>
        <v>0.6685591992939125</v>
      </c>
      <c r="DD7" s="198">
        <f t="shared" si="42"/>
        <v>807.48106133107092</v>
      </c>
      <c r="DE7" s="202">
        <v>1600</v>
      </c>
      <c r="DF7" s="185">
        <v>371</v>
      </c>
      <c r="DG7" s="185" t="s">
        <v>585</v>
      </c>
      <c r="DH7" s="185">
        <v>0.79400000000000004</v>
      </c>
      <c r="DJ7" s="200">
        <f t="shared" si="43"/>
        <v>2.5970497927219685E-2</v>
      </c>
      <c r="DK7" s="194">
        <f t="shared" si="44"/>
        <v>0.71762631222744966</v>
      </c>
      <c r="DM7" s="198">
        <f t="shared" si="45"/>
        <v>762.54711866784248</v>
      </c>
      <c r="DN7" s="201">
        <v>1500</v>
      </c>
      <c r="DO7" s="185">
        <v>147</v>
      </c>
      <c r="DP7" s="185" t="s">
        <v>585</v>
      </c>
      <c r="DQ7" s="185">
        <v>0.68600000000000005</v>
      </c>
      <c r="DS7" s="200">
        <f t="shared" si="46"/>
        <v>1.6929059388911531E-2</v>
      </c>
      <c r="DT7" s="194">
        <f t="shared" si="47"/>
        <v>0.8562606708696503</v>
      </c>
      <c r="DV7" s="198">
        <f t="shared" si="48"/>
        <v>253.22260181175588</v>
      </c>
      <c r="DW7" s="201">
        <v>470</v>
      </c>
      <c r="DX7" s="185">
        <v>191</v>
      </c>
      <c r="DY7" s="185" t="s">
        <v>585</v>
      </c>
      <c r="DZ7" s="185">
        <v>0.92400000000000004</v>
      </c>
      <c r="EB7" s="200">
        <f t="shared" si="49"/>
        <v>1.5849457438432024E-2</v>
      </c>
      <c r="EC7" s="194">
        <f t="shared" si="50"/>
        <v>0.87404821622446982</v>
      </c>
      <c r="EE7" s="198">
        <f t="shared" si="51"/>
        <v>322.32137364048265</v>
      </c>
      <c r="EF7" s="202">
        <v>520</v>
      </c>
      <c r="EG7" s="185">
        <v>328</v>
      </c>
      <c r="EH7" s="185" t="s">
        <v>585</v>
      </c>
      <c r="EI7" s="185">
        <v>0.439</v>
      </c>
      <c r="EK7" s="200">
        <f t="shared" si="52"/>
        <v>1.5196754368977909E-2</v>
      </c>
      <c r="EL7" s="194">
        <f t="shared" si="53"/>
        <v>0.88476991226974988</v>
      </c>
      <c r="EN7" s="198">
        <f t="shared" si="54"/>
        <v>546.80770690485701</v>
      </c>
      <c r="EO7" s="202">
        <v>920</v>
      </c>
      <c r="EP7" s="185">
        <v>234</v>
      </c>
      <c r="EQ7" s="185" t="s">
        <v>585</v>
      </c>
      <c r="ER7" s="185">
        <v>0.63300000000000001</v>
      </c>
      <c r="ES7" s="204"/>
      <c r="ET7" s="193">
        <f t="shared" si="55"/>
        <v>2.7165726895243505E-2</v>
      </c>
      <c r="EU7" s="194">
        <f t="shared" si="56"/>
        <v>0.70147279943895091</v>
      </c>
      <c r="EV7" s="197"/>
      <c r="EW7" s="198">
        <f t="shared" si="57"/>
        <v>492.03517479249166</v>
      </c>
      <c r="EX7" s="203">
        <v>740</v>
      </c>
    </row>
    <row r="8" spans="1:154" x14ac:dyDescent="0.35">
      <c r="A8" s="188" t="s">
        <v>30</v>
      </c>
      <c r="B8" s="185" t="s">
        <v>66</v>
      </c>
      <c r="C8" s="186">
        <f t="shared" si="0"/>
        <v>760710.19883052027</v>
      </c>
      <c r="D8" s="187">
        <f t="shared" si="1"/>
        <v>5.8812192388738245</v>
      </c>
      <c r="E8" s="186">
        <v>4.0412316207213793E-5</v>
      </c>
      <c r="F8" s="186">
        <v>0.41353639976675849</v>
      </c>
      <c r="G8" s="188"/>
      <c r="H8" s="189">
        <v>292</v>
      </c>
      <c r="I8" s="190" t="s">
        <v>585</v>
      </c>
      <c r="J8" s="191">
        <v>0.82699999999999996</v>
      </c>
      <c r="K8" s="204"/>
      <c r="L8" s="193">
        <f t="shared" si="2"/>
        <v>6.2211817057871883E-2</v>
      </c>
      <c r="M8" s="194">
        <f t="shared" si="3"/>
        <v>0.37519849399342042</v>
      </c>
      <c r="N8" s="197"/>
      <c r="O8" s="193">
        <f t="shared" si="58"/>
        <v>-1.2973632612422353E-2</v>
      </c>
      <c r="P8" s="193">
        <f t="shared" si="4"/>
        <v>-1.8869384045911475</v>
      </c>
      <c r="Q8" s="193">
        <f t="shared" si="5"/>
        <v>2.7407837146276757</v>
      </c>
      <c r="R8" s="167">
        <f t="shared" si="6"/>
        <v>1052.0548375736755</v>
      </c>
      <c r="S8" s="167">
        <f t="shared" si="7"/>
        <v>1023.0633481214779</v>
      </c>
      <c r="T8" s="167">
        <v>860</v>
      </c>
      <c r="U8" s="185">
        <v>321</v>
      </c>
      <c r="V8" s="185" t="s">
        <v>585</v>
      </c>
      <c r="W8" s="185">
        <v>0.53600000000000003</v>
      </c>
      <c r="X8" s="197"/>
      <c r="Y8" s="193">
        <f t="shared" si="8"/>
        <v>5.2030632324730708E-2</v>
      </c>
      <c r="Z8" s="194">
        <f t="shared" si="9"/>
        <v>0.43033149450491581</v>
      </c>
      <c r="AA8" s="197"/>
      <c r="AB8" s="193">
        <f t="shared" si="10"/>
        <v>-1.4577847961195078E-2</v>
      </c>
      <c r="AC8" s="193">
        <f t="shared" si="11"/>
        <v>-1.8363065835324779</v>
      </c>
      <c r="AD8" s="193">
        <f t="shared" si="12"/>
        <v>2.5017631983198982</v>
      </c>
      <c r="AE8" s="198">
        <f t="shared" si="13"/>
        <v>1055.6792690505304</v>
      </c>
      <c r="AF8" s="198">
        <f t="shared" si="14"/>
        <v>980.57916606224546</v>
      </c>
      <c r="AG8" s="198">
        <v>840</v>
      </c>
      <c r="AH8" s="185">
        <v>350</v>
      </c>
      <c r="AI8" s="185" t="s">
        <v>585</v>
      </c>
      <c r="AJ8" s="185">
        <v>0.56100000000000005</v>
      </c>
      <c r="AK8" s="204"/>
      <c r="AL8" s="193">
        <f t="shared" si="15"/>
        <v>8.9838986911150109E-2</v>
      </c>
      <c r="AM8" s="194">
        <f t="shared" si="16"/>
        <v>0.27802049877613644</v>
      </c>
      <c r="AN8" s="197"/>
      <c r="AO8" s="193">
        <f t="shared" si="17"/>
        <v>-8.3799817987905544E-3</v>
      </c>
      <c r="AP8" s="193">
        <f t="shared" si="18"/>
        <v>-2.0767569246505597</v>
      </c>
      <c r="AQ8" s="193">
        <f t="shared" si="19"/>
        <v>3.9344728088421466</v>
      </c>
      <c r="AR8" s="198">
        <f t="shared" si="20"/>
        <v>1810.2366515024858</v>
      </c>
      <c r="AS8" s="198">
        <f t="shared" si="21"/>
        <v>1654.9008816768121</v>
      </c>
      <c r="AT8" s="198">
        <v>1400</v>
      </c>
      <c r="AU8" s="185">
        <v>374</v>
      </c>
      <c r="AV8" s="185" t="s">
        <v>585</v>
      </c>
      <c r="AW8" s="185">
        <v>0.65300000000000002</v>
      </c>
      <c r="AX8" s="204"/>
      <c r="AY8" s="196">
        <f t="shared" si="22"/>
        <v>3.381425428070594E-2</v>
      </c>
      <c r="AZ8" s="194">
        <f t="shared" si="23"/>
        <v>0.57919655551096083</v>
      </c>
      <c r="BA8" s="197"/>
      <c r="BB8" s="198">
        <f t="shared" si="24"/>
        <v>848.84108709357258</v>
      </c>
      <c r="BC8" s="198">
        <v>1800</v>
      </c>
      <c r="BD8" s="185">
        <v>324</v>
      </c>
      <c r="BE8" s="185" t="s">
        <v>585</v>
      </c>
      <c r="BF8" s="185">
        <v>0.79400000000000004</v>
      </c>
      <c r="BG8" s="204"/>
      <c r="BH8" s="193">
        <f t="shared" si="25"/>
        <v>1.8113736695047216E-2</v>
      </c>
      <c r="BI8" s="194">
        <f t="shared" si="26"/>
        <v>0.80125629921632813</v>
      </c>
      <c r="BJ8" s="197"/>
      <c r="BK8" s="198">
        <f t="shared" si="27"/>
        <v>531.56247456339611</v>
      </c>
      <c r="BL8" s="198">
        <v>980</v>
      </c>
      <c r="BM8" s="185">
        <v>276</v>
      </c>
      <c r="BN8" s="185" t="s">
        <v>585</v>
      </c>
      <c r="BO8" s="185">
        <v>1.1599999999999999</v>
      </c>
      <c r="BQ8" s="200">
        <f t="shared" si="28"/>
        <v>1.4853762063678043E-2</v>
      </c>
      <c r="BR8" s="194">
        <f t="shared" si="29"/>
        <v>0.86058191552553709</v>
      </c>
      <c r="BT8" s="198">
        <f t="shared" si="30"/>
        <v>421.59711246724538</v>
      </c>
      <c r="BU8" s="201">
        <v>730</v>
      </c>
      <c r="BV8" s="185">
        <v>159</v>
      </c>
      <c r="BW8" s="185" t="s">
        <v>585</v>
      </c>
      <c r="BX8" s="185">
        <v>0.44500000000000001</v>
      </c>
      <c r="BY8" s="204"/>
      <c r="BZ8" s="193">
        <f t="shared" si="31"/>
        <v>1.4871900343936926E-2</v>
      </c>
      <c r="CA8" s="194">
        <f t="shared" si="32"/>
        <v>0.86024655419712803</v>
      </c>
      <c r="CB8" s="197"/>
      <c r="CC8" s="198">
        <f t="shared" si="33"/>
        <v>242.97128120618254</v>
      </c>
      <c r="CD8" s="198">
        <v>440</v>
      </c>
      <c r="CE8" s="185">
        <v>436</v>
      </c>
      <c r="CF8" s="185" t="s">
        <v>585</v>
      </c>
      <c r="CG8" s="185">
        <v>0.61899999999999999</v>
      </c>
      <c r="CI8" s="200">
        <f t="shared" si="34"/>
        <v>1.3628662524450516E-2</v>
      </c>
      <c r="CJ8" s="194">
        <f t="shared" si="35"/>
        <v>0.88320689479443393</v>
      </c>
      <c r="CL8" s="198">
        <f t="shared" si="36"/>
        <v>648.94038133610138</v>
      </c>
      <c r="CM8" s="201">
        <v>1100</v>
      </c>
      <c r="CN8" s="185">
        <v>419</v>
      </c>
      <c r="CO8" s="185" t="s">
        <v>585</v>
      </c>
      <c r="CP8" s="185">
        <v>0.72</v>
      </c>
      <c r="CR8" s="200">
        <f t="shared" si="37"/>
        <v>1.3038867964224746E-2</v>
      </c>
      <c r="CS8" s="194">
        <f t="shared" si="38"/>
        <v>0.89401544457194304</v>
      </c>
      <c r="CU8" s="198">
        <f t="shared" si="39"/>
        <v>616.0979483630224</v>
      </c>
      <c r="CV8" s="201">
        <v>1000</v>
      </c>
      <c r="CW8" s="185">
        <v>405</v>
      </c>
      <c r="CX8" s="185" t="s">
        <v>585</v>
      </c>
      <c r="CY8" s="185">
        <v>1.49</v>
      </c>
      <c r="DA8" s="200">
        <f t="shared" si="40"/>
        <v>2.9047953511636068E-2</v>
      </c>
      <c r="DB8" s="194">
        <f t="shared" si="41"/>
        <v>0.63490747005562453</v>
      </c>
      <c r="DD8" s="198">
        <f t="shared" si="42"/>
        <v>838.54301858667964</v>
      </c>
      <c r="DE8" s="202">
        <v>1700</v>
      </c>
      <c r="DF8" s="185">
        <v>453</v>
      </c>
      <c r="DG8" s="185" t="s">
        <v>585</v>
      </c>
      <c r="DH8" s="185">
        <v>0.96699999999999997</v>
      </c>
      <c r="DJ8" s="200">
        <f t="shared" si="43"/>
        <v>2.6231992244922279E-2</v>
      </c>
      <c r="DK8" s="194">
        <f t="shared" si="44"/>
        <v>0.67233289722334244</v>
      </c>
      <c r="DM8" s="198">
        <f t="shared" si="45"/>
        <v>885.71622698643637</v>
      </c>
      <c r="DN8" s="201">
        <v>1800</v>
      </c>
      <c r="DO8" s="185">
        <v>188</v>
      </c>
      <c r="DP8" s="185" t="s">
        <v>585</v>
      </c>
      <c r="DQ8" s="185">
        <v>0.84499999999999997</v>
      </c>
      <c r="DS8" s="200">
        <f t="shared" si="46"/>
        <v>1.5585666698200738E-2</v>
      </c>
      <c r="DT8" s="194">
        <f t="shared" si="47"/>
        <v>0.84706937342303124</v>
      </c>
      <c r="DV8" s="198">
        <f t="shared" si="48"/>
        <v>291.75588885323003</v>
      </c>
      <c r="DW8" s="201">
        <v>550</v>
      </c>
      <c r="DX8" s="185">
        <v>255</v>
      </c>
      <c r="DY8" s="185" t="s">
        <v>585</v>
      </c>
      <c r="DZ8" s="185">
        <v>1.1000000000000001</v>
      </c>
      <c r="EB8" s="200">
        <f t="shared" si="49"/>
        <v>1.5104629127761601E-2</v>
      </c>
      <c r="EC8" s="194">
        <f t="shared" si="50"/>
        <v>0.85594509528429508</v>
      </c>
      <c r="EE8" s="198">
        <f t="shared" si="51"/>
        <v>391.6291714982346</v>
      </c>
      <c r="EF8" s="202">
        <v>650</v>
      </c>
      <c r="EG8" s="185">
        <v>401</v>
      </c>
      <c r="EH8" s="185" t="s">
        <v>585</v>
      </c>
      <c r="EI8" s="185">
        <v>0.53</v>
      </c>
      <c r="EK8" s="200">
        <f t="shared" si="52"/>
        <v>1.4249349814783202E-2</v>
      </c>
      <c r="EL8" s="194">
        <f t="shared" si="53"/>
        <v>0.87175771045450157</v>
      </c>
      <c r="EN8" s="198">
        <f t="shared" si="54"/>
        <v>604.68519627644957</v>
      </c>
      <c r="EO8" s="202">
        <v>1000</v>
      </c>
      <c r="EP8" s="185">
        <v>323</v>
      </c>
      <c r="EQ8" s="185" t="s">
        <v>585</v>
      </c>
      <c r="ER8" s="185">
        <v>0.76600000000000001</v>
      </c>
      <c r="ES8" s="204"/>
      <c r="ET8" s="193">
        <f t="shared" si="55"/>
        <v>2.6589961259696718E-2</v>
      </c>
      <c r="EU8" s="194">
        <f t="shared" si="56"/>
        <v>0.66737442231476707</v>
      </c>
      <c r="EV8" s="197"/>
      <c r="EW8" s="198">
        <f t="shared" si="57"/>
        <v>636.22938776290039</v>
      </c>
      <c r="EX8" s="203">
        <v>960</v>
      </c>
    </row>
    <row r="9" spans="1:154" x14ac:dyDescent="0.35">
      <c r="A9" s="188" t="s">
        <v>50</v>
      </c>
      <c r="B9" s="185" t="s">
        <v>66</v>
      </c>
      <c r="C9" s="186">
        <f t="shared" si="0"/>
        <v>726465.662952026</v>
      </c>
      <c r="D9" s="187">
        <f t="shared" si="1"/>
        <v>5.8612150918028245</v>
      </c>
      <c r="E9" s="186">
        <v>2.2208219563122964E-5</v>
      </c>
      <c r="F9" s="186">
        <v>0.3601751473183698</v>
      </c>
      <c r="G9" s="188"/>
      <c r="H9" s="189">
        <v>25.3</v>
      </c>
      <c r="I9" s="190" t="s">
        <v>585</v>
      </c>
      <c r="J9" s="191">
        <v>1.69</v>
      </c>
      <c r="K9" s="204"/>
      <c r="L9" s="193">
        <f t="shared" si="2"/>
        <v>6.3567455407405271E-2</v>
      </c>
      <c r="M9" s="194">
        <f t="shared" si="3"/>
        <v>0.34281012801889132</v>
      </c>
      <c r="N9" s="197"/>
      <c r="O9" s="193">
        <f t="shared" si="58"/>
        <v>-1.3374955270043253E-2</v>
      </c>
      <c r="P9" s="193">
        <f t="shared" si="4"/>
        <v>-1.8737076617183881</v>
      </c>
      <c r="Q9" s="193">
        <f t="shared" si="5"/>
        <v>2.6758366708941481</v>
      </c>
      <c r="R9" s="167">
        <f t="shared" si="6"/>
        <v>93.189081364871896</v>
      </c>
      <c r="S9" s="167">
        <f t="shared" si="7"/>
        <v>101.59019292904894</v>
      </c>
      <c r="T9" s="167">
        <v>77</v>
      </c>
      <c r="U9" s="185">
        <v>48.1</v>
      </c>
      <c r="V9" s="185" t="s">
        <v>585</v>
      </c>
      <c r="W9" s="185">
        <v>1.45</v>
      </c>
      <c r="X9" s="197"/>
      <c r="Y9" s="193">
        <f t="shared" si="8"/>
        <v>5.3382807917979953E-2</v>
      </c>
      <c r="Z9" s="194">
        <f t="shared" si="9"/>
        <v>0.39357704918197522</v>
      </c>
      <c r="AA9" s="197"/>
      <c r="AB9" s="193">
        <f t="shared" si="10"/>
        <v>-1.5069831794014643E-2</v>
      </c>
      <c r="AC9" s="193">
        <f t="shared" si="11"/>
        <v>-1.8218915951531152</v>
      </c>
      <c r="AD9" s="193">
        <f t="shared" si="12"/>
        <v>2.4392104324173469</v>
      </c>
      <c r="AE9" s="198">
        <f t="shared" si="13"/>
        <v>161.5025014706336</v>
      </c>
      <c r="AF9" s="198">
        <f t="shared" si="14"/>
        <v>168.22875049941101</v>
      </c>
      <c r="AG9" s="198">
        <v>130</v>
      </c>
      <c r="AH9" s="185">
        <v>69.5</v>
      </c>
      <c r="AI9" s="185" t="s">
        <v>585</v>
      </c>
      <c r="AJ9" s="185">
        <v>1.46</v>
      </c>
      <c r="AK9" s="204"/>
      <c r="AL9" s="193">
        <f t="shared" si="15"/>
        <v>9.0748698183021115E-2</v>
      </c>
      <c r="AM9" s="194">
        <f t="shared" si="16"/>
        <v>0.2548082797190967</v>
      </c>
      <c r="AN9" s="197"/>
      <c r="AO9" s="193">
        <f t="shared" si="17"/>
        <v>-8.698982137000745E-3</v>
      </c>
      <c r="AP9" s="193">
        <f t="shared" si="18"/>
        <v>-2.0605315609612718</v>
      </c>
      <c r="AQ9" s="193">
        <f t="shared" si="19"/>
        <v>3.8103482522247654</v>
      </c>
      <c r="AR9" s="198">
        <f t="shared" si="20"/>
        <v>364.53092972559278</v>
      </c>
      <c r="AS9" s="198">
        <f t="shared" si="21"/>
        <v>375.45351708616914</v>
      </c>
      <c r="AT9" s="198">
        <v>290</v>
      </c>
      <c r="AU9" s="185">
        <v>33.200000000000003</v>
      </c>
      <c r="AV9" s="185" t="s">
        <v>585</v>
      </c>
      <c r="AW9" s="185">
        <v>1.71</v>
      </c>
      <c r="AX9" s="204"/>
      <c r="AY9" s="196">
        <f t="shared" si="22"/>
        <v>3.4313192994877839E-2</v>
      </c>
      <c r="AZ9" s="194">
        <f t="shared" si="23"/>
        <v>0.54063626306628088</v>
      </c>
      <c r="BA9" s="197"/>
      <c r="BB9" s="198">
        <f t="shared" si="24"/>
        <v>84.531352814116588</v>
      </c>
      <c r="BC9" s="198">
        <v>160</v>
      </c>
      <c r="BD9" s="185">
        <v>20</v>
      </c>
      <c r="BE9" s="185" t="s">
        <v>585</v>
      </c>
      <c r="BF9" s="185">
        <v>1.38</v>
      </c>
      <c r="BG9" s="204"/>
      <c r="BH9" s="193">
        <f t="shared" si="25"/>
        <v>1.8520386656153062E-2</v>
      </c>
      <c r="BI9" s="194">
        <f t="shared" si="26"/>
        <v>0.76332938880330137</v>
      </c>
      <c r="BJ9" s="197"/>
      <c r="BK9" s="198">
        <f t="shared" si="27"/>
        <v>36.066410420365784</v>
      </c>
      <c r="BL9" s="198">
        <v>62</v>
      </c>
      <c r="BM9" s="185">
        <v>21.3</v>
      </c>
      <c r="BN9" s="185" t="s">
        <v>585</v>
      </c>
      <c r="BO9" s="185">
        <v>2.02</v>
      </c>
      <c r="BQ9" s="200">
        <f t="shared" si="28"/>
        <v>1.5206826041393754E-2</v>
      </c>
      <c r="BR9" s="194">
        <f t="shared" si="29"/>
        <v>0.82709242277008221</v>
      </c>
      <c r="BT9" s="198">
        <f t="shared" si="30"/>
        <v>35.449529014873164</v>
      </c>
      <c r="BU9" s="201">
        <v>58</v>
      </c>
      <c r="BV9" s="185">
        <v>12.1</v>
      </c>
      <c r="BW9" s="185" t="s">
        <v>620</v>
      </c>
      <c r="BX9" s="185">
        <v>1.1100000000000001</v>
      </c>
      <c r="BY9" s="204"/>
      <c r="BZ9" s="193">
        <f t="shared" si="31"/>
        <v>1.536630365254834E-2</v>
      </c>
      <c r="CA9" s="194">
        <f t="shared" si="32"/>
        <v>0.82391522549624696</v>
      </c>
      <c r="CB9" s="197"/>
      <c r="CC9" s="198">
        <f t="shared" si="33"/>
        <v>20.215651869504747</v>
      </c>
      <c r="CD9" s="198">
        <v>35</v>
      </c>
      <c r="CE9" s="185">
        <v>25.2</v>
      </c>
      <c r="CF9" s="185" t="s">
        <v>620</v>
      </c>
      <c r="CG9" s="185">
        <v>1.61</v>
      </c>
      <c r="CI9" s="200">
        <f t="shared" si="34"/>
        <v>1.3937191040413188E-2</v>
      </c>
      <c r="CJ9" s="194">
        <f t="shared" si="35"/>
        <v>0.85263127393695426</v>
      </c>
      <c r="CL9" s="198">
        <f t="shared" si="36"/>
        <v>40.684051064872804</v>
      </c>
      <c r="CM9" s="201">
        <v>64</v>
      </c>
      <c r="CN9" s="185">
        <v>25.7</v>
      </c>
      <c r="CO9" s="185" t="s">
        <v>620</v>
      </c>
      <c r="CP9" s="185">
        <v>1.86</v>
      </c>
      <c r="CR9" s="200">
        <f t="shared" si="37"/>
        <v>1.3382037005106718E-2</v>
      </c>
      <c r="CS9" s="194">
        <f t="shared" si="38"/>
        <v>0.86388089801290913</v>
      </c>
      <c r="CU9" s="198">
        <f t="shared" si="39"/>
        <v>40.950966904459364</v>
      </c>
      <c r="CV9" s="201">
        <v>65</v>
      </c>
      <c r="CW9" s="185">
        <v>43.8</v>
      </c>
      <c r="CX9" s="185" t="s">
        <v>585</v>
      </c>
      <c r="CY9" s="185">
        <v>2.11</v>
      </c>
      <c r="DA9" s="200">
        <f t="shared" si="40"/>
        <v>2.9324321016698532E-2</v>
      </c>
      <c r="DB9" s="194">
        <f t="shared" si="41"/>
        <v>0.59757053686666883</v>
      </c>
      <c r="DD9" s="198">
        <f t="shared" si="42"/>
        <v>100.89504588935651</v>
      </c>
      <c r="DE9" s="202">
        <v>190</v>
      </c>
      <c r="DF9" s="185">
        <v>48.8</v>
      </c>
      <c r="DG9" s="185" t="s">
        <v>585</v>
      </c>
      <c r="DH9" s="185">
        <v>3.11</v>
      </c>
      <c r="DJ9" s="200">
        <f t="shared" si="43"/>
        <v>2.607394426536876E-2</v>
      </c>
      <c r="DK9" s="194">
        <f t="shared" si="44"/>
        <v>0.6407311586247193</v>
      </c>
      <c r="DM9" s="198">
        <f t="shared" si="45"/>
        <v>104.84045233433271</v>
      </c>
      <c r="DN9" s="201">
        <v>200</v>
      </c>
      <c r="DO9" s="185">
        <v>14</v>
      </c>
      <c r="DP9" s="185" t="s">
        <v>585</v>
      </c>
      <c r="DQ9" s="185">
        <v>1.94</v>
      </c>
      <c r="DS9" s="200">
        <f t="shared" si="46"/>
        <v>1.6109733726749308E-2</v>
      </c>
      <c r="DT9" s="194">
        <f t="shared" si="47"/>
        <v>0.80922577514033389</v>
      </c>
      <c r="DV9" s="198">
        <f t="shared" si="48"/>
        <v>23.814596998486341</v>
      </c>
      <c r="DW9" s="201">
        <v>42</v>
      </c>
      <c r="DX9" s="185">
        <v>20</v>
      </c>
      <c r="DY9" s="185" t="s">
        <v>620</v>
      </c>
      <c r="DZ9" s="185">
        <v>4.3499999999999996</v>
      </c>
      <c r="EB9" s="200">
        <f t="shared" si="49"/>
        <v>1.5398265365086282E-2</v>
      </c>
      <c r="EC9" s="194">
        <f t="shared" si="50"/>
        <v>0.82327949405370615</v>
      </c>
      <c r="EE9" s="198">
        <f t="shared" si="51"/>
        <v>33.440102931448564</v>
      </c>
      <c r="EF9" s="202">
        <v>52</v>
      </c>
      <c r="EG9" s="185">
        <v>44.1</v>
      </c>
      <c r="EH9" s="185" t="s">
        <v>585</v>
      </c>
      <c r="EI9" s="185">
        <v>1.82</v>
      </c>
      <c r="EK9" s="200">
        <f t="shared" si="52"/>
        <v>1.4621009743836925E-2</v>
      </c>
      <c r="EL9" s="194">
        <f t="shared" si="53"/>
        <v>0.83882940378603976</v>
      </c>
      <c r="EN9" s="198">
        <f t="shared" si="54"/>
        <v>72.368546847114985</v>
      </c>
      <c r="EO9" s="202">
        <v>120</v>
      </c>
      <c r="EP9" s="185">
        <v>20.8</v>
      </c>
      <c r="EQ9" s="185" t="s">
        <v>585</v>
      </c>
      <c r="ER9" s="185">
        <v>2.41</v>
      </c>
      <c r="ES9" s="204"/>
      <c r="ET9" s="193">
        <f t="shared" si="55"/>
        <v>2.6820267513915433E-2</v>
      </c>
      <c r="EU9" s="194">
        <f t="shared" si="56"/>
        <v>0.63035180414494563</v>
      </c>
      <c r="EV9" s="197"/>
      <c r="EW9" s="198">
        <f t="shared" si="57"/>
        <v>45.421894369359805</v>
      </c>
      <c r="EX9" s="203">
        <v>63</v>
      </c>
    </row>
    <row r="10" spans="1:154" x14ac:dyDescent="0.35">
      <c r="A10" s="188" t="s">
        <v>51</v>
      </c>
      <c r="B10" s="185" t="s">
        <v>66</v>
      </c>
      <c r="C10" s="186">
        <f t="shared" si="0"/>
        <v>399173.02011301357</v>
      </c>
      <c r="D10" s="187">
        <f t="shared" si="1"/>
        <v>5.6011611798798331</v>
      </c>
      <c r="E10" s="186">
        <v>2.2208219563122964E-5</v>
      </c>
      <c r="F10" s="186">
        <v>0.3601751473183698</v>
      </c>
      <c r="G10" s="188"/>
      <c r="H10" s="189">
        <v>87.1</v>
      </c>
      <c r="I10" s="190" t="s">
        <v>585</v>
      </c>
      <c r="J10" s="191">
        <v>2.15</v>
      </c>
      <c r="K10" s="204"/>
      <c r="L10" s="193">
        <f t="shared" si="2"/>
        <v>8.412790186762921E-2</v>
      </c>
      <c r="M10" s="194">
        <f t="shared" si="3"/>
        <v>0.4385571596615182</v>
      </c>
      <c r="N10" s="197"/>
      <c r="O10" s="193">
        <f t="shared" si="58"/>
        <v>-1.9874307069110028E-2</v>
      </c>
      <c r="P10" s="193">
        <f t="shared" si="4"/>
        <v>-1.7017080043725215</v>
      </c>
      <c r="Q10" s="193">
        <f t="shared" si="5"/>
        <v>1.9956240092911735</v>
      </c>
      <c r="R10" s="167">
        <f t="shared" si="6"/>
        <v>435.44739361405169</v>
      </c>
      <c r="S10" s="167">
        <f t="shared" si="7"/>
        <v>497.54317091067594</v>
      </c>
      <c r="T10" s="167">
        <v>380</v>
      </c>
      <c r="U10" s="185">
        <v>63.5</v>
      </c>
      <c r="V10" s="185" t="s">
        <v>585</v>
      </c>
      <c r="W10" s="185">
        <v>1.53</v>
      </c>
      <c r="X10" s="197"/>
      <c r="Y10" s="193">
        <f t="shared" si="8"/>
        <v>7.4516327495558837E-2</v>
      </c>
      <c r="Z10" s="194">
        <f t="shared" si="9"/>
        <v>0.47905090711605613</v>
      </c>
      <c r="AA10" s="197"/>
      <c r="AB10" s="193">
        <f t="shared" si="10"/>
        <v>-2.3200815677924629E-2</v>
      </c>
      <c r="AC10" s="193">
        <f t="shared" si="11"/>
        <v>-1.6344967462214077</v>
      </c>
      <c r="AD10" s="193">
        <f t="shared" si="12"/>
        <v>1.7981209119805659</v>
      </c>
      <c r="AE10" s="198">
        <f t="shared" si="13"/>
        <v>286.0430744503704</v>
      </c>
      <c r="AF10" s="198">
        <f t="shared" si="14"/>
        <v>332.07094535923108</v>
      </c>
      <c r="AG10" s="198">
        <v>260</v>
      </c>
      <c r="AH10" s="185">
        <v>74.7</v>
      </c>
      <c r="AI10" s="185" t="s">
        <v>585</v>
      </c>
      <c r="AJ10" s="185">
        <v>1.3</v>
      </c>
      <c r="AK10" s="204"/>
      <c r="AL10" s="193">
        <f t="shared" si="15"/>
        <v>0.10286596074438847</v>
      </c>
      <c r="AM10" s="194">
        <f t="shared" si="16"/>
        <v>0.37636984195671463</v>
      </c>
      <c r="AN10" s="197"/>
      <c r="AO10" s="193">
        <f t="shared" si="17"/>
        <v>-1.4138331718015543E-2</v>
      </c>
      <c r="AP10" s="193">
        <f t="shared" si="18"/>
        <v>-1.8496018330005328</v>
      </c>
      <c r="AQ10" s="193">
        <f t="shared" si="19"/>
        <v>2.5622576405668682</v>
      </c>
      <c r="AR10" s="198">
        <f t="shared" si="20"/>
        <v>479.4929419231687</v>
      </c>
      <c r="AS10" s="198">
        <f t="shared" si="21"/>
        <v>497.21543880909348</v>
      </c>
      <c r="AT10" s="198">
        <v>400</v>
      </c>
      <c r="AU10" s="185">
        <v>50</v>
      </c>
      <c r="AV10" s="185" t="s">
        <v>585</v>
      </c>
      <c r="AW10" s="185">
        <v>1.74</v>
      </c>
      <c r="AX10" s="204"/>
      <c r="AY10" s="196">
        <f t="shared" si="22"/>
        <v>4.1510529860305609E-2</v>
      </c>
      <c r="AZ10" s="194">
        <f t="shared" si="23"/>
        <v>0.68969244191664147</v>
      </c>
      <c r="BA10" s="197"/>
      <c r="BB10" s="198">
        <f t="shared" si="24"/>
        <v>181.61568693872653</v>
      </c>
      <c r="BC10" s="198">
        <v>320</v>
      </c>
      <c r="BD10" s="185">
        <v>29.8</v>
      </c>
      <c r="BE10" s="185" t="s">
        <v>585</v>
      </c>
      <c r="BF10" s="185">
        <v>1.39</v>
      </c>
      <c r="BG10" s="204"/>
      <c r="BH10" s="193">
        <f t="shared" si="25"/>
        <v>2.4717015782982986E-2</v>
      </c>
      <c r="BI10" s="194">
        <f t="shared" si="26"/>
        <v>0.85984031708364261</v>
      </c>
      <c r="BJ10" s="197"/>
      <c r="BK10" s="198">
        <f t="shared" si="27"/>
        <v>86.823498060466548</v>
      </c>
      <c r="BL10" s="198">
        <v>140</v>
      </c>
      <c r="BM10" s="185">
        <v>28</v>
      </c>
      <c r="BN10" s="185" t="s">
        <v>585</v>
      </c>
      <c r="BO10" s="185">
        <v>2.08</v>
      </c>
      <c r="BQ10" s="200">
        <f t="shared" si="28"/>
        <v>2.0637927047200719E-2</v>
      </c>
      <c r="BR10" s="194">
        <f t="shared" si="29"/>
        <v>0.90493405350827116</v>
      </c>
      <c r="BT10" s="198">
        <f t="shared" si="30"/>
        <v>77.513959202372376</v>
      </c>
      <c r="BU10" s="201">
        <v>110</v>
      </c>
      <c r="BV10" s="185">
        <v>13.9</v>
      </c>
      <c r="BW10" s="185" t="s">
        <v>620</v>
      </c>
      <c r="BX10" s="185">
        <v>1.31</v>
      </c>
      <c r="BY10" s="204"/>
      <c r="BZ10" s="193">
        <f t="shared" si="31"/>
        <v>2.3507567318423003E-2</v>
      </c>
      <c r="CA10" s="194">
        <f t="shared" si="32"/>
        <v>0.87331246767938986</v>
      </c>
      <c r="CB10" s="197"/>
      <c r="CC10" s="198">
        <f t="shared" si="33"/>
        <v>39.873463402554279</v>
      </c>
      <c r="CD10" s="198">
        <v>64</v>
      </c>
      <c r="CE10" s="185">
        <v>45.1</v>
      </c>
      <c r="CF10" s="185" t="s">
        <v>585</v>
      </c>
      <c r="CG10" s="185">
        <v>1.67</v>
      </c>
      <c r="CI10" s="200">
        <f t="shared" si="34"/>
        <v>1.8644959925797077E-2</v>
      </c>
      <c r="CJ10" s="194">
        <f t="shared" si="35"/>
        <v>0.92606718968421542</v>
      </c>
      <c r="CL10" s="198">
        <f t="shared" si="36"/>
        <v>122.00366144640309</v>
      </c>
      <c r="CM10" s="201">
        <v>170</v>
      </c>
      <c r="CN10" s="185">
        <v>43</v>
      </c>
      <c r="CO10" s="185" t="s">
        <v>585</v>
      </c>
      <c r="CP10" s="185">
        <v>1.87</v>
      </c>
      <c r="CR10" s="200">
        <f t="shared" si="37"/>
        <v>1.8758263528230078E-2</v>
      </c>
      <c r="CS10" s="194">
        <f t="shared" si="38"/>
        <v>0.92489541413473664</v>
      </c>
      <c r="CU10" s="198">
        <f t="shared" si="39"/>
        <v>116.47015396848575</v>
      </c>
      <c r="CV10" s="201">
        <v>170</v>
      </c>
      <c r="CW10" s="185">
        <v>52.6</v>
      </c>
      <c r="CX10" s="185" t="s">
        <v>585</v>
      </c>
      <c r="CY10" s="185">
        <v>2.42</v>
      </c>
      <c r="DA10" s="200">
        <f t="shared" si="40"/>
        <v>3.2917098582510532E-2</v>
      </c>
      <c r="DB10" s="194">
        <f t="shared" si="41"/>
        <v>0.77135921991784451</v>
      </c>
      <c r="DD10" s="198">
        <f t="shared" si="42"/>
        <v>170.83147446291042</v>
      </c>
      <c r="DE10" s="202">
        <v>300</v>
      </c>
      <c r="DF10" s="185">
        <v>223</v>
      </c>
      <c r="DG10" s="185" t="s">
        <v>585</v>
      </c>
      <c r="DH10" s="185">
        <v>3.5</v>
      </c>
      <c r="DJ10" s="200">
        <f t="shared" si="43"/>
        <v>2.811325219506379E-2</v>
      </c>
      <c r="DK10" s="194">
        <f t="shared" si="44"/>
        <v>0.82230161295635107</v>
      </c>
      <c r="DM10" s="198">
        <f t="shared" si="45"/>
        <v>679.37966106503563</v>
      </c>
      <c r="DN10" s="201">
        <v>990</v>
      </c>
      <c r="DO10" s="185">
        <v>15</v>
      </c>
      <c r="DP10" s="185" t="s">
        <v>585</v>
      </c>
      <c r="DQ10" s="185">
        <v>2.09</v>
      </c>
      <c r="DS10" s="200">
        <f t="shared" si="46"/>
        <v>2.4763217428502887E-2</v>
      </c>
      <c r="DT10" s="194">
        <f t="shared" si="47"/>
        <v>0.85932571476676323</v>
      </c>
      <c r="DV10" s="198">
        <f t="shared" si="48"/>
        <v>43.729274405271163</v>
      </c>
      <c r="DW10" s="201">
        <v>72</v>
      </c>
      <c r="DX10" s="185">
        <v>28.6</v>
      </c>
      <c r="DY10" s="185" t="s">
        <v>620</v>
      </c>
      <c r="DZ10" s="185">
        <v>5.35</v>
      </c>
      <c r="EB10" s="200">
        <f t="shared" si="49"/>
        <v>1.9777633965646219E-2</v>
      </c>
      <c r="EC10" s="194">
        <f t="shared" si="50"/>
        <v>0.91417958756782547</v>
      </c>
      <c r="EE10" s="198">
        <f t="shared" si="51"/>
        <v>78.37423836434489</v>
      </c>
      <c r="EF10" s="202">
        <v>110</v>
      </c>
      <c r="EG10" s="185">
        <v>85.7</v>
      </c>
      <c r="EH10" s="185" t="s">
        <v>585</v>
      </c>
      <c r="EI10" s="185">
        <v>1.97</v>
      </c>
      <c r="EK10" s="200">
        <f t="shared" si="52"/>
        <v>2.0433723071621276E-2</v>
      </c>
      <c r="EL10" s="194">
        <f t="shared" si="53"/>
        <v>0.90714264927099864</v>
      </c>
      <c r="EN10" s="198">
        <f t="shared" si="54"/>
        <v>236.67046076036729</v>
      </c>
      <c r="EO10" s="202">
        <v>350</v>
      </c>
      <c r="EP10" s="185">
        <v>33.1</v>
      </c>
      <c r="EQ10" s="185" t="s">
        <v>585</v>
      </c>
      <c r="ER10" s="185">
        <v>2.83</v>
      </c>
      <c r="ES10" s="204"/>
      <c r="ET10" s="193">
        <f t="shared" si="55"/>
        <v>2.9814248818758771E-2</v>
      </c>
      <c r="EU10" s="194">
        <f t="shared" si="56"/>
        <v>0.80389947069228762</v>
      </c>
      <c r="EV10" s="197"/>
      <c r="EW10" s="198">
        <f t="shared" si="57"/>
        <v>103.14901168900255</v>
      </c>
      <c r="EX10" s="203">
        <v>140</v>
      </c>
    </row>
    <row r="11" spans="1:154" x14ac:dyDescent="0.35">
      <c r="A11" s="188" t="s">
        <v>0</v>
      </c>
      <c r="B11" s="185">
        <v>14</v>
      </c>
      <c r="C11" s="205">
        <f t="shared" ref="C11:C20" si="59">VLOOKUP($B11,PRC,10,FALSE)</f>
        <v>63919.616214142108</v>
      </c>
      <c r="D11" s="206">
        <f t="shared" si="1"/>
        <v>4.8056341587248852</v>
      </c>
      <c r="E11" s="205">
        <f t="shared" ref="E11:E20" si="60">VLOOKUP($B11,PRC,11,FALSE)</f>
        <v>86400</v>
      </c>
      <c r="F11" s="205">
        <f t="shared" ref="F11:F20" si="61">VLOOKUP($B11,PRC,12,FALSE)</f>
        <v>0.50171447741666797</v>
      </c>
      <c r="G11" s="203">
        <f t="shared" ref="G11:G20" si="62">VLOOKUP(B11,PRC,5,FALSE)</f>
        <v>1346.6666666666667</v>
      </c>
      <c r="H11" s="189">
        <v>82.5</v>
      </c>
      <c r="I11" s="190" t="s">
        <v>585</v>
      </c>
      <c r="J11" s="191">
        <v>3.7</v>
      </c>
      <c r="K11" s="207">
        <f>H11/$G11</f>
        <v>6.1262376237623761E-2</v>
      </c>
      <c r="L11" s="208">
        <v>0.15128948316405375</v>
      </c>
      <c r="M11" s="194">
        <f t="shared" ref="M11:M20" si="63">EXP(-L$2/(($C11*L*L11/$F11)+(L^2/(3*$E11))))</f>
        <v>6.1262376211049505E-2</v>
      </c>
      <c r="N11" s="209">
        <f>M11-K11</f>
        <v>-2.6574256684064324E-11</v>
      </c>
      <c r="O11" s="209">
        <f>LN(H11/$G11)/L$2</f>
        <v>-7.981791490972219E-2</v>
      </c>
      <c r="P11" s="193">
        <f>LOG(-O11)</f>
        <v>-1.0978996215160348</v>
      </c>
      <c r="Q11" s="193"/>
      <c r="R11" s="193"/>
      <c r="S11" s="197"/>
      <c r="T11" s="210"/>
      <c r="U11" s="185">
        <v>55.3</v>
      </c>
      <c r="V11" s="185" t="s">
        <v>585</v>
      </c>
      <c r="W11" s="185">
        <v>1.34</v>
      </c>
      <c r="X11" s="193">
        <f>U11/$G11</f>
        <v>4.1064356435643559E-2</v>
      </c>
      <c r="Y11" s="208">
        <v>0.13241652896156517</v>
      </c>
      <c r="Z11" s="194">
        <f t="shared" ref="Z11:Z20" si="64">EXP(-Y$2/(($C11*L*Y11/$F11)+(L^2/(3*$E11))))</f>
        <v>4.1064324741805498E-2</v>
      </c>
      <c r="AA11" s="194">
        <f>Z11-X11</f>
        <v>-3.1693838060953272E-8</v>
      </c>
      <c r="AB11" s="209">
        <f>LN(U11/$G11)/Y$2</f>
        <v>-9.1194115049238675E-2</v>
      </c>
      <c r="AC11" s="193">
        <f>LOG(-AB11)</f>
        <v>-1.0400331867166037</v>
      </c>
      <c r="AD11" s="194"/>
      <c r="AE11" s="194"/>
      <c r="AF11" s="197"/>
      <c r="AG11" s="210"/>
      <c r="AH11" s="185">
        <v>63.7</v>
      </c>
      <c r="AI11" s="185" t="s">
        <v>585</v>
      </c>
      <c r="AJ11" s="185">
        <v>1.74</v>
      </c>
      <c r="AK11" s="211">
        <f t="shared" ref="AK11:AK20" si="65">AH11/$G11</f>
        <v>4.7301980198019802E-2</v>
      </c>
      <c r="AL11" s="208">
        <v>0.13851794827069761</v>
      </c>
      <c r="AM11" s="194">
        <f t="shared" ref="AM11:AM20" si="66">EXP(-T/(($C11*L*AL11/$F11)+(L^2/(3*$E11))))</f>
        <v>4.7301982774958222E-2</v>
      </c>
      <c r="AN11" s="194">
        <f>AM11-AK11</f>
        <v>2.5769384195961642E-9</v>
      </c>
      <c r="AO11" s="209">
        <f>LN(AH11/$G11)/AL$2</f>
        <v>-8.7192179222408642E-2</v>
      </c>
      <c r="AP11" s="193">
        <f>LOG(-AO11)</f>
        <v>-1.0595224677380117</v>
      </c>
      <c r="AQ11" s="194"/>
      <c r="AR11" s="194"/>
      <c r="AS11" s="197"/>
      <c r="AT11" s="210"/>
      <c r="AU11" s="185">
        <v>194</v>
      </c>
      <c r="AV11" s="185" t="s">
        <v>585</v>
      </c>
      <c r="AW11" s="185">
        <v>1.46</v>
      </c>
      <c r="AX11" s="207">
        <f>AU11/$G11</f>
        <v>0.14405940594059405</v>
      </c>
      <c r="AY11" s="212">
        <v>5.7580416938198473E-2</v>
      </c>
      <c r="AZ11" s="194">
        <f t="shared" ref="AZ11:AZ20" si="67">EXP(-T/(($C11*L*AY11/$F11)+(L^2/(3*$E11))))</f>
        <v>6.4898144907239871E-4</v>
      </c>
      <c r="BA11" s="194">
        <f>AZ11-AX11</f>
        <v>-0.14341042449152164</v>
      </c>
      <c r="BB11" s="197"/>
      <c r="BC11" s="210"/>
      <c r="BD11" s="185">
        <v>96.8</v>
      </c>
      <c r="BE11" s="185" t="s">
        <v>585</v>
      </c>
      <c r="BF11" s="185">
        <v>1.37</v>
      </c>
      <c r="BG11" s="207">
        <f>BD11/$G11</f>
        <v>7.1881188118811876E-2</v>
      </c>
      <c r="BH11" s="212">
        <v>4.2366467019080666E-2</v>
      </c>
      <c r="BI11" s="194">
        <f t="shared" ref="BI11:BI20" si="68">EXP(-T/(($C11*L*BH11/$F11)+(L^2/(3*$E11))))</f>
        <v>4.6504340286499141E-5</v>
      </c>
      <c r="BJ11" s="194">
        <f>BI11-BG11</f>
        <v>-7.1834683778525379E-2</v>
      </c>
      <c r="BK11" s="197"/>
      <c r="BL11" s="210"/>
      <c r="BM11" s="185">
        <v>73</v>
      </c>
      <c r="BN11" s="185" t="s">
        <v>585</v>
      </c>
      <c r="BO11" s="185">
        <v>2.35</v>
      </c>
      <c r="BP11" s="207">
        <f>BM11/$G11</f>
        <v>5.4207920792079207E-2</v>
      </c>
      <c r="BQ11" s="212">
        <v>3.826175994522904E-2</v>
      </c>
      <c r="BR11" s="194">
        <f t="shared" ref="BR11:BR20" si="69">EXP(-T/(($C11*L*BQ11/$F11)+(L^2/(3*$E11))))</f>
        <v>1.5947912156150337E-5</v>
      </c>
      <c r="BS11" s="194">
        <f>BR11-BP11</f>
        <v>-5.4191972879923056E-2</v>
      </c>
      <c r="BV11" s="185">
        <v>281</v>
      </c>
      <c r="BW11" s="185" t="s">
        <v>585</v>
      </c>
      <c r="BX11" s="185">
        <v>1.76</v>
      </c>
      <c r="BY11" s="207">
        <f>BV11/$G11</f>
        <v>0.20866336633663365</v>
      </c>
      <c r="BZ11" s="212">
        <v>7.1202343054528536E-2</v>
      </c>
      <c r="CA11" s="194">
        <f t="shared" ref="CA11:CA20" si="70">EXP(-T/(($C11*L*BZ11/$F11)+(L^2/(3*$E11))))</f>
        <v>2.6429767429351075E-3</v>
      </c>
      <c r="CB11" s="194">
        <f>CA11-BY11</f>
        <v>-0.20602038959369856</v>
      </c>
      <c r="CC11" s="197"/>
      <c r="CD11" s="210"/>
      <c r="CE11" s="185">
        <v>38.9</v>
      </c>
      <c r="CF11" s="185" t="s">
        <v>620</v>
      </c>
      <c r="CG11" s="185">
        <v>4.82</v>
      </c>
      <c r="CH11" s="207">
        <f>CE11/$G11</f>
        <v>2.8886138613861384E-2</v>
      </c>
      <c r="CI11" s="212">
        <v>3.1460562919873626E-2</v>
      </c>
      <c r="CJ11" s="194">
        <f t="shared" ref="CJ11:CJ20" si="71">EXP(-T/(($C11*L*CI11/$F11)+(L^2/(3*$E11))))</f>
        <v>1.4642537307781425E-6</v>
      </c>
      <c r="CK11" s="194">
        <f>CJ11-CH11</f>
        <v>-2.8884674360130605E-2</v>
      </c>
      <c r="CN11" s="185">
        <v>69.3</v>
      </c>
      <c r="CO11" s="185" t="s">
        <v>585</v>
      </c>
      <c r="CP11" s="185">
        <v>3.68</v>
      </c>
      <c r="CQ11" s="207">
        <f>CN11/$G11</f>
        <v>5.1460396039603958E-2</v>
      </c>
      <c r="CR11" s="212">
        <v>3.7590378771002436E-2</v>
      </c>
      <c r="CS11" s="194">
        <f t="shared" ref="CS11:CS20" si="72">EXP(-T/(($C11*L*CR11/$F11)+(L^2/(3*$E11))))</f>
        <v>1.3092481068028499E-5</v>
      </c>
      <c r="CT11" s="194">
        <f>CS11-CQ11</f>
        <v>-5.1447303558535926E-2</v>
      </c>
      <c r="CW11" s="185">
        <v>79.8</v>
      </c>
      <c r="CX11" s="185" t="s">
        <v>585</v>
      </c>
      <c r="CY11" s="185">
        <v>1.96</v>
      </c>
      <c r="CZ11" s="207">
        <f>CW11/$G11</f>
        <v>5.9257425742574255E-2</v>
      </c>
      <c r="DA11" s="212">
        <v>3.9468754735273968E-2</v>
      </c>
      <c r="DB11" s="194">
        <f t="shared" ref="DB11:DB20" si="73">EXP(-T/(($C11*L*DA11/$F11)+(L^2/(3*$E11))))</f>
        <v>2.2356820826276836E-5</v>
      </c>
      <c r="DC11" s="194">
        <f>DB11-CZ11</f>
        <v>-5.9235068921747978E-2</v>
      </c>
      <c r="DF11" s="185">
        <v>67.7</v>
      </c>
      <c r="DG11" s="185" t="s">
        <v>585</v>
      </c>
      <c r="DH11" s="185">
        <v>2.4500000000000002</v>
      </c>
      <c r="DI11" s="207">
        <f>DF11/$G11</f>
        <v>5.0272277227722768E-2</v>
      </c>
      <c r="DJ11" s="212">
        <v>3.7296475277967339E-2</v>
      </c>
      <c r="DK11" s="194">
        <f t="shared" ref="DK11:DK20" si="74">EXP(-T/(($C11*L*DJ11/$F11)+(L^2/(3*$E11))))</f>
        <v>1.1982381315880589E-5</v>
      </c>
      <c r="DL11" s="194">
        <f>DK11-DI11</f>
        <v>-5.0260294846406886E-2</v>
      </c>
      <c r="DO11" s="185">
        <v>272</v>
      </c>
      <c r="DP11" s="185" t="s">
        <v>585</v>
      </c>
      <c r="DQ11" s="185">
        <v>1.38</v>
      </c>
      <c r="DR11" s="207">
        <f>DO11/$G11</f>
        <v>0.20198019801980197</v>
      </c>
      <c r="DS11" s="212">
        <v>6.9752641952871175E-2</v>
      </c>
      <c r="DT11" s="194">
        <f t="shared" ref="DT11:DT20" si="75">EXP(-T/(($C11*L*DS11/$F11)+(L^2/(3*$E11))))</f>
        <v>2.3362296255242969E-3</v>
      </c>
      <c r="DU11" s="194">
        <f>DT11-DR11</f>
        <v>-0.19964396839427767</v>
      </c>
      <c r="DX11" s="185">
        <v>56.9</v>
      </c>
      <c r="DY11" s="185" t="s">
        <v>620</v>
      </c>
      <c r="DZ11" s="185">
        <v>4.08</v>
      </c>
      <c r="EA11" s="207">
        <f>DX11/$G11</f>
        <v>4.2252475247524748E-2</v>
      </c>
      <c r="EB11" s="212">
        <v>3.5246042645621027E-2</v>
      </c>
      <c r="EC11" s="194">
        <f t="shared" ref="EC11:EC20" si="76">EXP(-T/(($C11*L*EB11/$F11)+(L^2/(3*$E11))))</f>
        <v>6.1978092612262254E-6</v>
      </c>
      <c r="ED11" s="194">
        <f>EC11-EA11</f>
        <v>-4.2246277438263521E-2</v>
      </c>
      <c r="EG11" s="185">
        <v>70</v>
      </c>
      <c r="EH11" s="185" t="s">
        <v>585</v>
      </c>
      <c r="EI11" s="185">
        <v>2.34</v>
      </c>
      <c r="EJ11" s="207">
        <f>EG11/$G11</f>
        <v>5.1980198019801978E-2</v>
      </c>
      <c r="EK11" s="212">
        <v>3.7718264385685873E-2</v>
      </c>
      <c r="EL11" s="194">
        <f t="shared" ref="EL11:EL20" si="77">EXP(-T/(($C11*L*EK11/$F11)+(L^2/(3*$E11))))</f>
        <v>1.3601222015585336E-5</v>
      </c>
      <c r="EM11" s="194">
        <f>EL11-EJ11</f>
        <v>-5.1966596797786389E-2</v>
      </c>
      <c r="EP11" s="185">
        <v>57.6</v>
      </c>
      <c r="EQ11" s="185" t="s">
        <v>585</v>
      </c>
      <c r="ER11" s="185">
        <v>2.11</v>
      </c>
      <c r="ES11" s="207">
        <f>EP11/$G11</f>
        <v>4.2772277227722769E-2</v>
      </c>
      <c r="ET11" s="212">
        <v>3.538291526941504E-2</v>
      </c>
      <c r="EU11" s="194">
        <f t="shared" ref="EU11:EU20" si="78">EXP(-T/(($C11*L*ET11/$F11)+(L^2/(3*$E11))))</f>
        <v>6.4920749185512507E-6</v>
      </c>
      <c r="EV11" s="194">
        <f>EU11-ES11</f>
        <v>-4.2765785152804214E-2</v>
      </c>
      <c r="EW11" s="197"/>
      <c r="EX11" s="210"/>
    </row>
    <row r="12" spans="1:154" x14ac:dyDescent="0.35">
      <c r="A12" s="188" t="s">
        <v>1</v>
      </c>
      <c r="B12" s="185">
        <v>36</v>
      </c>
      <c r="C12" s="205">
        <f>VLOOKUP($B12,PRC,10,FALSE)</f>
        <v>262677.88071364415</v>
      </c>
      <c r="D12" s="206">
        <f t="shared" ref="D12:D20" si="79">LOG(C12)</f>
        <v>5.4194235037398037</v>
      </c>
      <c r="E12" s="205">
        <f t="shared" si="60"/>
        <v>9.8598303504936671E+203</v>
      </c>
      <c r="F12" s="205">
        <f t="shared" si="61"/>
        <v>0.45309549993879755</v>
      </c>
      <c r="G12" s="203">
        <f t="shared" si="62"/>
        <v>1530</v>
      </c>
      <c r="H12" s="189">
        <v>647</v>
      </c>
      <c r="I12" s="190" t="s">
        <v>585</v>
      </c>
      <c r="J12" s="191">
        <v>6.82</v>
      </c>
      <c r="K12" s="207">
        <f t="shared" ref="K12:K20" si="80">H12/$G12</f>
        <v>0.42287581699346405</v>
      </c>
      <c r="L12" s="208">
        <v>0.10787468428750152</v>
      </c>
      <c r="M12" s="194">
        <f t="shared" si="63"/>
        <v>0.42287581721238493</v>
      </c>
      <c r="N12" s="209">
        <f t="shared" ref="N12:N20" si="81">M12-K12</f>
        <v>2.1892088142294597E-10</v>
      </c>
      <c r="O12" s="209">
        <f t="shared" ref="O12:O20" si="82">LN(H12/$G12)/L$2</f>
        <v>-2.4599900531213893E-2</v>
      </c>
      <c r="P12" s="193">
        <f t="shared" ref="P12:P20" si="83">LOG(-O12)</f>
        <v>-1.6090666489467129</v>
      </c>
      <c r="Q12" s="193"/>
      <c r="R12" s="193"/>
      <c r="S12" s="197"/>
      <c r="T12" s="210"/>
      <c r="U12" s="185">
        <v>496</v>
      </c>
      <c r="V12" s="185" t="s">
        <v>585</v>
      </c>
      <c r="W12" s="185">
        <v>6.69</v>
      </c>
      <c r="X12" s="194">
        <f t="shared" ref="X12:X20" si="84">U12/$G12</f>
        <v>0.32418300653594773</v>
      </c>
      <c r="Y12" s="208">
        <v>8.247491323707995E-2</v>
      </c>
      <c r="Z12" s="194">
        <f t="shared" si="64"/>
        <v>0.32418306511338674</v>
      </c>
      <c r="AA12" s="194">
        <f t="shared" ref="AA12:AA20" si="85">Z12-X12</f>
        <v>5.8577439010498722E-8</v>
      </c>
      <c r="AB12" s="209">
        <f>LN(U12/$G12)/Y$2</f>
        <v>-3.2175928694380115E-2</v>
      </c>
      <c r="AC12" s="193">
        <f t="shared" ref="AC12:AC20" si="86">LOG(-AB12)</f>
        <v>-1.492468909193615</v>
      </c>
      <c r="AD12" s="194"/>
      <c r="AE12" s="194"/>
      <c r="AF12" s="197"/>
      <c r="AG12" s="210"/>
      <c r="AH12" s="185">
        <v>641</v>
      </c>
      <c r="AI12" s="185" t="s">
        <v>585</v>
      </c>
      <c r="AJ12" s="185">
        <v>5.01</v>
      </c>
      <c r="AK12" s="207">
        <f t="shared" si="65"/>
        <v>0.41895424836601308</v>
      </c>
      <c r="AL12" s="208">
        <v>0.1067591521825028</v>
      </c>
      <c r="AM12" s="194">
        <f t="shared" si="66"/>
        <v>0.41895443296228591</v>
      </c>
      <c r="AN12" s="194">
        <f t="shared" ref="AN12:AN20" si="87">AM12-AK12</f>
        <v>1.8459627282307878E-7</v>
      </c>
      <c r="AO12" s="209">
        <f t="shared" ref="AO12:AO20" si="88">LN(AH12/$G12)/AL$2</f>
        <v>-2.4861220708287453E-2</v>
      </c>
      <c r="AP12" s="193">
        <f t="shared" ref="AP12:AP20" si="89">LOG(-AO12)</f>
        <v>-1.6044775509213371</v>
      </c>
      <c r="AQ12" s="194"/>
      <c r="AR12" s="194"/>
      <c r="AS12" s="197"/>
      <c r="AT12" s="210"/>
      <c r="AU12" s="185">
        <v>746</v>
      </c>
      <c r="AV12" s="185" t="s">
        <v>585</v>
      </c>
      <c r="AW12" s="185">
        <v>5.97</v>
      </c>
      <c r="AX12" s="207">
        <f t="shared" ref="AX12:AX20" si="90">AU12/$G12</f>
        <v>0.48758169934640522</v>
      </c>
      <c r="AY12" s="212">
        <v>3.7542495687894716E-2</v>
      </c>
      <c r="AZ12" s="194">
        <f t="shared" si="67"/>
        <v>8.4248108164100804E-2</v>
      </c>
      <c r="BA12" s="194">
        <f t="shared" ref="BA12:BA20" si="91">AZ12-AX12</f>
        <v>-0.40333359118230439</v>
      </c>
      <c r="BB12" s="197"/>
      <c r="BC12" s="210"/>
      <c r="BD12" s="185">
        <v>629</v>
      </c>
      <c r="BE12" s="185" t="s">
        <v>585</v>
      </c>
      <c r="BF12" s="185">
        <v>5.7</v>
      </c>
      <c r="BG12" s="207">
        <f t="shared" ref="BG12:BG20" si="92">BD12/$G12</f>
        <v>0.41111111111111109</v>
      </c>
      <c r="BH12" s="212">
        <v>3.0334306727458907E-2</v>
      </c>
      <c r="BI12" s="194">
        <f t="shared" si="68"/>
        <v>4.6800060409390248E-2</v>
      </c>
      <c r="BJ12" s="194">
        <f t="shared" ref="BJ12:BJ20" si="93">BI12-BG12</f>
        <v>-0.36431105070172087</v>
      </c>
      <c r="BK12" s="197"/>
      <c r="BL12" s="210"/>
      <c r="BM12" s="185">
        <v>573</v>
      </c>
      <c r="BN12" s="185" t="s">
        <v>585</v>
      </c>
      <c r="BO12" s="185">
        <v>5.88</v>
      </c>
      <c r="BP12" s="207">
        <f t="shared" ref="BP12:BP20" si="94">BM12/$G12</f>
        <v>0.37450980392156863</v>
      </c>
      <c r="BQ12" s="212">
        <v>2.7452792773339341E-2</v>
      </c>
      <c r="BR12" s="194">
        <f t="shared" si="69"/>
        <v>3.3936898030217454E-2</v>
      </c>
      <c r="BS12" s="194">
        <f t="shared" ref="BS12:BS20" si="95">BR12-BP12</f>
        <v>-0.3405729058913512</v>
      </c>
      <c r="BV12" s="185">
        <v>725</v>
      </c>
      <c r="BW12" s="185" t="s">
        <v>585</v>
      </c>
      <c r="BX12" s="185">
        <v>4.72</v>
      </c>
      <c r="BY12" s="207">
        <f t="shared" ref="BY12:BY20" si="96">BV12/$G12</f>
        <v>0.47385620915032678</v>
      </c>
      <c r="BZ12" s="212">
        <v>3.6106534805537507E-2</v>
      </c>
      <c r="CA12" s="194">
        <f t="shared" si="70"/>
        <v>7.6353608354993371E-2</v>
      </c>
      <c r="CB12" s="194">
        <f t="shared" ref="CB12:CB20" si="97">CA12-BY12</f>
        <v>-0.39750260079533339</v>
      </c>
      <c r="CC12" s="197"/>
      <c r="CD12" s="210"/>
      <c r="CE12" s="185">
        <v>482</v>
      </c>
      <c r="CF12" s="185" t="s">
        <v>585</v>
      </c>
      <c r="CG12" s="185">
        <v>8.11</v>
      </c>
      <c r="CH12" s="207">
        <f t="shared" ref="CH12:CH20" si="98">CE12/$G12</f>
        <v>0.31503267973856208</v>
      </c>
      <c r="CI12" s="212">
        <v>2.3340072272188584E-2</v>
      </c>
      <c r="CJ12" s="194">
        <f t="shared" si="71"/>
        <v>1.8696658659273342E-2</v>
      </c>
      <c r="CK12" s="194">
        <f t="shared" ref="CK12:CK20" si="99">CJ12-CH12</f>
        <v>-0.29633602107928875</v>
      </c>
      <c r="CN12" s="185">
        <v>535</v>
      </c>
      <c r="CO12" s="185" t="s">
        <v>585</v>
      </c>
      <c r="CP12" s="185">
        <v>9.64</v>
      </c>
      <c r="CQ12" s="207">
        <f t="shared" ref="CQ12:CQ20" si="100">CN12/$G12</f>
        <v>0.34967320261437906</v>
      </c>
      <c r="CR12" s="212">
        <v>2.5658951639922042E-2</v>
      </c>
      <c r="CS12" s="194">
        <f t="shared" si="72"/>
        <v>2.6788603163603462E-2</v>
      </c>
      <c r="CT12" s="194">
        <f t="shared" ref="CT12:CT20" si="101">CS12-CQ12</f>
        <v>-0.32288459945077558</v>
      </c>
      <c r="CW12" s="185">
        <v>644</v>
      </c>
      <c r="CX12" s="185" t="s">
        <v>585</v>
      </c>
      <c r="CY12" s="185">
        <v>6.33</v>
      </c>
      <c r="CZ12" s="207">
        <f t="shared" ref="CZ12:CZ20" si="102">CW12/$G12</f>
        <v>0.42091503267973857</v>
      </c>
      <c r="DA12" s="212">
        <v>3.1160919234408984E-2</v>
      </c>
      <c r="DB12" s="194">
        <f t="shared" si="73"/>
        <v>5.0759937341973586E-2</v>
      </c>
      <c r="DC12" s="194">
        <f t="shared" ref="DC12:DC20" si="103">DB12-CZ12</f>
        <v>-0.37015509533776497</v>
      </c>
      <c r="DF12" s="185">
        <v>606</v>
      </c>
      <c r="DG12" s="185" t="s">
        <v>585</v>
      </c>
      <c r="DH12" s="185">
        <v>11.2</v>
      </c>
      <c r="DI12" s="207">
        <f t="shared" ref="DI12:DI20" si="104">DF12/$G12</f>
        <v>0.396078431372549</v>
      </c>
      <c r="DJ12" s="212">
        <v>2.9113555526719466E-2</v>
      </c>
      <c r="DK12" s="194">
        <f t="shared" si="74"/>
        <v>4.1161286538643968E-2</v>
      </c>
      <c r="DL12" s="194">
        <f t="shared" ref="DL12:DL20" si="105">DK12-DI12</f>
        <v>-0.35491714483390502</v>
      </c>
      <c r="DO12" s="185">
        <v>729</v>
      </c>
      <c r="DP12" s="185" t="s">
        <v>585</v>
      </c>
      <c r="DQ12" s="185">
        <v>5.98</v>
      </c>
      <c r="DR12" s="207">
        <f t="shared" ref="DR12:DR20" si="106">DO12/$G12</f>
        <v>0.47647058823529409</v>
      </c>
      <c r="DS12" s="212">
        <v>3.6374631287670801E-2</v>
      </c>
      <c r="DT12" s="194">
        <f t="shared" si="75"/>
        <v>7.7815047442646931E-2</v>
      </c>
      <c r="DU12" s="194">
        <f t="shared" ref="DU12:DU20" si="107">DT12-DR12</f>
        <v>-0.39865554079264715</v>
      </c>
      <c r="DX12" s="185">
        <v>516</v>
      </c>
      <c r="DY12" s="185" t="s">
        <v>585</v>
      </c>
      <c r="DZ12" s="185">
        <v>5.97</v>
      </c>
      <c r="EA12" s="207">
        <f t="shared" ref="EA12:EA20" si="108">DX12/$G12</f>
        <v>0.33725490196078434</v>
      </c>
      <c r="EB12" s="212">
        <v>2.4804773884073632E-2</v>
      </c>
      <c r="EC12" s="194">
        <f t="shared" si="76"/>
        <v>2.3649116556264636E-2</v>
      </c>
      <c r="ED12" s="194">
        <f t="shared" ref="ED12:ED20" si="109">EC12-EA12</f>
        <v>-0.31360578540451972</v>
      </c>
      <c r="EG12" s="185">
        <v>550</v>
      </c>
      <c r="EH12" s="185" t="s">
        <v>585</v>
      </c>
      <c r="EI12" s="185">
        <v>5.83</v>
      </c>
      <c r="EJ12" s="207">
        <f t="shared" ref="EJ12:EJ20" si="110">EG12/$G12</f>
        <v>0.35947712418300654</v>
      </c>
      <c r="EK12" s="212">
        <v>2.6352873691598496E-2</v>
      </c>
      <c r="EL12" s="194">
        <f t="shared" si="77"/>
        <v>2.9467628030587167E-2</v>
      </c>
      <c r="EM12" s="194">
        <f t="shared" ref="EM12:EM20" si="111">EL12-EJ12</f>
        <v>-0.33000949615241937</v>
      </c>
      <c r="EP12" s="185">
        <v>525</v>
      </c>
      <c r="EQ12" s="185" t="s">
        <v>585</v>
      </c>
      <c r="ER12" s="185">
        <v>3.15</v>
      </c>
      <c r="ES12" s="207">
        <f t="shared" ref="ES12:ES20" si="112">EP12/$G12</f>
        <v>0.34313725490196079</v>
      </c>
      <c r="ET12" s="212">
        <v>2.5206032931797542E-2</v>
      </c>
      <c r="EU12" s="194">
        <f t="shared" si="78"/>
        <v>2.5101659467108541E-2</v>
      </c>
      <c r="EV12" s="194">
        <f t="shared" ref="EV12:EV20" si="113">EU12-ES12</f>
        <v>-0.31803559543485227</v>
      </c>
      <c r="EW12" s="197"/>
      <c r="EX12" s="210"/>
    </row>
    <row r="13" spans="1:154" x14ac:dyDescent="0.35">
      <c r="A13" s="188" t="s">
        <v>2</v>
      </c>
      <c r="B13" s="185">
        <v>78</v>
      </c>
      <c r="C13" s="205">
        <f t="shared" si="59"/>
        <v>842807.64446312503</v>
      </c>
      <c r="D13" s="206">
        <f t="shared" si="79"/>
        <v>5.9257284661067979</v>
      </c>
      <c r="E13" s="205">
        <f t="shared" si="60"/>
        <v>86400</v>
      </c>
      <c r="F13" s="205">
        <f t="shared" si="61"/>
        <v>0.41446452428724656</v>
      </c>
      <c r="G13" s="203">
        <f t="shared" si="62"/>
        <v>687.66666666666663</v>
      </c>
      <c r="H13" s="189">
        <v>464</v>
      </c>
      <c r="I13" s="190" t="s">
        <v>585</v>
      </c>
      <c r="J13" s="191">
        <v>6.25</v>
      </c>
      <c r="K13" s="207">
        <f t="shared" si="80"/>
        <v>0.67474551623848766</v>
      </c>
      <c r="L13" s="208">
        <v>6.7281578893775812E-2</v>
      </c>
      <c r="M13" s="194">
        <f t="shared" si="63"/>
        <v>0.67474551682045369</v>
      </c>
      <c r="N13" s="209">
        <f t="shared" si="81"/>
        <v>5.8196603092142141E-10</v>
      </c>
      <c r="O13" s="209">
        <f>LN(H13/$G13)/L$2</f>
        <v>-1.1244738679420552E-2</v>
      </c>
      <c r="P13" s="193">
        <f t="shared" si="83"/>
        <v>-1.9490506328387867</v>
      </c>
      <c r="Q13" s="193"/>
      <c r="R13" s="193"/>
      <c r="S13" s="197"/>
      <c r="T13" s="210"/>
      <c r="U13" s="185">
        <v>423</v>
      </c>
      <c r="V13" s="185" t="s">
        <v>585</v>
      </c>
      <c r="W13" s="185">
        <v>5.52</v>
      </c>
      <c r="X13" s="194">
        <f t="shared" si="84"/>
        <v>0.61512360639844887</v>
      </c>
      <c r="Y13" s="208">
        <v>5.4506688403377787E-2</v>
      </c>
      <c r="Z13" s="194">
        <f t="shared" si="64"/>
        <v>0.61512366874536806</v>
      </c>
      <c r="AA13" s="194">
        <f t="shared" si="85"/>
        <v>6.2346919182942884E-8</v>
      </c>
      <c r="AB13" s="209">
        <f t="shared" ref="AB13:AB20" si="114">LN(U13/$G13)/Y$2</f>
        <v>-1.3880203529288586E-2</v>
      </c>
      <c r="AC13" s="193">
        <f t="shared" si="86"/>
        <v>-1.8576041656535789</v>
      </c>
      <c r="AD13" s="194"/>
      <c r="AE13" s="194"/>
      <c r="AF13" s="197"/>
      <c r="AG13" s="210"/>
      <c r="AH13" s="185">
        <v>480</v>
      </c>
      <c r="AI13" s="185" t="s">
        <v>585</v>
      </c>
      <c r="AJ13" s="185">
        <v>10.199999999999999</v>
      </c>
      <c r="AK13" s="207">
        <f t="shared" si="65"/>
        <v>0.69801260300533208</v>
      </c>
      <c r="AL13" s="208">
        <v>7.3653490878080541E-2</v>
      </c>
      <c r="AM13" s="194">
        <f t="shared" si="66"/>
        <v>0.69801291220052364</v>
      </c>
      <c r="AN13" s="194">
        <f t="shared" si="87"/>
        <v>3.0919519156125119E-7</v>
      </c>
      <c r="AO13" s="209">
        <f t="shared" si="88"/>
        <v>-1.0273707507035648E-2</v>
      </c>
      <c r="AP13" s="193">
        <f t="shared" si="89"/>
        <v>-1.9882728028212051</v>
      </c>
      <c r="AQ13" s="194"/>
      <c r="AR13" s="194"/>
      <c r="AS13" s="197"/>
      <c r="AT13" s="210"/>
      <c r="AU13" s="185">
        <v>514</v>
      </c>
      <c r="AV13" s="185" t="s">
        <v>585</v>
      </c>
      <c r="AW13" s="185">
        <v>7.17</v>
      </c>
      <c r="AX13" s="207">
        <f t="shared" si="90"/>
        <v>0.74745516238487641</v>
      </c>
      <c r="AY13" s="212">
        <v>2.6424808695016001E-2</v>
      </c>
      <c r="AZ13" s="194">
        <f t="shared" si="67"/>
        <v>0.36711560725709153</v>
      </c>
      <c r="BA13" s="194">
        <f t="shared" si="91"/>
        <v>-0.38033955512778489</v>
      </c>
      <c r="BB13" s="197"/>
      <c r="BC13" s="210"/>
      <c r="BD13" s="185">
        <v>457</v>
      </c>
      <c r="BE13" s="185" t="s">
        <v>585</v>
      </c>
      <c r="BF13" s="185">
        <v>7.05</v>
      </c>
      <c r="BG13" s="207">
        <f t="shared" si="92"/>
        <v>0.66456616577799321</v>
      </c>
      <c r="BH13" s="212">
        <v>1.8822185252851096E-2</v>
      </c>
      <c r="BI13" s="194">
        <f t="shared" si="68"/>
        <v>0.24491692157001133</v>
      </c>
      <c r="BJ13" s="194">
        <f t="shared" si="93"/>
        <v>-0.41964924420798189</v>
      </c>
      <c r="BK13" s="197"/>
      <c r="BL13" s="210"/>
      <c r="BM13" s="185">
        <v>429</v>
      </c>
      <c r="BN13" s="185" t="s">
        <v>585</v>
      </c>
      <c r="BO13" s="185">
        <v>4.74</v>
      </c>
      <c r="BP13" s="207">
        <f t="shared" si="94"/>
        <v>0.62384876393601552</v>
      </c>
      <c r="BQ13" s="212">
        <v>1.6299355466412226E-2</v>
      </c>
      <c r="BR13" s="194">
        <f t="shared" si="69"/>
        <v>0.19699288377225468</v>
      </c>
      <c r="BS13" s="194">
        <f t="shared" si="95"/>
        <v>-0.42685588016376086</v>
      </c>
      <c r="BV13" s="185">
        <v>434</v>
      </c>
      <c r="BW13" s="185" t="s">
        <v>585</v>
      </c>
      <c r="BX13" s="185">
        <v>6.45</v>
      </c>
      <c r="BY13" s="207">
        <f t="shared" si="96"/>
        <v>0.63111972855065446</v>
      </c>
      <c r="BZ13" s="212">
        <v>1.6709848717990958E-2</v>
      </c>
      <c r="CA13" s="194">
        <f t="shared" si="70"/>
        <v>0.20501376826936085</v>
      </c>
      <c r="CB13" s="194">
        <f t="shared" si="97"/>
        <v>-0.42610596028129361</v>
      </c>
      <c r="CC13" s="197"/>
      <c r="CD13" s="210"/>
      <c r="CE13" s="185">
        <v>385</v>
      </c>
      <c r="CF13" s="185" t="s">
        <v>585</v>
      </c>
      <c r="CG13" s="185">
        <v>10.4</v>
      </c>
      <c r="CH13" s="207">
        <f t="shared" si="98"/>
        <v>0.55986427532719341</v>
      </c>
      <c r="CI13" s="212">
        <v>1.3257639324331603E-2</v>
      </c>
      <c r="CJ13" s="194">
        <f t="shared" si="71"/>
        <v>0.13569863398301318</v>
      </c>
      <c r="CK13" s="194">
        <f t="shared" si="99"/>
        <v>-0.42416564134418022</v>
      </c>
      <c r="CN13" s="185">
        <v>407</v>
      </c>
      <c r="CO13" s="185" t="s">
        <v>585</v>
      </c>
      <c r="CP13" s="185">
        <v>13.6</v>
      </c>
      <c r="CQ13" s="207">
        <f t="shared" si="100"/>
        <v>0.59185651963160446</v>
      </c>
      <c r="CR13" s="212">
        <v>1.4662843487063988E-2</v>
      </c>
      <c r="CS13" s="194">
        <f t="shared" si="72"/>
        <v>0.16432534262998608</v>
      </c>
      <c r="CT13" s="194">
        <f t="shared" si="101"/>
        <v>-0.42753117700161836</v>
      </c>
      <c r="CW13" s="185">
        <v>534</v>
      </c>
      <c r="CX13" s="185" t="s">
        <v>585</v>
      </c>
      <c r="CY13" s="185">
        <v>7.93</v>
      </c>
      <c r="CZ13" s="207">
        <f t="shared" si="102"/>
        <v>0.77653902084343196</v>
      </c>
      <c r="DA13" s="212">
        <v>3.0414032850030387E-2</v>
      </c>
      <c r="DB13" s="194">
        <f t="shared" si="73"/>
        <v>0.41868270178992439</v>
      </c>
      <c r="DC13" s="194">
        <f t="shared" si="103"/>
        <v>-0.35785631905350757</v>
      </c>
      <c r="DF13" s="185">
        <v>492</v>
      </c>
      <c r="DG13" s="185" t="s">
        <v>585</v>
      </c>
      <c r="DH13" s="185">
        <v>11</v>
      </c>
      <c r="DI13" s="207">
        <f t="shared" si="104"/>
        <v>0.71546291808046536</v>
      </c>
      <c r="DJ13" s="212">
        <v>2.2971748523308407E-2</v>
      </c>
      <c r="DK13" s="194">
        <f t="shared" si="74"/>
        <v>0.3157802888150385</v>
      </c>
      <c r="DL13" s="194">
        <f t="shared" si="105"/>
        <v>-0.39968262926542686</v>
      </c>
      <c r="DO13" s="185">
        <v>440</v>
      </c>
      <c r="DP13" s="185" t="s">
        <v>585</v>
      </c>
      <c r="DQ13" s="185">
        <v>8.23</v>
      </c>
      <c r="DR13" s="207">
        <f t="shared" si="106"/>
        <v>0.6398448860882211</v>
      </c>
      <c r="DS13" s="212">
        <v>1.7223813087898606E-2</v>
      </c>
      <c r="DT13" s="194">
        <f t="shared" si="75"/>
        <v>0.21494119247290897</v>
      </c>
      <c r="DU13" s="194">
        <f t="shared" si="107"/>
        <v>-0.42490369361531211</v>
      </c>
      <c r="DX13" s="185">
        <v>415</v>
      </c>
      <c r="DY13" s="185" t="s">
        <v>585</v>
      </c>
      <c r="DZ13" s="185">
        <v>7.99</v>
      </c>
      <c r="EA13" s="207">
        <f t="shared" si="108"/>
        <v>0.60349006301502672</v>
      </c>
      <c r="EB13" s="212">
        <v>1.5228201114443635E-2</v>
      </c>
      <c r="EC13" s="194">
        <f t="shared" si="76"/>
        <v>0.17572035188116741</v>
      </c>
      <c r="ED13" s="194">
        <f t="shared" si="109"/>
        <v>-0.42776971113385931</v>
      </c>
      <c r="EG13" s="185">
        <v>435</v>
      </c>
      <c r="EH13" s="185" t="s">
        <v>585</v>
      </c>
      <c r="EI13" s="185">
        <v>9.33</v>
      </c>
      <c r="EJ13" s="207">
        <f t="shared" si="110"/>
        <v>0.63257392147358216</v>
      </c>
      <c r="EK13" s="212">
        <v>1.6793847777136928E-2</v>
      </c>
      <c r="EL13" s="194">
        <f t="shared" si="77"/>
        <v>0.20664520634857605</v>
      </c>
      <c r="EM13" s="194">
        <f t="shared" si="111"/>
        <v>-0.42592871512500607</v>
      </c>
      <c r="EP13" s="185">
        <v>456</v>
      </c>
      <c r="EQ13" s="185" t="s">
        <v>585</v>
      </c>
      <c r="ER13" s="185">
        <v>2.36</v>
      </c>
      <c r="ES13" s="207">
        <f t="shared" si="112"/>
        <v>0.66311197285506551</v>
      </c>
      <c r="ET13" s="212">
        <v>1.8721797613161964E-2</v>
      </c>
      <c r="EU13" s="194">
        <f t="shared" si="78"/>
        <v>0.24307632758872227</v>
      </c>
      <c r="EV13" s="194">
        <f t="shared" si="113"/>
        <v>-0.42003564526634324</v>
      </c>
      <c r="EW13" s="197"/>
      <c r="EX13" s="210"/>
    </row>
    <row r="14" spans="1:154" x14ac:dyDescent="0.35">
      <c r="A14" s="188" t="s">
        <v>3</v>
      </c>
      <c r="B14" s="185">
        <v>121</v>
      </c>
      <c r="C14" s="205">
        <f t="shared" si="59"/>
        <v>1777033.55268118</v>
      </c>
      <c r="D14" s="206">
        <f t="shared" si="79"/>
        <v>6.2496956279216338</v>
      </c>
      <c r="E14" s="205">
        <f>VLOOKUP($B14,PRC,11,FALSE)</f>
        <v>2.4718228491938433E+225</v>
      </c>
      <c r="F14" s="205">
        <f t="shared" si="61"/>
        <v>0.38291771022895116</v>
      </c>
      <c r="G14" s="203">
        <f t="shared" si="62"/>
        <v>720</v>
      </c>
      <c r="H14" s="189">
        <v>579</v>
      </c>
      <c r="I14" s="190" t="s">
        <v>586</v>
      </c>
      <c r="J14" s="191">
        <v>1.9</v>
      </c>
      <c r="K14" s="207">
        <f t="shared" si="80"/>
        <v>0.8041666666666667</v>
      </c>
      <c r="L14" s="208">
        <v>5.3216808072035771E-2</v>
      </c>
      <c r="M14" s="194">
        <f t="shared" si="63"/>
        <v>0.80416666666339931</v>
      </c>
      <c r="N14" s="209">
        <f t="shared" si="81"/>
        <v>-3.2673863614718357E-12</v>
      </c>
      <c r="O14" s="209">
        <f t="shared" si="82"/>
        <v>-6.2294204829538317E-3</v>
      </c>
      <c r="P14" s="193">
        <f t="shared" si="83"/>
        <v>-2.2055523534631067</v>
      </c>
      <c r="Q14" s="193"/>
      <c r="R14" s="193"/>
      <c r="S14" s="197"/>
      <c r="T14" s="210"/>
      <c r="U14" s="185">
        <v>560</v>
      </c>
      <c r="V14" s="185" t="s">
        <v>586</v>
      </c>
      <c r="W14" s="185">
        <v>3.91</v>
      </c>
      <c r="X14" s="194">
        <f t="shared" si="84"/>
        <v>0.77777777777777779</v>
      </c>
      <c r="Y14" s="208">
        <v>4.6180541942022875E-2</v>
      </c>
      <c r="Z14" s="194">
        <f t="shared" si="64"/>
        <v>0.77777790086548138</v>
      </c>
      <c r="AA14" s="194">
        <f t="shared" si="85"/>
        <v>1.2308770358515631E-7</v>
      </c>
      <c r="AB14" s="209">
        <f t="shared" si="114"/>
        <v>-7.1785663195437187E-3</v>
      </c>
      <c r="AC14" s="193">
        <f t="shared" si="86"/>
        <v>-2.1439622830115477</v>
      </c>
      <c r="AD14" s="194"/>
      <c r="AE14" s="194"/>
      <c r="AF14" s="197"/>
      <c r="AG14" s="210"/>
      <c r="AH14" s="185">
        <v>647</v>
      </c>
      <c r="AI14" s="185" t="s">
        <v>586</v>
      </c>
      <c r="AJ14" s="185">
        <v>3.49</v>
      </c>
      <c r="AK14" s="207">
        <f t="shared" si="65"/>
        <v>0.89861111111111114</v>
      </c>
      <c r="AL14" s="208">
        <v>0.10853443519141874</v>
      </c>
      <c r="AM14" s="194">
        <f t="shared" si="66"/>
        <v>0.89861127042847466</v>
      </c>
      <c r="AN14" s="194">
        <f t="shared" si="87"/>
        <v>1.5931736352392534E-7</v>
      </c>
      <c r="AO14" s="209">
        <f t="shared" si="88"/>
        <v>-3.0549499202491971E-3</v>
      </c>
      <c r="AP14" s="193">
        <f t="shared" si="89"/>
        <v>-2.5149959047463684</v>
      </c>
      <c r="AQ14" s="194"/>
      <c r="AR14" s="194"/>
      <c r="AS14" s="197"/>
      <c r="AT14" s="210"/>
      <c r="AU14" s="185">
        <v>655</v>
      </c>
      <c r="AV14" s="185" t="s">
        <v>586</v>
      </c>
      <c r="AW14" s="185">
        <v>2.16</v>
      </c>
      <c r="AX14" s="207">
        <f t="shared" si="90"/>
        <v>0.90972222222222221</v>
      </c>
      <c r="AY14" s="212">
        <v>3.5633518140285994E-2</v>
      </c>
      <c r="AZ14" s="194">
        <f t="shared" si="67"/>
        <v>0.7220823742132032</v>
      </c>
      <c r="BA14" s="194">
        <f t="shared" si="91"/>
        <v>-0.18763984800901901</v>
      </c>
      <c r="BB14" s="197"/>
      <c r="BC14" s="210"/>
      <c r="BD14" s="185">
        <v>593</v>
      </c>
      <c r="BE14" s="185" t="s">
        <v>586</v>
      </c>
      <c r="BF14" s="185">
        <v>2.76</v>
      </c>
      <c r="BG14" s="207">
        <f t="shared" si="92"/>
        <v>0.82361111111111107</v>
      </c>
      <c r="BH14" s="212">
        <v>1.737348220766546E-2</v>
      </c>
      <c r="BI14" s="194">
        <f t="shared" si="68"/>
        <v>0.51281095290935141</v>
      </c>
      <c r="BJ14" s="194">
        <f t="shared" si="93"/>
        <v>-0.31080015820175966</v>
      </c>
      <c r="BK14" s="197"/>
      <c r="BL14" s="210"/>
      <c r="BM14" s="185">
        <v>556</v>
      </c>
      <c r="BN14" s="185" t="s">
        <v>586</v>
      </c>
      <c r="BO14" s="185">
        <v>3.78</v>
      </c>
      <c r="BP14" s="207">
        <f t="shared" si="94"/>
        <v>0.77222222222222225</v>
      </c>
      <c r="BQ14" s="212">
        <v>1.3043052419031056E-2</v>
      </c>
      <c r="BR14" s="194">
        <f t="shared" si="69"/>
        <v>0.41082804303461173</v>
      </c>
      <c r="BS14" s="194">
        <f t="shared" si="95"/>
        <v>-0.36139417918761052</v>
      </c>
      <c r="BV14" s="185">
        <v>526</v>
      </c>
      <c r="BW14" s="185" t="s">
        <v>586</v>
      </c>
      <c r="BX14" s="185">
        <v>2.13</v>
      </c>
      <c r="BY14" s="207">
        <f t="shared" si="96"/>
        <v>0.73055555555555551</v>
      </c>
      <c r="BZ14" s="212">
        <v>1.0738575523264113E-2</v>
      </c>
      <c r="CA14" s="194">
        <f t="shared" si="70"/>
        <v>0.33943162590556636</v>
      </c>
      <c r="CB14" s="194">
        <f t="shared" si="97"/>
        <v>-0.39112392964998915</v>
      </c>
      <c r="CC14" s="197"/>
      <c r="CD14" s="210"/>
      <c r="CE14" s="185">
        <v>558</v>
      </c>
      <c r="CF14" s="185" t="s">
        <v>586</v>
      </c>
      <c r="CG14" s="185">
        <v>3.47</v>
      </c>
      <c r="CH14" s="207">
        <f t="shared" si="98"/>
        <v>0.77500000000000002</v>
      </c>
      <c r="CI14" s="212">
        <v>1.322680191207082E-2</v>
      </c>
      <c r="CJ14" s="194">
        <f t="shared" si="71"/>
        <v>0.41593665569431759</v>
      </c>
      <c r="CK14" s="194">
        <f t="shared" si="99"/>
        <v>-0.35906334430568243</v>
      </c>
      <c r="CN14" s="185">
        <v>524</v>
      </c>
      <c r="CO14" s="185" t="s">
        <v>586</v>
      </c>
      <c r="CP14" s="185">
        <v>5.12</v>
      </c>
      <c r="CQ14" s="207">
        <f t="shared" si="100"/>
        <v>0.72777777777777775</v>
      </c>
      <c r="CR14" s="212">
        <v>1.060982396112131E-2</v>
      </c>
      <c r="CS14" s="194">
        <f t="shared" si="72"/>
        <v>0.33501011814785969</v>
      </c>
      <c r="CT14" s="194">
        <f t="shared" si="101"/>
        <v>-0.39276765962991805</v>
      </c>
      <c r="CW14" s="185">
        <v>643</v>
      </c>
      <c r="CX14" s="185" t="s">
        <v>586</v>
      </c>
      <c r="CY14" s="185">
        <v>2.33</v>
      </c>
      <c r="CZ14" s="207">
        <f t="shared" si="102"/>
        <v>0.8930555555555556</v>
      </c>
      <c r="DA14" s="212">
        <v>2.9808133219471369E-2</v>
      </c>
      <c r="DB14" s="194">
        <f t="shared" si="73"/>
        <v>0.67756418154025977</v>
      </c>
      <c r="DC14" s="194">
        <f t="shared" si="103"/>
        <v>-0.21549137401529583</v>
      </c>
      <c r="DF14" s="185">
        <v>669</v>
      </c>
      <c r="DG14" s="185" t="s">
        <v>586</v>
      </c>
      <c r="DH14" s="185">
        <v>3.1</v>
      </c>
      <c r="DI14" s="207">
        <f t="shared" si="104"/>
        <v>0.9291666666666667</v>
      </c>
      <c r="DJ14" s="212">
        <v>4.5891437495539783E-2</v>
      </c>
      <c r="DK14" s="194">
        <f t="shared" si="74"/>
        <v>0.77659797261112895</v>
      </c>
      <c r="DL14" s="194">
        <f t="shared" si="105"/>
        <v>-0.15256869405553775</v>
      </c>
      <c r="DO14" s="185">
        <v>542</v>
      </c>
      <c r="DP14" s="185" t="s">
        <v>586</v>
      </c>
      <c r="DQ14" s="185">
        <v>4.12</v>
      </c>
      <c r="DR14" s="207">
        <f t="shared" si="106"/>
        <v>0.75277777777777777</v>
      </c>
      <c r="DS14" s="212">
        <v>1.1871717311025581E-2</v>
      </c>
      <c r="DT14" s="194">
        <f t="shared" si="75"/>
        <v>0.3763062731844708</v>
      </c>
      <c r="DU14" s="194">
        <f t="shared" si="107"/>
        <v>-0.37647150459330697</v>
      </c>
      <c r="DX14" s="185">
        <v>549</v>
      </c>
      <c r="DY14" s="185" t="s">
        <v>586</v>
      </c>
      <c r="DZ14" s="185">
        <v>5.5</v>
      </c>
      <c r="EA14" s="207">
        <f t="shared" si="108"/>
        <v>0.76249999999999996</v>
      </c>
      <c r="EB14" s="212">
        <v>1.2433579411705127E-2</v>
      </c>
      <c r="EC14" s="194">
        <f t="shared" si="76"/>
        <v>0.39329855626358851</v>
      </c>
      <c r="ED14" s="194">
        <f t="shared" si="109"/>
        <v>-0.36920144373641145</v>
      </c>
      <c r="EG14" s="185">
        <v>537</v>
      </c>
      <c r="EH14" s="185" t="s">
        <v>586</v>
      </c>
      <c r="EI14" s="185">
        <v>2.62</v>
      </c>
      <c r="EJ14" s="207">
        <f t="shared" si="110"/>
        <v>0.74583333333333335</v>
      </c>
      <c r="EK14" s="212">
        <v>1.149650749201581E-2</v>
      </c>
      <c r="EL14" s="194">
        <f t="shared" si="77"/>
        <v>0.364492391718165</v>
      </c>
      <c r="EM14" s="194">
        <f t="shared" si="111"/>
        <v>-0.38134094161516835</v>
      </c>
      <c r="EP14" s="185">
        <v>595</v>
      </c>
      <c r="EQ14" s="185" t="s">
        <v>586</v>
      </c>
      <c r="ER14" s="185">
        <v>21.1</v>
      </c>
      <c r="ES14" s="207">
        <f t="shared" si="112"/>
        <v>0.82638888888888884</v>
      </c>
      <c r="ET14" s="212">
        <v>1.7680262275029165E-2</v>
      </c>
      <c r="EU14" s="194">
        <f t="shared" si="78"/>
        <v>0.51878807522331838</v>
      </c>
      <c r="EV14" s="194">
        <f t="shared" si="113"/>
        <v>-0.30760081366557046</v>
      </c>
      <c r="EW14" s="197"/>
      <c r="EX14" s="210"/>
    </row>
    <row r="15" spans="1:154" x14ac:dyDescent="0.35">
      <c r="A15" s="188" t="s">
        <v>4</v>
      </c>
      <c r="B15" s="185">
        <v>104</v>
      </c>
      <c r="C15" s="205">
        <f t="shared" si="59"/>
        <v>544238.28532434627</v>
      </c>
      <c r="D15" s="206">
        <f t="shared" si="79"/>
        <v>5.7357890896676595</v>
      </c>
      <c r="E15" s="205">
        <f t="shared" si="60"/>
        <v>86400</v>
      </c>
      <c r="F15" s="205">
        <f t="shared" si="61"/>
        <v>0.38291771022895116</v>
      </c>
      <c r="G15" s="203">
        <f t="shared" si="62"/>
        <v>1626.6666666666667</v>
      </c>
      <c r="H15" s="189">
        <v>959</v>
      </c>
      <c r="I15" s="190" t="s">
        <v>585</v>
      </c>
      <c r="J15" s="191">
        <v>1.6</v>
      </c>
      <c r="K15" s="207">
        <f t="shared" si="80"/>
        <v>0.58954918032786885</v>
      </c>
      <c r="L15" s="208">
        <v>7.1671956202713952E-2</v>
      </c>
      <c r="M15" s="194">
        <f t="shared" si="63"/>
        <v>0.58954918080503105</v>
      </c>
      <c r="N15" s="209">
        <f t="shared" si="81"/>
        <v>4.7716219864213372E-10</v>
      </c>
      <c r="O15" s="209">
        <f t="shared" si="82"/>
        <v>-1.5102670571802238E-2</v>
      </c>
      <c r="P15" s="193">
        <f t="shared" si="83"/>
        <v>-1.8209462505844816</v>
      </c>
      <c r="Q15" s="193"/>
      <c r="R15" s="193"/>
      <c r="S15" s="197"/>
      <c r="T15" s="210"/>
      <c r="U15" s="185">
        <v>925</v>
      </c>
      <c r="V15" s="185" t="s">
        <v>585</v>
      </c>
      <c r="W15" s="185">
        <v>3.31</v>
      </c>
      <c r="X15" s="194">
        <f t="shared" si="84"/>
        <v>0.56864754098360648</v>
      </c>
      <c r="Y15" s="208">
        <v>6.7131022281298428E-2</v>
      </c>
      <c r="Z15" s="194">
        <f t="shared" si="64"/>
        <v>0.56864771977485407</v>
      </c>
      <c r="AA15" s="194">
        <f t="shared" si="85"/>
        <v>1.7879124758479747E-7</v>
      </c>
      <c r="AB15" s="209">
        <f t="shared" si="114"/>
        <v>-1.6124267264607903E-2</v>
      </c>
      <c r="AC15" s="193">
        <f t="shared" si="86"/>
        <v>-1.7925200118969042</v>
      </c>
      <c r="AD15" s="194"/>
      <c r="AE15" s="194"/>
      <c r="AF15" s="197"/>
      <c r="AG15" s="210"/>
      <c r="AH15" s="185">
        <v>1100</v>
      </c>
      <c r="AI15" s="185" t="s">
        <v>585</v>
      </c>
      <c r="AJ15" s="185">
        <v>2.95</v>
      </c>
      <c r="AK15" s="207">
        <f t="shared" si="65"/>
        <v>0.67622950819672123</v>
      </c>
      <c r="AL15" s="208">
        <v>9.6838354592639342E-2</v>
      </c>
      <c r="AM15" s="194">
        <f t="shared" si="66"/>
        <v>0.67622978437934833</v>
      </c>
      <c r="AN15" s="194">
        <f t="shared" si="87"/>
        <v>2.7618262710138453E-7</v>
      </c>
      <c r="AO15" s="209">
        <f t="shared" si="88"/>
        <v>-1.1179709418546646E-2</v>
      </c>
      <c r="AP15" s="193">
        <f t="shared" si="89"/>
        <v>-1.95156948442471</v>
      </c>
      <c r="AQ15" s="194"/>
      <c r="AR15" s="194"/>
      <c r="AS15" s="197"/>
      <c r="AT15" s="210"/>
      <c r="AU15" s="185">
        <v>1190</v>
      </c>
      <c r="AV15" s="185" t="s">
        <v>585</v>
      </c>
      <c r="AW15" s="185">
        <v>1.83</v>
      </c>
      <c r="AX15" s="207">
        <f t="shared" si="90"/>
        <v>0.73155737704918034</v>
      </c>
      <c r="AY15" s="212">
        <v>3.5199416876143856E-2</v>
      </c>
      <c r="AZ15" s="194">
        <f t="shared" si="67"/>
        <v>0.34085246249587808</v>
      </c>
      <c r="BA15" s="194">
        <f t="shared" si="91"/>
        <v>-0.39070491455330225</v>
      </c>
      <c r="BB15" s="197"/>
      <c r="BC15" s="210"/>
      <c r="BD15" s="185">
        <v>994</v>
      </c>
      <c r="BE15" s="185" t="s">
        <v>585</v>
      </c>
      <c r="BF15" s="185">
        <v>2.33</v>
      </c>
      <c r="BG15" s="207">
        <f t="shared" si="92"/>
        <v>0.61106557377049175</v>
      </c>
      <c r="BH15" s="212">
        <v>2.2334060008312867E-2</v>
      </c>
      <c r="BI15" s="194">
        <f t="shared" si="68"/>
        <v>0.18336019624055222</v>
      </c>
      <c r="BJ15" s="194">
        <f t="shared" si="93"/>
        <v>-0.42770537752993953</v>
      </c>
      <c r="BK15" s="197"/>
      <c r="BL15" s="210"/>
      <c r="BM15" s="185">
        <v>876</v>
      </c>
      <c r="BN15" s="185" t="s">
        <v>585</v>
      </c>
      <c r="BO15" s="185">
        <v>3.19</v>
      </c>
      <c r="BP15" s="207">
        <f t="shared" si="94"/>
        <v>0.53852459016393439</v>
      </c>
      <c r="BQ15" s="212">
        <v>1.7771687412243744E-2</v>
      </c>
      <c r="BR15" s="194">
        <f t="shared" si="69"/>
        <v>0.11862595040414643</v>
      </c>
      <c r="BS15" s="194">
        <f t="shared" si="95"/>
        <v>-0.41989863975978797</v>
      </c>
      <c r="BV15" s="185">
        <v>790</v>
      </c>
      <c r="BW15" s="185" t="s">
        <v>585</v>
      </c>
      <c r="BX15" s="185">
        <v>1.8</v>
      </c>
      <c r="BY15" s="207">
        <f t="shared" si="96"/>
        <v>0.48565573770491799</v>
      </c>
      <c r="BZ15" s="212">
        <v>1.5227541536349242E-2</v>
      </c>
      <c r="CA15" s="194">
        <f t="shared" si="70"/>
        <v>8.3080291795536651E-2</v>
      </c>
      <c r="CB15" s="194">
        <f t="shared" si="97"/>
        <v>-0.40257544590938132</v>
      </c>
      <c r="CC15" s="197"/>
      <c r="CD15" s="210"/>
      <c r="CE15" s="185">
        <v>872</v>
      </c>
      <c r="CF15" s="185" t="s">
        <v>585</v>
      </c>
      <c r="CG15" s="185">
        <v>2.93</v>
      </c>
      <c r="CH15" s="207">
        <f t="shared" si="98"/>
        <v>0.5360655737704918</v>
      </c>
      <c r="CI15" s="212">
        <v>1.7641162324657001E-2</v>
      </c>
      <c r="CJ15" s="194">
        <f t="shared" si="71"/>
        <v>0.11676956405414851</v>
      </c>
      <c r="CK15" s="194">
        <f t="shared" si="99"/>
        <v>-0.41929600971634329</v>
      </c>
      <c r="CN15" s="185">
        <v>837</v>
      </c>
      <c r="CO15" s="185" t="s">
        <v>585</v>
      </c>
      <c r="CP15" s="185">
        <v>4.33</v>
      </c>
      <c r="CQ15" s="207">
        <f t="shared" si="100"/>
        <v>0.51454918032786878</v>
      </c>
      <c r="CR15" s="212">
        <v>1.6552884638598449E-2</v>
      </c>
      <c r="CS15" s="194">
        <f t="shared" si="72"/>
        <v>0.10139365541482927</v>
      </c>
      <c r="CT15" s="194">
        <f t="shared" si="101"/>
        <v>-0.41315552491303953</v>
      </c>
      <c r="CW15" s="185">
        <v>1180</v>
      </c>
      <c r="CX15" s="185" t="s">
        <v>585</v>
      </c>
      <c r="CY15" s="185">
        <v>1.96</v>
      </c>
      <c r="CZ15" s="207">
        <f t="shared" si="102"/>
        <v>0.72540983606557374</v>
      </c>
      <c r="DA15" s="212">
        <v>3.4273833313843691E-2</v>
      </c>
      <c r="DB15" s="194">
        <f t="shared" si="73"/>
        <v>0.33108776912932636</v>
      </c>
      <c r="DC15" s="194">
        <f t="shared" si="103"/>
        <v>-0.39432206693624738</v>
      </c>
      <c r="DF15" s="185">
        <v>1150</v>
      </c>
      <c r="DG15" s="185" t="s">
        <v>585</v>
      </c>
      <c r="DH15" s="185">
        <v>2.62</v>
      </c>
      <c r="DI15" s="207">
        <f t="shared" si="104"/>
        <v>0.70696721311475408</v>
      </c>
      <c r="DJ15" s="212">
        <v>3.1727705121859434E-2</v>
      </c>
      <c r="DK15" s="194">
        <f t="shared" si="74"/>
        <v>0.30298343092655533</v>
      </c>
      <c r="DL15" s="194">
        <f t="shared" si="105"/>
        <v>-0.40398378218819875</v>
      </c>
      <c r="DO15" s="185">
        <v>923</v>
      </c>
      <c r="DP15" s="185" t="s">
        <v>585</v>
      </c>
      <c r="DQ15" s="185">
        <v>3.48</v>
      </c>
      <c r="DR15" s="207">
        <f t="shared" si="106"/>
        <v>0.56741803278688518</v>
      </c>
      <c r="DS15" s="212">
        <v>1.9411782688687776E-2</v>
      </c>
      <c r="DT15" s="194">
        <f t="shared" si="75"/>
        <v>0.14203715470239045</v>
      </c>
      <c r="DU15" s="194">
        <f t="shared" si="107"/>
        <v>-0.42538087808449476</v>
      </c>
      <c r="DX15" s="185">
        <v>933</v>
      </c>
      <c r="DY15" s="185" t="s">
        <v>585</v>
      </c>
      <c r="DZ15" s="185">
        <v>4.6399999999999997</v>
      </c>
      <c r="EA15" s="207">
        <f t="shared" si="108"/>
        <v>0.57356557377049178</v>
      </c>
      <c r="EB15" s="212">
        <v>1.9788295472185989E-2</v>
      </c>
      <c r="EC15" s="194">
        <f t="shared" si="76"/>
        <v>0.14741078185600762</v>
      </c>
      <c r="ED15" s="194">
        <f t="shared" si="109"/>
        <v>-0.42615479191448413</v>
      </c>
      <c r="EG15" s="185">
        <v>938</v>
      </c>
      <c r="EH15" s="185" t="s">
        <v>585</v>
      </c>
      <c r="EI15" s="185">
        <v>2.21</v>
      </c>
      <c r="EJ15" s="207">
        <f t="shared" si="110"/>
        <v>0.57663934426229502</v>
      </c>
      <c r="EK15" s="212">
        <v>1.9980509928841379E-2</v>
      </c>
      <c r="EL15" s="194">
        <f t="shared" si="77"/>
        <v>0.15015094832936068</v>
      </c>
      <c r="EM15" s="194">
        <f t="shared" si="111"/>
        <v>-0.42648839593293431</v>
      </c>
      <c r="EP15" s="185">
        <v>992</v>
      </c>
      <c r="EQ15" s="185" t="s">
        <v>585</v>
      </c>
      <c r="ER15" s="185">
        <v>17.8</v>
      </c>
      <c r="ES15" s="207">
        <f t="shared" si="112"/>
        <v>0.60983606557377046</v>
      </c>
      <c r="ET15" s="212">
        <v>2.2243064630863583E-2</v>
      </c>
      <c r="EU15" s="194">
        <f t="shared" si="78"/>
        <v>0.18209217326344124</v>
      </c>
      <c r="EV15" s="194">
        <f t="shared" si="113"/>
        <v>-0.42774389231032922</v>
      </c>
      <c r="EW15" s="197"/>
      <c r="EX15" s="210"/>
    </row>
    <row r="16" spans="1:154" x14ac:dyDescent="0.35">
      <c r="A16" s="188" t="s">
        <v>5</v>
      </c>
      <c r="B16" s="185">
        <v>142</v>
      </c>
      <c r="C16" s="205">
        <f t="shared" si="59"/>
        <v>2287801.6801761277</v>
      </c>
      <c r="D16" s="206">
        <f t="shared" si="79"/>
        <v>6.3594183746060651</v>
      </c>
      <c r="E16" s="205">
        <f t="shared" si="60"/>
        <v>86400</v>
      </c>
      <c r="F16" s="205">
        <f t="shared" si="61"/>
        <v>0.35659524089143563</v>
      </c>
      <c r="G16" s="203">
        <f t="shared" si="62"/>
        <v>3796.6666666666665</v>
      </c>
      <c r="H16" s="189">
        <v>3000</v>
      </c>
      <c r="I16" s="190" t="s">
        <v>586</v>
      </c>
      <c r="J16" s="191">
        <v>2.81</v>
      </c>
      <c r="K16" s="207">
        <f t="shared" si="80"/>
        <v>0.79016681299385427</v>
      </c>
      <c r="L16" s="208">
        <v>3.5623693947541633E-2</v>
      </c>
      <c r="M16" s="194">
        <f t="shared" si="63"/>
        <v>0.79016681299028202</v>
      </c>
      <c r="N16" s="209">
        <f t="shared" si="81"/>
        <v>-3.5722536040339037E-12</v>
      </c>
      <c r="O16" s="209">
        <f t="shared" si="82"/>
        <v>-6.7313916632712545E-3</v>
      </c>
      <c r="P16" s="193">
        <f t="shared" si="83"/>
        <v>-2.171895139461252</v>
      </c>
      <c r="Q16" s="193"/>
      <c r="R16" s="193"/>
      <c r="S16" s="197"/>
      <c r="T16" s="210"/>
      <c r="U16" s="185">
        <v>2950</v>
      </c>
      <c r="V16" s="185" t="s">
        <v>586</v>
      </c>
      <c r="W16" s="185">
        <v>1.57</v>
      </c>
      <c r="X16" s="194">
        <f t="shared" si="84"/>
        <v>0.77699736611062342</v>
      </c>
      <c r="Y16" s="208">
        <v>3.3271701211477281E-2</v>
      </c>
      <c r="Z16" s="194">
        <f t="shared" si="64"/>
        <v>0.77699748875958874</v>
      </c>
      <c r="AA16" s="194">
        <f t="shared" si="85"/>
        <v>1.2264896531721803E-7</v>
      </c>
      <c r="AB16" s="209">
        <f t="shared" si="114"/>
        <v>-7.2072415218730184E-3</v>
      </c>
      <c r="AC16" s="193">
        <f t="shared" si="86"/>
        <v>-2.1422309240541724</v>
      </c>
      <c r="AD16" s="194"/>
      <c r="AE16" s="194"/>
      <c r="AF16" s="197"/>
      <c r="AG16" s="210"/>
      <c r="AH16" s="185">
        <v>3410</v>
      </c>
      <c r="AI16" s="185" t="s">
        <v>586</v>
      </c>
      <c r="AJ16" s="185">
        <v>1.72</v>
      </c>
      <c r="AK16" s="207">
        <f t="shared" si="65"/>
        <v>0.89815627743634774</v>
      </c>
      <c r="AL16" s="208">
        <v>7.8138130623709862E-2</v>
      </c>
      <c r="AM16" s="194">
        <f t="shared" si="66"/>
        <v>0.8981564372592028</v>
      </c>
      <c r="AN16" s="194">
        <f t="shared" si="87"/>
        <v>1.5982285506144223E-7</v>
      </c>
      <c r="AO16" s="209">
        <f t="shared" si="88"/>
        <v>-3.0694175428803675E-3</v>
      </c>
      <c r="AP16" s="193">
        <f t="shared" si="89"/>
        <v>-2.5129440290545118</v>
      </c>
      <c r="AQ16" s="194"/>
      <c r="AR16" s="194"/>
      <c r="AS16" s="197"/>
      <c r="AT16" s="210"/>
      <c r="AU16" s="185">
        <v>3330</v>
      </c>
      <c r="AV16" s="185" t="s">
        <v>586</v>
      </c>
      <c r="AW16" s="185">
        <v>4.03</v>
      </c>
      <c r="AX16" s="207">
        <f t="shared" si="90"/>
        <v>0.87708516242317824</v>
      </c>
      <c r="AY16" s="212">
        <v>1.8592767485408002E-2</v>
      </c>
      <c r="AZ16" s="194">
        <f t="shared" si="67"/>
        <v>0.63673195185368725</v>
      </c>
      <c r="BA16" s="194">
        <f t="shared" si="91"/>
        <v>-0.24035321056949099</v>
      </c>
      <c r="BB16" s="197"/>
      <c r="BC16" s="210"/>
      <c r="BD16" s="185">
        <v>3010</v>
      </c>
      <c r="BE16" s="185" t="s">
        <v>586</v>
      </c>
      <c r="BF16" s="185">
        <v>3.12</v>
      </c>
      <c r="BG16" s="207">
        <f t="shared" si="92"/>
        <v>0.79280070237050049</v>
      </c>
      <c r="BH16" s="212">
        <v>1.0500754587639756E-2</v>
      </c>
      <c r="BI16" s="194">
        <f t="shared" si="68"/>
        <v>0.44965888580356489</v>
      </c>
      <c r="BJ16" s="194">
        <f t="shared" si="93"/>
        <v>-0.3431418165669356</v>
      </c>
      <c r="BK16" s="197"/>
      <c r="BL16" s="210"/>
      <c r="BM16" s="185">
        <v>2850</v>
      </c>
      <c r="BN16" s="185" t="s">
        <v>586</v>
      </c>
      <c r="BO16" s="185">
        <v>3.06</v>
      </c>
      <c r="BP16" s="207">
        <f t="shared" si="94"/>
        <v>0.75065847234416161</v>
      </c>
      <c r="BQ16" s="212">
        <v>8.5002287731566917E-3</v>
      </c>
      <c r="BR16" s="194">
        <f t="shared" si="69"/>
        <v>0.37255411101355329</v>
      </c>
      <c r="BS16" s="194">
        <f t="shared" si="95"/>
        <v>-0.37810436133060832</v>
      </c>
      <c r="BV16" s="185">
        <v>2520</v>
      </c>
      <c r="BW16" s="185" t="s">
        <v>586</v>
      </c>
      <c r="BX16" s="185">
        <v>1.76</v>
      </c>
      <c r="BY16" s="207">
        <f t="shared" si="96"/>
        <v>0.66374012291483764</v>
      </c>
      <c r="BZ16" s="212">
        <v>5.9469939659787105E-3</v>
      </c>
      <c r="CA16" s="194">
        <f t="shared" si="70"/>
        <v>0.24383005175288669</v>
      </c>
      <c r="CB16" s="194">
        <f t="shared" si="97"/>
        <v>-0.41991007116195095</v>
      </c>
      <c r="CC16" s="197"/>
      <c r="CD16" s="210"/>
      <c r="CE16" s="185">
        <v>2840</v>
      </c>
      <c r="CF16" s="185" t="s">
        <v>586</v>
      </c>
      <c r="CG16" s="185">
        <v>8.2899999999999991</v>
      </c>
      <c r="CH16" s="207">
        <f t="shared" si="98"/>
        <v>0.74802458296751539</v>
      </c>
      <c r="CI16" s="212">
        <v>8.3972735852107135E-3</v>
      </c>
      <c r="CJ16" s="194">
        <f t="shared" si="71"/>
        <v>0.36807125841117611</v>
      </c>
      <c r="CK16" s="194">
        <f t="shared" si="99"/>
        <v>-0.37995332455633929</v>
      </c>
      <c r="CN16" s="185">
        <v>2620</v>
      </c>
      <c r="CO16" s="185" t="s">
        <v>586</v>
      </c>
      <c r="CP16" s="185">
        <v>11.2</v>
      </c>
      <c r="CQ16" s="207">
        <f t="shared" si="100"/>
        <v>0.69007901668129945</v>
      </c>
      <c r="CR16" s="212">
        <v>6.5712556845032031E-3</v>
      </c>
      <c r="CS16" s="194">
        <f t="shared" si="72"/>
        <v>0.27881314013925684</v>
      </c>
      <c r="CT16" s="194">
        <f t="shared" si="101"/>
        <v>-0.41126587654204261</v>
      </c>
      <c r="CW16" s="185">
        <v>3420</v>
      </c>
      <c r="CX16" s="185" t="s">
        <v>586</v>
      </c>
      <c r="CY16" s="185">
        <v>3.43</v>
      </c>
      <c r="CZ16" s="207">
        <f t="shared" si="102"/>
        <v>0.90079016681299384</v>
      </c>
      <c r="DA16" s="212">
        <v>2.3339349652545343E-2</v>
      </c>
      <c r="DB16" s="194">
        <f t="shared" si="73"/>
        <v>0.69795347450205325</v>
      </c>
      <c r="DC16" s="194">
        <f t="shared" si="103"/>
        <v>-0.20283669231094059</v>
      </c>
      <c r="DF16" s="185">
        <v>3570</v>
      </c>
      <c r="DG16" s="185" t="s">
        <v>586</v>
      </c>
      <c r="DH16" s="185">
        <v>9.2799999999999994</v>
      </c>
      <c r="DI16" s="207">
        <f t="shared" si="104"/>
        <v>0.94029850746268662</v>
      </c>
      <c r="DJ16" s="212">
        <v>3.961660026057854E-2</v>
      </c>
      <c r="DK16" s="194">
        <f t="shared" si="74"/>
        <v>0.8090836106178978</v>
      </c>
      <c r="DL16" s="194">
        <f t="shared" si="105"/>
        <v>-0.13121489684478882</v>
      </c>
      <c r="DO16" s="185">
        <v>2590</v>
      </c>
      <c r="DP16" s="185" t="s">
        <v>586</v>
      </c>
      <c r="DQ16" s="185">
        <v>1.25</v>
      </c>
      <c r="DR16" s="207">
        <f t="shared" si="106"/>
        <v>0.68217734855136092</v>
      </c>
      <c r="DS16" s="212">
        <v>6.373275071894861E-3</v>
      </c>
      <c r="DT16" s="194">
        <f t="shared" si="75"/>
        <v>0.26796763544757785</v>
      </c>
      <c r="DU16" s="194">
        <f t="shared" si="107"/>
        <v>-0.41420971310378307</v>
      </c>
      <c r="DX16" s="185">
        <v>2870</v>
      </c>
      <c r="DY16" s="185" t="s">
        <v>586</v>
      </c>
      <c r="DZ16" s="185">
        <v>6.97</v>
      </c>
      <c r="EA16" s="207">
        <f t="shared" si="108"/>
        <v>0.75592625109745393</v>
      </c>
      <c r="EB16" s="212">
        <v>8.7127581833394748E-3</v>
      </c>
      <c r="EC16" s="194">
        <f t="shared" si="76"/>
        <v>0.3816359634595945</v>
      </c>
      <c r="ED16" s="194">
        <f t="shared" si="109"/>
        <v>-0.37429028763785943</v>
      </c>
      <c r="EG16" s="185">
        <v>2810</v>
      </c>
      <c r="EH16" s="185" t="s">
        <v>586</v>
      </c>
      <c r="EI16" s="185">
        <v>10.7</v>
      </c>
      <c r="EJ16" s="207">
        <f t="shared" si="110"/>
        <v>0.74012291483757686</v>
      </c>
      <c r="EK16" s="212">
        <v>8.1008222168725118E-3</v>
      </c>
      <c r="EL16" s="194">
        <f t="shared" si="77"/>
        <v>0.35485186227748033</v>
      </c>
      <c r="EM16" s="194">
        <f t="shared" si="111"/>
        <v>-0.38527105256009653</v>
      </c>
      <c r="EP16" s="185">
        <v>3090</v>
      </c>
      <c r="EQ16" s="185" t="s">
        <v>586</v>
      </c>
      <c r="ER16" s="185">
        <v>0.77400000000000002</v>
      </c>
      <c r="ES16" s="207">
        <f t="shared" si="112"/>
        <v>0.81387181738366987</v>
      </c>
      <c r="ET16" s="212">
        <v>1.183863270946154E-2</v>
      </c>
      <c r="EU16" s="194">
        <f t="shared" si="78"/>
        <v>0.49216495132449084</v>
      </c>
      <c r="EV16" s="194">
        <f t="shared" si="113"/>
        <v>-0.32170686605917903</v>
      </c>
      <c r="EW16" s="197"/>
      <c r="EX16" s="210"/>
    </row>
    <row r="17" spans="1:154" x14ac:dyDescent="0.35">
      <c r="A17" s="188" t="s">
        <v>6</v>
      </c>
      <c r="B17" s="185">
        <v>155</v>
      </c>
      <c r="C17" s="205">
        <f t="shared" si="59"/>
        <v>3642170.2218736345</v>
      </c>
      <c r="D17" s="206">
        <f t="shared" si="79"/>
        <v>6.5613602392878043</v>
      </c>
      <c r="E17" s="205">
        <f t="shared" si="60"/>
        <v>86400</v>
      </c>
      <c r="F17" s="205">
        <f t="shared" si="61"/>
        <v>0.35659524089143563</v>
      </c>
      <c r="G17" s="203">
        <f t="shared" si="62"/>
        <v>557</v>
      </c>
      <c r="H17" s="189">
        <v>480</v>
      </c>
      <c r="I17" s="190" t="s">
        <v>585</v>
      </c>
      <c r="J17" s="191">
        <v>1.53</v>
      </c>
      <c r="K17" s="207">
        <f t="shared" si="80"/>
        <v>0.86175942549371631</v>
      </c>
      <c r="L17" s="208">
        <v>3.5421473173240431E-2</v>
      </c>
      <c r="M17" s="194">
        <f t="shared" si="63"/>
        <v>0.86175942548846851</v>
      </c>
      <c r="N17" s="209">
        <f t="shared" si="81"/>
        <v>-5.2478021927981899E-12</v>
      </c>
      <c r="O17" s="209">
        <f t="shared" si="82"/>
        <v>-4.2524119251535547E-3</v>
      </c>
      <c r="P17" s="193">
        <f t="shared" si="83"/>
        <v>-2.3713646726162563</v>
      </c>
      <c r="Q17" s="193"/>
      <c r="R17" s="193"/>
      <c r="S17" s="197"/>
      <c r="T17" s="210"/>
      <c r="U17" s="185">
        <v>468</v>
      </c>
      <c r="V17" s="185" t="s">
        <v>585</v>
      </c>
      <c r="W17" s="185">
        <v>0.71599999999999997</v>
      </c>
      <c r="X17" s="194">
        <f t="shared" si="84"/>
        <v>0.84021543985637348</v>
      </c>
      <c r="Y17" s="208">
        <v>3.0289396579717826E-2</v>
      </c>
      <c r="Z17" s="194">
        <f t="shared" si="64"/>
        <v>0.8402154791761568</v>
      </c>
      <c r="AA17" s="194">
        <f t="shared" si="85"/>
        <v>3.9319783318170209E-8</v>
      </c>
      <c r="AB17" s="209">
        <f t="shared" si="114"/>
        <v>-4.9729196495083327E-3</v>
      </c>
      <c r="AC17" s="193">
        <f t="shared" si="86"/>
        <v>-2.3033885578715481</v>
      </c>
      <c r="AD17" s="194"/>
      <c r="AE17" s="194"/>
      <c r="AF17" s="197"/>
      <c r="AG17" s="210"/>
      <c r="AH17" s="185">
        <v>549</v>
      </c>
      <c r="AI17" s="185" t="s">
        <v>585</v>
      </c>
      <c r="AJ17" s="185">
        <v>0.751</v>
      </c>
      <c r="AK17" s="207">
        <f t="shared" si="65"/>
        <v>0.98563734290843807</v>
      </c>
      <c r="AL17" s="208">
        <v>0.36441656611837542</v>
      </c>
      <c r="AM17" s="194">
        <f t="shared" si="66"/>
        <v>0.98563736097424881</v>
      </c>
      <c r="AN17" s="194">
        <f t="shared" si="87"/>
        <v>1.8065810736267451E-8</v>
      </c>
      <c r="AO17" s="209">
        <f t="shared" si="88"/>
        <v>-4.1340796758739716E-4</v>
      </c>
      <c r="AP17" s="193">
        <f t="shared" si="89"/>
        <v>-3.3836211574961141</v>
      </c>
      <c r="AQ17" s="194"/>
      <c r="AR17" s="194"/>
      <c r="AS17" s="197"/>
      <c r="AT17" s="210"/>
      <c r="AU17" s="185">
        <v>549</v>
      </c>
      <c r="AV17" s="185" t="s">
        <v>585</v>
      </c>
      <c r="AW17" s="185">
        <v>1.73</v>
      </c>
      <c r="AX17" s="207">
        <f t="shared" si="90"/>
        <v>0.98563734290843807</v>
      </c>
      <c r="AY17" s="212">
        <v>0.10590609273224923</v>
      </c>
      <c r="AZ17" s="194">
        <f t="shared" si="67"/>
        <v>0.95143935560720971</v>
      </c>
      <c r="BA17" s="194">
        <f t="shared" si="91"/>
        <v>-3.4197987301228361E-2</v>
      </c>
      <c r="BB17" s="197"/>
      <c r="BC17" s="210"/>
      <c r="BD17" s="185">
        <v>491</v>
      </c>
      <c r="BE17" s="185" t="s">
        <v>585</v>
      </c>
      <c r="BF17" s="185">
        <v>1.78</v>
      </c>
      <c r="BG17" s="207">
        <f t="shared" si="92"/>
        <v>0.88150807899461403</v>
      </c>
      <c r="BH17" s="212">
        <v>1.2145960798481029E-2</v>
      </c>
      <c r="BI17" s="194">
        <f t="shared" si="68"/>
        <v>0.64788092547305787</v>
      </c>
      <c r="BJ17" s="194">
        <f t="shared" si="93"/>
        <v>-0.23362715352155616</v>
      </c>
      <c r="BK17" s="197"/>
      <c r="BL17" s="210"/>
      <c r="BM17" s="185">
        <v>452</v>
      </c>
      <c r="BN17" s="185" t="s">
        <v>585</v>
      </c>
      <c r="BO17" s="185">
        <v>1.64</v>
      </c>
      <c r="BP17" s="207">
        <f t="shared" si="94"/>
        <v>0.81149012567324952</v>
      </c>
      <c r="BQ17" s="212">
        <v>7.3326917980763807E-3</v>
      </c>
      <c r="BR17" s="194">
        <f t="shared" si="69"/>
        <v>0.48725726460949181</v>
      </c>
      <c r="BS17" s="194">
        <f t="shared" si="95"/>
        <v>-0.3242328610637577</v>
      </c>
      <c r="BV17" s="185">
        <v>401</v>
      </c>
      <c r="BW17" s="185" t="s">
        <v>585</v>
      </c>
      <c r="BX17" s="185">
        <v>1.54</v>
      </c>
      <c r="BY17" s="207">
        <f t="shared" si="96"/>
        <v>0.71992818671454217</v>
      </c>
      <c r="BZ17" s="212">
        <v>4.6603376513892755E-3</v>
      </c>
      <c r="CA17" s="194">
        <f t="shared" si="70"/>
        <v>0.32263474631320305</v>
      </c>
      <c r="CB17" s="194">
        <f t="shared" si="97"/>
        <v>-0.39729344040133913</v>
      </c>
      <c r="CC17" s="197"/>
      <c r="CD17" s="210"/>
      <c r="CE17" s="185">
        <v>449</v>
      </c>
      <c r="CF17" s="185" t="s">
        <v>585</v>
      </c>
      <c r="CG17" s="185">
        <v>1.74</v>
      </c>
      <c r="CH17" s="207">
        <f t="shared" si="98"/>
        <v>0.80610412926391384</v>
      </c>
      <c r="CI17" s="212">
        <v>7.1060732018925271E-3</v>
      </c>
      <c r="CJ17" s="194">
        <f t="shared" si="71"/>
        <v>0.47621237346722473</v>
      </c>
      <c r="CK17" s="194">
        <f t="shared" si="99"/>
        <v>-0.32989175579668911</v>
      </c>
      <c r="CN17" s="185">
        <v>428</v>
      </c>
      <c r="CO17" s="185" t="s">
        <v>585</v>
      </c>
      <c r="CP17" s="185">
        <v>1.51</v>
      </c>
      <c r="CQ17" s="207">
        <f t="shared" si="100"/>
        <v>0.76840215439856374</v>
      </c>
      <c r="CR17" s="212">
        <v>5.81361727165186E-3</v>
      </c>
      <c r="CS17" s="194">
        <f t="shared" si="72"/>
        <v>0.40380421107283987</v>
      </c>
      <c r="CT17" s="194">
        <f t="shared" si="101"/>
        <v>-0.36459794332572387</v>
      </c>
      <c r="CW17" s="185">
        <v>548</v>
      </c>
      <c r="CX17" s="185" t="s">
        <v>585</v>
      </c>
      <c r="CY17" s="185">
        <v>1.52</v>
      </c>
      <c r="CZ17" s="207">
        <f t="shared" si="102"/>
        <v>0.98384201077199285</v>
      </c>
      <c r="DA17" s="212">
        <v>9.4053137623269001E-2</v>
      </c>
      <c r="DB17" s="194">
        <f t="shared" si="73"/>
        <v>0.94548928703014923</v>
      </c>
      <c r="DC17" s="194">
        <f t="shared" si="103"/>
        <v>-3.835272374184362E-2</v>
      </c>
      <c r="DF17" s="185">
        <v>581</v>
      </c>
      <c r="DG17" s="185" t="s">
        <v>585</v>
      </c>
      <c r="DH17" s="185">
        <v>1.68</v>
      </c>
      <c r="DI17" s="207">
        <f t="shared" si="104"/>
        <v>1.0430879712746859</v>
      </c>
      <c r="DJ17" s="212">
        <v>0.5</v>
      </c>
      <c r="DK17" s="194">
        <f t="shared" si="74"/>
        <v>0.98951152308560408</v>
      </c>
      <c r="DL17" s="194">
        <f t="shared" si="105"/>
        <v>-5.3576448189081805E-2</v>
      </c>
      <c r="DO17" s="185">
        <v>420</v>
      </c>
      <c r="DP17" s="185" t="s">
        <v>585</v>
      </c>
      <c r="DQ17" s="185">
        <v>0.73099999999999998</v>
      </c>
      <c r="DR17" s="207">
        <f t="shared" si="106"/>
        <v>0.75403949730700182</v>
      </c>
      <c r="DS17" s="212">
        <v>5.4249140439288053E-3</v>
      </c>
      <c r="DT17" s="194">
        <f t="shared" si="75"/>
        <v>0.37840110325030335</v>
      </c>
      <c r="DU17" s="194">
        <f t="shared" si="107"/>
        <v>-0.37563839405669847</v>
      </c>
      <c r="DX17" s="185">
        <v>453</v>
      </c>
      <c r="DY17" s="185" t="s">
        <v>585</v>
      </c>
      <c r="DZ17" s="185">
        <v>1.44</v>
      </c>
      <c r="EA17" s="207">
        <f t="shared" si="108"/>
        <v>0.81328545780969475</v>
      </c>
      <c r="EB17" s="212">
        <v>7.4111224015815172E-3</v>
      </c>
      <c r="EC17" s="194">
        <f t="shared" si="76"/>
        <v>0.49097877897894676</v>
      </c>
      <c r="ED17" s="194">
        <f t="shared" si="109"/>
        <v>-0.32230667883074798</v>
      </c>
      <c r="EG17" s="185">
        <v>444</v>
      </c>
      <c r="EH17" s="185" t="s">
        <v>585</v>
      </c>
      <c r="EI17" s="185">
        <v>0.89500000000000002</v>
      </c>
      <c r="EJ17" s="207">
        <f t="shared" si="110"/>
        <v>0.79712746858168759</v>
      </c>
      <c r="EK17" s="212">
        <v>6.7550037825314293E-3</v>
      </c>
      <c r="EL17" s="194">
        <f t="shared" si="77"/>
        <v>0.45820034338937543</v>
      </c>
      <c r="EM17" s="194">
        <f t="shared" si="111"/>
        <v>-0.33892712519231216</v>
      </c>
      <c r="EP17" s="185">
        <v>502</v>
      </c>
      <c r="EQ17" s="185" t="s">
        <v>585</v>
      </c>
      <c r="ER17" s="185">
        <v>0.54600000000000004</v>
      </c>
      <c r="ES17" s="207">
        <f t="shared" si="112"/>
        <v>0.90125673249551164</v>
      </c>
      <c r="ET17" s="212">
        <v>1.473486365074886E-2</v>
      </c>
      <c r="EU17" s="194">
        <f t="shared" si="78"/>
        <v>0.699222389113073</v>
      </c>
      <c r="EV17" s="194">
        <f t="shared" si="113"/>
        <v>-0.20203434338243864</v>
      </c>
      <c r="EW17" s="197"/>
      <c r="EX17" s="210"/>
    </row>
    <row r="18" spans="1:154" x14ac:dyDescent="0.35">
      <c r="A18" s="188" t="s">
        <v>7</v>
      </c>
      <c r="B18" s="185">
        <v>192</v>
      </c>
      <c r="C18" s="205">
        <f t="shared" si="59"/>
        <v>12632002.71097157</v>
      </c>
      <c r="D18" s="206">
        <f t="shared" si="79"/>
        <v>7.1014722102047871</v>
      </c>
      <c r="E18" s="205">
        <f t="shared" si="60"/>
        <v>86400</v>
      </c>
      <c r="F18" s="205">
        <f t="shared" si="61"/>
        <v>0.33424680832245074</v>
      </c>
      <c r="G18" s="203">
        <f t="shared" si="62"/>
        <v>765</v>
      </c>
      <c r="H18" s="189">
        <v>704</v>
      </c>
      <c r="I18" s="190" t="s">
        <v>586</v>
      </c>
      <c r="J18" s="191">
        <v>1.17</v>
      </c>
      <c r="K18" s="207">
        <f t="shared" si="80"/>
        <v>0.92026143790849668</v>
      </c>
      <c r="L18" s="208">
        <v>1.7139595397005668E-2</v>
      </c>
      <c r="M18" s="194">
        <f t="shared" si="63"/>
        <v>0.92026143790373904</v>
      </c>
      <c r="N18" s="209">
        <f t="shared" si="81"/>
        <v>-4.7576387274261833E-12</v>
      </c>
      <c r="O18" s="209">
        <f t="shared" si="82"/>
        <v>-2.3750958261209445E-3</v>
      </c>
      <c r="P18" s="193">
        <f t="shared" si="83"/>
        <v>-2.6243188635481682</v>
      </c>
      <c r="Q18" s="193"/>
      <c r="R18" s="193"/>
      <c r="S18" s="197"/>
      <c r="T18" s="210"/>
      <c r="U18" s="185">
        <v>655</v>
      </c>
      <c r="V18" s="185" t="s">
        <v>586</v>
      </c>
      <c r="W18" s="185">
        <v>0.82199999999999995</v>
      </c>
      <c r="X18" s="194">
        <f t="shared" si="84"/>
        <v>0.85620915032679734</v>
      </c>
      <c r="Y18" s="208">
        <v>9.1802863019659568E-3</v>
      </c>
      <c r="Z18" s="194">
        <f t="shared" si="64"/>
        <v>0.85620918868277751</v>
      </c>
      <c r="AA18" s="194">
        <f t="shared" si="85"/>
        <v>3.83559801697686E-8</v>
      </c>
      <c r="AB18" s="209">
        <f t="shared" si="114"/>
        <v>-4.4343054126448622E-3</v>
      </c>
      <c r="AC18" s="193">
        <f t="shared" si="86"/>
        <v>-2.3531743981727016</v>
      </c>
      <c r="AD18" s="194"/>
      <c r="AE18" s="194"/>
      <c r="AF18" s="197"/>
      <c r="AG18" s="210"/>
      <c r="AH18" s="185">
        <v>734</v>
      </c>
      <c r="AI18" s="185" t="s">
        <v>586</v>
      </c>
      <c r="AJ18" s="185">
        <v>1.55</v>
      </c>
      <c r="AK18" s="207">
        <f t="shared" si="65"/>
        <v>0.95947712418300657</v>
      </c>
      <c r="AL18" s="208">
        <v>3.444282265991036E-2</v>
      </c>
      <c r="AM18" s="194">
        <f t="shared" si="66"/>
        <v>0.9594772128724085</v>
      </c>
      <c r="AN18" s="194">
        <f t="shared" si="87"/>
        <v>8.8689401933628176E-8</v>
      </c>
      <c r="AO18" s="209">
        <f t="shared" si="88"/>
        <v>-1.1821113680065218E-3</v>
      </c>
      <c r="AP18" s="193">
        <f t="shared" si="89"/>
        <v>-2.9273416061685618</v>
      </c>
      <c r="AQ18" s="194"/>
      <c r="AR18" s="194"/>
      <c r="AS18" s="197"/>
      <c r="AT18" s="210"/>
      <c r="AU18" s="185">
        <v>732</v>
      </c>
      <c r="AV18" s="185" t="s">
        <v>586</v>
      </c>
      <c r="AW18" s="185">
        <v>2.99</v>
      </c>
      <c r="AX18" s="207">
        <f t="shared" si="90"/>
        <v>0.95686274509803926</v>
      </c>
      <c r="AY18" s="212">
        <v>9.3919819994714195E-3</v>
      </c>
      <c r="AZ18" s="194">
        <f t="shared" si="67"/>
        <v>0.85924394069349486</v>
      </c>
      <c r="BA18" s="194">
        <f t="shared" si="91"/>
        <v>-9.7618804404544401E-2</v>
      </c>
      <c r="BB18" s="197"/>
      <c r="BC18" s="210"/>
      <c r="BD18" s="185">
        <v>698</v>
      </c>
      <c r="BE18" s="185" t="s">
        <v>586</v>
      </c>
      <c r="BF18" s="185">
        <v>1.94</v>
      </c>
      <c r="BG18" s="207">
        <f t="shared" si="92"/>
        <v>0.91241830065359475</v>
      </c>
      <c r="BH18" s="212">
        <v>4.5179352788622933E-3</v>
      </c>
      <c r="BI18" s="194">
        <f t="shared" si="68"/>
        <v>0.72952453718587695</v>
      </c>
      <c r="BJ18" s="194">
        <f t="shared" si="93"/>
        <v>-0.1828937634677178</v>
      </c>
      <c r="BK18" s="197"/>
      <c r="BL18" s="210"/>
      <c r="BM18" s="185">
        <v>686</v>
      </c>
      <c r="BN18" s="185" t="s">
        <v>586</v>
      </c>
      <c r="BO18" s="185">
        <v>1.83</v>
      </c>
      <c r="BP18" s="207">
        <f t="shared" si="94"/>
        <v>0.89673202614379088</v>
      </c>
      <c r="BQ18" s="212">
        <v>3.7989922699934765E-3</v>
      </c>
      <c r="BR18" s="194">
        <f t="shared" si="69"/>
        <v>0.68725956420650303</v>
      </c>
      <c r="BS18" s="194">
        <f t="shared" si="95"/>
        <v>-0.20947246193728786</v>
      </c>
      <c r="BV18" s="185">
        <v>635</v>
      </c>
      <c r="BW18" s="185" t="s">
        <v>586</v>
      </c>
      <c r="BX18" s="185">
        <v>2.0699999999999998</v>
      </c>
      <c r="BY18" s="207">
        <f t="shared" si="96"/>
        <v>0.83006535947712423</v>
      </c>
      <c r="BZ18" s="212">
        <v>2.2228790415280094E-3</v>
      </c>
      <c r="CA18" s="194">
        <f t="shared" si="70"/>
        <v>0.52678414336551016</v>
      </c>
      <c r="CB18" s="194">
        <f t="shared" si="97"/>
        <v>-0.30328121611161407</v>
      </c>
      <c r="CC18" s="197"/>
      <c r="CD18" s="210"/>
      <c r="CE18" s="185">
        <v>669</v>
      </c>
      <c r="CF18" s="185" t="s">
        <v>586</v>
      </c>
      <c r="CG18" s="185">
        <v>3.89</v>
      </c>
      <c r="CH18" s="207">
        <f t="shared" si="98"/>
        <v>0.87450980392156863</v>
      </c>
      <c r="CI18" s="212">
        <v>3.0878897603865692E-3</v>
      </c>
      <c r="CJ18" s="194">
        <f t="shared" si="71"/>
        <v>0.63039352220461964</v>
      </c>
      <c r="CK18" s="194">
        <f t="shared" si="99"/>
        <v>-0.24411628171694899</v>
      </c>
      <c r="CN18" s="185">
        <v>654</v>
      </c>
      <c r="CO18" s="185" t="s">
        <v>586</v>
      </c>
      <c r="CP18" s="185">
        <v>3.03</v>
      </c>
      <c r="CQ18" s="207">
        <f t="shared" si="100"/>
        <v>0.85490196078431369</v>
      </c>
      <c r="CR18" s="212">
        <v>2.6410912053812206E-3</v>
      </c>
      <c r="CS18" s="194">
        <f t="shared" si="72"/>
        <v>0.58305787967403788</v>
      </c>
      <c r="CT18" s="194">
        <f t="shared" si="101"/>
        <v>-0.2718440811102758</v>
      </c>
      <c r="CW18" s="185">
        <v>734</v>
      </c>
      <c r="CX18" s="185" t="s">
        <v>586</v>
      </c>
      <c r="CY18" s="185">
        <v>1.47</v>
      </c>
      <c r="CZ18" s="207">
        <f t="shared" si="102"/>
        <v>0.95947712418300657</v>
      </c>
      <c r="DA18" s="212">
        <v>1.0011547358023275E-2</v>
      </c>
      <c r="DB18" s="194">
        <f t="shared" si="73"/>
        <v>0.86734860614548459</v>
      </c>
      <c r="DC18" s="194">
        <f t="shared" si="103"/>
        <v>-9.2128518037521978E-2</v>
      </c>
      <c r="DF18" s="185">
        <v>771</v>
      </c>
      <c r="DG18" s="185" t="s">
        <v>586</v>
      </c>
      <c r="DH18" s="185">
        <v>2.91</v>
      </c>
      <c r="DI18" s="207">
        <f t="shared" si="104"/>
        <v>1.0078431372549019</v>
      </c>
      <c r="DJ18" s="212">
        <v>0.5</v>
      </c>
      <c r="DK18" s="194">
        <f t="shared" si="74"/>
        <v>0.99715448347419677</v>
      </c>
      <c r="DL18" s="194">
        <f t="shared" si="105"/>
        <v>-1.068865378070516E-2</v>
      </c>
      <c r="DO18" s="185">
        <v>632</v>
      </c>
      <c r="DP18" s="185" t="s">
        <v>586</v>
      </c>
      <c r="DQ18" s="185">
        <v>1.33</v>
      </c>
      <c r="DR18" s="207">
        <f t="shared" si="106"/>
        <v>0.82614379084967315</v>
      </c>
      <c r="DS18" s="212">
        <v>2.1677400886701424E-3</v>
      </c>
      <c r="DT18" s="194">
        <f t="shared" si="75"/>
        <v>0.51826526478222079</v>
      </c>
      <c r="DU18" s="194">
        <f t="shared" si="107"/>
        <v>-0.30787852606745236</v>
      </c>
      <c r="DX18" s="185">
        <v>690</v>
      </c>
      <c r="DY18" s="185" t="s">
        <v>586</v>
      </c>
      <c r="DZ18" s="185">
        <v>2.5</v>
      </c>
      <c r="EA18" s="207">
        <f t="shared" si="108"/>
        <v>0.90196078431372551</v>
      </c>
      <c r="EB18" s="212">
        <v>4.0131002020997791E-3</v>
      </c>
      <c r="EC18" s="194">
        <f t="shared" si="76"/>
        <v>0.70114971989446617</v>
      </c>
      <c r="ED18" s="194">
        <f t="shared" si="109"/>
        <v>-0.20081106441925933</v>
      </c>
      <c r="EG18" s="185">
        <v>654</v>
      </c>
      <c r="EH18" s="185" t="s">
        <v>586</v>
      </c>
      <c r="EI18" s="185">
        <v>1.41</v>
      </c>
      <c r="EJ18" s="207">
        <f t="shared" si="110"/>
        <v>0.85490196078431369</v>
      </c>
      <c r="EK18" s="212">
        <v>2.6410915343471719E-3</v>
      </c>
      <c r="EL18" s="194">
        <f t="shared" si="77"/>
        <v>0.58305791885233249</v>
      </c>
      <c r="EM18" s="194">
        <f t="shared" si="111"/>
        <v>-0.2718440419319812</v>
      </c>
      <c r="EP18" s="185">
        <v>717</v>
      </c>
      <c r="EQ18" s="185" t="s">
        <v>586</v>
      </c>
      <c r="ER18" s="185">
        <v>1.2</v>
      </c>
      <c r="ES18" s="207">
        <f t="shared" si="112"/>
        <v>0.93725490196078431</v>
      </c>
      <c r="ET18" s="212">
        <v>6.3907993918122536E-3</v>
      </c>
      <c r="EU18" s="194">
        <f t="shared" si="78"/>
        <v>0.80016016123257006</v>
      </c>
      <c r="EV18" s="194">
        <f t="shared" si="113"/>
        <v>-0.13709474072821426</v>
      </c>
      <c r="EW18" s="197"/>
      <c r="EX18" s="210"/>
    </row>
    <row r="19" spans="1:154" x14ac:dyDescent="0.35">
      <c r="A19" s="188" t="s">
        <v>8</v>
      </c>
      <c r="B19" s="185">
        <v>184</v>
      </c>
      <c r="C19" s="205">
        <f t="shared" si="59"/>
        <v>6301001.593298153</v>
      </c>
      <c r="D19" s="206">
        <f t="shared" si="79"/>
        <v>6.7994095894326971</v>
      </c>
      <c r="E19" s="205">
        <f t="shared" si="60"/>
        <v>86400</v>
      </c>
      <c r="F19" s="205">
        <f t="shared" si="61"/>
        <v>0.33424680832245074</v>
      </c>
      <c r="G19" s="203">
        <f t="shared" si="62"/>
        <v>709.66666666666663</v>
      </c>
      <c r="H19" s="189">
        <v>631</v>
      </c>
      <c r="I19" s="190" t="s">
        <v>585</v>
      </c>
      <c r="J19" s="191">
        <v>0.88300000000000001</v>
      </c>
      <c r="K19" s="207">
        <f t="shared" si="80"/>
        <v>0.88914983560356975</v>
      </c>
      <c r="L19" s="208">
        <v>2.430255427311737E-2</v>
      </c>
      <c r="M19" s="194">
        <f t="shared" si="63"/>
        <v>0.88914983559838578</v>
      </c>
      <c r="N19" s="209">
        <f t="shared" si="81"/>
        <v>-5.1839643688822434E-12</v>
      </c>
      <c r="O19" s="209">
        <f t="shared" si="82"/>
        <v>-3.3580905388903484E-3</v>
      </c>
      <c r="P19" s="193">
        <f t="shared" si="83"/>
        <v>-2.4739075988440682</v>
      </c>
      <c r="Q19" s="193"/>
      <c r="R19" s="193"/>
      <c r="S19" s="197"/>
      <c r="T19" s="210"/>
      <c r="U19" s="185">
        <v>580</v>
      </c>
      <c r="V19" s="185" t="s">
        <v>585</v>
      </c>
      <c r="W19" s="185">
        <v>0.622</v>
      </c>
      <c r="X19" s="194">
        <f t="shared" si="84"/>
        <v>0.81728511038046037</v>
      </c>
      <c r="Y19" s="208">
        <v>1.4160331064351269E-2</v>
      </c>
      <c r="Z19" s="194">
        <f t="shared" si="64"/>
        <v>0.8172851491826858</v>
      </c>
      <c r="AA19" s="194">
        <f t="shared" si="85"/>
        <v>3.8802225432732484E-8</v>
      </c>
      <c r="AB19" s="209">
        <f t="shared" si="114"/>
        <v>-5.7632972288527142E-3</v>
      </c>
      <c r="AC19" s="193">
        <f t="shared" si="86"/>
        <v>-2.2393289820979931</v>
      </c>
      <c r="AD19" s="194"/>
      <c r="AE19" s="194"/>
      <c r="AF19" s="197"/>
      <c r="AG19" s="210"/>
      <c r="AH19" s="185">
        <v>674</v>
      </c>
      <c r="AI19" s="185" t="s">
        <v>585</v>
      </c>
      <c r="AJ19" s="185">
        <v>1.17</v>
      </c>
      <c r="AK19" s="207">
        <f t="shared" si="65"/>
        <v>0.94974166275246596</v>
      </c>
      <c r="AL19" s="208">
        <v>5.5393147069790191E-2</v>
      </c>
      <c r="AM19" s="194">
        <f t="shared" si="66"/>
        <v>0.94974176750955153</v>
      </c>
      <c r="AN19" s="194">
        <f t="shared" si="87"/>
        <v>1.0475708556167973E-7</v>
      </c>
      <c r="AO19" s="209">
        <f t="shared" si="88"/>
        <v>-1.4735459025279399E-3</v>
      </c>
      <c r="AP19" s="193">
        <f t="shared" si="89"/>
        <v>-2.8316363308665942</v>
      </c>
      <c r="AQ19" s="194"/>
      <c r="AR19" s="194"/>
      <c r="AS19" s="197"/>
      <c r="AT19" s="210"/>
      <c r="AU19" s="185">
        <v>683</v>
      </c>
      <c r="AV19" s="185" t="s">
        <v>585</v>
      </c>
      <c r="AW19" s="185">
        <v>2.27</v>
      </c>
      <c r="AX19" s="207">
        <f t="shared" si="90"/>
        <v>0.96242367308595589</v>
      </c>
      <c r="AY19" s="212">
        <v>2.1674580323248652E-2</v>
      </c>
      <c r="AZ19" s="194">
        <f t="shared" si="67"/>
        <v>0.87653057524210543</v>
      </c>
      <c r="BA19" s="194">
        <f t="shared" si="91"/>
        <v>-8.5893097843850463E-2</v>
      </c>
      <c r="BB19" s="197"/>
      <c r="BC19" s="210"/>
      <c r="BD19" s="185">
        <v>614</v>
      </c>
      <c r="BE19" s="185" t="s">
        <v>585</v>
      </c>
      <c r="BF19" s="185">
        <v>1.47</v>
      </c>
      <c r="BG19" s="207">
        <f t="shared" si="92"/>
        <v>0.86519492719586666</v>
      </c>
      <c r="BH19" s="212">
        <v>5.7316993568571973E-3</v>
      </c>
      <c r="BI19" s="194">
        <f t="shared" si="68"/>
        <v>0.60753609410764664</v>
      </c>
      <c r="BJ19" s="194">
        <f t="shared" si="93"/>
        <v>-0.25765883308822002</v>
      </c>
      <c r="BK19" s="197"/>
      <c r="BL19" s="210"/>
      <c r="BM19" s="185">
        <v>583</v>
      </c>
      <c r="BN19" s="185" t="s">
        <v>585</v>
      </c>
      <c r="BO19" s="185">
        <v>1.38</v>
      </c>
      <c r="BP19" s="207">
        <f t="shared" si="94"/>
        <v>0.8215124471582903</v>
      </c>
      <c r="BQ19" s="212">
        <v>4.2208744905520915E-3</v>
      </c>
      <c r="BR19" s="194">
        <f t="shared" si="69"/>
        <v>0.50828069813504217</v>
      </c>
      <c r="BS19" s="194">
        <f t="shared" si="95"/>
        <v>-0.31323174902324813</v>
      </c>
      <c r="BT19" s="197"/>
      <c r="BU19" s="210"/>
      <c r="BV19" s="185">
        <v>536</v>
      </c>
      <c r="BW19" s="185" t="s">
        <v>585</v>
      </c>
      <c r="BX19" s="185">
        <v>1.57</v>
      </c>
      <c r="BY19" s="207">
        <f t="shared" si="96"/>
        <v>0.75528417097228751</v>
      </c>
      <c r="BZ19" s="212">
        <v>2.9562520524089807E-3</v>
      </c>
      <c r="CA19" s="194">
        <f t="shared" si="70"/>
        <v>0.38052301405885247</v>
      </c>
      <c r="CB19" s="194">
        <f t="shared" si="97"/>
        <v>-0.37476115691343503</v>
      </c>
      <c r="CC19" s="197"/>
      <c r="CD19" s="210"/>
      <c r="CE19" s="185">
        <v>601</v>
      </c>
      <c r="CF19" s="185" t="s">
        <v>585</v>
      </c>
      <c r="CG19" s="185">
        <v>2.94</v>
      </c>
      <c r="CH19" s="207">
        <f t="shared" si="98"/>
        <v>0.84687646782527015</v>
      </c>
      <c r="CI19" s="212">
        <v>4.9934552089277318E-3</v>
      </c>
      <c r="CJ19" s="194">
        <f t="shared" si="71"/>
        <v>0.56438423408891103</v>
      </c>
      <c r="CK19" s="194">
        <f t="shared" si="99"/>
        <v>-0.28249223373635912</v>
      </c>
      <c r="CN19" s="185">
        <v>572</v>
      </c>
      <c r="CO19" s="185" t="s">
        <v>585</v>
      </c>
      <c r="CP19" s="185">
        <v>2.29</v>
      </c>
      <c r="CQ19" s="207">
        <f t="shared" si="100"/>
        <v>0.80601221230624709</v>
      </c>
      <c r="CR19" s="212">
        <v>3.8478981950173683E-3</v>
      </c>
      <c r="CS19" s="194">
        <f t="shared" si="72"/>
        <v>0.47601022071252352</v>
      </c>
      <c r="CT19" s="194">
        <f t="shared" si="101"/>
        <v>-0.33000199159372356</v>
      </c>
      <c r="CW19" s="185">
        <v>667</v>
      </c>
      <c r="CX19" s="185" t="s">
        <v>585</v>
      </c>
      <c r="CY19" s="185">
        <v>1.1100000000000001</v>
      </c>
      <c r="CZ19" s="207">
        <f t="shared" si="102"/>
        <v>0.93987787693752944</v>
      </c>
      <c r="DA19" s="212">
        <v>1.3387645351953952E-2</v>
      </c>
      <c r="DB19" s="194">
        <f t="shared" si="73"/>
        <v>0.80786717213326109</v>
      </c>
      <c r="DC19" s="194">
        <f t="shared" si="103"/>
        <v>-0.13201070480426835</v>
      </c>
      <c r="DF19" s="185">
        <v>774</v>
      </c>
      <c r="DG19" s="185" t="s">
        <v>585</v>
      </c>
      <c r="DH19" s="185">
        <v>2.2000000000000002</v>
      </c>
      <c r="DI19" s="207">
        <f t="shared" si="104"/>
        <v>1.0906528886801317</v>
      </c>
      <c r="DJ19" s="212">
        <v>0.5</v>
      </c>
      <c r="DK19" s="194">
        <f t="shared" si="74"/>
        <v>0.9943035740829459</v>
      </c>
      <c r="DL19" s="194">
        <f t="shared" si="105"/>
        <v>-9.6349314597185765E-2</v>
      </c>
      <c r="DO19" s="185">
        <v>529</v>
      </c>
      <c r="DP19" s="185" t="s">
        <v>585</v>
      </c>
      <c r="DQ19" s="185">
        <v>1.01</v>
      </c>
      <c r="DR19" s="207">
        <f t="shared" si="106"/>
        <v>0.74542038515735087</v>
      </c>
      <c r="DS19" s="212">
        <v>2.8238975699953301E-3</v>
      </c>
      <c r="DT19" s="194">
        <f t="shared" si="75"/>
        <v>0.36367514396003248</v>
      </c>
      <c r="DU19" s="194">
        <f t="shared" si="107"/>
        <v>-0.3817452411973184</v>
      </c>
      <c r="DX19" s="185">
        <v>615</v>
      </c>
      <c r="DY19" s="185" t="s">
        <v>585</v>
      </c>
      <c r="DZ19" s="185">
        <v>1.89</v>
      </c>
      <c r="EA19" s="207">
        <f t="shared" si="108"/>
        <v>0.8666040394551433</v>
      </c>
      <c r="EB19" s="212">
        <v>5.7968761646280753E-3</v>
      </c>
      <c r="EC19" s="194">
        <f t="shared" si="76"/>
        <v>0.61094973142325126</v>
      </c>
      <c r="ED19" s="194">
        <f t="shared" si="109"/>
        <v>-0.25565430803189204</v>
      </c>
      <c r="EG19" s="185">
        <v>571</v>
      </c>
      <c r="EH19" s="185" t="s">
        <v>585</v>
      </c>
      <c r="EI19" s="185">
        <v>1.07</v>
      </c>
      <c r="EJ19" s="207">
        <f t="shared" si="110"/>
        <v>0.80460310004697044</v>
      </c>
      <c r="EK19" s="212">
        <v>3.8169143140211912E-3</v>
      </c>
      <c r="EL19" s="194">
        <f t="shared" si="77"/>
        <v>0.47315051952374065</v>
      </c>
      <c r="EM19" s="194">
        <f t="shared" si="111"/>
        <v>-0.33145258052322979</v>
      </c>
      <c r="EP19" s="185">
        <v>647</v>
      </c>
      <c r="EQ19" s="185" t="s">
        <v>585</v>
      </c>
      <c r="ER19" s="185">
        <v>0.90800000000000003</v>
      </c>
      <c r="ES19" s="207">
        <f t="shared" si="112"/>
        <v>0.9116956317519963</v>
      </c>
      <c r="ET19" s="212">
        <v>8.9784523362947521E-3</v>
      </c>
      <c r="EU19" s="194">
        <f t="shared" si="78"/>
        <v>0.72750486998849029</v>
      </c>
      <c r="EV19" s="194">
        <f t="shared" si="113"/>
        <v>-0.18419076176350602</v>
      </c>
      <c r="EW19" s="197"/>
      <c r="EX19" s="210"/>
    </row>
    <row r="20" spans="1:154" x14ac:dyDescent="0.35">
      <c r="A20" s="188" t="s">
        <v>9</v>
      </c>
      <c r="B20" s="185">
        <v>204</v>
      </c>
      <c r="C20" s="205">
        <f t="shared" si="59"/>
        <v>19747514.291125294</v>
      </c>
      <c r="D20" s="206">
        <f t="shared" si="79"/>
        <v>7.2955124367934818</v>
      </c>
      <c r="E20" s="205">
        <f t="shared" si="60"/>
        <v>86400</v>
      </c>
      <c r="F20" s="205">
        <f t="shared" si="61"/>
        <v>0.31499856731758102</v>
      </c>
      <c r="G20" s="203">
        <f t="shared" si="62"/>
        <v>1186.6666666666667</v>
      </c>
      <c r="H20" s="189">
        <v>1080</v>
      </c>
      <c r="I20" s="190" t="s">
        <v>585</v>
      </c>
      <c r="J20" s="191">
        <v>1.98</v>
      </c>
      <c r="K20" s="213">
        <f t="shared" si="80"/>
        <v>0.91011235955056169</v>
      </c>
      <c r="L20" s="214">
        <v>9.1158576394272887E-3</v>
      </c>
      <c r="M20" s="215">
        <f t="shared" si="63"/>
        <v>0.91011235954671643</v>
      </c>
      <c r="N20" s="216">
        <f t="shared" si="81"/>
        <v>-3.8452574457892297E-12</v>
      </c>
      <c r="O20" s="216">
        <f t="shared" si="82"/>
        <v>-2.6920631966073452E-3</v>
      </c>
      <c r="P20" s="217">
        <f t="shared" si="83"/>
        <v>-2.5699147491970602</v>
      </c>
      <c r="Q20" s="217"/>
      <c r="R20" s="217"/>
      <c r="S20" s="218"/>
      <c r="T20" s="219"/>
      <c r="U20" s="185">
        <v>988</v>
      </c>
      <c r="V20" s="185" t="s">
        <v>585</v>
      </c>
      <c r="W20" s="185">
        <v>0.83499999999999996</v>
      </c>
      <c r="X20" s="215">
        <f t="shared" si="84"/>
        <v>0.83258426966292132</v>
      </c>
      <c r="Y20" s="214">
        <v>4.6890810231456168E-3</v>
      </c>
      <c r="Z20" s="215">
        <f t="shared" si="64"/>
        <v>0.83258430830570329</v>
      </c>
      <c r="AA20" s="215">
        <f t="shared" si="85"/>
        <v>3.864278197429627E-8</v>
      </c>
      <c r="AB20" s="216">
        <f t="shared" si="114"/>
        <v>-5.2335353032105653E-3</v>
      </c>
      <c r="AC20" s="217">
        <f t="shared" si="86"/>
        <v>-2.2812048419198576</v>
      </c>
      <c r="AD20" s="215"/>
      <c r="AE20" s="215"/>
      <c r="AF20" s="218"/>
      <c r="AG20" s="219"/>
      <c r="AH20" s="185">
        <v>1120</v>
      </c>
      <c r="AI20" s="185" t="s">
        <v>585</v>
      </c>
      <c r="AJ20" s="185">
        <v>1.85</v>
      </c>
      <c r="AK20" s="213">
        <f t="shared" si="65"/>
        <v>0.9438202247191011</v>
      </c>
      <c r="AL20" s="214">
        <v>1.4855143993842326E-2</v>
      </c>
      <c r="AM20" s="215">
        <f t="shared" si="66"/>
        <v>0.94382033788721265</v>
      </c>
      <c r="AN20" s="215">
        <f t="shared" si="87"/>
        <v>1.1316811154848949E-7</v>
      </c>
      <c r="AO20" s="216">
        <f t="shared" si="88"/>
        <v>-1.6522709861355161E-3</v>
      </c>
      <c r="AP20" s="217">
        <f t="shared" si="89"/>
        <v>-2.7819187232796114</v>
      </c>
      <c r="AQ20" s="215"/>
      <c r="AR20" s="215"/>
      <c r="AS20" s="218"/>
      <c r="AT20" s="219"/>
      <c r="AU20" s="185">
        <v>1130</v>
      </c>
      <c r="AV20" s="185" t="s">
        <v>585</v>
      </c>
      <c r="AW20" s="185">
        <v>3.07</v>
      </c>
      <c r="AX20" s="213">
        <f t="shared" si="90"/>
        <v>0.95224719101123589</v>
      </c>
      <c r="AY20" s="220">
        <v>5.1024966603190076E-3</v>
      </c>
      <c r="AZ20" s="215">
        <f t="shared" si="67"/>
        <v>0.84507275969733509</v>
      </c>
      <c r="BA20" s="215">
        <f t="shared" si="91"/>
        <v>-0.10717443131390081</v>
      </c>
      <c r="BB20" s="218"/>
      <c r="BC20" s="219"/>
      <c r="BD20" s="185">
        <v>1080</v>
      </c>
      <c r="BE20" s="185" t="s">
        <v>585</v>
      </c>
      <c r="BF20" s="185">
        <v>2.94</v>
      </c>
      <c r="BG20" s="213">
        <f t="shared" si="92"/>
        <v>0.91011235955056169</v>
      </c>
      <c r="BH20" s="220">
        <v>2.6503731943519509E-3</v>
      </c>
      <c r="BI20" s="215">
        <f t="shared" si="68"/>
        <v>0.72319693464924828</v>
      </c>
      <c r="BJ20" s="215">
        <f t="shared" si="93"/>
        <v>-0.18691542490131341</v>
      </c>
      <c r="BK20" s="218"/>
      <c r="BL20" s="219"/>
      <c r="BM20" s="185">
        <v>1060</v>
      </c>
      <c r="BN20" s="185" t="s">
        <v>585</v>
      </c>
      <c r="BO20" s="185">
        <v>3.77</v>
      </c>
      <c r="BP20" s="213">
        <f t="shared" si="94"/>
        <v>0.8932584269662921</v>
      </c>
      <c r="BQ20" s="220">
        <v>2.2113511866525639E-3</v>
      </c>
      <c r="BR20" s="215">
        <f t="shared" si="69"/>
        <v>0.67813260886291593</v>
      </c>
      <c r="BS20" s="215">
        <f t="shared" si="95"/>
        <v>-0.21512581810337617</v>
      </c>
      <c r="BT20" s="218"/>
      <c r="BU20" s="219"/>
      <c r="BV20" s="185">
        <v>984</v>
      </c>
      <c r="BW20" s="185" t="s">
        <v>585</v>
      </c>
      <c r="BX20" s="185">
        <v>2.77</v>
      </c>
      <c r="BY20" s="213">
        <f t="shared" si="96"/>
        <v>0.82921348314606735</v>
      </c>
      <c r="BZ20" s="220">
        <v>1.3325399073653241E-3</v>
      </c>
      <c r="CA20" s="215">
        <f t="shared" si="70"/>
        <v>0.52488779297325794</v>
      </c>
      <c r="CB20" s="215">
        <f t="shared" si="97"/>
        <v>-0.30432569017280942</v>
      </c>
      <c r="CC20" s="218"/>
      <c r="CD20" s="219"/>
      <c r="CE20" s="185">
        <v>1050</v>
      </c>
      <c r="CF20" s="185" t="s">
        <v>585</v>
      </c>
      <c r="CG20" s="185">
        <v>3.14</v>
      </c>
      <c r="CH20" s="213">
        <f t="shared" si="98"/>
        <v>0.8848314606741573</v>
      </c>
      <c r="CI20" s="220">
        <v>2.0399810956237565E-3</v>
      </c>
      <c r="CJ20" s="215">
        <f t="shared" si="71"/>
        <v>0.65636300028325267</v>
      </c>
      <c r="CK20" s="215">
        <f t="shared" si="99"/>
        <v>-0.22846846039090463</v>
      </c>
      <c r="CL20" s="218"/>
      <c r="CM20" s="218"/>
      <c r="CN20" s="185">
        <v>1020</v>
      </c>
      <c r="CO20" s="185" t="s">
        <v>585</v>
      </c>
      <c r="CP20" s="185">
        <v>4.25</v>
      </c>
      <c r="CQ20" s="213">
        <f t="shared" si="100"/>
        <v>0.8595505617977528</v>
      </c>
      <c r="CR20" s="220">
        <v>1.6491020193650037E-3</v>
      </c>
      <c r="CS20" s="215">
        <f t="shared" si="72"/>
        <v>0.59402209009040796</v>
      </c>
      <c r="CT20" s="215">
        <f t="shared" si="101"/>
        <v>-0.26552847170734484</v>
      </c>
      <c r="CU20" s="218"/>
      <c r="CV20" s="218"/>
      <c r="CW20" s="185">
        <v>1140</v>
      </c>
      <c r="CX20" s="185" t="s">
        <v>585</v>
      </c>
      <c r="CY20" s="185">
        <v>1.1599999999999999</v>
      </c>
      <c r="CZ20" s="213">
        <f t="shared" si="102"/>
        <v>0.96067415730337069</v>
      </c>
      <c r="DA20" s="220">
        <v>6.2232326113596465E-3</v>
      </c>
      <c r="DB20" s="215">
        <f t="shared" si="73"/>
        <v>0.87108327085498471</v>
      </c>
      <c r="DC20" s="215">
        <f t="shared" si="103"/>
        <v>-8.9590886448385976E-2</v>
      </c>
      <c r="DD20" s="218"/>
      <c r="DE20" s="218"/>
      <c r="DF20" s="185">
        <v>1190</v>
      </c>
      <c r="DG20" s="185" t="s">
        <v>585</v>
      </c>
      <c r="DH20" s="185">
        <v>3.07</v>
      </c>
      <c r="DI20" s="213">
        <f t="shared" si="104"/>
        <v>1.0028089887640448</v>
      </c>
      <c r="DJ20" s="220">
        <v>0.5</v>
      </c>
      <c r="DK20" s="215">
        <f t="shared" si="74"/>
        <v>0.99828364208976783</v>
      </c>
      <c r="DL20" s="215">
        <f t="shared" si="105"/>
        <v>-4.5253466742769533E-3</v>
      </c>
      <c r="DM20" s="218"/>
      <c r="DN20" s="218"/>
      <c r="DO20" s="185">
        <v>985</v>
      </c>
      <c r="DP20" s="185" t="s">
        <v>585</v>
      </c>
      <c r="DQ20" s="185">
        <v>1.61</v>
      </c>
      <c r="DR20" s="213">
        <f t="shared" si="106"/>
        <v>0.8300561797752809</v>
      </c>
      <c r="DS20" s="220">
        <v>1.3398106856055913E-3</v>
      </c>
      <c r="DT20" s="215">
        <f t="shared" si="75"/>
        <v>0.52672701568603231</v>
      </c>
      <c r="DU20" s="215">
        <f t="shared" si="107"/>
        <v>-0.30332916408924859</v>
      </c>
      <c r="DV20" s="218"/>
      <c r="DW20" s="218"/>
      <c r="DX20" s="185">
        <v>1120</v>
      </c>
      <c r="DY20" s="185" t="s">
        <v>585</v>
      </c>
      <c r="DZ20" s="185">
        <v>4.49</v>
      </c>
      <c r="EA20" s="213">
        <f t="shared" si="108"/>
        <v>0.9438202247191011</v>
      </c>
      <c r="EB20" s="220">
        <v>4.3179359733696507E-3</v>
      </c>
      <c r="EC20" s="215">
        <f t="shared" si="76"/>
        <v>0.8196168937846019</v>
      </c>
      <c r="ED20" s="215">
        <f t="shared" si="109"/>
        <v>-0.1242033309344992</v>
      </c>
      <c r="EE20" s="218"/>
      <c r="EF20" s="218"/>
      <c r="EG20" s="185">
        <v>1040</v>
      </c>
      <c r="EH20" s="185" t="s">
        <v>585</v>
      </c>
      <c r="EI20" s="185">
        <v>1.01</v>
      </c>
      <c r="EJ20" s="213">
        <f t="shared" si="110"/>
        <v>0.87640449438202239</v>
      </c>
      <c r="EK20" s="220">
        <v>1.8919491913550837E-3</v>
      </c>
      <c r="EL20" s="215">
        <f t="shared" si="77"/>
        <v>0.63509235476345904</v>
      </c>
      <c r="EM20" s="215">
        <f t="shared" si="111"/>
        <v>-0.24131213961856335</v>
      </c>
      <c r="EN20" s="218"/>
      <c r="EO20" s="218"/>
      <c r="EP20" s="185">
        <v>1080</v>
      </c>
      <c r="EQ20" s="185" t="s">
        <v>585</v>
      </c>
      <c r="ER20" s="185">
        <v>1</v>
      </c>
      <c r="ES20" s="213">
        <f t="shared" si="112"/>
        <v>0.91011235955056169</v>
      </c>
      <c r="ET20" s="220">
        <v>2.6503731329302789E-3</v>
      </c>
      <c r="EU20" s="215">
        <f t="shared" si="78"/>
        <v>0.72319692921780832</v>
      </c>
      <c r="EV20" s="215">
        <f t="shared" si="113"/>
        <v>-0.18691543033275337</v>
      </c>
      <c r="EW20" s="218"/>
      <c r="EX20" s="219"/>
    </row>
  </sheetData>
  <mergeCells count="78">
    <mergeCell ref="AH2:AJ2"/>
    <mergeCell ref="BA3:BA4"/>
    <mergeCell ref="Z3:Z4"/>
    <mergeCell ref="H2:J2"/>
    <mergeCell ref="I3:I4"/>
    <mergeCell ref="N3:N4"/>
    <mergeCell ref="U2:W2"/>
    <mergeCell ref="V3:V4"/>
    <mergeCell ref="X3:X4"/>
    <mergeCell ref="AN3:AN4"/>
    <mergeCell ref="AU2:AW2"/>
    <mergeCell ref="AV3:AV4"/>
    <mergeCell ref="AX3:AX4"/>
    <mergeCell ref="AZ3:AZ4"/>
    <mergeCell ref="AA3:AA4"/>
    <mergeCell ref="AI3:AI4"/>
    <mergeCell ref="A3:A4"/>
    <mergeCell ref="G3:G4"/>
    <mergeCell ref="K3:K4"/>
    <mergeCell ref="C2:F2"/>
    <mergeCell ref="M3:M4"/>
    <mergeCell ref="AK3:AK4"/>
    <mergeCell ref="AM3:AM4"/>
    <mergeCell ref="BV2:BX2"/>
    <mergeCell ref="BW3:BW4"/>
    <mergeCell ref="BY3:BY4"/>
    <mergeCell ref="BD2:BF2"/>
    <mergeCell ref="BE3:BE4"/>
    <mergeCell ref="BM2:BO2"/>
    <mergeCell ref="BN3:BN4"/>
    <mergeCell ref="BP3:BP4"/>
    <mergeCell ref="BR3:BR4"/>
    <mergeCell ref="BS3:BS4"/>
    <mergeCell ref="CA3:CA4"/>
    <mergeCell ref="BG3:BG4"/>
    <mergeCell ref="BI3:BI4"/>
    <mergeCell ref="BJ3:BJ4"/>
    <mergeCell ref="CB3:CB4"/>
    <mergeCell ref="CE2:CG2"/>
    <mergeCell ref="CF3:CF4"/>
    <mergeCell ref="CH3:CH4"/>
    <mergeCell ref="CJ3:CJ4"/>
    <mergeCell ref="DB3:DB4"/>
    <mergeCell ref="CK3:CK4"/>
    <mergeCell ref="DC3:DC4"/>
    <mergeCell ref="CN2:CP2"/>
    <mergeCell ref="CW2:CY2"/>
    <mergeCell ref="CX3:CX4"/>
    <mergeCell ref="CO3:CO4"/>
    <mergeCell ref="CQ3:CQ4"/>
    <mergeCell ref="CS3:CS4"/>
    <mergeCell ref="CT3:CT4"/>
    <mergeCell ref="CZ3:CZ4"/>
    <mergeCell ref="DF2:DH2"/>
    <mergeCell ref="DG3:DG4"/>
    <mergeCell ref="ED3:ED4"/>
    <mergeCell ref="DK3:DK4"/>
    <mergeCell ref="DL3:DL4"/>
    <mergeCell ref="DO2:DQ2"/>
    <mergeCell ref="DP3:DP4"/>
    <mergeCell ref="DR3:DR4"/>
    <mergeCell ref="DT3:DT4"/>
    <mergeCell ref="DU3:DU4"/>
    <mergeCell ref="DX2:DZ2"/>
    <mergeCell ref="DY3:DY4"/>
    <mergeCell ref="EA3:EA4"/>
    <mergeCell ref="EC3:EC4"/>
    <mergeCell ref="DI3:DI4"/>
    <mergeCell ref="ES3:ES4"/>
    <mergeCell ref="EU3:EU4"/>
    <mergeCell ref="EV3:EV4"/>
    <mergeCell ref="EG2:EI2"/>
    <mergeCell ref="EH3:EH4"/>
    <mergeCell ref="EJ3:EJ4"/>
    <mergeCell ref="EL3:EL4"/>
    <mergeCell ref="EM3:EM4"/>
    <mergeCell ref="EP2:ER2"/>
    <mergeCell ref="EQ3:E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C08D-A80B-41A6-983D-26EAA6BFC611}">
  <dimension ref="A2:CB25"/>
  <sheetViews>
    <sheetView workbookViewId="0">
      <selection activeCell="CB5" sqref="CB5:CB10"/>
    </sheetView>
  </sheetViews>
  <sheetFormatPr defaultColWidth="9.140625" defaultRowHeight="12.75" x14ac:dyDescent="0.2"/>
  <cols>
    <col min="1" max="6" width="9.140625" style="25"/>
    <col min="7" max="7" width="11.140625" style="25" customWidth="1"/>
    <col min="8" max="8" width="12.42578125" style="25" customWidth="1"/>
    <col min="9" max="9" width="10.42578125" style="25" customWidth="1"/>
    <col min="10" max="10" width="9.140625" style="25"/>
    <col min="11" max="11" width="9.140625" style="87"/>
    <col min="12" max="13" width="9.140625" style="25"/>
    <col min="14" max="15" width="11.7109375" style="25" customWidth="1"/>
    <col min="16" max="16" width="15.140625" style="25" customWidth="1"/>
    <col min="17" max="17" width="11.140625" style="25" customWidth="1"/>
    <col min="18" max="23" width="9.140625" style="25"/>
    <col min="24" max="26" width="11.7109375" style="25" customWidth="1"/>
    <col min="27" max="33" width="9.140625" style="25"/>
    <col min="34" max="36" width="11.7109375" style="25" customWidth="1"/>
    <col min="37" max="43" width="9.140625" style="25"/>
    <col min="44" max="46" width="11.7109375" style="25" customWidth="1"/>
    <col min="47" max="53" width="9.140625" style="25"/>
    <col min="54" max="56" width="11.7109375" style="25" customWidth="1"/>
    <col min="57" max="63" width="9.140625" style="25"/>
    <col min="64" max="66" width="11.7109375" style="25" customWidth="1"/>
    <col min="67" max="73" width="9.140625" style="25"/>
    <col min="74" max="76" width="11.7109375" style="25" customWidth="1"/>
    <col min="77" max="77" width="10.5703125" style="25" customWidth="1"/>
    <col min="78" max="16384" width="9.140625" style="25"/>
  </cols>
  <sheetData>
    <row r="2" spans="1:80" ht="15" customHeight="1" x14ac:dyDescent="0.2">
      <c r="K2" s="332" t="s">
        <v>14</v>
      </c>
      <c r="L2" s="333"/>
      <c r="M2" s="334"/>
      <c r="U2" s="323" t="s">
        <v>645</v>
      </c>
      <c r="V2" s="323"/>
      <c r="W2" s="323"/>
      <c r="AE2" s="323" t="s">
        <v>646</v>
      </c>
      <c r="AF2" s="323"/>
      <c r="AG2" s="323"/>
      <c r="AO2" s="323" t="s">
        <v>702</v>
      </c>
      <c r="AP2" s="323"/>
      <c r="AQ2" s="323"/>
      <c r="AY2" s="323" t="s">
        <v>704</v>
      </c>
      <c r="AZ2" s="323"/>
      <c r="BA2" s="323"/>
      <c r="BI2" s="323" t="s">
        <v>705</v>
      </c>
      <c r="BJ2" s="323"/>
      <c r="BK2" s="323"/>
      <c r="BS2" s="323" t="s">
        <v>706</v>
      </c>
      <c r="BT2" s="323"/>
      <c r="BU2" s="323"/>
    </row>
    <row r="3" spans="1:80" ht="55.5" customHeight="1" x14ac:dyDescent="0.2">
      <c r="A3" s="331" t="s">
        <v>587</v>
      </c>
      <c r="B3" s="321" t="s">
        <v>65</v>
      </c>
      <c r="C3" s="328" t="s">
        <v>602</v>
      </c>
      <c r="D3" s="329"/>
      <c r="E3" s="329"/>
      <c r="F3" s="330"/>
      <c r="G3" s="321" t="s">
        <v>700</v>
      </c>
      <c r="H3" s="326" t="s">
        <v>703</v>
      </c>
      <c r="I3" s="326" t="s">
        <v>696</v>
      </c>
      <c r="J3" s="326" t="s">
        <v>13</v>
      </c>
      <c r="K3" s="30" t="s">
        <v>581</v>
      </c>
      <c r="L3" s="323" t="s">
        <v>582</v>
      </c>
      <c r="M3" s="22" t="s">
        <v>583</v>
      </c>
      <c r="N3" s="324" t="s">
        <v>599</v>
      </c>
      <c r="O3" s="321" t="s">
        <v>610</v>
      </c>
      <c r="P3" s="321" t="s">
        <v>605</v>
      </c>
      <c r="Q3" s="321" t="s">
        <v>642</v>
      </c>
      <c r="R3" s="321" t="s">
        <v>643</v>
      </c>
      <c r="S3" s="21" t="s">
        <v>644</v>
      </c>
      <c r="T3" s="21" t="s">
        <v>701</v>
      </c>
      <c r="U3" s="30" t="s">
        <v>581</v>
      </c>
      <c r="V3" s="323" t="s">
        <v>582</v>
      </c>
      <c r="W3" s="22" t="s">
        <v>583</v>
      </c>
      <c r="X3" s="324" t="s">
        <v>599</v>
      </c>
      <c r="Y3" s="321" t="s">
        <v>610</v>
      </c>
      <c r="Z3" s="321" t="s">
        <v>605</v>
      </c>
      <c r="AA3" s="321" t="s">
        <v>642</v>
      </c>
      <c r="AB3" s="321" t="s">
        <v>643</v>
      </c>
      <c r="AC3" s="21" t="s">
        <v>644</v>
      </c>
      <c r="AD3" s="21" t="s">
        <v>701</v>
      </c>
      <c r="AE3" s="30" t="s">
        <v>581</v>
      </c>
      <c r="AF3" s="323" t="s">
        <v>582</v>
      </c>
      <c r="AG3" s="22" t="s">
        <v>583</v>
      </c>
      <c r="AH3" s="324" t="s">
        <v>599</v>
      </c>
      <c r="AI3" s="321" t="s">
        <v>610</v>
      </c>
      <c r="AJ3" s="321" t="s">
        <v>605</v>
      </c>
      <c r="AK3" s="321" t="s">
        <v>642</v>
      </c>
      <c r="AL3" s="321" t="s">
        <v>643</v>
      </c>
      <c r="AM3" s="21" t="s">
        <v>644</v>
      </c>
      <c r="AN3" s="21" t="s">
        <v>701</v>
      </c>
      <c r="AO3" s="30" t="s">
        <v>581</v>
      </c>
      <c r="AP3" s="323" t="s">
        <v>582</v>
      </c>
      <c r="AQ3" s="22" t="s">
        <v>583</v>
      </c>
      <c r="AR3" s="324" t="s">
        <v>599</v>
      </c>
      <c r="AS3" s="321" t="s">
        <v>610</v>
      </c>
      <c r="AT3" s="321" t="s">
        <v>605</v>
      </c>
      <c r="AU3" s="321" t="s">
        <v>642</v>
      </c>
      <c r="AV3" s="321" t="s">
        <v>643</v>
      </c>
      <c r="AW3" s="21" t="s">
        <v>644</v>
      </c>
      <c r="AX3" s="21" t="s">
        <v>701</v>
      </c>
      <c r="AY3" s="30" t="s">
        <v>581</v>
      </c>
      <c r="AZ3" s="323" t="s">
        <v>582</v>
      </c>
      <c r="BA3" s="22" t="s">
        <v>583</v>
      </c>
      <c r="BB3" s="324" t="s">
        <v>599</v>
      </c>
      <c r="BC3" s="321" t="s">
        <v>610</v>
      </c>
      <c r="BD3" s="321" t="s">
        <v>605</v>
      </c>
      <c r="BE3" s="321" t="s">
        <v>642</v>
      </c>
      <c r="BF3" s="321" t="s">
        <v>643</v>
      </c>
      <c r="BG3" s="21" t="s">
        <v>644</v>
      </c>
      <c r="BH3" s="21" t="s">
        <v>701</v>
      </c>
      <c r="BI3" s="30" t="s">
        <v>581</v>
      </c>
      <c r="BJ3" s="323" t="s">
        <v>582</v>
      </c>
      <c r="BK3" s="22" t="s">
        <v>583</v>
      </c>
      <c r="BL3" s="324" t="s">
        <v>599</v>
      </c>
      <c r="BM3" s="321" t="s">
        <v>610</v>
      </c>
      <c r="BN3" s="321" t="s">
        <v>605</v>
      </c>
      <c r="BO3" s="321" t="s">
        <v>642</v>
      </c>
      <c r="BP3" s="321" t="s">
        <v>643</v>
      </c>
      <c r="BQ3" s="21" t="s">
        <v>644</v>
      </c>
      <c r="BR3" s="21" t="s">
        <v>701</v>
      </c>
      <c r="BS3" s="30" t="s">
        <v>581</v>
      </c>
      <c r="BT3" s="323" t="s">
        <v>582</v>
      </c>
      <c r="BU3" s="22" t="s">
        <v>583</v>
      </c>
      <c r="BV3" s="324" t="s">
        <v>599</v>
      </c>
      <c r="BW3" s="321" t="s">
        <v>610</v>
      </c>
      <c r="BX3" s="321" t="s">
        <v>605</v>
      </c>
      <c r="BY3" s="321" t="s">
        <v>642</v>
      </c>
      <c r="BZ3" s="321" t="s">
        <v>643</v>
      </c>
      <c r="CA3" s="21" t="s">
        <v>644</v>
      </c>
      <c r="CB3" s="21" t="s">
        <v>701</v>
      </c>
    </row>
    <row r="4" spans="1:80" ht="33" customHeight="1" x14ac:dyDescent="0.2">
      <c r="A4" s="331"/>
      <c r="B4" s="322"/>
      <c r="C4" s="24" t="s">
        <v>697</v>
      </c>
      <c r="D4" s="24" t="s">
        <v>698</v>
      </c>
      <c r="E4" s="21" t="s">
        <v>699</v>
      </c>
      <c r="F4" s="24" t="s">
        <v>604</v>
      </c>
      <c r="G4" s="322"/>
      <c r="H4" s="327"/>
      <c r="I4" s="327"/>
      <c r="J4" s="327"/>
      <c r="K4" s="36" t="s">
        <v>584</v>
      </c>
      <c r="L4" s="323"/>
      <c r="M4" s="23" t="s">
        <v>584</v>
      </c>
      <c r="N4" s="325"/>
      <c r="O4" s="322"/>
      <c r="P4" s="322"/>
      <c r="Q4" s="322"/>
      <c r="R4" s="322"/>
      <c r="S4" s="24" t="s">
        <v>611</v>
      </c>
      <c r="T4" s="24" t="s">
        <v>611</v>
      </c>
      <c r="U4" s="36" t="s">
        <v>584</v>
      </c>
      <c r="V4" s="323"/>
      <c r="W4" s="23" t="s">
        <v>584</v>
      </c>
      <c r="X4" s="325"/>
      <c r="Y4" s="322"/>
      <c r="Z4" s="322"/>
      <c r="AA4" s="322"/>
      <c r="AB4" s="322"/>
      <c r="AC4" s="24" t="s">
        <v>611</v>
      </c>
      <c r="AD4" s="24" t="s">
        <v>611</v>
      </c>
      <c r="AE4" s="36" t="s">
        <v>584</v>
      </c>
      <c r="AF4" s="323"/>
      <c r="AG4" s="23" t="s">
        <v>584</v>
      </c>
      <c r="AH4" s="325"/>
      <c r="AI4" s="322"/>
      <c r="AJ4" s="322"/>
      <c r="AK4" s="322"/>
      <c r="AL4" s="322"/>
      <c r="AM4" s="24" t="s">
        <v>611</v>
      </c>
      <c r="AN4" s="24" t="s">
        <v>611</v>
      </c>
      <c r="AO4" s="36" t="s">
        <v>584</v>
      </c>
      <c r="AP4" s="323"/>
      <c r="AQ4" s="23" t="s">
        <v>584</v>
      </c>
      <c r="AR4" s="325"/>
      <c r="AS4" s="322"/>
      <c r="AT4" s="322"/>
      <c r="AU4" s="322"/>
      <c r="AV4" s="322"/>
      <c r="AW4" s="24" t="s">
        <v>611</v>
      </c>
      <c r="AX4" s="24" t="s">
        <v>611</v>
      </c>
      <c r="AY4" s="36" t="s">
        <v>584</v>
      </c>
      <c r="AZ4" s="323"/>
      <c r="BA4" s="23" t="s">
        <v>584</v>
      </c>
      <c r="BB4" s="325"/>
      <c r="BC4" s="322"/>
      <c r="BD4" s="322"/>
      <c r="BE4" s="322"/>
      <c r="BF4" s="322"/>
      <c r="BG4" s="24" t="s">
        <v>611</v>
      </c>
      <c r="BH4" s="24" t="s">
        <v>611</v>
      </c>
      <c r="BI4" s="36" t="s">
        <v>584</v>
      </c>
      <c r="BJ4" s="323"/>
      <c r="BK4" s="23" t="s">
        <v>584</v>
      </c>
      <c r="BL4" s="325"/>
      <c r="BM4" s="322"/>
      <c r="BN4" s="322"/>
      <c r="BO4" s="322"/>
      <c r="BP4" s="322"/>
      <c r="BQ4" s="24" t="s">
        <v>611</v>
      </c>
      <c r="BR4" s="24" t="s">
        <v>611</v>
      </c>
      <c r="BS4" s="36" t="s">
        <v>584</v>
      </c>
      <c r="BT4" s="323"/>
      <c r="BU4" s="23" t="s">
        <v>584</v>
      </c>
      <c r="BV4" s="325"/>
      <c r="BW4" s="322"/>
      <c r="BX4" s="322"/>
      <c r="BY4" s="322"/>
      <c r="BZ4" s="322"/>
      <c r="CA4" s="24" t="s">
        <v>611</v>
      </c>
      <c r="CB4" s="24" t="s">
        <v>611</v>
      </c>
    </row>
    <row r="5" spans="1:80" x14ac:dyDescent="0.2">
      <c r="A5" s="25" t="s">
        <v>31</v>
      </c>
      <c r="B5" s="40" t="s">
        <v>31</v>
      </c>
      <c r="C5" s="62">
        <f t="shared" ref="C5:C10" si="0">VLOOKUP(B5,PRC,8,FALSE)</f>
        <v>6.02</v>
      </c>
      <c r="D5" s="47"/>
      <c r="E5" s="63">
        <f t="shared" ref="E5:E10" si="1">VLOOKUP(B5,PRC,10,FALSE)</f>
        <v>59018.623536026826</v>
      </c>
      <c r="F5" s="46">
        <f t="shared" ref="F5:F10" si="2">VLOOKUP(B5,PRC,12,FALSE)</f>
        <v>0.385934623618432</v>
      </c>
      <c r="G5" s="48">
        <f>10^C5*F5</f>
        <v>404123.16207213956</v>
      </c>
      <c r="H5" s="64">
        <f>1/G5*1000000</f>
        <v>2.4744931591461001</v>
      </c>
      <c r="I5" s="47"/>
      <c r="J5" s="65"/>
      <c r="K5" s="40">
        <v>220</v>
      </c>
      <c r="L5" s="40" t="s">
        <v>585</v>
      </c>
      <c r="M5" s="40">
        <v>1.72</v>
      </c>
      <c r="N5" s="45"/>
      <c r="O5" s="46" t="e">
        <f t="shared" ref="O5:O10" si="3">1-EXP(Q5*T/L^2/$E5^2)*ERFC(SQRT(Q5*T)/L/$E5)</f>
        <v>#NUM!</v>
      </c>
      <c r="P5" s="47"/>
      <c r="Q5" s="48">
        <f t="shared" ref="Q5:Q10" si="4">R5*10000</f>
        <v>31464.187863119649</v>
      </c>
      <c r="R5" s="76">
        <f t="shared" ref="R5:R10" si="5">12.126*H5^(-1.489)</f>
        <v>3.146418786311965</v>
      </c>
      <c r="S5" s="57" t="e">
        <f t="shared" ref="S5:S10" si="6">K5/1000/$E5/O5*1000000000</f>
        <v>#NUM!</v>
      </c>
      <c r="T5" s="57">
        <v>5100</v>
      </c>
      <c r="U5" s="40">
        <v>2140</v>
      </c>
      <c r="V5" s="40" t="s">
        <v>585</v>
      </c>
      <c r="W5" s="40">
        <v>4.8499999999999996</v>
      </c>
      <c r="X5" s="45"/>
      <c r="Y5" s="46">
        <f t="shared" ref="Y5:Y10" si="7">1-EXP(AA5*T/L^2/$E5^2)*ERFC(SQRT(AA5*T)/L/$E5)</f>
        <v>0.97357625385360391</v>
      </c>
      <c r="Z5" s="47"/>
      <c r="AA5" s="78">
        <f t="shared" ref="AA5:AA10" si="8">AB5*10000</f>
        <v>19126.965023742938</v>
      </c>
      <c r="AB5" s="46">
        <f t="shared" ref="AB5:AB10" si="9">9.1868*H5^(-1.732)</f>
        <v>1.9126965023742939</v>
      </c>
      <c r="AC5" s="57">
        <f t="shared" ref="AC5:AC10" si="10">U5/1000/$E5/Y5*1000000000</f>
        <v>37243.863329246764</v>
      </c>
      <c r="AD5" s="57">
        <v>63000</v>
      </c>
      <c r="AE5" s="40">
        <v>153</v>
      </c>
      <c r="AF5" s="40" t="s">
        <v>585</v>
      </c>
      <c r="AG5" s="40">
        <v>1.75</v>
      </c>
      <c r="AH5" s="45"/>
      <c r="AI5" s="46">
        <f t="shared" ref="AI5:AI10" si="11">1-EXP(AK5*T/L^2/$E5^2)*ERFC(SQRT(AK5*T)/L/$E5)</f>
        <v>0.9707600089402264</v>
      </c>
      <c r="AJ5" s="47"/>
      <c r="AK5" s="78">
        <f t="shared" ref="AK5:AK10" si="12">AL5*10000</f>
        <v>15612.294824736086</v>
      </c>
      <c r="AL5" s="50">
        <f t="shared" ref="AL5:AL10" si="13">7.8249*$H5^(-1.779)</f>
        <v>1.5612294824736086</v>
      </c>
      <c r="AM5" s="57">
        <f t="shared" ref="AM5:AM10" si="14">AE5/1000/$E5/AI5*1000000000</f>
        <v>2670.4870567707899</v>
      </c>
      <c r="AN5" s="57">
        <v>4700</v>
      </c>
      <c r="AO5" s="40">
        <v>404</v>
      </c>
      <c r="AP5" s="40" t="s">
        <v>585</v>
      </c>
      <c r="AQ5" s="40">
        <v>1.65</v>
      </c>
      <c r="AR5" s="45"/>
      <c r="AS5" s="46">
        <f t="shared" ref="AS5:AS10" si="15">1-EXP(AU5*T/L^2/$E5^2)*ERFC(SQRT(AU5*T)/L/$E5)</f>
        <v>0.97044271643565805</v>
      </c>
      <c r="AT5" s="47"/>
      <c r="AU5" s="78">
        <f t="shared" ref="AU5:AU10" si="16">AV5*10000</f>
        <v>15278.008915187926</v>
      </c>
      <c r="AV5" s="46">
        <f t="shared" ref="AV5:AV10" si="17">7.8186*$H5^(-1.802)</f>
        <v>1.5278008915187926</v>
      </c>
      <c r="AW5" s="57">
        <f t="shared" ref="AW5:AW10" si="18">AO5/1000/$E5/AS5*1000000000</f>
        <v>7053.7876905449839</v>
      </c>
      <c r="AX5" s="82">
        <v>13000</v>
      </c>
      <c r="AY5" s="40">
        <v>1910</v>
      </c>
      <c r="AZ5" s="40" t="s">
        <v>585</v>
      </c>
      <c r="BA5" s="40">
        <v>4.3899999999999997</v>
      </c>
      <c r="BB5" s="45"/>
      <c r="BC5" s="46">
        <f t="shared" ref="BC5:BC10" si="19">1-EXP(BE5*T/L^2/$E5^2)*ERFC(SQRT(BE5*T)/L/$E5)</f>
        <v>0.96713430766243136</v>
      </c>
      <c r="BD5" s="47"/>
      <c r="BE5" s="78">
        <f t="shared" ref="BE5:BE10" si="20">BF5*10000</f>
        <v>12348.917190423404</v>
      </c>
      <c r="BF5" s="50">
        <f t="shared" ref="BF5:BF10" si="21">6.8752*$H5^(-1.895)</f>
        <v>1.2348917190423405</v>
      </c>
      <c r="BG5" s="81">
        <f t="shared" ref="BG5:BG10" si="22">AY5/1000/$E5/BC5*1000000000</f>
        <v>33462.431972450097</v>
      </c>
      <c r="BH5" s="82">
        <v>69000</v>
      </c>
      <c r="BI5" s="84">
        <v>82.1</v>
      </c>
      <c r="BJ5" s="84" t="s">
        <v>585</v>
      </c>
      <c r="BK5" s="85">
        <v>0.66700000000000004</v>
      </c>
      <c r="BL5" s="45"/>
      <c r="BM5" s="46">
        <f t="shared" ref="BM5:BM10" si="23">1-EXP(BO5*T/L^2/$E5^2)*ERFC(SQRT(BO5*T)/L/$E5)</f>
        <v>0.96993041878523878</v>
      </c>
      <c r="BN5" s="47"/>
      <c r="BO5" s="78">
        <f t="shared" ref="BO5:BO10" si="24">BP5*10000</f>
        <v>14760.443824284357</v>
      </c>
      <c r="BP5" s="46">
        <f t="shared" ref="BP5:BP10" si="25">8.0922*$H5^(-1.878)</f>
        <v>1.4760443824284357</v>
      </c>
      <c r="BQ5" s="81">
        <f t="shared" ref="BQ5:BQ10" si="26">BI5/1000/$E5/BM5*1000000000</f>
        <v>1434.2124919508253</v>
      </c>
      <c r="BR5" s="57">
        <v>2800</v>
      </c>
      <c r="BS5" s="84">
        <v>44.6</v>
      </c>
      <c r="BT5" s="84" t="s">
        <v>585</v>
      </c>
      <c r="BU5" s="85">
        <v>0.65100000000000002</v>
      </c>
      <c r="BV5" s="45"/>
      <c r="BW5" s="46">
        <f t="shared" ref="BW5:BW10" si="27">1-EXP(BY5*T/L^2/$E5^2)*ERFC(SQRT(BY5*T)/L/$E5)</f>
        <v>0.96993041878523878</v>
      </c>
      <c r="BX5" s="47"/>
      <c r="BY5" s="78">
        <f t="shared" ref="BY5:BY10" si="28">BZ5*10000</f>
        <v>14760.443824284357</v>
      </c>
      <c r="BZ5" s="46">
        <f t="shared" ref="BZ5:BZ10" si="29">8.0922*$H5^(-1.878)</f>
        <v>1.4760443824284357</v>
      </c>
      <c r="CA5" s="81">
        <f t="shared" ref="CA5:CA10" si="30">BS5/1000/$E5/BW5*1000000000</f>
        <v>779.12152425099657</v>
      </c>
      <c r="CB5" s="57">
        <v>2800</v>
      </c>
    </row>
    <row r="6" spans="1:80" x14ac:dyDescent="0.2">
      <c r="A6" s="42" t="s">
        <v>588</v>
      </c>
      <c r="B6" s="40" t="s">
        <v>32</v>
      </c>
      <c r="C6" s="66">
        <f t="shared" si="0"/>
        <v>6.02</v>
      </c>
      <c r="D6" s="51"/>
      <c r="E6" s="67">
        <f t="shared" si="1"/>
        <v>69343.153997951944</v>
      </c>
      <c r="F6" s="50">
        <f t="shared" si="2"/>
        <v>0.385934623618432</v>
      </c>
      <c r="G6" s="52">
        <f t="shared" ref="G6:G20" si="31">10^C6*F6</f>
        <v>404123.16207213956</v>
      </c>
      <c r="H6" s="68">
        <f t="shared" ref="H6:H20" si="32">1/G6*1000000</f>
        <v>2.4744931591461001</v>
      </c>
      <c r="I6" s="51"/>
      <c r="J6" s="58"/>
      <c r="K6" s="40">
        <v>380</v>
      </c>
      <c r="L6" s="40" t="s">
        <v>585</v>
      </c>
      <c r="M6" s="40">
        <v>2.2400000000000002</v>
      </c>
      <c r="N6" s="49"/>
      <c r="O6" s="50">
        <f t="shared" si="3"/>
        <v>0.97578970661113118</v>
      </c>
      <c r="P6" s="51"/>
      <c r="Q6" s="52">
        <f t="shared" si="4"/>
        <v>31464.187863119649</v>
      </c>
      <c r="R6" s="77">
        <f t="shared" si="5"/>
        <v>3.146418786311965</v>
      </c>
      <c r="S6" s="57">
        <f t="shared" si="6"/>
        <v>5615.9569878705643</v>
      </c>
      <c r="T6" s="57">
        <v>7600</v>
      </c>
      <c r="U6" s="40">
        <v>4960</v>
      </c>
      <c r="V6" s="40" t="s">
        <v>585</v>
      </c>
      <c r="W6" s="40">
        <v>6.33</v>
      </c>
      <c r="X6" s="49"/>
      <c r="Y6" s="50">
        <f t="shared" si="7"/>
        <v>0.96896666454914282</v>
      </c>
      <c r="Z6" s="51"/>
      <c r="AA6" s="79">
        <f t="shared" si="8"/>
        <v>19126.965023742938</v>
      </c>
      <c r="AB6" s="50">
        <f t="shared" si="9"/>
        <v>1.9126965023742939</v>
      </c>
      <c r="AC6" s="57">
        <f t="shared" si="10"/>
        <v>73819.185512001277</v>
      </c>
      <c r="AD6" s="57">
        <v>130000</v>
      </c>
      <c r="AE6" s="40">
        <v>412</v>
      </c>
      <c r="AF6" s="40" t="s">
        <v>585</v>
      </c>
      <c r="AG6" s="40">
        <v>2.2799999999999998</v>
      </c>
      <c r="AH6" s="49"/>
      <c r="AI6" s="50">
        <f t="shared" si="11"/>
        <v>0.96566231588906881</v>
      </c>
      <c r="AJ6" s="51"/>
      <c r="AK6" s="79">
        <f t="shared" si="12"/>
        <v>15612.294824736086</v>
      </c>
      <c r="AL6" s="50">
        <f t="shared" si="13"/>
        <v>1.5612294824736086</v>
      </c>
      <c r="AM6" s="57">
        <f t="shared" si="14"/>
        <v>6152.7368525456586</v>
      </c>
      <c r="AN6" s="57">
        <v>11000</v>
      </c>
      <c r="AO6" s="40">
        <v>839</v>
      </c>
      <c r="AP6" s="40" t="s">
        <v>585</v>
      </c>
      <c r="AQ6" s="40">
        <v>2.15</v>
      </c>
      <c r="AR6" s="49"/>
      <c r="AS6" s="50">
        <f t="shared" si="15"/>
        <v>0.9652900896047657</v>
      </c>
      <c r="AT6" s="51"/>
      <c r="AU6" s="79">
        <f t="shared" si="16"/>
        <v>15278.008915187926</v>
      </c>
      <c r="AV6" s="50">
        <f t="shared" si="17"/>
        <v>1.5278008915187926</v>
      </c>
      <c r="AW6" s="57">
        <f t="shared" si="18"/>
        <v>12534.312618015658</v>
      </c>
      <c r="AX6" s="82">
        <v>23000</v>
      </c>
      <c r="AY6" s="40">
        <v>4720</v>
      </c>
      <c r="AZ6" s="40" t="s">
        <v>585</v>
      </c>
      <c r="BA6" s="40">
        <v>5.72</v>
      </c>
      <c r="BB6" s="49"/>
      <c r="BC6" s="50">
        <f t="shared" si="19"/>
        <v>0.96140964312505761</v>
      </c>
      <c r="BD6" s="51"/>
      <c r="BE6" s="79">
        <f t="shared" si="20"/>
        <v>12348.917190423404</v>
      </c>
      <c r="BF6" s="50">
        <f t="shared" si="21"/>
        <v>1.2348917190423405</v>
      </c>
      <c r="BG6" s="81">
        <f t="shared" si="22"/>
        <v>70799.458095633992</v>
      </c>
      <c r="BH6" s="82">
        <v>150000</v>
      </c>
      <c r="BI6" s="84">
        <v>174</v>
      </c>
      <c r="BJ6" s="84" t="s">
        <v>585</v>
      </c>
      <c r="BK6" s="85">
        <v>0.87</v>
      </c>
      <c r="BL6" s="49"/>
      <c r="BM6" s="50">
        <f t="shared" si="23"/>
        <v>0.96468912239018678</v>
      </c>
      <c r="BN6" s="51"/>
      <c r="BO6" s="79">
        <f t="shared" si="24"/>
        <v>14760.443824284357</v>
      </c>
      <c r="BP6" s="50">
        <f t="shared" si="25"/>
        <v>1.4760443824284357</v>
      </c>
      <c r="BQ6" s="81">
        <f t="shared" si="26"/>
        <v>2601.1073456236204</v>
      </c>
      <c r="BR6" s="57">
        <v>5100</v>
      </c>
      <c r="BS6" s="84">
        <v>90.6</v>
      </c>
      <c r="BT6" s="84" t="s">
        <v>585</v>
      </c>
      <c r="BU6" s="85">
        <v>0.80800000000000005</v>
      </c>
      <c r="BV6" s="49"/>
      <c r="BW6" s="50">
        <f t="shared" si="27"/>
        <v>0.96468912239018678</v>
      </c>
      <c r="BX6" s="51"/>
      <c r="BY6" s="79">
        <f t="shared" si="28"/>
        <v>14760.443824284357</v>
      </c>
      <c r="BZ6" s="50">
        <f t="shared" si="29"/>
        <v>1.4760443824284357</v>
      </c>
      <c r="CA6" s="81">
        <f t="shared" si="30"/>
        <v>1354.3696868591958</v>
      </c>
      <c r="CB6" s="57">
        <v>5100</v>
      </c>
    </row>
    <row r="7" spans="1:80" x14ac:dyDescent="0.2">
      <c r="A7" s="42" t="s">
        <v>589</v>
      </c>
      <c r="B7" s="40" t="s">
        <v>29</v>
      </c>
      <c r="C7" s="66">
        <f t="shared" si="0"/>
        <v>6.51</v>
      </c>
      <c r="D7" s="51"/>
      <c r="E7" s="67">
        <f t="shared" si="1"/>
        <v>677967.49341078789</v>
      </c>
      <c r="F7" s="50">
        <f t="shared" si="2"/>
        <v>0.41353639976675849</v>
      </c>
      <c r="G7" s="52">
        <f t="shared" si="31"/>
        <v>1338177.5587403828</v>
      </c>
      <c r="H7" s="68">
        <f t="shared" si="32"/>
        <v>0.74728498730862969</v>
      </c>
      <c r="I7" s="51"/>
      <c r="J7" s="58"/>
      <c r="K7" s="40">
        <v>204</v>
      </c>
      <c r="L7" s="40" t="s">
        <v>585</v>
      </c>
      <c r="M7" s="40">
        <v>0.753</v>
      </c>
      <c r="N7" s="49"/>
      <c r="O7" s="50">
        <f t="shared" si="3"/>
        <v>0.90422577823971295</v>
      </c>
      <c r="P7" s="51"/>
      <c r="Q7" s="52">
        <f t="shared" si="4"/>
        <v>187109.79650698818</v>
      </c>
      <c r="R7" s="77">
        <f t="shared" si="5"/>
        <v>18.710979650698818</v>
      </c>
      <c r="S7" s="57">
        <f t="shared" si="6"/>
        <v>332.77018811083065</v>
      </c>
      <c r="T7" s="57">
        <v>580</v>
      </c>
      <c r="U7" s="40">
        <v>1860</v>
      </c>
      <c r="V7" s="40" t="s">
        <v>585</v>
      </c>
      <c r="W7" s="40">
        <v>2.21</v>
      </c>
      <c r="X7" s="49"/>
      <c r="Y7" s="50">
        <f t="shared" si="7"/>
        <v>0.89412733939037115</v>
      </c>
      <c r="Z7" s="51"/>
      <c r="AA7" s="79">
        <f t="shared" si="8"/>
        <v>152154.94230561182</v>
      </c>
      <c r="AB7" s="50">
        <f t="shared" si="9"/>
        <v>15.215494230561182</v>
      </c>
      <c r="AC7" s="57">
        <f t="shared" si="10"/>
        <v>3068.3485979499096</v>
      </c>
      <c r="AD7" s="57">
        <v>6200</v>
      </c>
      <c r="AE7" s="40">
        <v>174</v>
      </c>
      <c r="AF7" s="40" t="s">
        <v>585</v>
      </c>
      <c r="AG7" s="40">
        <v>1.1200000000000001</v>
      </c>
      <c r="AH7" s="49"/>
      <c r="AI7" s="50">
        <f t="shared" si="11"/>
        <v>0.88636564324447897</v>
      </c>
      <c r="AJ7" s="51"/>
      <c r="AK7" s="79">
        <f t="shared" si="12"/>
        <v>131385.28999051126</v>
      </c>
      <c r="AL7" s="50">
        <f t="shared" si="13"/>
        <v>13.138528999051125</v>
      </c>
      <c r="AM7" s="57">
        <f t="shared" si="14"/>
        <v>289.55259616721276</v>
      </c>
      <c r="AN7" s="57">
        <v>610</v>
      </c>
      <c r="AO7" s="40">
        <v>412</v>
      </c>
      <c r="AP7" s="40" t="s">
        <v>585</v>
      </c>
      <c r="AQ7" s="40">
        <v>0.45100000000000001</v>
      </c>
      <c r="AR7" s="49"/>
      <c r="AS7" s="50">
        <f t="shared" si="15"/>
        <v>0.88668729326516038</v>
      </c>
      <c r="AT7" s="51"/>
      <c r="AU7" s="79">
        <f t="shared" si="16"/>
        <v>132162.04775795602</v>
      </c>
      <c r="AV7" s="50">
        <f t="shared" si="17"/>
        <v>13.216204775795603</v>
      </c>
      <c r="AW7" s="57">
        <f t="shared" si="18"/>
        <v>685.3585893734811</v>
      </c>
      <c r="AX7" s="82">
        <v>1500</v>
      </c>
      <c r="AY7" s="40">
        <v>1790</v>
      </c>
      <c r="AZ7" s="40" t="s">
        <v>585</v>
      </c>
      <c r="BA7" s="40">
        <v>2.4900000000000002</v>
      </c>
      <c r="BB7" s="49"/>
      <c r="BC7" s="50">
        <f t="shared" si="19"/>
        <v>0.88103019735059107</v>
      </c>
      <c r="BD7" s="51"/>
      <c r="BE7" s="79">
        <f t="shared" si="20"/>
        <v>119406.75011388684</v>
      </c>
      <c r="BF7" s="50">
        <f t="shared" si="21"/>
        <v>11.940675011388684</v>
      </c>
      <c r="BG7" s="81">
        <f t="shared" si="22"/>
        <v>2996.7696772437439</v>
      </c>
      <c r="BH7" s="82">
        <v>6900</v>
      </c>
      <c r="BI7" s="84">
        <v>107</v>
      </c>
      <c r="BJ7" s="84" t="s">
        <v>585</v>
      </c>
      <c r="BK7" s="85">
        <v>0.55700000000000005</v>
      </c>
      <c r="BL7" s="49"/>
      <c r="BM7" s="50">
        <f t="shared" si="23"/>
        <v>0.8897296545306016</v>
      </c>
      <c r="BN7" s="51"/>
      <c r="BO7" s="79">
        <f t="shared" si="24"/>
        <v>139849.01642197696</v>
      </c>
      <c r="BP7" s="50">
        <f t="shared" si="25"/>
        <v>13.984901642197697</v>
      </c>
      <c r="BQ7" s="81">
        <f t="shared" si="26"/>
        <v>177.3849789279889</v>
      </c>
      <c r="BR7" s="57">
        <v>390</v>
      </c>
      <c r="BS7" s="84">
        <v>80.599999999999994</v>
      </c>
      <c r="BT7" s="84" t="s">
        <v>585</v>
      </c>
      <c r="BU7" s="85">
        <v>0.65100000000000002</v>
      </c>
      <c r="BV7" s="49"/>
      <c r="BW7" s="50">
        <f t="shared" si="27"/>
        <v>0.8897296545306016</v>
      </c>
      <c r="BX7" s="51"/>
      <c r="BY7" s="79">
        <f t="shared" si="28"/>
        <v>139849.01642197696</v>
      </c>
      <c r="BZ7" s="50">
        <f t="shared" si="29"/>
        <v>13.984901642197697</v>
      </c>
      <c r="CA7" s="81">
        <f t="shared" si="30"/>
        <v>133.61896543547573</v>
      </c>
      <c r="CB7" s="57">
        <v>390</v>
      </c>
    </row>
    <row r="8" spans="1:80" x14ac:dyDescent="0.2">
      <c r="A8" s="42" t="s">
        <v>590</v>
      </c>
      <c r="B8" s="40" t="s">
        <v>30</v>
      </c>
      <c r="C8" s="66">
        <f t="shared" si="0"/>
        <v>6.51</v>
      </c>
      <c r="D8" s="51"/>
      <c r="E8" s="67">
        <f t="shared" si="1"/>
        <v>760710.19883052027</v>
      </c>
      <c r="F8" s="50">
        <f t="shared" si="2"/>
        <v>0.41353639976675849</v>
      </c>
      <c r="G8" s="52">
        <f t="shared" si="31"/>
        <v>1338177.5587403828</v>
      </c>
      <c r="H8" s="68">
        <f t="shared" si="32"/>
        <v>0.74728498730862969</v>
      </c>
      <c r="I8" s="51"/>
      <c r="J8" s="58"/>
      <c r="K8" s="40">
        <v>187</v>
      </c>
      <c r="L8" s="40" t="s">
        <v>585</v>
      </c>
      <c r="M8" s="40">
        <v>0.92500000000000004</v>
      </c>
      <c r="N8" s="49"/>
      <c r="O8" s="50">
        <f t="shared" si="3"/>
        <v>0.89291813080994675</v>
      </c>
      <c r="P8" s="51"/>
      <c r="Q8" s="52">
        <f t="shared" si="4"/>
        <v>187109.79650698818</v>
      </c>
      <c r="R8" s="77">
        <f t="shared" si="5"/>
        <v>18.710979650698818</v>
      </c>
      <c r="S8" s="57">
        <f t="shared" si="6"/>
        <v>275.30286196272851</v>
      </c>
      <c r="T8" s="57">
        <v>480</v>
      </c>
      <c r="U8" s="40">
        <v>1500</v>
      </c>
      <c r="V8" s="40" t="s">
        <v>585</v>
      </c>
      <c r="W8" s="40">
        <v>2.65</v>
      </c>
      <c r="X8" s="49"/>
      <c r="Y8" s="50">
        <f t="shared" si="7"/>
        <v>0.88171560530238657</v>
      </c>
      <c r="Z8" s="51"/>
      <c r="AA8" s="79">
        <f t="shared" si="8"/>
        <v>152154.94230561182</v>
      </c>
      <c r="AB8" s="50">
        <f t="shared" si="9"/>
        <v>15.215494230561182</v>
      </c>
      <c r="AC8" s="57">
        <f t="shared" si="10"/>
        <v>2236.3691508202869</v>
      </c>
      <c r="AD8" s="57">
        <v>4500</v>
      </c>
      <c r="AE8" s="40">
        <v>203</v>
      </c>
      <c r="AF8" s="40" t="s">
        <v>585</v>
      </c>
      <c r="AG8" s="40">
        <v>1.36</v>
      </c>
      <c r="AH8" s="49"/>
      <c r="AI8" s="50">
        <f t="shared" si="11"/>
        <v>0.87312176258294438</v>
      </c>
      <c r="AJ8" s="51"/>
      <c r="AK8" s="79">
        <f t="shared" si="12"/>
        <v>131385.28999051126</v>
      </c>
      <c r="AL8" s="50">
        <f t="shared" si="13"/>
        <v>13.138528999051125</v>
      </c>
      <c r="AM8" s="57">
        <f t="shared" si="14"/>
        <v>305.63422559632448</v>
      </c>
      <c r="AN8" s="57">
        <v>650</v>
      </c>
      <c r="AO8" s="40">
        <v>363</v>
      </c>
      <c r="AP8" s="40" t="s">
        <v>585</v>
      </c>
      <c r="AQ8" s="40">
        <v>0.58499999999999996</v>
      </c>
      <c r="AR8" s="49"/>
      <c r="AS8" s="50">
        <f t="shared" si="15"/>
        <v>0.87347760300979205</v>
      </c>
      <c r="AT8" s="51"/>
      <c r="AU8" s="79">
        <f t="shared" si="16"/>
        <v>132162.04775795602</v>
      </c>
      <c r="AV8" s="50">
        <f t="shared" si="17"/>
        <v>13.216204775795603</v>
      </c>
      <c r="AW8" s="57">
        <f t="shared" si="18"/>
        <v>546.30554990024541</v>
      </c>
      <c r="AX8" s="82">
        <v>1200</v>
      </c>
      <c r="AY8" s="40">
        <v>1430</v>
      </c>
      <c r="AZ8" s="40" t="s">
        <v>585</v>
      </c>
      <c r="BA8" s="40">
        <v>2.94</v>
      </c>
      <c r="BB8" s="49"/>
      <c r="BC8" s="50">
        <f t="shared" si="19"/>
        <v>0.86722297724972031</v>
      </c>
      <c r="BD8" s="51"/>
      <c r="BE8" s="79">
        <f t="shared" si="20"/>
        <v>119406.75011388684</v>
      </c>
      <c r="BF8" s="50">
        <f t="shared" si="21"/>
        <v>11.940675011388684</v>
      </c>
      <c r="BG8" s="81">
        <f t="shared" si="22"/>
        <v>2167.6343398406293</v>
      </c>
      <c r="BH8" s="82">
        <v>5000</v>
      </c>
      <c r="BI8" s="84">
        <v>111</v>
      </c>
      <c r="BJ8" s="84" t="s">
        <v>585</v>
      </c>
      <c r="BK8" s="85">
        <v>0.55700000000000005</v>
      </c>
      <c r="BL8" s="49"/>
      <c r="BM8" s="50">
        <f t="shared" si="23"/>
        <v>0.87684462711525124</v>
      </c>
      <c r="BN8" s="51"/>
      <c r="BO8" s="79">
        <f t="shared" si="24"/>
        <v>139849.01642197696</v>
      </c>
      <c r="BP8" s="50">
        <f t="shared" si="25"/>
        <v>13.984901642197697</v>
      </c>
      <c r="BQ8" s="81">
        <f t="shared" si="26"/>
        <v>166.41064148695287</v>
      </c>
      <c r="BR8" s="57">
        <v>370</v>
      </c>
      <c r="BS8" s="84">
        <v>102</v>
      </c>
      <c r="BT8" s="84" t="s">
        <v>585</v>
      </c>
      <c r="BU8" s="85">
        <v>0.65100000000000002</v>
      </c>
      <c r="BV8" s="49"/>
      <c r="BW8" s="50">
        <f t="shared" si="27"/>
        <v>0.87684462711525124</v>
      </c>
      <c r="BX8" s="51"/>
      <c r="BY8" s="79">
        <f t="shared" si="28"/>
        <v>139849.01642197696</v>
      </c>
      <c r="BZ8" s="50">
        <f t="shared" si="29"/>
        <v>13.984901642197697</v>
      </c>
      <c r="CA8" s="81">
        <f t="shared" si="30"/>
        <v>152.91788677179451</v>
      </c>
      <c r="CB8" s="57">
        <v>370</v>
      </c>
    </row>
    <row r="9" spans="1:80" x14ac:dyDescent="0.2">
      <c r="A9" s="42" t="s">
        <v>591</v>
      </c>
      <c r="B9" s="40" t="s">
        <v>50</v>
      </c>
      <c r="C9" s="66">
        <f t="shared" si="0"/>
        <v>6.91</v>
      </c>
      <c r="D9" s="51"/>
      <c r="E9" s="67">
        <f t="shared" si="1"/>
        <v>726465.662952026</v>
      </c>
      <c r="F9" s="50">
        <f t="shared" si="2"/>
        <v>0.3601751473183698</v>
      </c>
      <c r="G9" s="52">
        <f t="shared" si="31"/>
        <v>2927613.5090427143</v>
      </c>
      <c r="H9" s="68">
        <f t="shared" si="32"/>
        <v>0.34157514197527561</v>
      </c>
      <c r="I9" s="51"/>
      <c r="J9" s="58"/>
      <c r="K9" s="40">
        <v>26.9</v>
      </c>
      <c r="L9" s="40" t="s">
        <v>620</v>
      </c>
      <c r="M9" s="40">
        <v>3.58</v>
      </c>
      <c r="N9" s="49"/>
      <c r="O9" s="50">
        <f t="shared" si="3"/>
        <v>0.94218154599073112</v>
      </c>
      <c r="P9" s="51"/>
      <c r="Q9" s="52">
        <f t="shared" si="4"/>
        <v>600283.66640062793</v>
      </c>
      <c r="R9" s="77">
        <f t="shared" si="5"/>
        <v>60.028366640062792</v>
      </c>
      <c r="S9" s="57">
        <f t="shared" si="6"/>
        <v>39.300908920196534</v>
      </c>
      <c r="T9" s="57">
        <v>72</v>
      </c>
      <c r="U9" s="40">
        <v>169</v>
      </c>
      <c r="V9" s="40" t="s">
        <v>585</v>
      </c>
      <c r="W9" s="40">
        <v>14.2</v>
      </c>
      <c r="X9" s="49"/>
      <c r="Y9" s="50">
        <f t="shared" si="7"/>
        <v>0.94170595074239116</v>
      </c>
      <c r="Z9" s="51"/>
      <c r="AA9" s="79">
        <f t="shared" si="8"/>
        <v>590426.80193694518</v>
      </c>
      <c r="AB9" s="50">
        <f t="shared" si="9"/>
        <v>59.042680193694515</v>
      </c>
      <c r="AC9" s="57">
        <f t="shared" si="10"/>
        <v>247.03375396193155</v>
      </c>
      <c r="AD9" s="57">
        <v>530</v>
      </c>
      <c r="AE9" s="40">
        <v>14.5</v>
      </c>
      <c r="AF9" s="40" t="s">
        <v>620</v>
      </c>
      <c r="AG9" s="40">
        <v>4.28</v>
      </c>
      <c r="AH9" s="49"/>
      <c r="AI9" s="50">
        <f t="shared" si="11"/>
        <v>0.93844845170713587</v>
      </c>
      <c r="AJ9" s="51"/>
      <c r="AK9" s="79">
        <f t="shared" si="12"/>
        <v>528940.40566269355</v>
      </c>
      <c r="AL9" s="50">
        <f t="shared" si="13"/>
        <v>52.894040566269361</v>
      </c>
      <c r="AM9" s="57">
        <f t="shared" si="14"/>
        <v>21.268775557153685</v>
      </c>
      <c r="AN9" s="57">
        <v>48</v>
      </c>
      <c r="AO9" s="40">
        <v>59.8</v>
      </c>
      <c r="AP9" s="40" t="s">
        <v>585</v>
      </c>
      <c r="AQ9" s="40">
        <v>4.13</v>
      </c>
      <c r="AR9" s="49"/>
      <c r="AS9" s="50">
        <f t="shared" si="15"/>
        <v>0.93917123740866926</v>
      </c>
      <c r="AT9" s="51"/>
      <c r="AU9" s="79">
        <f t="shared" si="16"/>
        <v>541734.83042595384</v>
      </c>
      <c r="AV9" s="50">
        <f t="shared" si="17"/>
        <v>54.173483042595386</v>
      </c>
      <c r="AW9" s="57">
        <f t="shared" si="18"/>
        <v>87.647858322854958</v>
      </c>
      <c r="AX9" s="82">
        <v>200</v>
      </c>
      <c r="AY9" s="40">
        <v>172</v>
      </c>
      <c r="AZ9" s="40" t="s">
        <v>585</v>
      </c>
      <c r="BA9" s="40">
        <v>13.3</v>
      </c>
      <c r="BB9" s="49"/>
      <c r="BC9" s="50">
        <f t="shared" si="19"/>
        <v>0.93830276035142723</v>
      </c>
      <c r="BD9" s="51"/>
      <c r="BE9" s="79">
        <f t="shared" si="20"/>
        <v>526415.75453637447</v>
      </c>
      <c r="BF9" s="50">
        <f t="shared" si="21"/>
        <v>52.641575453637444</v>
      </c>
      <c r="BG9" s="81">
        <f t="shared" si="22"/>
        <v>252.33085609263557</v>
      </c>
      <c r="BH9" s="82">
        <v>630</v>
      </c>
      <c r="BI9" s="84">
        <v>9.02</v>
      </c>
      <c r="BJ9" s="84" t="s">
        <v>620</v>
      </c>
      <c r="BK9" s="85">
        <v>1.43</v>
      </c>
      <c r="BL9" s="49"/>
      <c r="BM9" s="50">
        <f t="shared" si="23"/>
        <v>0.94256389989237566</v>
      </c>
      <c r="BN9" s="51"/>
      <c r="BO9" s="79">
        <f t="shared" si="24"/>
        <v>608386.28665057081</v>
      </c>
      <c r="BP9" s="50">
        <f t="shared" si="25"/>
        <v>60.83862866505708</v>
      </c>
      <c r="BQ9" s="81">
        <f t="shared" si="26"/>
        <v>13.17287720500255</v>
      </c>
      <c r="BR9" s="57">
        <v>31</v>
      </c>
      <c r="BS9" s="84">
        <v>2.62</v>
      </c>
      <c r="BT9" s="84" t="s">
        <v>620</v>
      </c>
      <c r="BU9" s="85">
        <v>1.27</v>
      </c>
      <c r="BV9" s="49"/>
      <c r="BW9" s="50">
        <f t="shared" si="27"/>
        <v>0.94256389989237566</v>
      </c>
      <c r="BX9" s="51"/>
      <c r="BY9" s="79">
        <f t="shared" si="28"/>
        <v>608386.28665057081</v>
      </c>
      <c r="BZ9" s="50">
        <f t="shared" si="29"/>
        <v>60.83862866505708</v>
      </c>
      <c r="CA9" s="81">
        <f t="shared" si="30"/>
        <v>3.8262681016747977</v>
      </c>
      <c r="CB9" s="57">
        <v>31</v>
      </c>
    </row>
    <row r="10" spans="1:80" x14ac:dyDescent="0.2">
      <c r="A10" s="42" t="s">
        <v>592</v>
      </c>
      <c r="B10" s="40" t="s">
        <v>51</v>
      </c>
      <c r="C10" s="66">
        <f t="shared" si="0"/>
        <v>6.91</v>
      </c>
      <c r="D10" s="51"/>
      <c r="E10" s="67">
        <f t="shared" si="1"/>
        <v>399173.02011301357</v>
      </c>
      <c r="F10" s="50">
        <f t="shared" si="2"/>
        <v>0.3601751473183698</v>
      </c>
      <c r="G10" s="52">
        <f t="shared" si="31"/>
        <v>2927613.5090427143</v>
      </c>
      <c r="H10" s="68">
        <f t="shared" si="32"/>
        <v>0.34157514197527561</v>
      </c>
      <c r="I10" s="51"/>
      <c r="J10" s="58"/>
      <c r="K10" s="40">
        <v>336</v>
      </c>
      <c r="L10" s="40" t="s">
        <v>585</v>
      </c>
      <c r="M10" s="40">
        <v>4.75</v>
      </c>
      <c r="N10" s="49"/>
      <c r="O10" s="50">
        <f t="shared" si="3"/>
        <v>0.9681144223788597</v>
      </c>
      <c r="P10" s="51"/>
      <c r="Q10" s="52">
        <f t="shared" si="4"/>
        <v>600283.66640062793</v>
      </c>
      <c r="R10" s="77">
        <f t="shared" si="5"/>
        <v>60.028366640062792</v>
      </c>
      <c r="S10" s="57">
        <f t="shared" si="6"/>
        <v>869.46360491707094</v>
      </c>
      <c r="T10" s="57">
        <v>1500</v>
      </c>
      <c r="U10" s="40">
        <v>1840</v>
      </c>
      <c r="V10" s="40" t="s">
        <v>585</v>
      </c>
      <c r="W10" s="40">
        <v>18.8</v>
      </c>
      <c r="X10" s="49"/>
      <c r="Y10" s="50">
        <f t="shared" si="7"/>
        <v>0.96785022061784165</v>
      </c>
      <c r="Z10" s="51"/>
      <c r="AA10" s="79">
        <f t="shared" si="8"/>
        <v>590426.80193694518</v>
      </c>
      <c r="AB10" s="50">
        <f t="shared" si="9"/>
        <v>59.042680193694515</v>
      </c>
      <c r="AC10" s="57">
        <f t="shared" si="10"/>
        <v>4762.6480557028108</v>
      </c>
      <c r="AD10" s="57">
        <v>9800</v>
      </c>
      <c r="AE10" s="40">
        <v>178</v>
      </c>
      <c r="AF10" s="40" t="s">
        <v>585</v>
      </c>
      <c r="AG10" s="40">
        <v>6.23</v>
      </c>
      <c r="AH10" s="49"/>
      <c r="AI10" s="50">
        <f t="shared" si="11"/>
        <v>0.96603933978889189</v>
      </c>
      <c r="AJ10" s="51"/>
      <c r="AK10" s="79">
        <f t="shared" si="12"/>
        <v>528940.40566269355</v>
      </c>
      <c r="AL10" s="50">
        <f t="shared" si="13"/>
        <v>52.894040566269361</v>
      </c>
      <c r="AM10" s="57">
        <f t="shared" si="14"/>
        <v>461.59809728591421</v>
      </c>
      <c r="AN10" s="57">
        <v>1000</v>
      </c>
      <c r="AO10" s="40">
        <v>342</v>
      </c>
      <c r="AP10" s="40" t="s">
        <v>585</v>
      </c>
      <c r="AQ10" s="40">
        <v>5.75</v>
      </c>
      <c r="AR10" s="49"/>
      <c r="AS10" s="50">
        <f t="shared" si="15"/>
        <v>0.96644134078585608</v>
      </c>
      <c r="AT10" s="51"/>
      <c r="AU10" s="79">
        <f t="shared" si="16"/>
        <v>541734.83042595384</v>
      </c>
      <c r="AV10" s="50">
        <f t="shared" si="17"/>
        <v>54.173483042595386</v>
      </c>
      <c r="AW10" s="57">
        <f t="shared" si="18"/>
        <v>886.52181512730954</v>
      </c>
      <c r="AX10" s="82">
        <v>2000</v>
      </c>
      <c r="AY10" s="40">
        <v>1220</v>
      </c>
      <c r="AZ10" s="40" t="s">
        <v>585</v>
      </c>
      <c r="BA10" s="40">
        <v>16.100000000000001</v>
      </c>
      <c r="BB10" s="49"/>
      <c r="BC10" s="50">
        <f t="shared" si="19"/>
        <v>0.96595829496153141</v>
      </c>
      <c r="BD10" s="51"/>
      <c r="BE10" s="79">
        <f t="shared" si="20"/>
        <v>526415.75453637447</v>
      </c>
      <c r="BF10" s="50">
        <f t="shared" si="21"/>
        <v>52.641575453637444</v>
      </c>
      <c r="BG10" s="81">
        <f t="shared" si="22"/>
        <v>3164.0276825109686</v>
      </c>
      <c r="BH10" s="82">
        <v>7700</v>
      </c>
      <c r="BI10" s="84">
        <v>113</v>
      </c>
      <c r="BJ10" s="84" t="s">
        <v>585</v>
      </c>
      <c r="BK10" s="85">
        <v>1.53</v>
      </c>
      <c r="BL10" s="49"/>
      <c r="BM10" s="50">
        <f t="shared" si="23"/>
        <v>0.96832679310087588</v>
      </c>
      <c r="BN10" s="51"/>
      <c r="BO10" s="79">
        <f t="shared" si="24"/>
        <v>608386.28665057081</v>
      </c>
      <c r="BP10" s="50">
        <f t="shared" si="25"/>
        <v>60.83862866505708</v>
      </c>
      <c r="BQ10" s="81">
        <f t="shared" si="26"/>
        <v>292.34476063983357</v>
      </c>
      <c r="BR10" s="57">
        <v>670</v>
      </c>
      <c r="BS10" s="84">
        <v>41.8</v>
      </c>
      <c r="BT10" s="84" t="s">
        <v>585</v>
      </c>
      <c r="BU10" s="85">
        <v>1.26</v>
      </c>
      <c r="BV10" s="49"/>
      <c r="BW10" s="50">
        <f t="shared" si="27"/>
        <v>0.96832679310087588</v>
      </c>
      <c r="BX10" s="51"/>
      <c r="BY10" s="79">
        <f t="shared" si="28"/>
        <v>608386.28665057081</v>
      </c>
      <c r="BZ10" s="50">
        <f t="shared" si="29"/>
        <v>60.83862866505708</v>
      </c>
      <c r="CA10" s="81">
        <f t="shared" si="30"/>
        <v>108.14169021898265</v>
      </c>
      <c r="CB10" s="57">
        <v>670</v>
      </c>
    </row>
    <row r="11" spans="1:80" x14ac:dyDescent="0.2">
      <c r="A11" s="42" t="s">
        <v>0</v>
      </c>
      <c r="B11" s="40">
        <v>14</v>
      </c>
      <c r="C11" s="66">
        <f t="shared" ref="C11:C20" si="33">VLOOKUP(B11,PCBs,8,FALSE)</f>
        <v>5.28</v>
      </c>
      <c r="D11" s="67">
        <f t="shared" ref="D11:D20" si="34">10^(VLOOKUP(B11,PCBs,14,FALSE))</f>
        <v>37.068072178257609</v>
      </c>
      <c r="E11" s="67">
        <v>70113.234068673803</v>
      </c>
      <c r="F11" s="50">
        <v>0.50171447741666797</v>
      </c>
      <c r="G11" s="52">
        <f t="shared" si="31"/>
        <v>95599.722835092049</v>
      </c>
      <c r="H11" s="75">
        <f t="shared" si="32"/>
        <v>10.460281372624726</v>
      </c>
      <c r="I11" s="52">
        <f>D11*Model!$C$68*Model!$C$69/Model!$C$70*'Sediment SPME'!F11*Model!$C$71</f>
        <v>2.0319538452909565</v>
      </c>
      <c r="J11" s="70">
        <v>1346.6666666666667</v>
      </c>
      <c r="K11" s="40">
        <v>456</v>
      </c>
      <c r="L11" s="40" t="s">
        <v>585</v>
      </c>
      <c r="M11" s="40">
        <v>6.08</v>
      </c>
      <c r="N11" s="53">
        <f>K11/$J11</f>
        <v>0.33861386138613858</v>
      </c>
      <c r="O11" s="50">
        <f t="shared" ref="O11:O20" si="35">EXP(Q11*T/L^2/$E11^2)*ERFC(SQRT(Q11*T)/L/$E11)</f>
        <v>0.10853628685386875</v>
      </c>
      <c r="P11" s="50">
        <f>O11-N11</f>
        <v>-0.23007757453226985</v>
      </c>
      <c r="Q11" s="52">
        <v>1545.6769654513814</v>
      </c>
      <c r="R11" s="50">
        <f>Q11/10000</f>
        <v>0.15456769654513813</v>
      </c>
      <c r="S11" s="51"/>
      <c r="T11" s="58"/>
      <c r="U11" s="40">
        <v>663</v>
      </c>
      <c r="V11" s="40" t="s">
        <v>585</v>
      </c>
      <c r="W11" s="40">
        <v>3.85</v>
      </c>
      <c r="X11" s="53">
        <f>U11/$J11</f>
        <v>0.49232673267326732</v>
      </c>
      <c r="Y11" s="50">
        <f t="shared" ref="Y11:Y20" si="36">EXP(AA11*T/L^2/$E11^2)*ERFC(SQRT(AA11*T)/L/$E11)</f>
        <v>0.18570021423357916</v>
      </c>
      <c r="Z11" s="50">
        <f>Y11-X11</f>
        <v>-0.30662651843968813</v>
      </c>
      <c r="AA11" s="52">
        <v>492.56747358677097</v>
      </c>
      <c r="AB11" s="50">
        <f>AA11/10000</f>
        <v>4.9256747358677098E-2</v>
      </c>
      <c r="AC11" s="51"/>
      <c r="AD11" s="58"/>
      <c r="AE11" s="40">
        <v>752</v>
      </c>
      <c r="AF11" s="40" t="s">
        <v>585</v>
      </c>
      <c r="AG11" s="40">
        <v>2.82</v>
      </c>
      <c r="AH11" s="53">
        <f>AE11/$J11</f>
        <v>0.55841584158415836</v>
      </c>
      <c r="AI11" s="50">
        <f t="shared" ref="AI11:AI20" si="37">EXP(AK11*T/L^2/$E11^2)*ERFC(SQRT(AK11*T)/L/$E11)</f>
        <v>0.2298747763434735</v>
      </c>
      <c r="AJ11" s="50">
        <f>AI11-AH11</f>
        <v>-0.32854106524068483</v>
      </c>
      <c r="AK11" s="52">
        <v>304.10498266475338</v>
      </c>
      <c r="AL11" s="50">
        <f>AK11/10000</f>
        <v>3.0410498266475339E-2</v>
      </c>
      <c r="AM11" s="51"/>
      <c r="AN11" s="58"/>
      <c r="AO11" s="40">
        <v>759</v>
      </c>
      <c r="AP11" s="40" t="s">
        <v>585</v>
      </c>
      <c r="AQ11" s="40">
        <v>2.06</v>
      </c>
      <c r="AR11" s="53">
        <f>AO11/$J11</f>
        <v>0.56361386138613856</v>
      </c>
      <c r="AS11" s="50">
        <f t="shared" ref="AS11:AS20" si="38">EXP(AU11*T/L^2/$E11^2)*ERFC(SQRT(AU11*T)/L/$E11)</f>
        <v>0.23372357987906586</v>
      </c>
      <c r="AT11" s="50">
        <f>AS11-AR11</f>
        <v>-0.32989028150707267</v>
      </c>
      <c r="AU11" s="52">
        <v>292.59679133337011</v>
      </c>
      <c r="AV11" s="50">
        <f>AU11/10000</f>
        <v>2.9259679133337012E-2</v>
      </c>
      <c r="AW11" s="51"/>
      <c r="AX11" s="58"/>
      <c r="AY11" s="40">
        <v>861</v>
      </c>
      <c r="AZ11" s="40" t="s">
        <v>585</v>
      </c>
      <c r="BA11" s="40">
        <v>2.48</v>
      </c>
      <c r="BB11" s="53">
        <f>AY11/$J11</f>
        <v>0.63935643564356437</v>
      </c>
      <c r="BC11" s="50">
        <f t="shared" ref="BC11:BC20" si="39">EXP(BE11*T/L^2/$E11^2)*ERFC(SQRT(BE11*T)/L/$E11)</f>
        <v>0.29739124999541688</v>
      </c>
      <c r="BD11" s="50">
        <f>BC11-BB11</f>
        <v>-0.34196518564814748</v>
      </c>
      <c r="BE11" s="52">
        <v>163.29533693165874</v>
      </c>
      <c r="BF11" s="50">
        <f>BE11/10000</f>
        <v>1.6329533693165872E-2</v>
      </c>
      <c r="BG11" s="51"/>
      <c r="BH11" s="58"/>
      <c r="BI11" s="84">
        <v>776</v>
      </c>
      <c r="BJ11" s="84" t="s">
        <v>585</v>
      </c>
      <c r="BK11" s="85">
        <v>1.76</v>
      </c>
      <c r="BL11" s="53">
        <f>BI11/$J11</f>
        <v>0.57623762376237619</v>
      </c>
      <c r="BM11" s="50">
        <f t="shared" ref="BM11:BM20" si="40">EXP(BO11*T/L^2/$E11^2)*ERFC(SQRT(BO11*T)/L/$E11)</f>
        <v>0.24332506522801942</v>
      </c>
      <c r="BN11" s="50">
        <f>BM11-BL11</f>
        <v>-0.33291255853435675</v>
      </c>
      <c r="BO11" s="52">
        <v>266.26934329533549</v>
      </c>
      <c r="BP11" s="77">
        <f t="shared" ref="BP11:BP16" si="41">BO11/10000</f>
        <v>2.6626934329533548E-2</v>
      </c>
      <c r="BQ11" s="51"/>
      <c r="BR11" s="58"/>
      <c r="BS11" s="84">
        <v>421</v>
      </c>
      <c r="BT11" s="84" t="s">
        <v>585</v>
      </c>
      <c r="BU11" s="85">
        <v>5.18</v>
      </c>
      <c r="BV11" s="53">
        <f>BS11/$J11</f>
        <v>0.31262376237623762</v>
      </c>
      <c r="BW11" s="50">
        <f t="shared" ref="BW11:BW20" si="42">EXP(BY11*T/L^2/$E11^2)*ERFC(SQRT(BY11*T)/L/$E11)</f>
        <v>9.8021198642131796E-2</v>
      </c>
      <c r="BX11" s="50">
        <f>BW11-BV11</f>
        <v>-0.21460256373410583</v>
      </c>
      <c r="BY11" s="52">
        <v>1907.8732938222884</v>
      </c>
      <c r="BZ11" s="77">
        <f t="shared" ref="BZ11:BZ16" si="43">BY11/10000</f>
        <v>0.19078732938222884</v>
      </c>
      <c r="CA11" s="51"/>
      <c r="CB11" s="58"/>
    </row>
    <row r="12" spans="1:80" x14ac:dyDescent="0.2">
      <c r="A12" s="42" t="s">
        <v>1</v>
      </c>
      <c r="B12" s="40">
        <v>36</v>
      </c>
      <c r="C12" s="66">
        <f t="shared" si="33"/>
        <v>5.88</v>
      </c>
      <c r="D12" s="67">
        <f t="shared" si="34"/>
        <v>49.136022729909193</v>
      </c>
      <c r="E12" s="67">
        <v>261999.22097727651</v>
      </c>
      <c r="F12" s="50">
        <v>0.45309549993879755</v>
      </c>
      <c r="G12" s="52">
        <f t="shared" si="31"/>
        <v>343708.08560020896</v>
      </c>
      <c r="H12" s="69">
        <f t="shared" si="32"/>
        <v>2.9094456659456371</v>
      </c>
      <c r="I12" s="52">
        <f>D12*Model!$C$68*Model!$C$69/Model!$C$70*'Sediment SPME'!F12*Model!$C$71</f>
        <v>2.4324669861954336</v>
      </c>
      <c r="J12" s="70">
        <v>1530</v>
      </c>
      <c r="K12" s="40">
        <v>674</v>
      </c>
      <c r="L12" s="40" t="s">
        <v>585</v>
      </c>
      <c r="M12" s="40">
        <v>14.1</v>
      </c>
      <c r="N12" s="53">
        <f t="shared" ref="N12:N20" si="44">K12/$J12</f>
        <v>0.44052287581699345</v>
      </c>
      <c r="O12" s="50">
        <f t="shared" si="35"/>
        <v>0.15631219546417172</v>
      </c>
      <c r="P12" s="50">
        <f t="shared" ref="P12:P20" si="45">O12-N12</f>
        <v>-0.28421068035282171</v>
      </c>
      <c r="Q12" s="52">
        <v>10009.104085194111</v>
      </c>
      <c r="R12" s="50">
        <f t="shared" ref="R12:R20" si="46">Q12/10000</f>
        <v>1.0009104085194112</v>
      </c>
      <c r="S12" s="51"/>
      <c r="T12" s="58"/>
      <c r="U12" s="40">
        <v>860</v>
      </c>
      <c r="V12" s="40" t="s">
        <v>585</v>
      </c>
      <c r="W12" s="40">
        <v>10.7</v>
      </c>
      <c r="X12" s="53">
        <f t="shared" ref="X12:X20" si="47">U12/$J12</f>
        <v>0.56209150326797386</v>
      </c>
      <c r="Y12" s="50">
        <f t="shared" si="36"/>
        <v>0.2325901930472711</v>
      </c>
      <c r="Z12" s="50">
        <f t="shared" ref="Z12:Z20" si="48">Y12-X12</f>
        <v>-0.32950131022070273</v>
      </c>
      <c r="AA12" s="52">
        <v>4132.2091970343981</v>
      </c>
      <c r="AB12" s="50">
        <f t="shared" ref="AB12:AB20" si="49">AA12/10000</f>
        <v>0.41322091970343983</v>
      </c>
      <c r="AC12" s="51"/>
      <c r="AD12" s="58"/>
      <c r="AE12" s="40">
        <v>873</v>
      </c>
      <c r="AF12" s="40" t="s">
        <v>585</v>
      </c>
      <c r="AG12" s="40">
        <v>5.14</v>
      </c>
      <c r="AH12" s="53">
        <f t="shared" ref="AH12:AH20" si="50">AE12/$J12</f>
        <v>0.57058823529411762</v>
      </c>
      <c r="AI12" s="50">
        <f t="shared" si="37"/>
        <v>0.2389829354863188</v>
      </c>
      <c r="AJ12" s="50">
        <f t="shared" ref="AJ12:AJ20" si="51">AI12-AH12</f>
        <v>-0.33160529980779885</v>
      </c>
      <c r="AK12" s="52">
        <v>3878.7718520210319</v>
      </c>
      <c r="AL12" s="50">
        <f t="shared" ref="AL12:AL20" si="52">AK12/10000</f>
        <v>0.38787718520210318</v>
      </c>
      <c r="AM12" s="51"/>
      <c r="AN12" s="58"/>
      <c r="AO12" s="40">
        <v>914</v>
      </c>
      <c r="AP12" s="40" t="s">
        <v>585</v>
      </c>
      <c r="AQ12" s="40">
        <v>4.0999999999999996</v>
      </c>
      <c r="AR12" s="53">
        <f t="shared" ref="AR12:AR20" si="53">AO12/$J12</f>
        <v>0.59738562091503267</v>
      </c>
      <c r="AS12" s="50">
        <f t="shared" si="38"/>
        <v>0.26026240557404379</v>
      </c>
      <c r="AT12" s="50">
        <f t="shared" ref="AT12:AT20" si="54">AS12-AR12</f>
        <v>-0.33712321534098888</v>
      </c>
      <c r="AU12" s="52">
        <v>3167.7678793714476</v>
      </c>
      <c r="AV12" s="50">
        <f t="shared" ref="AV12:AV20" si="55">AU12/10000</f>
        <v>0.31677678793714475</v>
      </c>
      <c r="AW12" s="51"/>
      <c r="AX12" s="58"/>
      <c r="AY12" s="40">
        <v>950</v>
      </c>
      <c r="AZ12" s="40" t="s">
        <v>585</v>
      </c>
      <c r="BA12" s="40">
        <v>5.14</v>
      </c>
      <c r="BB12" s="53">
        <f t="shared" ref="BB12:BB20" si="56">AY12/$J12</f>
        <v>0.62091503267973858</v>
      </c>
      <c r="BC12" s="50">
        <f t="shared" si="39"/>
        <v>0.28046527990085585</v>
      </c>
      <c r="BD12" s="50">
        <f t="shared" ref="BD12:BD20" si="57">BC12-BB12</f>
        <v>-0.34044975277888273</v>
      </c>
      <c r="BE12" s="52">
        <v>2639.9604457553482</v>
      </c>
      <c r="BF12" s="50">
        <f t="shared" ref="BF12:BF20" si="58">BE12/10000</f>
        <v>0.26399604457553483</v>
      </c>
      <c r="BG12" s="51"/>
      <c r="BH12" s="58"/>
      <c r="BI12" s="84">
        <v>902</v>
      </c>
      <c r="BJ12" s="84" t="s">
        <v>585</v>
      </c>
      <c r="BK12" s="85">
        <v>4.45</v>
      </c>
      <c r="BL12" s="53">
        <f t="shared" ref="BL12:BL20" si="59">BI12/$J12</f>
        <v>0.58954248366013073</v>
      </c>
      <c r="BM12" s="50">
        <f t="shared" si="40"/>
        <v>0.25385184948645756</v>
      </c>
      <c r="BN12" s="50">
        <f t="shared" ref="BN12:BN20" si="60">BM12-BL12</f>
        <v>-0.33569063417367317</v>
      </c>
      <c r="BO12" s="52">
        <v>3362.8665106864869</v>
      </c>
      <c r="BP12" s="77">
        <f t="shared" si="41"/>
        <v>0.33628665106864869</v>
      </c>
      <c r="BQ12" s="51"/>
      <c r="BR12" s="58"/>
      <c r="BS12" s="84">
        <v>453</v>
      </c>
      <c r="BT12" s="84" t="s">
        <v>585</v>
      </c>
      <c r="BU12" s="85">
        <v>5.15</v>
      </c>
      <c r="BV12" s="53">
        <f t="shared" ref="BV12:BV20" si="61">BS12/$J12</f>
        <v>0.29607843137254902</v>
      </c>
      <c r="BW12" s="50">
        <f t="shared" si="42"/>
        <v>9.1615598566720954E-2</v>
      </c>
      <c r="BX12" s="50">
        <f t="shared" ref="BX12:BX20" si="62">BW12-BV12</f>
        <v>-0.20446283280582805</v>
      </c>
      <c r="BY12" s="52">
        <v>30611.708486004038</v>
      </c>
      <c r="BZ12" s="77">
        <f t="shared" si="43"/>
        <v>3.0611708486004039</v>
      </c>
      <c r="CA12" s="51"/>
      <c r="CB12" s="58"/>
    </row>
    <row r="13" spans="1:80" x14ac:dyDescent="0.2">
      <c r="A13" s="42" t="s">
        <v>2</v>
      </c>
      <c r="B13" s="40">
        <v>78</v>
      </c>
      <c r="C13" s="66">
        <f t="shared" si="33"/>
        <v>6.35</v>
      </c>
      <c r="D13" s="67">
        <f t="shared" si="34"/>
        <v>65.132837718231713</v>
      </c>
      <c r="E13" s="67">
        <v>840427.00709994102</v>
      </c>
      <c r="F13" s="50">
        <v>0.41446452428724656</v>
      </c>
      <c r="G13" s="52">
        <f t="shared" si="31"/>
        <v>927870.49170852953</v>
      </c>
      <c r="H13" s="69">
        <f t="shared" si="32"/>
        <v>1.0777366118828235</v>
      </c>
      <c r="I13" s="52">
        <f>D13*Model!$C$68*Model!$C$69/Model!$C$70*'Sediment SPME'!F13*Model!$C$71</f>
        <v>2.9494739801775691</v>
      </c>
      <c r="J13" s="70">
        <v>687.66666666666663</v>
      </c>
      <c r="K13" s="40">
        <v>390</v>
      </c>
      <c r="L13" s="40" t="s">
        <v>585</v>
      </c>
      <c r="M13" s="40">
        <v>25.1</v>
      </c>
      <c r="N13" s="53">
        <f t="shared" si="44"/>
        <v>0.56713523994183235</v>
      </c>
      <c r="O13" s="50">
        <f t="shared" si="35"/>
        <v>0.23636513440039239</v>
      </c>
      <c r="P13" s="50">
        <f t="shared" si="45"/>
        <v>-0.33077010554143993</v>
      </c>
      <c r="Q13" s="52">
        <v>40953.016964252092</v>
      </c>
      <c r="R13" s="50">
        <f t="shared" si="46"/>
        <v>4.0953016964252091</v>
      </c>
      <c r="S13" s="51"/>
      <c r="T13" s="58"/>
      <c r="U13" s="40">
        <v>425</v>
      </c>
      <c r="V13" s="40" t="s">
        <v>585</v>
      </c>
      <c r="W13" s="40">
        <v>7.66</v>
      </c>
      <c r="X13" s="53">
        <f t="shared" si="47"/>
        <v>0.6180319922443045</v>
      </c>
      <c r="Y13" s="50">
        <f t="shared" si="36"/>
        <v>0.27790838873068574</v>
      </c>
      <c r="Z13" s="50">
        <f t="shared" si="48"/>
        <v>-0.34012360351361876</v>
      </c>
      <c r="AA13" s="52">
        <v>27784.979548226875</v>
      </c>
      <c r="AB13" s="50">
        <f t="shared" si="49"/>
        <v>2.7784979548226874</v>
      </c>
      <c r="AC13" s="51"/>
      <c r="AD13" s="58"/>
      <c r="AE13" s="40">
        <v>423</v>
      </c>
      <c r="AF13" s="40" t="s">
        <v>585</v>
      </c>
      <c r="AG13" s="40">
        <v>7.47</v>
      </c>
      <c r="AH13" s="53">
        <f t="shared" si="50"/>
        <v>0.61512360639844887</v>
      </c>
      <c r="AI13" s="50">
        <f t="shared" si="37"/>
        <v>0.2753526106492109</v>
      </c>
      <c r="AJ13" s="50">
        <f t="shared" si="51"/>
        <v>-0.33977099574923797</v>
      </c>
      <c r="AK13" s="52">
        <v>28423.33944600726</v>
      </c>
      <c r="AL13" s="50">
        <f t="shared" si="52"/>
        <v>2.8423339446007261</v>
      </c>
      <c r="AM13" s="51"/>
      <c r="AN13" s="58"/>
      <c r="AO13" s="40">
        <v>426</v>
      </c>
      <c r="AP13" s="40" t="s">
        <v>585</v>
      </c>
      <c r="AQ13" s="40">
        <v>4.09</v>
      </c>
      <c r="AR13" s="53">
        <f t="shared" si="53"/>
        <v>0.6194861851672322</v>
      </c>
      <c r="AS13" s="50">
        <f t="shared" si="38"/>
        <v>0.2791951367691855</v>
      </c>
      <c r="AT13" s="50">
        <f t="shared" si="54"/>
        <v>-0.34029104839804669</v>
      </c>
      <c r="AU13" s="52">
        <v>27470.394179742008</v>
      </c>
      <c r="AV13" s="50">
        <f t="shared" si="55"/>
        <v>2.747039417974201</v>
      </c>
      <c r="AW13" s="51"/>
      <c r="AX13" s="58"/>
      <c r="AY13" s="40">
        <v>453</v>
      </c>
      <c r="AZ13" s="40" t="s">
        <v>585</v>
      </c>
      <c r="BA13" s="40">
        <v>7.4</v>
      </c>
      <c r="BB13" s="53">
        <f t="shared" si="56"/>
        <v>0.65874939408628219</v>
      </c>
      <c r="BC13" s="50">
        <f t="shared" si="39"/>
        <v>0.31631821039113878</v>
      </c>
      <c r="BD13" s="50">
        <f t="shared" si="57"/>
        <v>-0.34243118369514342</v>
      </c>
      <c r="BE13" s="52">
        <v>20029.14329077537</v>
      </c>
      <c r="BF13" s="50">
        <f t="shared" si="58"/>
        <v>2.0029143290775369</v>
      </c>
      <c r="BG13" s="51"/>
      <c r="BH13" s="58"/>
      <c r="BI13" s="84">
        <v>437</v>
      </c>
      <c r="BJ13" s="84" t="s">
        <v>585</v>
      </c>
      <c r="BK13" s="85">
        <v>8.49</v>
      </c>
      <c r="BL13" s="53">
        <f t="shared" si="59"/>
        <v>0.63548230731943778</v>
      </c>
      <c r="BM13" s="50">
        <f t="shared" si="40"/>
        <v>0.29375155413129994</v>
      </c>
      <c r="BN13" s="50">
        <f t="shared" si="60"/>
        <v>-0.34173075318813784</v>
      </c>
      <c r="BO13" s="52">
        <v>24203.000433534824</v>
      </c>
      <c r="BP13" s="77">
        <f t="shared" si="41"/>
        <v>2.4203000433534823</v>
      </c>
      <c r="BQ13" s="51"/>
      <c r="BR13" s="58"/>
      <c r="BS13" s="84">
        <v>208</v>
      </c>
      <c r="BT13" s="84" t="s">
        <v>585</v>
      </c>
      <c r="BU13" s="85">
        <v>3.33</v>
      </c>
      <c r="BV13" s="53">
        <f t="shared" si="61"/>
        <v>0.30247212796897721</v>
      </c>
      <c r="BW13" s="50">
        <f t="shared" si="42"/>
        <v>9.4065602610554314E-2</v>
      </c>
      <c r="BX13" s="50">
        <f t="shared" si="62"/>
        <v>-0.20840652535842291</v>
      </c>
      <c r="BY13" s="52">
        <v>298367.44852382661</v>
      </c>
      <c r="BZ13" s="77">
        <f t="shared" si="43"/>
        <v>29.836744852382662</v>
      </c>
      <c r="CA13" s="51"/>
      <c r="CB13" s="58"/>
    </row>
    <row r="14" spans="1:80" x14ac:dyDescent="0.2">
      <c r="A14" s="42" t="s">
        <v>3</v>
      </c>
      <c r="B14" s="40">
        <v>121</v>
      </c>
      <c r="C14" s="66">
        <f t="shared" si="33"/>
        <v>6.64</v>
      </c>
      <c r="D14" s="67">
        <f t="shared" si="34"/>
        <v>86.337605559743807</v>
      </c>
      <c r="E14" s="67">
        <v>1771740.0399431253</v>
      </c>
      <c r="F14" s="50">
        <v>0.38291771022895116</v>
      </c>
      <c r="G14" s="52">
        <f t="shared" si="31"/>
        <v>1671496.4296008942</v>
      </c>
      <c r="H14" s="69">
        <f t="shared" si="32"/>
        <v>0.59826630933263281</v>
      </c>
      <c r="I14" s="52">
        <f>D14*Model!$C$68*Model!$C$69/Model!$C$70*'Sediment SPME'!F14*Model!$C$71</f>
        <v>3.612124069352487</v>
      </c>
      <c r="J14" s="70">
        <v>720</v>
      </c>
      <c r="K14" s="40">
        <v>459</v>
      </c>
      <c r="L14" s="40" t="s">
        <v>586</v>
      </c>
      <c r="M14" s="40">
        <v>10.6</v>
      </c>
      <c r="N14" s="53">
        <f t="shared" si="44"/>
        <v>0.63749999999999996</v>
      </c>
      <c r="O14" s="50">
        <f t="shared" si="35"/>
        <v>0.29564116040170746</v>
      </c>
      <c r="P14" s="50">
        <f t="shared" si="45"/>
        <v>-0.3418588395982925</v>
      </c>
      <c r="Q14" s="52">
        <v>105840.21891833023</v>
      </c>
      <c r="R14" s="50">
        <f t="shared" si="46"/>
        <v>10.584021891833023</v>
      </c>
      <c r="S14" s="51"/>
      <c r="T14" s="58"/>
      <c r="U14" s="40">
        <v>487</v>
      </c>
      <c r="V14" s="40" t="s">
        <v>586</v>
      </c>
      <c r="W14" s="40">
        <v>3.6</v>
      </c>
      <c r="X14" s="53">
        <f t="shared" si="47"/>
        <v>0.67638888888888893</v>
      </c>
      <c r="Y14" s="50">
        <f t="shared" si="36"/>
        <v>0.33461937597086677</v>
      </c>
      <c r="Z14" s="50">
        <f t="shared" si="48"/>
        <v>-0.34176951291802216</v>
      </c>
      <c r="AA14" s="52">
        <v>76750.207345161456</v>
      </c>
      <c r="AB14" s="50">
        <f t="shared" si="49"/>
        <v>7.6750207345161456</v>
      </c>
      <c r="AC14" s="51"/>
      <c r="AD14" s="58"/>
      <c r="AE14" s="40">
        <v>489</v>
      </c>
      <c r="AF14" s="40" t="s">
        <v>586</v>
      </c>
      <c r="AG14" s="40">
        <v>4.12</v>
      </c>
      <c r="AH14" s="53">
        <f t="shared" si="50"/>
        <v>0.6791666666666667</v>
      </c>
      <c r="AI14" s="50">
        <f t="shared" si="37"/>
        <v>0.3376010136309559</v>
      </c>
      <c r="AJ14" s="50">
        <f t="shared" si="51"/>
        <v>-0.34156565303571079</v>
      </c>
      <c r="AK14" s="52">
        <v>74947.679661739967</v>
      </c>
      <c r="AL14" s="50">
        <f t="shared" si="52"/>
        <v>7.4947679661739963</v>
      </c>
      <c r="AM14" s="51"/>
      <c r="AN14" s="58"/>
      <c r="AO14" s="40">
        <v>487</v>
      </c>
      <c r="AP14" s="40" t="s">
        <v>586</v>
      </c>
      <c r="AQ14" s="40">
        <v>2.87</v>
      </c>
      <c r="AR14" s="53">
        <f t="shared" si="53"/>
        <v>0.67638888888888893</v>
      </c>
      <c r="AS14" s="50">
        <f t="shared" si="38"/>
        <v>0.33461936028916134</v>
      </c>
      <c r="AT14" s="50">
        <f t="shared" si="54"/>
        <v>-0.34176952859972759</v>
      </c>
      <c r="AU14" s="52">
        <v>76750.216959092766</v>
      </c>
      <c r="AV14" s="50">
        <f t="shared" si="55"/>
        <v>7.675021695909277</v>
      </c>
      <c r="AW14" s="51"/>
      <c r="AX14" s="58"/>
      <c r="AY14" s="40">
        <v>486</v>
      </c>
      <c r="AZ14" s="40" t="s">
        <v>586</v>
      </c>
      <c r="BA14" s="40">
        <v>1.1599999999999999</v>
      </c>
      <c r="BB14" s="53">
        <f t="shared" si="56"/>
        <v>0.67500000000000004</v>
      </c>
      <c r="BC14" s="50">
        <f t="shared" si="39"/>
        <v>0.3331389404817599</v>
      </c>
      <c r="BD14" s="50">
        <f t="shared" si="57"/>
        <v>-0.34186105951824014</v>
      </c>
      <c r="BE14" s="52">
        <v>77664.190705088273</v>
      </c>
      <c r="BF14" s="50">
        <f t="shared" si="58"/>
        <v>7.7664190705088272</v>
      </c>
      <c r="BG14" s="51"/>
      <c r="BH14" s="58"/>
      <c r="BI14" s="84">
        <v>488</v>
      </c>
      <c r="BJ14" s="84" t="s">
        <v>586</v>
      </c>
      <c r="BK14" s="85">
        <v>2.88</v>
      </c>
      <c r="BL14" s="53">
        <f t="shared" si="59"/>
        <v>0.67777777777777781</v>
      </c>
      <c r="BM14" s="50">
        <f t="shared" si="40"/>
        <v>0.33610670461701725</v>
      </c>
      <c r="BN14" s="50">
        <f t="shared" si="60"/>
        <v>-0.34167107316076056</v>
      </c>
      <c r="BO14" s="52">
        <v>75844.737299459463</v>
      </c>
      <c r="BP14" s="77">
        <f t="shared" si="41"/>
        <v>7.5844737299459464</v>
      </c>
      <c r="BQ14" s="51"/>
      <c r="BR14" s="58"/>
      <c r="BS14" s="84">
        <v>231</v>
      </c>
      <c r="BT14" s="84" t="s">
        <v>586</v>
      </c>
      <c r="BU14" s="85">
        <v>4.0999999999999996</v>
      </c>
      <c r="BV14" s="53">
        <f t="shared" si="61"/>
        <v>0.32083333333333336</v>
      </c>
      <c r="BW14" s="50">
        <f t="shared" si="42"/>
        <v>0.1012806627917575</v>
      </c>
      <c r="BX14" s="50">
        <f t="shared" si="62"/>
        <v>-0.21955267054157585</v>
      </c>
      <c r="BY14" s="52">
        <v>1138838.3691019288</v>
      </c>
      <c r="BZ14" s="77">
        <f t="shared" si="43"/>
        <v>113.88383691019288</v>
      </c>
      <c r="CA14" s="51"/>
      <c r="CB14" s="58"/>
    </row>
    <row r="15" spans="1:80" x14ac:dyDescent="0.2">
      <c r="A15" s="42" t="s">
        <v>4</v>
      </c>
      <c r="B15" s="40">
        <v>104</v>
      </c>
      <c r="C15" s="66">
        <f t="shared" si="33"/>
        <v>5.81</v>
      </c>
      <c r="D15" s="67">
        <f t="shared" si="34"/>
        <v>86.337605559743807</v>
      </c>
      <c r="E15" s="67">
        <v>542750.20979631774</v>
      </c>
      <c r="F15" s="50">
        <v>0.38291771022895116</v>
      </c>
      <c r="G15" s="52">
        <f t="shared" si="31"/>
        <v>247232.43898158899</v>
      </c>
      <c r="H15" s="69">
        <f t="shared" si="32"/>
        <v>4.0447766649038659</v>
      </c>
      <c r="I15" s="52">
        <f>D15*Model!$C$68*Model!$C$69/Model!$C$70*'Sediment SPME'!F15*Model!$C$71</f>
        <v>3.612124069352487</v>
      </c>
      <c r="J15" s="70">
        <v>1626.6666666666667</v>
      </c>
      <c r="K15" s="40">
        <v>713</v>
      </c>
      <c r="L15" s="40" t="s">
        <v>585</v>
      </c>
      <c r="M15" s="40">
        <v>8.9499999999999993</v>
      </c>
      <c r="N15" s="53">
        <f t="shared" si="44"/>
        <v>0.43831967213114753</v>
      </c>
      <c r="O15" s="50">
        <f t="shared" si="35"/>
        <v>0.15514871795050822</v>
      </c>
      <c r="P15" s="50">
        <f t="shared" si="45"/>
        <v>-0.28317095418063931</v>
      </c>
      <c r="Q15" s="52">
        <v>43648.118812981324</v>
      </c>
      <c r="R15" s="50">
        <f t="shared" si="46"/>
        <v>4.3648118812981327</v>
      </c>
      <c r="S15" s="51"/>
      <c r="T15" s="58"/>
      <c r="U15" s="40">
        <v>740</v>
      </c>
      <c r="V15" s="40" t="s">
        <v>585</v>
      </c>
      <c r="W15" s="40">
        <v>3.04</v>
      </c>
      <c r="X15" s="53">
        <f t="shared" si="47"/>
        <v>0.45491803278688525</v>
      </c>
      <c r="Y15" s="50">
        <f t="shared" si="36"/>
        <v>0.1640782168740188</v>
      </c>
      <c r="Z15" s="50">
        <f t="shared" si="48"/>
        <v>-0.29083981591286645</v>
      </c>
      <c r="AA15" s="52">
        <v>38688.350936841947</v>
      </c>
      <c r="AB15" s="50">
        <f t="shared" si="49"/>
        <v>3.8688350936841949</v>
      </c>
      <c r="AC15" s="51"/>
      <c r="AD15" s="58"/>
      <c r="AE15" s="40">
        <v>778</v>
      </c>
      <c r="AF15" s="40" t="s">
        <v>585</v>
      </c>
      <c r="AG15" s="40">
        <v>3.48</v>
      </c>
      <c r="AH15" s="53">
        <f t="shared" si="50"/>
        <v>0.47827868852459016</v>
      </c>
      <c r="AI15" s="50">
        <f t="shared" si="37"/>
        <v>0.17732408106130859</v>
      </c>
      <c r="AJ15" s="50">
        <f t="shared" si="51"/>
        <v>-0.30095460746328156</v>
      </c>
      <c r="AK15" s="52">
        <v>32671.291060306845</v>
      </c>
      <c r="AL15" s="50">
        <f t="shared" si="52"/>
        <v>3.2671291060306844</v>
      </c>
      <c r="AM15" s="51"/>
      <c r="AN15" s="58"/>
      <c r="AO15" s="40">
        <v>777</v>
      </c>
      <c r="AP15" s="40" t="s">
        <v>585</v>
      </c>
      <c r="AQ15" s="40">
        <v>2.42</v>
      </c>
      <c r="AR15" s="53">
        <f t="shared" si="53"/>
        <v>0.47766393442622951</v>
      </c>
      <c r="AS15" s="50">
        <f t="shared" si="38"/>
        <v>0.17696479835049986</v>
      </c>
      <c r="AT15" s="50">
        <f t="shared" si="54"/>
        <v>-0.30069913607572962</v>
      </c>
      <c r="AU15" s="52">
        <v>32816.785938636902</v>
      </c>
      <c r="AV15" s="50">
        <f t="shared" si="55"/>
        <v>3.2816785938636901</v>
      </c>
      <c r="AW15" s="51"/>
      <c r="AX15" s="58"/>
      <c r="AY15" s="40">
        <v>808</v>
      </c>
      <c r="AZ15" s="40" t="s">
        <v>585</v>
      </c>
      <c r="BA15" s="40">
        <v>0.97899999999999998</v>
      </c>
      <c r="BB15" s="53">
        <f t="shared" si="56"/>
        <v>0.49672131147540982</v>
      </c>
      <c r="BC15" s="50">
        <f t="shared" si="39"/>
        <v>0.18838755158954518</v>
      </c>
      <c r="BD15" s="50">
        <f t="shared" si="57"/>
        <v>-0.30833375988586464</v>
      </c>
      <c r="BE15" s="52">
        <v>28593.125010741936</v>
      </c>
      <c r="BF15" s="50">
        <f t="shared" si="58"/>
        <v>2.8593125010741938</v>
      </c>
      <c r="BG15" s="51"/>
      <c r="BH15" s="58"/>
      <c r="BI15" s="84">
        <v>800</v>
      </c>
      <c r="BJ15" s="84" t="s">
        <v>585</v>
      </c>
      <c r="BK15" s="85">
        <v>2.44</v>
      </c>
      <c r="BL15" s="53">
        <f t="shared" si="59"/>
        <v>0.49180327868852458</v>
      </c>
      <c r="BM15" s="50">
        <f t="shared" si="40"/>
        <v>0.18538235860273694</v>
      </c>
      <c r="BN15" s="50">
        <f t="shared" si="60"/>
        <v>-0.30642092008578764</v>
      </c>
      <c r="BO15" s="52">
        <v>29628.467453478763</v>
      </c>
      <c r="BP15" s="77">
        <f t="shared" si="41"/>
        <v>2.9628467453478762</v>
      </c>
      <c r="BQ15" s="51"/>
      <c r="BR15" s="58"/>
      <c r="BS15" s="84">
        <v>376</v>
      </c>
      <c r="BT15" s="84" t="s">
        <v>585</v>
      </c>
      <c r="BU15" s="85">
        <v>3.47</v>
      </c>
      <c r="BV15" s="53">
        <f t="shared" si="61"/>
        <v>0.23114754098360654</v>
      </c>
      <c r="BW15" s="50">
        <f t="shared" si="42"/>
        <v>6.8339333846698075E-2</v>
      </c>
      <c r="BX15" s="50">
        <f t="shared" si="62"/>
        <v>-0.16280820713690847</v>
      </c>
      <c r="BY15" s="52">
        <v>238845.79503019212</v>
      </c>
      <c r="BZ15" s="77">
        <f t="shared" si="43"/>
        <v>23.884579503019211</v>
      </c>
      <c r="CA15" s="51"/>
      <c r="CB15" s="58"/>
    </row>
    <row r="16" spans="1:80" x14ac:dyDescent="0.2">
      <c r="A16" s="42" t="s">
        <v>5</v>
      </c>
      <c r="B16" s="40">
        <v>142</v>
      </c>
      <c r="C16" s="66">
        <f t="shared" si="33"/>
        <v>6.51</v>
      </c>
      <c r="D16" s="67">
        <f t="shared" si="34"/>
        <v>114.4458370758713</v>
      </c>
      <c r="E16" s="67">
        <v>2280867.2006219607</v>
      </c>
      <c r="F16" s="50">
        <v>0.35659524089143563</v>
      </c>
      <c r="G16" s="52">
        <f t="shared" si="31"/>
        <v>1153919.5804376157</v>
      </c>
      <c r="H16" s="69">
        <f t="shared" si="32"/>
        <v>0.86661151864738895</v>
      </c>
      <c r="I16" s="52">
        <f>D16*Model!$C$68*Model!$C$69/Model!$C$70*'Sediment SPME'!F16*Model!$C$71</f>
        <v>4.4589515004665614</v>
      </c>
      <c r="J16" s="70">
        <v>3796.6666666666665</v>
      </c>
      <c r="K16" s="40">
        <v>2010</v>
      </c>
      <c r="L16" s="40" t="s">
        <v>586</v>
      </c>
      <c r="M16" s="40">
        <v>6.98</v>
      </c>
      <c r="N16" s="53">
        <f t="shared" si="44"/>
        <v>0.52941176470588236</v>
      </c>
      <c r="O16" s="50">
        <f t="shared" si="35"/>
        <v>0.20945122746622044</v>
      </c>
      <c r="P16" s="50">
        <f t="shared" si="45"/>
        <v>-0.31996053723966189</v>
      </c>
      <c r="Q16" s="52">
        <v>398278.75318167504</v>
      </c>
      <c r="R16" s="50">
        <f t="shared" si="46"/>
        <v>39.827875318167507</v>
      </c>
      <c r="S16" s="51"/>
      <c r="T16" s="58"/>
      <c r="U16" s="40">
        <v>2160</v>
      </c>
      <c r="V16" s="40" t="s">
        <v>586</v>
      </c>
      <c r="W16" s="40">
        <v>4.51</v>
      </c>
      <c r="X16" s="53">
        <f t="shared" si="47"/>
        <v>0.56892010535557513</v>
      </c>
      <c r="Y16" s="50">
        <f t="shared" si="36"/>
        <v>0.23771494115600478</v>
      </c>
      <c r="Z16" s="50">
        <f t="shared" si="48"/>
        <v>-0.33120516419957036</v>
      </c>
      <c r="AA16" s="52">
        <v>297648.83928879269</v>
      </c>
      <c r="AB16" s="50">
        <f t="shared" si="49"/>
        <v>29.764883928879268</v>
      </c>
      <c r="AC16" s="51"/>
      <c r="AD16" s="58"/>
      <c r="AE16" s="40">
        <v>2250</v>
      </c>
      <c r="AF16" s="40" t="s">
        <v>586</v>
      </c>
      <c r="AG16" s="40">
        <v>11.6</v>
      </c>
      <c r="AH16" s="53">
        <f t="shared" si="50"/>
        <v>0.59262510974539073</v>
      </c>
      <c r="AI16" s="50">
        <f t="shared" si="37"/>
        <v>0.25635286851536687</v>
      </c>
      <c r="AJ16" s="50">
        <f t="shared" si="51"/>
        <v>-0.33627224123002386</v>
      </c>
      <c r="AK16" s="52">
        <v>248960.87228531268</v>
      </c>
      <c r="AL16" s="50">
        <f t="shared" si="52"/>
        <v>24.896087228531268</v>
      </c>
      <c r="AM16" s="51"/>
      <c r="AN16" s="58"/>
      <c r="AO16" s="40">
        <v>2250</v>
      </c>
      <c r="AP16" s="40" t="s">
        <v>586</v>
      </c>
      <c r="AQ16" s="40">
        <v>1.68</v>
      </c>
      <c r="AR16" s="53">
        <f t="shared" si="53"/>
        <v>0.59262510974539073</v>
      </c>
      <c r="AS16" s="50">
        <f t="shared" si="38"/>
        <v>0.25635286851536687</v>
      </c>
      <c r="AT16" s="50">
        <f t="shared" si="54"/>
        <v>-0.33627224123002386</v>
      </c>
      <c r="AU16" s="52">
        <v>248960.87228531268</v>
      </c>
      <c r="AV16" s="50">
        <f t="shared" si="55"/>
        <v>24.896087228531268</v>
      </c>
      <c r="AW16" s="51"/>
      <c r="AX16" s="58"/>
      <c r="AY16" s="40">
        <v>2230</v>
      </c>
      <c r="AZ16" s="40" t="s">
        <v>586</v>
      </c>
      <c r="BA16" s="40">
        <v>2.06</v>
      </c>
      <c r="BB16" s="53">
        <f t="shared" si="56"/>
        <v>0.5873573309920983</v>
      </c>
      <c r="BC16" s="50">
        <f t="shared" si="39"/>
        <v>0.25209334843627113</v>
      </c>
      <c r="BD16" s="50">
        <f t="shared" si="57"/>
        <v>-0.33526398255582718</v>
      </c>
      <c r="BE16" s="52">
        <v>259123.70715215764</v>
      </c>
      <c r="BF16" s="50">
        <f t="shared" si="58"/>
        <v>25.912370715215765</v>
      </c>
      <c r="BG16" s="51"/>
      <c r="BH16" s="58"/>
      <c r="BI16" s="84">
        <v>2270</v>
      </c>
      <c r="BJ16" s="84" t="s">
        <v>586</v>
      </c>
      <c r="BK16" s="85">
        <v>1.92</v>
      </c>
      <c r="BL16" s="53">
        <f t="shared" si="59"/>
        <v>0.59789288849868305</v>
      </c>
      <c r="BM16" s="50">
        <f t="shared" si="40"/>
        <v>0.26068241885830007</v>
      </c>
      <c r="BN16" s="50">
        <f t="shared" si="60"/>
        <v>-0.33721046964038298</v>
      </c>
      <c r="BO16" s="52">
        <v>239148.54654788089</v>
      </c>
      <c r="BP16" s="77">
        <f t="shared" si="41"/>
        <v>23.91485465478809</v>
      </c>
      <c r="BQ16" s="51"/>
      <c r="BR16" s="58"/>
      <c r="BS16" s="84">
        <v>1070</v>
      </c>
      <c r="BT16" s="84" t="s">
        <v>586</v>
      </c>
      <c r="BU16" s="85">
        <v>2.2200000000000002</v>
      </c>
      <c r="BV16" s="53">
        <f t="shared" si="61"/>
        <v>0.28182616330114135</v>
      </c>
      <c r="BW16" s="50">
        <f t="shared" si="42"/>
        <v>8.6263712846153792E-2</v>
      </c>
      <c r="BX16" s="50">
        <f t="shared" si="62"/>
        <v>-0.19556245045498755</v>
      </c>
      <c r="BY16" s="52">
        <v>2624548.7803373882</v>
      </c>
      <c r="BZ16" s="77">
        <f t="shared" si="43"/>
        <v>262.45487803373879</v>
      </c>
      <c r="CA16" s="51"/>
      <c r="CB16" s="58"/>
    </row>
    <row r="17" spans="1:80" x14ac:dyDescent="0.2">
      <c r="A17" s="42" t="s">
        <v>6</v>
      </c>
      <c r="B17" s="40">
        <v>155</v>
      </c>
      <c r="C17" s="66">
        <f t="shared" si="33"/>
        <v>6.41</v>
      </c>
      <c r="D17" s="67">
        <f t="shared" si="34"/>
        <v>114.4458370758713</v>
      </c>
      <c r="E17" s="67">
        <v>3630780.5477010179</v>
      </c>
      <c r="F17" s="50">
        <v>0.35659524089143563</v>
      </c>
      <c r="G17" s="52">
        <f t="shared" si="31"/>
        <v>916590.90334279404</v>
      </c>
      <c r="H17" s="69">
        <f t="shared" si="32"/>
        <v>1.0909992629787337</v>
      </c>
      <c r="I17" s="52">
        <f>D17*Model!$C$68*Model!$C$69/Model!$C$70*'Sediment SPME'!F17*Model!$C$71</f>
        <v>4.4589515004665614</v>
      </c>
      <c r="J17" s="70">
        <v>557</v>
      </c>
      <c r="K17" s="40">
        <v>344</v>
      </c>
      <c r="L17" s="40" t="s">
        <v>585</v>
      </c>
      <c r="M17" s="40">
        <v>3.24</v>
      </c>
      <c r="N17" s="53">
        <f t="shared" si="44"/>
        <v>0.61759425493716336</v>
      </c>
      <c r="O17" s="50">
        <f t="shared" si="35"/>
        <v>0.27752199983968473</v>
      </c>
      <c r="P17" s="50">
        <f t="shared" si="45"/>
        <v>-0.34007225509747863</v>
      </c>
      <c r="Q17" s="52">
        <v>520352.72461936087</v>
      </c>
      <c r="R17" s="50">
        <f t="shared" si="46"/>
        <v>52.035272461936088</v>
      </c>
      <c r="S17" s="51"/>
      <c r="T17" s="58"/>
      <c r="U17" s="40">
        <v>347</v>
      </c>
      <c r="V17" s="40" t="s">
        <v>585</v>
      </c>
      <c r="W17" s="40">
        <v>3.35</v>
      </c>
      <c r="X17" s="53">
        <f t="shared" si="47"/>
        <v>0.62298025134649915</v>
      </c>
      <c r="Y17" s="50">
        <f t="shared" si="36"/>
        <v>0.28231137509758375</v>
      </c>
      <c r="Z17" s="50">
        <f t="shared" si="48"/>
        <v>-0.3406688762489154</v>
      </c>
      <c r="AA17" s="52">
        <v>498823.67621087685</v>
      </c>
      <c r="AB17" s="50">
        <f t="shared" si="49"/>
        <v>49.882367621087681</v>
      </c>
      <c r="AC17" s="51"/>
      <c r="AD17" s="58"/>
      <c r="AE17" s="40">
        <v>354</v>
      </c>
      <c r="AF17" s="40" t="s">
        <v>585</v>
      </c>
      <c r="AG17" s="40">
        <v>0.72499999999999998</v>
      </c>
      <c r="AH17" s="53">
        <f t="shared" si="50"/>
        <v>0.63554757630161585</v>
      </c>
      <c r="AI17" s="50">
        <f t="shared" si="37"/>
        <v>0.29381250801593706</v>
      </c>
      <c r="AJ17" s="50">
        <f t="shared" si="51"/>
        <v>-0.34173506828567879</v>
      </c>
      <c r="AK17" s="52">
        <v>451484.03461490758</v>
      </c>
      <c r="AL17" s="50">
        <f t="shared" si="52"/>
        <v>45.148403461490759</v>
      </c>
      <c r="AM17" s="51"/>
      <c r="AN17" s="58"/>
      <c r="AO17" s="40">
        <v>351</v>
      </c>
      <c r="AP17" s="40" t="s">
        <v>585</v>
      </c>
      <c r="AQ17" s="40">
        <v>0.70299999999999996</v>
      </c>
      <c r="AR17" s="53">
        <f t="shared" si="53"/>
        <v>0.63016157989228005</v>
      </c>
      <c r="AS17" s="50">
        <f t="shared" si="38"/>
        <v>0.28882650497191831</v>
      </c>
      <c r="AT17" s="50">
        <f t="shared" si="54"/>
        <v>-0.34133507492036175</v>
      </c>
      <c r="AU17" s="52">
        <v>471290.21305836266</v>
      </c>
      <c r="AV17" s="50">
        <f t="shared" si="55"/>
        <v>47.129021305836268</v>
      </c>
      <c r="AW17" s="51"/>
      <c r="AX17" s="58"/>
      <c r="AY17" s="40">
        <v>356</v>
      </c>
      <c r="AZ17" s="40" t="s">
        <v>585</v>
      </c>
      <c r="BA17" s="40">
        <v>0.51200000000000001</v>
      </c>
      <c r="BB17" s="53">
        <f t="shared" si="56"/>
        <v>0.6391382405745063</v>
      </c>
      <c r="BC17" s="50">
        <f t="shared" si="39"/>
        <v>0.29718503789699169</v>
      </c>
      <c r="BD17" s="50">
        <f t="shared" si="57"/>
        <v>-0.34195320267751461</v>
      </c>
      <c r="BE17" s="52">
        <v>438667.84856894001</v>
      </c>
      <c r="BF17" s="50">
        <v>47.129021305836268</v>
      </c>
      <c r="BG17" s="51"/>
      <c r="BH17" s="58"/>
      <c r="BI17" s="84">
        <v>358</v>
      </c>
      <c r="BJ17" s="84" t="s">
        <v>585</v>
      </c>
      <c r="BK17" s="85">
        <v>0.56999999999999995</v>
      </c>
      <c r="BL17" s="53">
        <f t="shared" si="59"/>
        <v>0.64272890484739675</v>
      </c>
      <c r="BM17" s="50">
        <f t="shared" si="40"/>
        <v>0.30059708036609345</v>
      </c>
      <c r="BN17" s="50">
        <f t="shared" si="60"/>
        <v>-0.3421318244813033</v>
      </c>
      <c r="BO17" s="52">
        <v>426153.64062381012</v>
      </c>
      <c r="BP17" s="77">
        <v>47.129021305836268</v>
      </c>
      <c r="BQ17" s="51"/>
      <c r="BR17" s="58"/>
      <c r="BS17" s="84">
        <v>166</v>
      </c>
      <c r="BT17" s="84" t="s">
        <v>585</v>
      </c>
      <c r="BU17" s="85">
        <v>3.07</v>
      </c>
      <c r="BV17" s="53">
        <f t="shared" si="61"/>
        <v>0.29802513464991021</v>
      </c>
      <c r="BW17" s="50">
        <f t="shared" si="42"/>
        <v>9.2358321686600964E-2</v>
      </c>
      <c r="BX17" s="50">
        <f t="shared" si="62"/>
        <v>-0.20566681296330924</v>
      </c>
      <c r="BY17" s="52">
        <v>5782159.9872052539</v>
      </c>
      <c r="BZ17" s="77">
        <v>47.129021305836268</v>
      </c>
      <c r="CA17" s="51"/>
      <c r="CB17" s="58"/>
    </row>
    <row r="18" spans="1:80" x14ac:dyDescent="0.2">
      <c r="A18" s="42" t="s">
        <v>7</v>
      </c>
      <c r="B18" s="40">
        <v>192</v>
      </c>
      <c r="C18" s="66">
        <f t="shared" si="33"/>
        <v>7.52</v>
      </c>
      <c r="D18" s="67">
        <f t="shared" si="34"/>
        <v>151.70503674593371</v>
      </c>
      <c r="E18" s="67">
        <v>12589254.117941668</v>
      </c>
      <c r="F18" s="50">
        <v>0.33424680832245074</v>
      </c>
      <c r="G18" s="52">
        <f t="shared" si="31"/>
        <v>11067952.049178969</v>
      </c>
      <c r="H18" s="69">
        <f t="shared" si="32"/>
        <v>9.0350951608448735E-2</v>
      </c>
      <c r="I18" s="52">
        <f>D18*Model!$C$68*Model!$C$69/Model!$C$70*'Sediment SPME'!F18*Model!$C$71</f>
        <v>5.5401876487861239</v>
      </c>
      <c r="J18" s="70">
        <v>765</v>
      </c>
      <c r="K18" s="40">
        <v>598</v>
      </c>
      <c r="L18" s="40" t="s">
        <v>586</v>
      </c>
      <c r="M18" s="40">
        <v>5.56</v>
      </c>
      <c r="N18" s="53">
        <f t="shared" si="44"/>
        <v>0.78169934640522876</v>
      </c>
      <c r="O18" s="50">
        <f t="shared" si="35"/>
        <v>0.47041394268968956</v>
      </c>
      <c r="P18" s="50">
        <f t="shared" si="45"/>
        <v>-0.3112854037155392</v>
      </c>
      <c r="Q18" s="52">
        <v>1401530.872797919</v>
      </c>
      <c r="R18" s="50">
        <f t="shared" si="46"/>
        <v>140.15308727979189</v>
      </c>
      <c r="S18" s="51"/>
      <c r="T18" s="58"/>
      <c r="U18" s="40">
        <v>597</v>
      </c>
      <c r="V18" s="40" t="s">
        <v>586</v>
      </c>
      <c r="W18" s="40">
        <v>2.4</v>
      </c>
      <c r="X18" s="53">
        <f t="shared" si="47"/>
        <v>0.7803921568627451</v>
      </c>
      <c r="Y18" s="50">
        <f t="shared" si="36"/>
        <v>0.4683969138591591</v>
      </c>
      <c r="Z18" s="50">
        <f t="shared" si="48"/>
        <v>-0.311995243003586</v>
      </c>
      <c r="AA18" s="52">
        <v>1422126.1191132015</v>
      </c>
      <c r="AB18" s="50">
        <f t="shared" si="49"/>
        <v>142.21261191132015</v>
      </c>
      <c r="AC18" s="51"/>
      <c r="AD18" s="58"/>
      <c r="AE18" s="40">
        <v>591</v>
      </c>
      <c r="AF18" s="40" t="s">
        <v>586</v>
      </c>
      <c r="AG18" s="40">
        <v>3.8</v>
      </c>
      <c r="AH18" s="53">
        <f t="shared" si="50"/>
        <v>0.77254901960784317</v>
      </c>
      <c r="AI18" s="50">
        <f t="shared" si="37"/>
        <v>0.45649406800791226</v>
      </c>
      <c r="AJ18" s="50">
        <f t="shared" si="51"/>
        <v>-0.31605495159993091</v>
      </c>
      <c r="AK18" s="52">
        <v>1550108.0885913619</v>
      </c>
      <c r="AL18" s="50">
        <f t="shared" si="52"/>
        <v>155.01080885913618</v>
      </c>
      <c r="AM18" s="51"/>
      <c r="AN18" s="58"/>
      <c r="AO18" s="40">
        <v>602</v>
      </c>
      <c r="AP18" s="40" t="s">
        <v>586</v>
      </c>
      <c r="AQ18" s="40">
        <v>1.23</v>
      </c>
      <c r="AR18" s="53">
        <f t="shared" si="53"/>
        <v>0.78692810457516338</v>
      </c>
      <c r="AS18" s="50">
        <f t="shared" si="38"/>
        <v>0.47858014375254776</v>
      </c>
      <c r="AT18" s="50">
        <f t="shared" si="54"/>
        <v>-0.30834796082261562</v>
      </c>
      <c r="AU18" s="52">
        <v>1321183.7861614805</v>
      </c>
      <c r="AV18" s="50">
        <f t="shared" si="55"/>
        <v>132.11837861614805</v>
      </c>
      <c r="AW18" s="51"/>
      <c r="AX18" s="58"/>
      <c r="AY18" s="40">
        <v>606</v>
      </c>
      <c r="AZ18" s="40" t="s">
        <v>586</v>
      </c>
      <c r="BA18" s="40">
        <v>1.33</v>
      </c>
      <c r="BB18" s="53">
        <f t="shared" si="56"/>
        <v>0.792156862745098</v>
      </c>
      <c r="BC18" s="50">
        <f t="shared" si="39"/>
        <v>0.48690468814154786</v>
      </c>
      <c r="BD18" s="50">
        <f t="shared" si="57"/>
        <v>-0.30525217460355014</v>
      </c>
      <c r="BE18" s="52">
        <v>1244034.7373577128</v>
      </c>
      <c r="BF18" s="50">
        <f t="shared" si="58"/>
        <v>124.40347373577129</v>
      </c>
      <c r="BG18" s="51">
        <v>0</v>
      </c>
      <c r="BH18" s="58"/>
      <c r="BI18" s="84">
        <v>593</v>
      </c>
      <c r="BJ18" s="84" t="s">
        <v>586</v>
      </c>
      <c r="BK18" s="85">
        <v>1.66</v>
      </c>
      <c r="BL18" s="53">
        <f t="shared" si="59"/>
        <v>0.77516339869281048</v>
      </c>
      <c r="BM18" s="50">
        <f t="shared" si="40"/>
        <v>0.46042390133758754</v>
      </c>
      <c r="BN18" s="50">
        <f t="shared" si="60"/>
        <v>-0.31473949735522294</v>
      </c>
      <c r="BO18" s="52">
        <v>1506599.0066241485</v>
      </c>
      <c r="BP18" s="77">
        <f>BO18/10000</f>
        <v>150.65990066241486</v>
      </c>
      <c r="BQ18" s="51"/>
      <c r="BR18" s="58"/>
      <c r="BS18" s="84">
        <v>302</v>
      </c>
      <c r="BT18" s="84" t="s">
        <v>586</v>
      </c>
      <c r="BU18" s="85">
        <v>2.25</v>
      </c>
      <c r="BV18" s="53">
        <f t="shared" si="61"/>
        <v>0.39477124183006534</v>
      </c>
      <c r="BW18" s="50">
        <f t="shared" si="42"/>
        <v>0.13342550818476456</v>
      </c>
      <c r="BX18" s="50">
        <f t="shared" si="62"/>
        <v>-0.26134573364530078</v>
      </c>
      <c r="BY18" s="52">
        <v>32368910.404346071</v>
      </c>
      <c r="BZ18" s="77">
        <f>BY18/10000</f>
        <v>3236.891040434607</v>
      </c>
      <c r="CA18" s="51"/>
      <c r="CB18" s="58"/>
    </row>
    <row r="19" spans="1:80" x14ac:dyDescent="0.2">
      <c r="A19" s="42" t="s">
        <v>8</v>
      </c>
      <c r="B19" s="40">
        <v>184</v>
      </c>
      <c r="C19" s="66">
        <f t="shared" si="33"/>
        <v>6.85</v>
      </c>
      <c r="D19" s="67">
        <f t="shared" si="34"/>
        <v>151.70503674593371</v>
      </c>
      <c r="E19" s="67">
        <v>6280583.5881331861</v>
      </c>
      <c r="F19" s="50">
        <v>0.33424680832245074</v>
      </c>
      <c r="G19" s="52">
        <f t="shared" si="31"/>
        <v>2366286.1889573205</v>
      </c>
      <c r="H19" s="69">
        <f t="shared" si="32"/>
        <v>0.42260315116010533</v>
      </c>
      <c r="I19" s="52">
        <f>D19*Model!$C$68*Model!$C$69/Model!$C$70*'Sediment SPME'!F19*Model!$C$71</f>
        <v>5.5401876487861239</v>
      </c>
      <c r="J19" s="70">
        <v>709.66666666666663</v>
      </c>
      <c r="K19" s="40">
        <v>499</v>
      </c>
      <c r="L19" s="40" t="s">
        <v>585</v>
      </c>
      <c r="M19" s="40">
        <v>4.21</v>
      </c>
      <c r="N19" s="53">
        <f t="shared" si="44"/>
        <v>0.70314701737905128</v>
      </c>
      <c r="O19" s="50">
        <f t="shared" si="35"/>
        <v>0.36454270172551262</v>
      </c>
      <c r="P19" s="50">
        <f t="shared" si="45"/>
        <v>-0.33860431565353866</v>
      </c>
      <c r="Q19" s="52">
        <v>762980.09050998371</v>
      </c>
      <c r="R19" s="50">
        <f t="shared" si="46"/>
        <v>76.298009050998374</v>
      </c>
      <c r="S19" s="51"/>
      <c r="T19" s="58"/>
      <c r="U19" s="40">
        <v>466</v>
      </c>
      <c r="V19" s="40" t="s">
        <v>585</v>
      </c>
      <c r="W19" s="40">
        <v>1.82</v>
      </c>
      <c r="X19" s="53">
        <f t="shared" si="47"/>
        <v>0.65664631282292163</v>
      </c>
      <c r="Y19" s="50">
        <f t="shared" si="36"/>
        <v>0.31420688876349562</v>
      </c>
      <c r="Z19" s="50">
        <f t="shared" si="48"/>
        <v>-0.34243942405942601</v>
      </c>
      <c r="AA19" s="52">
        <v>1138185.3260918611</v>
      </c>
      <c r="AB19" s="50">
        <f t="shared" si="49"/>
        <v>113.81853260918611</v>
      </c>
      <c r="AC19" s="51"/>
      <c r="AD19" s="58"/>
      <c r="AE19" s="40">
        <v>496</v>
      </c>
      <c r="AF19" s="40" t="s">
        <v>585</v>
      </c>
      <c r="AG19" s="40">
        <v>2.88</v>
      </c>
      <c r="AH19" s="53">
        <f t="shared" si="50"/>
        <v>0.69891968060122123</v>
      </c>
      <c r="AI19" s="50">
        <f t="shared" si="37"/>
        <v>0.35963207371406275</v>
      </c>
      <c r="AJ19" s="50">
        <f t="shared" si="51"/>
        <v>-0.33928760688715848</v>
      </c>
      <c r="AK19" s="52">
        <v>792423.17808035831</v>
      </c>
      <c r="AL19" s="50">
        <f t="shared" si="52"/>
        <v>79.242317808035835</v>
      </c>
      <c r="AM19" s="51"/>
      <c r="AN19" s="58"/>
      <c r="AO19" s="40">
        <v>481</v>
      </c>
      <c r="AP19" s="40" t="s">
        <v>585</v>
      </c>
      <c r="AQ19" s="40">
        <v>0.93</v>
      </c>
      <c r="AR19" s="53">
        <f t="shared" si="53"/>
        <v>0.67778299671207143</v>
      </c>
      <c r="AS19" s="50">
        <f t="shared" si="38"/>
        <v>0.33611230082247601</v>
      </c>
      <c r="AT19" s="50">
        <f t="shared" si="54"/>
        <v>-0.34167069588959542</v>
      </c>
      <c r="AU19" s="52">
        <v>953028.91952216625</v>
      </c>
      <c r="AV19" s="50">
        <f t="shared" si="55"/>
        <v>95.302891952216626</v>
      </c>
      <c r="AW19" s="51"/>
      <c r="AX19" s="58"/>
      <c r="AY19" s="40">
        <v>479</v>
      </c>
      <c r="AZ19" s="40" t="s">
        <v>585</v>
      </c>
      <c r="BA19" s="40">
        <v>1.01</v>
      </c>
      <c r="BB19" s="53">
        <f t="shared" si="56"/>
        <v>0.67496477219351814</v>
      </c>
      <c r="BC19" s="50">
        <f t="shared" si="39"/>
        <v>0.33310148057891537</v>
      </c>
      <c r="BD19" s="50">
        <f t="shared" si="57"/>
        <v>-0.34186329161460277</v>
      </c>
      <c r="BE19" s="52">
        <v>976227.54258426744</v>
      </c>
      <c r="BF19" s="50">
        <f t="shared" si="58"/>
        <v>97.622754258426738</v>
      </c>
      <c r="BG19" s="51"/>
      <c r="BH19" s="58">
        <v>0</v>
      </c>
      <c r="BI19" s="84">
        <v>460</v>
      </c>
      <c r="BJ19" s="84" t="s">
        <v>585</v>
      </c>
      <c r="BK19" s="85">
        <v>1.26</v>
      </c>
      <c r="BL19" s="53">
        <f t="shared" si="59"/>
        <v>0.64819163926726164</v>
      </c>
      <c r="BM19" s="50">
        <f t="shared" si="40"/>
        <v>0.30586522625379686</v>
      </c>
      <c r="BN19" s="50">
        <f t="shared" si="60"/>
        <v>-0.34232641301346478</v>
      </c>
      <c r="BO19" s="52">
        <v>1219881.7149815641</v>
      </c>
      <c r="BP19" s="77">
        <f>BO19/10000</f>
        <v>121.9881714981564</v>
      </c>
      <c r="BQ19" s="51"/>
      <c r="BR19" s="58"/>
      <c r="BS19" s="84">
        <v>242</v>
      </c>
      <c r="BT19" s="84" t="s">
        <v>585</v>
      </c>
      <c r="BU19" s="85">
        <v>1.7</v>
      </c>
      <c r="BV19" s="53">
        <f t="shared" si="61"/>
        <v>0.34100516674495068</v>
      </c>
      <c r="BW19" s="50">
        <f t="shared" si="42"/>
        <v>0.10953326616229352</v>
      </c>
      <c r="BX19" s="50">
        <f t="shared" si="62"/>
        <v>-0.23147190058265715</v>
      </c>
      <c r="BY19" s="52">
        <v>12169832.505817058</v>
      </c>
      <c r="BZ19" s="77">
        <f>BY19/10000</f>
        <v>1216.9832505817058</v>
      </c>
      <c r="CA19" s="51"/>
      <c r="CB19" s="58"/>
    </row>
    <row r="20" spans="1:80" x14ac:dyDescent="0.2">
      <c r="A20" s="42" t="s">
        <v>9</v>
      </c>
      <c r="B20" s="40">
        <v>204</v>
      </c>
      <c r="C20" s="71">
        <f t="shared" si="33"/>
        <v>7.3</v>
      </c>
      <c r="D20" s="72">
        <f t="shared" si="34"/>
        <v>201.09441078951437</v>
      </c>
      <c r="E20" s="72">
        <v>19678862.89706853</v>
      </c>
      <c r="F20" s="55">
        <v>0.31499856731758102</v>
      </c>
      <c r="G20" s="56">
        <f t="shared" si="31"/>
        <v>6285047.7063795794</v>
      </c>
      <c r="H20" s="73">
        <f t="shared" si="32"/>
        <v>0.15910778194809233</v>
      </c>
      <c r="I20" s="56">
        <f>D20*Model!$C$68*Model!$C$69/Model!$C$70*'Sediment SPME'!F20*Model!$C$71</f>
        <v>6.9209511571841693</v>
      </c>
      <c r="J20" s="74">
        <v>1186.6666666666667</v>
      </c>
      <c r="K20" s="40">
        <v>928</v>
      </c>
      <c r="L20" s="40" t="s">
        <v>585</v>
      </c>
      <c r="M20" s="40">
        <v>3.84</v>
      </c>
      <c r="N20" s="54">
        <f t="shared" si="44"/>
        <v>0.78202247191011232</v>
      </c>
      <c r="O20" s="55">
        <f t="shared" si="35"/>
        <v>0.47091410683255719</v>
      </c>
      <c r="P20" s="55">
        <f t="shared" si="45"/>
        <v>-0.31110836507755513</v>
      </c>
      <c r="Q20" s="56">
        <v>3412179.4668180146</v>
      </c>
      <c r="R20" s="55">
        <f t="shared" si="46"/>
        <v>341.21794668180144</v>
      </c>
      <c r="S20" s="59"/>
      <c r="T20" s="60"/>
      <c r="U20" s="40">
        <v>907</v>
      </c>
      <c r="V20" s="40" t="s">
        <v>585</v>
      </c>
      <c r="W20" s="40">
        <v>3.45</v>
      </c>
      <c r="X20" s="54">
        <f t="shared" si="47"/>
        <v>0.76432584269662918</v>
      </c>
      <c r="Y20" s="55">
        <f t="shared" si="36"/>
        <v>0.4443737699530852</v>
      </c>
      <c r="Z20" s="55">
        <f t="shared" si="48"/>
        <v>-0.31995207274354398</v>
      </c>
      <c r="AA20" s="56">
        <v>4135897.485044423</v>
      </c>
      <c r="AB20" s="55">
        <f t="shared" si="49"/>
        <v>413.5897485044423</v>
      </c>
      <c r="AC20" s="59"/>
      <c r="AD20" s="60"/>
      <c r="AE20" s="40">
        <v>939</v>
      </c>
      <c r="AF20" s="40" t="s">
        <v>585</v>
      </c>
      <c r="AG20" s="40">
        <v>3.29</v>
      </c>
      <c r="AH20" s="54">
        <f t="shared" si="50"/>
        <v>0.79129213483146066</v>
      </c>
      <c r="AI20" s="55">
        <f t="shared" si="37"/>
        <v>0.48551690941797354</v>
      </c>
      <c r="AJ20" s="55">
        <f t="shared" si="51"/>
        <v>-0.30577522541348712</v>
      </c>
      <c r="AK20" s="56">
        <v>3070357.7317167162</v>
      </c>
      <c r="AL20" s="55">
        <f t="shared" si="52"/>
        <v>307.03577317167162</v>
      </c>
      <c r="AM20" s="59"/>
      <c r="AN20" s="60"/>
      <c r="AO20" s="40">
        <v>919</v>
      </c>
      <c r="AP20" s="40" t="s">
        <v>585</v>
      </c>
      <c r="AQ20" s="40">
        <v>1.67</v>
      </c>
      <c r="AR20" s="54">
        <f t="shared" si="53"/>
        <v>0.77443820224719095</v>
      </c>
      <c r="AS20" s="55">
        <f t="shared" si="38"/>
        <v>0.45933006219762901</v>
      </c>
      <c r="AT20" s="55">
        <f t="shared" si="54"/>
        <v>-0.31510814004956195</v>
      </c>
      <c r="AU20" s="56">
        <v>3710549.4154818342</v>
      </c>
      <c r="AV20" s="55">
        <f t="shared" si="55"/>
        <v>371.05494154818342</v>
      </c>
      <c r="AW20" s="59"/>
      <c r="AX20" s="60"/>
      <c r="AY20" s="40">
        <v>920</v>
      </c>
      <c r="AZ20" s="40" t="s">
        <v>585</v>
      </c>
      <c r="BA20" s="40">
        <v>1.32</v>
      </c>
      <c r="BB20" s="54">
        <f t="shared" si="56"/>
        <v>0.77528089887640439</v>
      </c>
      <c r="BC20" s="55">
        <f t="shared" si="39"/>
        <v>0.46060141824478174</v>
      </c>
      <c r="BD20" s="55">
        <f t="shared" si="57"/>
        <v>-0.31467948063162265</v>
      </c>
      <c r="BE20" s="56">
        <v>3676540.7521719523</v>
      </c>
      <c r="BF20" s="55">
        <f t="shared" si="58"/>
        <v>367.65407521719521</v>
      </c>
      <c r="BG20" s="59"/>
      <c r="BH20" s="60">
        <v>0</v>
      </c>
      <c r="BI20" s="84">
        <v>880</v>
      </c>
      <c r="BJ20" s="84" t="s">
        <v>585</v>
      </c>
      <c r="BK20" s="85">
        <v>1.21</v>
      </c>
      <c r="BL20" s="54">
        <f t="shared" si="59"/>
        <v>0.74157303370786509</v>
      </c>
      <c r="BM20" s="55">
        <f t="shared" si="40"/>
        <v>0.4126497800330271</v>
      </c>
      <c r="BN20" s="55">
        <f t="shared" si="60"/>
        <v>-0.32892325367483799</v>
      </c>
      <c r="BO20" s="56">
        <v>5217006.3891569506</v>
      </c>
      <c r="BP20" s="86">
        <f>BO20/10000</f>
        <v>521.70063891569509</v>
      </c>
      <c r="BQ20" s="59"/>
      <c r="BR20" s="60"/>
      <c r="BS20" s="84">
        <v>451</v>
      </c>
      <c r="BT20" s="84" t="s">
        <v>585</v>
      </c>
      <c r="BU20" s="85">
        <v>2.44</v>
      </c>
      <c r="BV20" s="54">
        <f t="shared" si="61"/>
        <v>0.38005617977528089</v>
      </c>
      <c r="BW20" s="55">
        <f t="shared" si="42"/>
        <v>0.12658987160720372</v>
      </c>
      <c r="BX20" s="55">
        <f t="shared" si="62"/>
        <v>-0.25346630816807714</v>
      </c>
      <c r="BY20" s="56">
        <v>88345075.994066313</v>
      </c>
      <c r="BZ20" s="86">
        <f>BY20/10000</f>
        <v>8834.5075994066319</v>
      </c>
      <c r="CA20" s="59"/>
      <c r="CB20" s="60"/>
    </row>
    <row r="21" spans="1:80" x14ac:dyDescent="0.2">
      <c r="A21" s="25" t="s">
        <v>708</v>
      </c>
      <c r="B21" s="25" t="s">
        <v>707</v>
      </c>
      <c r="K21" s="87">
        <v>960</v>
      </c>
      <c r="L21" s="87" t="s">
        <v>709</v>
      </c>
      <c r="M21" s="87">
        <v>960</v>
      </c>
    </row>
    <row r="22" spans="1:80" x14ac:dyDescent="0.2">
      <c r="M22" s="87"/>
      <c r="Q22" s="43">
        <f>Q5/M21*1000000/Model!$F$105/Model!$D$105/'Sediment SPME'!F5*Model!$E$105</f>
        <v>2209091.1924723899</v>
      </c>
      <c r="R22" s="90" t="s">
        <v>21</v>
      </c>
      <c r="S22" s="25" t="s">
        <v>629</v>
      </c>
    </row>
    <row r="23" spans="1:80" x14ac:dyDescent="0.2">
      <c r="M23" s="87"/>
    </row>
    <row r="24" spans="1:80" x14ac:dyDescent="0.2">
      <c r="M24" s="87"/>
    </row>
    <row r="25" spans="1:80" x14ac:dyDescent="0.2">
      <c r="M25" s="87"/>
    </row>
  </sheetData>
  <mergeCells count="56">
    <mergeCell ref="BY3:BY4"/>
    <mergeCell ref="BZ3:BZ4"/>
    <mergeCell ref="K2:M2"/>
    <mergeCell ref="BS2:BU2"/>
    <mergeCell ref="BT3:BT4"/>
    <mergeCell ref="BV3:BV4"/>
    <mergeCell ref="BW3:BW4"/>
    <mergeCell ref="BX3:BX4"/>
    <mergeCell ref="BL3:BL4"/>
    <mergeCell ref="BM3:BM4"/>
    <mergeCell ref="BN3:BN4"/>
    <mergeCell ref="BO3:BO4"/>
    <mergeCell ref="BP3:BP4"/>
    <mergeCell ref="BC3:BC4"/>
    <mergeCell ref="BD3:BD4"/>
    <mergeCell ref="BE3:BE4"/>
    <mergeCell ref="BF3:BF4"/>
    <mergeCell ref="BI2:BK2"/>
    <mergeCell ref="BJ3:BJ4"/>
    <mergeCell ref="AU3:AU4"/>
    <mergeCell ref="AV3:AV4"/>
    <mergeCell ref="AY2:BA2"/>
    <mergeCell ref="AZ3:AZ4"/>
    <mergeCell ref="BB3:BB4"/>
    <mergeCell ref="AO2:AQ2"/>
    <mergeCell ref="AP3:AP4"/>
    <mergeCell ref="AR3:AR4"/>
    <mergeCell ref="AS3:AS4"/>
    <mergeCell ref="AT3:AT4"/>
    <mergeCell ref="C3:F3"/>
    <mergeCell ref="R3:R4"/>
    <mergeCell ref="A3:A4"/>
    <mergeCell ref="L3:L4"/>
    <mergeCell ref="N3:N4"/>
    <mergeCell ref="O3:O4"/>
    <mergeCell ref="B3:B4"/>
    <mergeCell ref="G3:G4"/>
    <mergeCell ref="H3:H4"/>
    <mergeCell ref="AA3:AA4"/>
    <mergeCell ref="P3:P4"/>
    <mergeCell ref="J3:J4"/>
    <mergeCell ref="I3:I4"/>
    <mergeCell ref="Q3:Q4"/>
    <mergeCell ref="U2:W2"/>
    <mergeCell ref="V3:V4"/>
    <mergeCell ref="X3:X4"/>
    <mergeCell ref="Y3:Y4"/>
    <mergeCell ref="Z3:Z4"/>
    <mergeCell ref="AK3:AK4"/>
    <mergeCell ref="AL3:AL4"/>
    <mergeCell ref="AB3:AB4"/>
    <mergeCell ref="AE2:AG2"/>
    <mergeCell ref="AF3:AF4"/>
    <mergeCell ref="AH3:AH4"/>
    <mergeCell ref="AI3:AI4"/>
    <mergeCell ref="AJ3:A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A548-1412-41D1-931A-878D54F4B63E}">
  <sheetPr>
    <tabColor rgb="FFFFCCFF"/>
  </sheetPr>
  <dimension ref="A1:CD142"/>
  <sheetViews>
    <sheetView topLeftCell="A13" workbookViewId="0">
      <selection activeCell="G38" sqref="G38"/>
    </sheetView>
  </sheetViews>
  <sheetFormatPr defaultRowHeight="15" x14ac:dyDescent="0.25"/>
  <cols>
    <col min="9" max="9" width="11.7109375" customWidth="1"/>
    <col min="14" max="15" width="11.7109375" customWidth="1"/>
    <col min="16" max="16" width="9.42578125" customWidth="1"/>
    <col min="17" max="17" width="6.7109375" customWidth="1"/>
    <col min="19" max="19" width="6.7109375" customWidth="1"/>
    <col min="22" max="24" width="9.140625" customWidth="1"/>
    <col min="25" max="26" width="11.7109375" customWidth="1"/>
    <col min="27" max="34" width="9.140625" customWidth="1"/>
    <col min="35" max="36" width="11.7109375" customWidth="1"/>
    <col min="37" max="44" width="9.140625" customWidth="1"/>
    <col min="45" max="46" width="11.7109375" customWidth="1"/>
    <col min="56" max="57" width="11.7109375" customWidth="1"/>
    <col min="66" max="67" width="11.7109375" customWidth="1"/>
    <col min="76" max="77" width="11.7109375" customWidth="1"/>
  </cols>
  <sheetData>
    <row r="1" spans="1:82" ht="18" customHeight="1" x14ac:dyDescent="0.3">
      <c r="N1" s="138" t="s">
        <v>708</v>
      </c>
      <c r="O1" s="139"/>
      <c r="P1" s="139"/>
      <c r="Q1" s="140" t="s">
        <v>710</v>
      </c>
      <c r="R1" s="141" t="s">
        <v>711</v>
      </c>
      <c r="S1" s="141" t="s">
        <v>716</v>
      </c>
      <c r="T1" s="141" t="s">
        <v>677</v>
      </c>
      <c r="U1" s="142" t="s">
        <v>654</v>
      </c>
      <c r="Y1" s="133" t="s">
        <v>708</v>
      </c>
      <c r="Z1" s="134"/>
      <c r="AA1" s="134"/>
      <c r="AB1" s="135" t="s">
        <v>710</v>
      </c>
      <c r="AC1" s="136" t="s">
        <v>711</v>
      </c>
      <c r="AD1" s="136" t="s">
        <v>677</v>
      </c>
      <c r="AE1" s="136" t="s">
        <v>654</v>
      </c>
      <c r="AI1" s="104" t="s">
        <v>708</v>
      </c>
      <c r="AJ1" s="25"/>
      <c r="AK1" s="25"/>
      <c r="AL1" s="106" t="s">
        <v>710</v>
      </c>
      <c r="AM1" s="107" t="s">
        <v>711</v>
      </c>
      <c r="AN1" s="107" t="s">
        <v>677</v>
      </c>
      <c r="AO1" s="107" t="s">
        <v>654</v>
      </c>
      <c r="AS1" s="138" t="s">
        <v>708</v>
      </c>
      <c r="AT1" s="139"/>
      <c r="AU1" s="139"/>
      <c r="AV1" s="140" t="s">
        <v>710</v>
      </c>
      <c r="AW1" s="141" t="s">
        <v>711</v>
      </c>
      <c r="AX1" s="141" t="s">
        <v>716</v>
      </c>
      <c r="AY1" s="142" t="s">
        <v>677</v>
      </c>
      <c r="AZ1" s="107" t="s">
        <v>654</v>
      </c>
      <c r="BD1" s="104" t="s">
        <v>708</v>
      </c>
      <c r="BE1" s="25"/>
      <c r="BF1" s="25"/>
      <c r="BG1" s="106" t="s">
        <v>710</v>
      </c>
      <c r="BH1" s="107" t="s">
        <v>711</v>
      </c>
      <c r="BI1" s="107" t="s">
        <v>677</v>
      </c>
      <c r="BJ1" s="107" t="s">
        <v>654</v>
      </c>
      <c r="BN1" s="104" t="s">
        <v>708</v>
      </c>
      <c r="BO1" s="25"/>
      <c r="BP1" s="25"/>
      <c r="BQ1" s="106" t="s">
        <v>710</v>
      </c>
      <c r="BR1" s="107" t="s">
        <v>711</v>
      </c>
      <c r="BS1" s="107" t="s">
        <v>677</v>
      </c>
      <c r="BT1" s="107" t="s">
        <v>654</v>
      </c>
      <c r="BX1" s="104" t="s">
        <v>708</v>
      </c>
      <c r="BY1" s="25"/>
      <c r="BZ1" s="25"/>
      <c r="CA1" s="106" t="s">
        <v>710</v>
      </c>
      <c r="CB1" s="107" t="s">
        <v>711</v>
      </c>
      <c r="CC1" s="107" t="s">
        <v>677</v>
      </c>
      <c r="CD1" s="107" t="s">
        <v>654</v>
      </c>
    </row>
    <row r="2" spans="1:82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345" t="s">
        <v>14</v>
      </c>
      <c r="L2" s="345"/>
      <c r="M2" s="345"/>
      <c r="N2" s="143">
        <v>960</v>
      </c>
      <c r="O2" s="144" t="s">
        <v>709</v>
      </c>
      <c r="P2" s="144" t="s">
        <v>668</v>
      </c>
      <c r="Q2" s="144">
        <f>N2/1000000</f>
        <v>9.6000000000000002E-4</v>
      </c>
      <c r="R2" s="144">
        <f>VLOOKUP(P2,Sed_Prop,6,FALSE)</f>
        <v>2</v>
      </c>
      <c r="S2" s="145">
        <f>IF(Q2*100&lt;1.2,DOC_avg,IF(Q2*100&gt;=1.2,(Q2*100)^2*DOC_F1+(Q2*100)*DOC_F2+DOC_F3))</f>
        <v>8.4666666666666668</v>
      </c>
      <c r="T2" s="144">
        <f>VLOOKUP(P2,Sed_Prop,4,FALSE)</f>
        <v>0.375</v>
      </c>
      <c r="U2" s="146">
        <f>VLOOKUP(P2,Sed_Prop,5,FALSE)</f>
        <v>1.9509375000000002E-2</v>
      </c>
      <c r="V2" s="334" t="s">
        <v>645</v>
      </c>
      <c r="W2" s="323"/>
      <c r="X2" s="323"/>
      <c r="Y2" s="134">
        <v>950</v>
      </c>
      <c r="Z2" s="134" t="s">
        <v>709</v>
      </c>
      <c r="AA2" s="134" t="s">
        <v>668</v>
      </c>
      <c r="AB2" s="134">
        <f>Y2/1000000</f>
        <v>9.5E-4</v>
      </c>
      <c r="AC2" s="134">
        <f>VLOOKUP(AA2,Sed_Prop,6,FALSE)</f>
        <v>2</v>
      </c>
      <c r="AD2" s="134">
        <f>VLOOKUP(AA2,Sed_Prop,4,FALSE)</f>
        <v>0.375</v>
      </c>
      <c r="AE2" s="137">
        <f>VLOOKUP(AA2,Sed_Prop,5,FALSE)</f>
        <v>1.9509375000000002E-2</v>
      </c>
      <c r="AF2" s="332" t="s">
        <v>646</v>
      </c>
      <c r="AG2" s="333"/>
      <c r="AH2" s="334"/>
      <c r="AI2" s="25">
        <v>940</v>
      </c>
      <c r="AJ2" s="25" t="s">
        <v>709</v>
      </c>
      <c r="AK2" s="25" t="s">
        <v>668</v>
      </c>
      <c r="AL2" s="25">
        <f>AI2/1000000</f>
        <v>9.3999999999999997E-4</v>
      </c>
      <c r="AM2" s="25">
        <f>VLOOKUP(AK2,Sed_Prop,6,FALSE)</f>
        <v>2</v>
      </c>
      <c r="AN2" s="25">
        <f>VLOOKUP(AK2,Sed_Prop,4,FALSE)</f>
        <v>0.375</v>
      </c>
      <c r="AO2" s="105">
        <f>VLOOKUP(AK2,Sed_Prop,5,FALSE)</f>
        <v>1.9509375000000002E-2</v>
      </c>
      <c r="AP2" s="332" t="s">
        <v>702</v>
      </c>
      <c r="AQ2" s="333"/>
      <c r="AR2" s="333"/>
      <c r="AS2" s="149">
        <v>60000</v>
      </c>
      <c r="AT2" s="144"/>
      <c r="AU2" s="144" t="s">
        <v>664</v>
      </c>
      <c r="AV2" s="144">
        <f>AS2/1000000</f>
        <v>0.06</v>
      </c>
      <c r="AW2" s="144">
        <f>VLOOKUP(AU2,Sed_Prop,6,FALSE)</f>
        <v>1.92</v>
      </c>
      <c r="AX2" s="150">
        <f>IF(AV2*100&lt;1.2,DOC_avg,IF(AV2*100&gt;=1.2,(AV2*100)^2*DOC_F1+(AV2*100)*DOC_F2+DOC_F3))</f>
        <v>363.05400000000003</v>
      </c>
      <c r="AY2" s="151">
        <f>VLOOKUP(AU2,Sed_Prop,4,FALSE)</f>
        <v>0.45900000000000002</v>
      </c>
      <c r="AZ2" s="105">
        <f>VLOOKUP(AU2,Sed_Prop,5,FALSE)</f>
        <v>2.3463299699999999E-2</v>
      </c>
      <c r="BA2" s="332" t="s">
        <v>704</v>
      </c>
      <c r="BB2" s="333"/>
      <c r="BC2" s="334"/>
      <c r="BD2" s="43">
        <v>26000</v>
      </c>
      <c r="BE2" s="25"/>
      <c r="BF2" s="25" t="s">
        <v>664</v>
      </c>
      <c r="BG2" s="25">
        <f>BD2/1000000</f>
        <v>2.5999999999999999E-2</v>
      </c>
      <c r="BH2" s="25">
        <f>VLOOKUP(BF2,Sed_Prop,6,FALSE)</f>
        <v>1.92</v>
      </c>
      <c r="BI2" s="25">
        <f>VLOOKUP(BF2,Sed_Prop,4,FALSE)</f>
        <v>0.45900000000000002</v>
      </c>
      <c r="BJ2" s="105">
        <f>VLOOKUP(BF2,Sed_Prop,5,FALSE)</f>
        <v>2.3463299699999999E-2</v>
      </c>
      <c r="BK2" s="332" t="s">
        <v>705</v>
      </c>
      <c r="BL2" s="333"/>
      <c r="BM2" s="334"/>
      <c r="BN2" s="43">
        <v>970</v>
      </c>
      <c r="BO2" s="25" t="s">
        <v>709</v>
      </c>
      <c r="BP2" s="25" t="s">
        <v>668</v>
      </c>
      <c r="BQ2" s="25">
        <f>BN2/1000000</f>
        <v>9.7000000000000005E-4</v>
      </c>
      <c r="BR2" s="25">
        <f>VLOOKUP(BP2,Sed_Prop,6,FALSE)</f>
        <v>2</v>
      </c>
      <c r="BS2" s="25">
        <f>VLOOKUP(BP2,Sed_Prop,4,FALSE)</f>
        <v>0.375</v>
      </c>
      <c r="BT2" s="105">
        <f>VLOOKUP(BP2,Sed_Prop,5,FALSE)</f>
        <v>1.9509375000000002E-2</v>
      </c>
      <c r="BU2" s="332" t="s">
        <v>706</v>
      </c>
      <c r="BV2" s="333"/>
      <c r="BW2" s="334"/>
      <c r="BX2" s="43">
        <v>930</v>
      </c>
      <c r="BY2" s="25" t="s">
        <v>709</v>
      </c>
      <c r="BZ2" s="25" t="s">
        <v>668</v>
      </c>
      <c r="CA2" s="25">
        <f>BX2/1000000</f>
        <v>9.3000000000000005E-4</v>
      </c>
      <c r="CB2" s="25">
        <f>VLOOKUP(BZ2,Sed_Prop,6,FALSE)</f>
        <v>2</v>
      </c>
      <c r="CC2" s="25">
        <f>VLOOKUP(BZ2,Sed_Prop,4,FALSE)</f>
        <v>0.375</v>
      </c>
      <c r="CD2" s="105">
        <f>VLOOKUP(BZ2,Sed_Prop,5,FALSE)</f>
        <v>1.9509375000000002E-2</v>
      </c>
    </row>
    <row r="3" spans="1:82" ht="25.5" customHeight="1" x14ac:dyDescent="0.25">
      <c r="A3" s="337" t="s">
        <v>587</v>
      </c>
      <c r="B3" s="338" t="s">
        <v>65</v>
      </c>
      <c r="C3" s="337" t="s">
        <v>602</v>
      </c>
      <c r="D3" s="337"/>
      <c r="E3" s="337"/>
      <c r="F3" s="337"/>
      <c r="G3" s="337"/>
      <c r="H3" s="337"/>
      <c r="I3" s="344" t="s">
        <v>696</v>
      </c>
      <c r="J3" s="344" t="s">
        <v>13</v>
      </c>
      <c r="K3" s="280" t="s">
        <v>581</v>
      </c>
      <c r="L3" s="346" t="s">
        <v>582</v>
      </c>
      <c r="M3" s="281" t="s">
        <v>583</v>
      </c>
      <c r="N3" s="324" t="s">
        <v>599</v>
      </c>
      <c r="O3" s="335" t="s">
        <v>610</v>
      </c>
      <c r="P3" s="335" t="s">
        <v>852</v>
      </c>
      <c r="Q3" s="335"/>
      <c r="R3" s="335" t="s">
        <v>856</v>
      </c>
      <c r="S3" s="127"/>
      <c r="T3" s="127" t="s">
        <v>644</v>
      </c>
      <c r="U3" s="126" t="s">
        <v>701</v>
      </c>
      <c r="V3" s="30" t="s">
        <v>581</v>
      </c>
      <c r="W3" s="323" t="s">
        <v>582</v>
      </c>
      <c r="X3" s="22" t="s">
        <v>583</v>
      </c>
      <c r="Y3" s="335" t="s">
        <v>599</v>
      </c>
      <c r="Z3" s="335" t="s">
        <v>610</v>
      </c>
      <c r="AA3" s="335" t="s">
        <v>605</v>
      </c>
      <c r="AB3" s="335"/>
      <c r="AC3" s="321" t="s">
        <v>713</v>
      </c>
      <c r="AD3" s="108" t="s">
        <v>644</v>
      </c>
      <c r="AE3" s="28" t="s">
        <v>701</v>
      </c>
      <c r="AF3" s="21" t="s">
        <v>581</v>
      </c>
      <c r="AG3" s="323" t="s">
        <v>582</v>
      </c>
      <c r="AH3" s="22" t="s">
        <v>583</v>
      </c>
      <c r="AI3" s="335" t="s">
        <v>599</v>
      </c>
      <c r="AJ3" s="335" t="s">
        <v>610</v>
      </c>
      <c r="AK3" s="335" t="s">
        <v>605</v>
      </c>
      <c r="AL3" s="335"/>
      <c r="AM3" s="335" t="s">
        <v>713</v>
      </c>
      <c r="AN3" s="108" t="s">
        <v>644</v>
      </c>
      <c r="AO3" s="28" t="s">
        <v>701</v>
      </c>
      <c r="AP3" s="21" t="s">
        <v>581</v>
      </c>
      <c r="AQ3" s="323" t="s">
        <v>582</v>
      </c>
      <c r="AR3" s="147" t="s">
        <v>583</v>
      </c>
      <c r="AS3" s="324" t="s">
        <v>599</v>
      </c>
      <c r="AT3" s="335" t="s">
        <v>610</v>
      </c>
      <c r="AU3" s="335" t="s">
        <v>605</v>
      </c>
      <c r="AV3" s="335"/>
      <c r="AW3" s="335" t="s">
        <v>713</v>
      </c>
      <c r="AX3" s="127"/>
      <c r="AY3" s="126" t="s">
        <v>644</v>
      </c>
      <c r="AZ3" s="28" t="s">
        <v>701</v>
      </c>
      <c r="BA3" s="21" t="s">
        <v>581</v>
      </c>
      <c r="BB3" s="323" t="s">
        <v>582</v>
      </c>
      <c r="BC3" s="22" t="s">
        <v>583</v>
      </c>
      <c r="BD3" s="335" t="s">
        <v>599</v>
      </c>
      <c r="BE3" s="335" t="s">
        <v>610</v>
      </c>
      <c r="BF3" s="335" t="s">
        <v>605</v>
      </c>
      <c r="BG3" s="335"/>
      <c r="BH3" s="335" t="s">
        <v>713</v>
      </c>
      <c r="BI3" s="108" t="s">
        <v>644</v>
      </c>
      <c r="BJ3" s="28" t="s">
        <v>701</v>
      </c>
      <c r="BK3" s="21" t="s">
        <v>581</v>
      </c>
      <c r="BL3" s="323" t="s">
        <v>582</v>
      </c>
      <c r="BM3" s="22" t="s">
        <v>583</v>
      </c>
      <c r="BN3" s="335" t="s">
        <v>599</v>
      </c>
      <c r="BO3" s="335" t="s">
        <v>610</v>
      </c>
      <c r="BP3" s="335" t="s">
        <v>605</v>
      </c>
      <c r="BQ3" s="335"/>
      <c r="BR3" s="335" t="s">
        <v>713</v>
      </c>
      <c r="BS3" s="108" t="s">
        <v>644</v>
      </c>
      <c r="BT3" s="28" t="s">
        <v>701</v>
      </c>
      <c r="BU3" s="21" t="s">
        <v>581</v>
      </c>
      <c r="BV3" s="323" t="s">
        <v>582</v>
      </c>
      <c r="BW3" s="22" t="s">
        <v>583</v>
      </c>
      <c r="BX3" s="335" t="s">
        <v>599</v>
      </c>
      <c r="BY3" s="335" t="s">
        <v>610</v>
      </c>
      <c r="BZ3" s="335" t="s">
        <v>605</v>
      </c>
      <c r="CA3" s="335"/>
      <c r="CB3" s="335" t="s">
        <v>713</v>
      </c>
      <c r="CC3" s="108" t="s">
        <v>644</v>
      </c>
      <c r="CD3" s="28" t="s">
        <v>701</v>
      </c>
    </row>
    <row r="4" spans="1:82" ht="27" x14ac:dyDescent="0.25">
      <c r="A4" s="337"/>
      <c r="B4" s="338"/>
      <c r="C4" s="44" t="s">
        <v>697</v>
      </c>
      <c r="D4" s="44" t="s">
        <v>698</v>
      </c>
      <c r="E4" s="228" t="s">
        <v>853</v>
      </c>
      <c r="F4" s="61" t="s">
        <v>757</v>
      </c>
      <c r="G4" s="103" t="s">
        <v>699</v>
      </c>
      <c r="H4" s="44" t="s">
        <v>604</v>
      </c>
      <c r="I4" s="344"/>
      <c r="J4" s="344"/>
      <c r="K4" s="282" t="s">
        <v>584</v>
      </c>
      <c r="L4" s="347"/>
      <c r="M4" s="283" t="s">
        <v>584</v>
      </c>
      <c r="N4" s="325"/>
      <c r="O4" s="336"/>
      <c r="P4" s="336"/>
      <c r="Q4" s="336"/>
      <c r="R4" s="336"/>
      <c r="S4" s="128"/>
      <c r="T4" s="88" t="s">
        <v>611</v>
      </c>
      <c r="U4" s="89" t="s">
        <v>611</v>
      </c>
      <c r="V4" s="29" t="s">
        <v>584</v>
      </c>
      <c r="W4" s="321"/>
      <c r="X4" s="111" t="s">
        <v>584</v>
      </c>
      <c r="Y4" s="336"/>
      <c r="Z4" s="336"/>
      <c r="AA4" s="336"/>
      <c r="AB4" s="336"/>
      <c r="AC4" s="322"/>
      <c r="AD4" s="88" t="s">
        <v>611</v>
      </c>
      <c r="AE4" s="89" t="s">
        <v>611</v>
      </c>
      <c r="AF4" s="24" t="s">
        <v>584</v>
      </c>
      <c r="AG4" s="323"/>
      <c r="AH4" s="23" t="s">
        <v>584</v>
      </c>
      <c r="AI4" s="336"/>
      <c r="AJ4" s="336"/>
      <c r="AK4" s="336"/>
      <c r="AL4" s="336"/>
      <c r="AM4" s="336"/>
      <c r="AN4" s="88" t="s">
        <v>611</v>
      </c>
      <c r="AO4" s="89" t="s">
        <v>611</v>
      </c>
      <c r="AP4" s="24" t="s">
        <v>584</v>
      </c>
      <c r="AQ4" s="323"/>
      <c r="AR4" s="148" t="s">
        <v>584</v>
      </c>
      <c r="AS4" s="325"/>
      <c r="AT4" s="336"/>
      <c r="AU4" s="336"/>
      <c r="AV4" s="336"/>
      <c r="AW4" s="336"/>
      <c r="AX4" s="128"/>
      <c r="AY4" s="89" t="s">
        <v>611</v>
      </c>
      <c r="AZ4" s="89" t="s">
        <v>611</v>
      </c>
      <c r="BA4" s="24" t="s">
        <v>584</v>
      </c>
      <c r="BB4" s="323"/>
      <c r="BC4" s="23" t="s">
        <v>584</v>
      </c>
      <c r="BD4" s="336"/>
      <c r="BE4" s="336"/>
      <c r="BF4" s="336"/>
      <c r="BG4" s="336"/>
      <c r="BH4" s="336"/>
      <c r="BI4" s="88" t="s">
        <v>611</v>
      </c>
      <c r="BJ4" s="89" t="s">
        <v>611</v>
      </c>
      <c r="BK4" s="24" t="s">
        <v>584</v>
      </c>
      <c r="BL4" s="323"/>
      <c r="BM4" s="23" t="s">
        <v>584</v>
      </c>
      <c r="BN4" s="336"/>
      <c r="BO4" s="336"/>
      <c r="BP4" s="336"/>
      <c r="BQ4" s="336"/>
      <c r="BR4" s="336"/>
      <c r="BS4" s="88" t="s">
        <v>611</v>
      </c>
      <c r="BT4" s="89" t="s">
        <v>611</v>
      </c>
      <c r="BU4" s="24" t="s">
        <v>584</v>
      </c>
      <c r="BV4" s="323"/>
      <c r="BW4" s="23" t="s">
        <v>584</v>
      </c>
      <c r="BX4" s="336"/>
      <c r="BY4" s="336"/>
      <c r="BZ4" s="336"/>
      <c r="CA4" s="336"/>
      <c r="CB4" s="336"/>
      <c r="CC4" s="88" t="s">
        <v>611</v>
      </c>
      <c r="CD4" s="89" t="s">
        <v>611</v>
      </c>
    </row>
    <row r="5" spans="1:82" x14ac:dyDescent="0.25">
      <c r="A5" s="25" t="s">
        <v>31</v>
      </c>
      <c r="B5" s="41" t="s">
        <v>31</v>
      </c>
      <c r="C5" s="41">
        <f t="shared" ref="C5:C10" si="0">VLOOKUP(B5,PRC,8,FALSE)</f>
        <v>6.02</v>
      </c>
      <c r="D5" s="51"/>
      <c r="E5" s="50"/>
      <c r="F5" s="50">
        <f t="shared" ref="F5:F10" si="1">VLOOKUP(B5,DDT_Prop,13,FALSE)</f>
        <v>6.7480640000000012</v>
      </c>
      <c r="G5" s="67">
        <f t="shared" ref="G5:G10" si="2">VLOOKUP(B5,PRC,10,FALSE)</f>
        <v>59018.623536026826</v>
      </c>
      <c r="H5" s="50">
        <f t="shared" ref="H5:H10" si="3">VLOOKUP(B5,PRC,12,FALSE)</f>
        <v>0.385934623618432</v>
      </c>
      <c r="I5" s="51"/>
      <c r="J5" s="51"/>
      <c r="K5" s="66">
        <v>220</v>
      </c>
      <c r="L5" s="41" t="s">
        <v>585</v>
      </c>
      <c r="M5" s="41">
        <v>1.72</v>
      </c>
      <c r="N5" s="49"/>
      <c r="O5" s="50">
        <f>1-EXP(Q2*10^R$5*R$2*$H$5*T$2*T/L^2/($G$5^2)/U$2/10^$F$5/S2*1000000)*ERFC(SQRT(Q2*10^R$5*R$2*T$2*$H$5*T/U$2/10^$F$5/S2*1000000)/L/$G$5)</f>
        <v>0.90102707005094107</v>
      </c>
      <c r="P5" s="51"/>
      <c r="Q5" s="67"/>
      <c r="R5" s="77">
        <f>VLOOKUP(B$5,DDT_Prop,4,FALSE)*e_Endo430+VLOOKUP(B$5,DDT_Prop,5,FALSE)*s_Endo430+VLOOKUP(B$5,DDT_Prop,6,FALSE)*a_Endo430+VLOOKUP(B$5,DDT_Prop,7,FALSE)*b_Endo430+VLOOKUP(B$5,DDT_Prop,8,FALSE)*v_Endo430+c_Endo430</f>
        <v>6.6444559999999999</v>
      </c>
      <c r="S5" s="132"/>
      <c r="T5" s="52">
        <f>K5/1000/G$5/O5*1000000000</f>
        <v>4137.0975888266967</v>
      </c>
      <c r="U5" s="70">
        <v>5100</v>
      </c>
      <c r="V5" s="112">
        <v>2140</v>
      </c>
      <c r="W5" s="112" t="s">
        <v>585</v>
      </c>
      <c r="X5" s="113">
        <v>4.8499999999999996</v>
      </c>
      <c r="Y5" s="31"/>
      <c r="Z5" s="46">
        <f t="shared" ref="Z5:Z10" si="4">1-EXP(AB$2*10^AC5*AC$2*$H5*AD$2*T/L^2/($G5^2)/AE$2)*ERFC(SQRT(AB$2*10^AC5*AC$2*AD$2*$H5*T/AE$2)/L/$G5)</f>
        <v>2.4993611395363047E-4</v>
      </c>
      <c r="AA5" s="32"/>
      <c r="AB5" s="32"/>
      <c r="AC5" s="37">
        <f t="shared" ref="AC5:AC10" si="5">1.9886*$E5-3.8344</f>
        <v>-3.8344</v>
      </c>
      <c r="AD5" s="48">
        <f t="shared" ref="AD5:AD10" si="6">V5/1000/$G5/Z5*1000000000</f>
        <v>145076037.09422636</v>
      </c>
      <c r="AE5" s="114">
        <v>63000</v>
      </c>
      <c r="AF5" s="62">
        <v>153</v>
      </c>
      <c r="AG5" s="112" t="s">
        <v>585</v>
      </c>
      <c r="AH5" s="113">
        <v>1.75</v>
      </c>
      <c r="AI5" s="31"/>
      <c r="AJ5" s="46">
        <f t="shared" ref="AJ5:AJ10" si="7">1-EXP(AL$2*10^AM5*AM$2*$H5*AN$2*T/L^2/($G5^2)/AO$2)*ERFC(SQRT(AL$2*10^AM5*AM$2*AN$2*$H5*T/AO$2)/L/$G5)</f>
        <v>2.0808722326226547E-4</v>
      </c>
      <c r="AK5" s="32"/>
      <c r="AL5" s="32"/>
      <c r="AM5" s="38">
        <f t="shared" ref="AM5:AM10" si="8">2.005*$E5-3.989</f>
        <v>-3.9889999999999999</v>
      </c>
      <c r="AN5" s="48">
        <f t="shared" ref="AN5:AN10" si="9">AF5/1000/$G5/AJ5*1000000000</f>
        <v>12458247.068048973</v>
      </c>
      <c r="AO5" s="114">
        <v>4700</v>
      </c>
      <c r="AP5" s="62">
        <v>404</v>
      </c>
      <c r="AQ5" s="112" t="s">
        <v>585</v>
      </c>
      <c r="AR5" s="112">
        <v>1.65</v>
      </c>
      <c r="AS5" s="31"/>
      <c r="AT5" s="50">
        <f t="shared" ref="AT5:AT10" si="10">1-EXP(AV$2*10^AW5*AW$2*$H5*AY$2*T/L^2/($G5^2)/AZ$2/10^$F5/AX$2*1000000)*ERFC(SQRT(AV$2*10^AW5*AW$2*AY$2*$H5*T/AZ$2/10^$F5/AX$2*1000000)/L/$G5)</f>
        <v>1.9758953584414485E-8</v>
      </c>
      <c r="AU5" s="32"/>
      <c r="AV5" s="32"/>
      <c r="AW5" s="38">
        <f t="shared" ref="AW5:AW10" si="11">3.0154*$E5-10.521</f>
        <v>-10.521000000000001</v>
      </c>
      <c r="AX5" s="38"/>
      <c r="AY5" s="114">
        <f t="shared" ref="AY5:AY10" si="12">AP5/1000/$G5/AT5*1000000000</f>
        <v>346440253444.00476</v>
      </c>
      <c r="AZ5" s="115">
        <v>13000</v>
      </c>
      <c r="BA5" s="66">
        <v>1910</v>
      </c>
      <c r="BB5" s="41" t="s">
        <v>585</v>
      </c>
      <c r="BC5" s="110">
        <v>4.3899999999999997</v>
      </c>
      <c r="BD5" s="31"/>
      <c r="BE5" s="46">
        <f t="shared" ref="BE5:BE10" si="13">1-EXP(BG$2*10^BH5*BH$2*$H5*BI$2*T/L^2/($G5^2)/BJ$2)*ERFC(SQRT(BG$2*10^BH5*BH$2*BI$2*$H5*T/BJ$2)/L/$G5)</f>
        <v>7.9043405748602247E-5</v>
      </c>
      <c r="BF5" s="32"/>
      <c r="BG5" s="32"/>
      <c r="BH5" s="38">
        <f t="shared" ref="BH5:BH10" si="14">2.1587*$E5-6.2616</f>
        <v>-6.2615999999999996</v>
      </c>
      <c r="BI5" s="48">
        <f t="shared" ref="BI5:BI10" si="15">BA5/1000/$G5/BE5*1000000000</f>
        <v>409429043.09192187</v>
      </c>
      <c r="BJ5" s="115">
        <v>69000</v>
      </c>
      <c r="BK5" s="119">
        <v>82.1</v>
      </c>
      <c r="BL5" s="120" t="s">
        <v>585</v>
      </c>
      <c r="BM5" s="121">
        <v>0.66700000000000004</v>
      </c>
      <c r="BN5" s="31"/>
      <c r="BO5" s="46">
        <f t="shared" ref="BO5:BO10" si="16">1-EXP(BQ$2*10^BR5*BR$2*$H5*BS$2*T/L^2/($G5^2)/BT$2)*ERFC(SQRT(BQ$2*10^BR5*BR$2*BS$2*$H5*T/BT$2)/L/$G5)</f>
        <v>9.9404130833313786E-5</v>
      </c>
      <c r="BP5" s="32"/>
      <c r="BQ5" s="32"/>
      <c r="BR5" s="38">
        <f t="shared" ref="BR5:BR10" si="17">2.126*$E5-4.6444</f>
        <v>-4.6444000000000001</v>
      </c>
      <c r="BS5" s="48">
        <f t="shared" ref="BS5:BS10" si="18">BK5/1000/$G5/BO5*1000000000</f>
        <v>13994250.654206045</v>
      </c>
      <c r="BT5" s="114">
        <v>2800</v>
      </c>
      <c r="BU5" s="119">
        <v>44.6</v>
      </c>
      <c r="BV5" s="120" t="s">
        <v>585</v>
      </c>
      <c r="BW5" s="121">
        <v>0.65100000000000002</v>
      </c>
      <c r="BX5" s="31"/>
      <c r="BY5" s="46">
        <f t="shared" ref="BY5:BY10" si="19">1-EXP(CA$2*10^CB5*CB$2*$H5*CC$2*T/L^2/($G5^2)/CD$2)*ERFC(SQRT(CA$2*10^CB5*CB$2*CC$2*$H5*T/CD$2)/L/$G5)</f>
        <v>1.2046277284305518E-4</v>
      </c>
      <c r="BZ5" s="32"/>
      <c r="CA5" s="32"/>
      <c r="CB5" s="38">
        <f t="shared" ref="CB5:CB10" si="20">2.2928*$E5-4.4592</f>
        <v>-4.4592000000000001</v>
      </c>
      <c r="CC5" s="48">
        <f t="shared" ref="CC5:CC10" si="21">BU5/1000/$G5/BY5*1000000000</f>
        <v>6273254.7862393754</v>
      </c>
      <c r="CD5" s="114">
        <v>2800</v>
      </c>
    </row>
    <row r="6" spans="1:82" x14ac:dyDescent="0.25">
      <c r="A6" s="51" t="s">
        <v>588</v>
      </c>
      <c r="B6" s="41" t="s">
        <v>32</v>
      </c>
      <c r="C6" s="41">
        <f t="shared" si="0"/>
        <v>6.02</v>
      </c>
      <c r="D6" s="51"/>
      <c r="E6" s="50"/>
      <c r="F6" s="50">
        <f t="shared" si="1"/>
        <v>6.9480080000000006</v>
      </c>
      <c r="G6" s="67">
        <f t="shared" si="2"/>
        <v>69343.153997951944</v>
      </c>
      <c r="H6" s="50">
        <f t="shared" si="3"/>
        <v>0.385934623618432</v>
      </c>
      <c r="I6" s="51"/>
      <c r="J6" s="51"/>
      <c r="K6" s="66">
        <v>380</v>
      </c>
      <c r="L6" s="41" t="s">
        <v>585</v>
      </c>
      <c r="M6" s="41">
        <v>2.2400000000000002</v>
      </c>
      <c r="N6" s="49"/>
      <c r="O6" s="50">
        <f>1-EXP(Q2*10^R$6*R$2*$H$6*T$2*T/L^2/($G$6^2)/U$2/10^$F$6/S2*1000000)*ERFC(SQRT(Q2*10^R$6*R$2*T$2*$H$6*T/U$2/10^$F$6/S2*1000000)/L/$G$6)</f>
        <v>0.86242300346924261</v>
      </c>
      <c r="P6" s="51"/>
      <c r="Q6" s="67"/>
      <c r="R6" s="77">
        <f>VLOOKUP(B$6,DDT_Prop,4,FALSE)*e_Endo430+VLOOKUP(B$6,DDT_Prop,5,FALSE)*s_Endo430+VLOOKUP(B$6,DDT_Prop,6,FALSE)*a_Endo430+VLOOKUP(B$6,DDT_Prop,7,FALSE)*b_Endo430+VLOOKUP(B$6,DDT_Prop,8,FALSE)*v_Endo430+c_Endo430</f>
        <v>6.6861379999999997</v>
      </c>
      <c r="S6" s="132"/>
      <c r="T6" s="52">
        <f>K6/1000/G$6/O6*1000000000</f>
        <v>6354.1823438043157</v>
      </c>
      <c r="U6" s="70">
        <v>7600</v>
      </c>
      <c r="V6" s="41">
        <v>4960</v>
      </c>
      <c r="W6" s="41" t="s">
        <v>585</v>
      </c>
      <c r="X6" s="110">
        <v>6.33</v>
      </c>
      <c r="Y6" s="33"/>
      <c r="Z6" s="50">
        <f t="shared" si="4"/>
        <v>2.1272924187576425E-4</v>
      </c>
      <c r="AA6" s="26"/>
      <c r="AB6" s="26"/>
      <c r="AC6" s="37">
        <f t="shared" si="5"/>
        <v>-3.8344</v>
      </c>
      <c r="AD6" s="52">
        <f t="shared" si="6"/>
        <v>336241173.68439388</v>
      </c>
      <c r="AE6" s="70">
        <v>130000</v>
      </c>
      <c r="AF6" s="66">
        <v>412</v>
      </c>
      <c r="AG6" s="41" t="s">
        <v>585</v>
      </c>
      <c r="AH6" s="110">
        <v>2.2799999999999998</v>
      </c>
      <c r="AI6" s="33"/>
      <c r="AJ6" s="50">
        <f t="shared" si="7"/>
        <v>1.7710934163950309E-4</v>
      </c>
      <c r="AK6" s="26"/>
      <c r="AL6" s="26"/>
      <c r="AM6" s="37">
        <f t="shared" si="8"/>
        <v>-3.9889999999999999</v>
      </c>
      <c r="AN6" s="52">
        <f t="shared" si="9"/>
        <v>33546881.621743068</v>
      </c>
      <c r="AO6" s="70">
        <v>11000</v>
      </c>
      <c r="AP6" s="66">
        <v>839</v>
      </c>
      <c r="AQ6" s="41" t="s">
        <v>585</v>
      </c>
      <c r="AR6" s="41">
        <v>2.15</v>
      </c>
      <c r="AS6" s="33"/>
      <c r="AT6" s="50">
        <f t="shared" si="10"/>
        <v>1.3359106820765021E-8</v>
      </c>
      <c r="AU6" s="26"/>
      <c r="AV6" s="26"/>
      <c r="AW6" s="38">
        <f t="shared" si="11"/>
        <v>-10.521000000000001</v>
      </c>
      <c r="AX6" s="37"/>
      <c r="AY6" s="70">
        <f t="shared" si="12"/>
        <v>905692866485.03687</v>
      </c>
      <c r="AZ6" s="116">
        <v>23000</v>
      </c>
      <c r="BA6" s="66">
        <v>4720</v>
      </c>
      <c r="BB6" s="41" t="s">
        <v>585</v>
      </c>
      <c r="BC6" s="110">
        <v>5.72</v>
      </c>
      <c r="BD6" s="33"/>
      <c r="BE6" s="50">
        <f t="shared" si="13"/>
        <v>6.7275222698892634E-5</v>
      </c>
      <c r="BF6" s="26"/>
      <c r="BG6" s="26"/>
      <c r="BH6" s="37">
        <f t="shared" si="14"/>
        <v>-6.2615999999999996</v>
      </c>
      <c r="BI6" s="52">
        <f t="shared" si="15"/>
        <v>1011773413.9034125</v>
      </c>
      <c r="BJ6" s="116">
        <v>150000</v>
      </c>
      <c r="BK6" s="122">
        <v>174</v>
      </c>
      <c r="BL6" s="117" t="s">
        <v>585</v>
      </c>
      <c r="BM6" s="123">
        <v>0.87</v>
      </c>
      <c r="BN6" s="33"/>
      <c r="BO6" s="50">
        <f t="shared" si="16"/>
        <v>8.4604792758069536E-5</v>
      </c>
      <c r="BP6" s="26"/>
      <c r="BQ6" s="26"/>
      <c r="BR6" s="37">
        <f t="shared" si="17"/>
        <v>-4.6444000000000001</v>
      </c>
      <c r="BS6" s="52">
        <f t="shared" si="18"/>
        <v>29658603.025807749</v>
      </c>
      <c r="BT6" s="70">
        <v>5100</v>
      </c>
      <c r="BU6" s="122">
        <v>90.6</v>
      </c>
      <c r="BV6" s="117" t="s">
        <v>585</v>
      </c>
      <c r="BW6" s="123">
        <v>0.80800000000000005</v>
      </c>
      <c r="BX6" s="33"/>
      <c r="BY6" s="50">
        <f t="shared" si="19"/>
        <v>1.0252846582226027E-4</v>
      </c>
      <c r="BZ6" s="26"/>
      <c r="CA6" s="26"/>
      <c r="CB6" s="37">
        <f t="shared" si="20"/>
        <v>-4.4592000000000001</v>
      </c>
      <c r="CC6" s="52">
        <f t="shared" si="21"/>
        <v>12743248.366488298</v>
      </c>
      <c r="CD6" s="70">
        <v>5100</v>
      </c>
    </row>
    <row r="7" spans="1:82" x14ac:dyDescent="0.25">
      <c r="A7" s="51" t="s">
        <v>589</v>
      </c>
      <c r="B7" s="41" t="s">
        <v>29</v>
      </c>
      <c r="C7" s="41">
        <f t="shared" si="0"/>
        <v>6.51</v>
      </c>
      <c r="D7" s="51"/>
      <c r="E7" s="50"/>
      <c r="F7" s="50">
        <f t="shared" si="1"/>
        <v>6.9662440000000005</v>
      </c>
      <c r="G7" s="67">
        <f t="shared" si="2"/>
        <v>677967.49341078789</v>
      </c>
      <c r="H7" s="50">
        <f t="shared" si="3"/>
        <v>0.41353639976675849</v>
      </c>
      <c r="I7" s="51"/>
      <c r="J7" s="51"/>
      <c r="K7" s="66">
        <v>204</v>
      </c>
      <c r="L7" s="41" t="s">
        <v>585</v>
      </c>
      <c r="M7" s="41">
        <v>0.753</v>
      </c>
      <c r="N7" s="49"/>
      <c r="O7" s="50">
        <f>1-EXP(Q2*10^R$7*R$2*$H$7*T$2*T/L^2/($G$7^2)/U$2/10^$F$7/S2*1000000)*ERFC(SQRT(Q2*10^R$7*R$2*T$2*$H$7*T/U$2/10^$F$7/S2*1000000)/L/$G$7)</f>
        <v>0.36816556543181056</v>
      </c>
      <c r="P7" s="51"/>
      <c r="Q7" s="67"/>
      <c r="R7" s="77">
        <f>VLOOKUP(B$7,DDT_Prop,4,FALSE)*e_Endo430+VLOOKUP(B$7,DDT_Prop,5,FALSE)*s_Endo430+VLOOKUP(B$7,DDT_Prop,6,FALSE)*a_Endo430+VLOOKUP(B$7,DDT_Prop,7,FALSE)*b_Endo430+VLOOKUP(B$7,DDT_Prop,8,FALSE)*v_Endo430+c_Endo430</f>
        <v>6.7972259999999984</v>
      </c>
      <c r="S7" s="132"/>
      <c r="T7" s="52">
        <f>K7/1000/G$7/O7*1000000000</f>
        <v>817.29365962451016</v>
      </c>
      <c r="U7" s="70">
        <v>580</v>
      </c>
      <c r="V7" s="41">
        <v>1860</v>
      </c>
      <c r="W7" s="41" t="s">
        <v>585</v>
      </c>
      <c r="X7" s="110">
        <v>2.21</v>
      </c>
      <c r="Y7" s="33"/>
      <c r="Z7" s="50">
        <f t="shared" si="4"/>
        <v>2.2526140953327278E-5</v>
      </c>
      <c r="AA7" s="26"/>
      <c r="AB7" s="26"/>
      <c r="AC7" s="37">
        <f t="shared" si="5"/>
        <v>-3.8344</v>
      </c>
      <c r="AD7" s="52">
        <f t="shared" si="6"/>
        <v>121791583.1163213</v>
      </c>
      <c r="AE7" s="70">
        <v>6200</v>
      </c>
      <c r="AF7" s="66">
        <v>174</v>
      </c>
      <c r="AG7" s="41" t="s">
        <v>585</v>
      </c>
      <c r="AH7" s="110">
        <v>1.1200000000000001</v>
      </c>
      <c r="AI7" s="33"/>
      <c r="AJ7" s="50">
        <f t="shared" si="7"/>
        <v>1.8753840074881012E-5</v>
      </c>
      <c r="AK7" s="26"/>
      <c r="AL7" s="26"/>
      <c r="AM7" s="37">
        <f t="shared" si="8"/>
        <v>-3.9889999999999999</v>
      </c>
      <c r="AN7" s="52">
        <f t="shared" si="9"/>
        <v>13685169.124302067</v>
      </c>
      <c r="AO7" s="70">
        <v>610</v>
      </c>
      <c r="AP7" s="66">
        <v>412</v>
      </c>
      <c r="AQ7" s="41" t="s">
        <v>585</v>
      </c>
      <c r="AR7" s="41">
        <v>0.45100000000000001</v>
      </c>
      <c r="AS7" s="33"/>
      <c r="AT7" s="50">
        <f t="shared" si="10"/>
        <v>1.3850139923832216E-9</v>
      </c>
      <c r="AU7" s="26"/>
      <c r="AV7" s="26"/>
      <c r="AW7" s="38">
        <f t="shared" si="11"/>
        <v>-10.521000000000001</v>
      </c>
      <c r="AX7" s="37"/>
      <c r="AY7" s="70">
        <f t="shared" si="12"/>
        <v>438767229695.57935</v>
      </c>
      <c r="AZ7" s="116">
        <v>1500</v>
      </c>
      <c r="BA7" s="66">
        <v>1790</v>
      </c>
      <c r="BB7" s="41" t="s">
        <v>585</v>
      </c>
      <c r="BC7" s="110">
        <v>2.4900000000000002</v>
      </c>
      <c r="BD7" s="33"/>
      <c r="BE7" s="50">
        <f t="shared" si="13"/>
        <v>7.1231219944678514E-6</v>
      </c>
      <c r="BF7" s="26"/>
      <c r="BG7" s="26"/>
      <c r="BH7" s="37">
        <f t="shared" si="14"/>
        <v>-6.2615999999999996</v>
      </c>
      <c r="BI7" s="52">
        <f t="shared" si="15"/>
        <v>370658340.85206735</v>
      </c>
      <c r="BJ7" s="116">
        <v>6900</v>
      </c>
      <c r="BK7" s="122">
        <v>107</v>
      </c>
      <c r="BL7" s="117" t="s">
        <v>585</v>
      </c>
      <c r="BM7" s="123">
        <v>0.55700000000000005</v>
      </c>
      <c r="BN7" s="33"/>
      <c r="BO7" s="50">
        <f t="shared" si="16"/>
        <v>8.9580914118814192E-6</v>
      </c>
      <c r="BP7" s="26"/>
      <c r="BQ7" s="26"/>
      <c r="BR7" s="37">
        <f t="shared" si="17"/>
        <v>-4.6444000000000001</v>
      </c>
      <c r="BS7" s="52">
        <f t="shared" si="18"/>
        <v>17618114.033887774</v>
      </c>
      <c r="BT7" s="70">
        <v>390</v>
      </c>
      <c r="BU7" s="122">
        <v>80.599999999999994</v>
      </c>
      <c r="BV7" s="117" t="s">
        <v>585</v>
      </c>
      <c r="BW7" s="123">
        <v>0.65100000000000002</v>
      </c>
      <c r="BX7" s="33"/>
      <c r="BY7" s="50">
        <f t="shared" si="19"/>
        <v>1.0856015372318062E-5</v>
      </c>
      <c r="BZ7" s="26"/>
      <c r="CA7" s="26"/>
      <c r="CB7" s="37">
        <f t="shared" si="20"/>
        <v>-4.4592000000000001</v>
      </c>
      <c r="CC7" s="52">
        <f t="shared" si="21"/>
        <v>10951048.969476266</v>
      </c>
      <c r="CD7" s="70">
        <v>390</v>
      </c>
    </row>
    <row r="8" spans="1:82" x14ac:dyDescent="0.25">
      <c r="A8" s="51" t="s">
        <v>590</v>
      </c>
      <c r="B8" s="41" t="s">
        <v>30</v>
      </c>
      <c r="C8" s="41">
        <f t="shared" si="0"/>
        <v>6.51</v>
      </c>
      <c r="D8" s="51"/>
      <c r="E8" s="50"/>
      <c r="F8" s="50">
        <f t="shared" si="1"/>
        <v>6.4948830000000006</v>
      </c>
      <c r="G8" s="67">
        <f t="shared" si="2"/>
        <v>760710.19883052027</v>
      </c>
      <c r="H8" s="50">
        <f t="shared" si="3"/>
        <v>0.41353639976675849</v>
      </c>
      <c r="I8" s="51"/>
      <c r="J8" s="51"/>
      <c r="K8" s="66">
        <v>187</v>
      </c>
      <c r="L8" s="41" t="s">
        <v>585</v>
      </c>
      <c r="M8" s="41">
        <v>0.92500000000000004</v>
      </c>
      <c r="N8" s="49"/>
      <c r="O8" s="50">
        <f>1-EXP(Q2*10^R$8*R$2*$H$8*T$2*T/L^2/($G$8^2)/U$2/10^$F$8/S2*1000000)*ERFC(SQRT(Q2*10^R$8*R$2*T$2*$H$8*T/U$2/10^$F$8/S2*1000000)/L/$G$8)</f>
        <v>0.33668925904562896</v>
      </c>
      <c r="P8" s="51"/>
      <c r="Q8" s="67"/>
      <c r="R8" s="77">
        <f>VLOOKUP(B$8,DDT_Prop,4,FALSE)*e_Endo430+VLOOKUP(B$8,DDT_Prop,5,FALSE)*s_Endo430+VLOOKUP(B$8,DDT_Prop,6,FALSE)*a_Endo430+VLOOKUP(B$8,DDT_Prop,7,FALSE)*b_Endo430+VLOOKUP(B$8,DDT_Prop,8,FALSE)*v_Endo430+c_Endo430</f>
        <v>6.3145719999999983</v>
      </c>
      <c r="S8" s="132"/>
      <c r="T8" s="52">
        <f>K8/1000/$G$8/O8*1000000000</f>
        <v>730.11808457208258</v>
      </c>
      <c r="U8" s="70">
        <v>480</v>
      </c>
      <c r="V8" s="41">
        <v>1500</v>
      </c>
      <c r="W8" s="41" t="s">
        <v>585</v>
      </c>
      <c r="X8" s="110">
        <v>2.65</v>
      </c>
      <c r="Y8" s="33"/>
      <c r="Z8" s="50">
        <f t="shared" si="4"/>
        <v>2.0076003622526706E-5</v>
      </c>
      <c r="AA8" s="26"/>
      <c r="AB8" s="26"/>
      <c r="AC8" s="37">
        <f t="shared" si="5"/>
        <v>-3.8344</v>
      </c>
      <c r="AD8" s="52">
        <f t="shared" si="6"/>
        <v>98218829.632135913</v>
      </c>
      <c r="AE8" s="70">
        <v>4500</v>
      </c>
      <c r="AF8" s="66">
        <v>203</v>
      </c>
      <c r="AG8" s="41" t="s">
        <v>585</v>
      </c>
      <c r="AH8" s="110">
        <v>1.36</v>
      </c>
      <c r="AI8" s="33"/>
      <c r="AJ8" s="50">
        <f t="shared" si="7"/>
        <v>1.6714005329432347E-5</v>
      </c>
      <c r="AK8" s="26"/>
      <c r="AL8" s="26"/>
      <c r="AM8" s="37">
        <f t="shared" si="8"/>
        <v>-3.9889999999999999</v>
      </c>
      <c r="AN8" s="52">
        <f t="shared" si="9"/>
        <v>15966005.065728866</v>
      </c>
      <c r="AO8" s="70">
        <v>650</v>
      </c>
      <c r="AP8" s="66">
        <v>363</v>
      </c>
      <c r="AQ8" s="41" t="s">
        <v>585</v>
      </c>
      <c r="AR8" s="41">
        <v>0.58499999999999996</v>
      </c>
      <c r="AS8" s="33"/>
      <c r="AT8" s="50">
        <f t="shared" si="10"/>
        <v>2.123852205215826E-9</v>
      </c>
      <c r="AU8" s="26"/>
      <c r="AV8" s="26"/>
      <c r="AW8" s="38">
        <f t="shared" si="11"/>
        <v>-10.521000000000001</v>
      </c>
      <c r="AX8" s="37"/>
      <c r="AY8" s="70">
        <f t="shared" si="12"/>
        <v>224679316699.12082</v>
      </c>
      <c r="AZ8" s="116">
        <v>1200</v>
      </c>
      <c r="BA8" s="66">
        <v>1430</v>
      </c>
      <c r="BB8" s="41" t="s">
        <v>585</v>
      </c>
      <c r="BC8" s="110">
        <v>2.94</v>
      </c>
      <c r="BD8" s="33"/>
      <c r="BE8" s="50">
        <f t="shared" si="13"/>
        <v>6.3483414707299346E-6</v>
      </c>
      <c r="BF8" s="26"/>
      <c r="BG8" s="26"/>
      <c r="BH8" s="37">
        <f t="shared" si="14"/>
        <v>-6.2615999999999996</v>
      </c>
      <c r="BI8" s="52">
        <f t="shared" si="15"/>
        <v>296112349.09976894</v>
      </c>
      <c r="BJ8" s="116">
        <v>5000</v>
      </c>
      <c r="BK8" s="122">
        <v>111</v>
      </c>
      <c r="BL8" s="117" t="s">
        <v>585</v>
      </c>
      <c r="BM8" s="123">
        <v>0.55700000000000005</v>
      </c>
      <c r="BN8" s="33"/>
      <c r="BO8" s="50">
        <f t="shared" si="16"/>
        <v>7.9837228914581004E-6</v>
      </c>
      <c r="BP8" s="26"/>
      <c r="BQ8" s="26"/>
      <c r="BR8" s="37">
        <f t="shared" si="17"/>
        <v>-4.6444000000000001</v>
      </c>
      <c r="BS8" s="52">
        <f t="shared" si="18"/>
        <v>18276721.132036645</v>
      </c>
      <c r="BT8" s="70">
        <v>370</v>
      </c>
      <c r="BU8" s="122">
        <v>102</v>
      </c>
      <c r="BV8" s="117" t="s">
        <v>585</v>
      </c>
      <c r="BW8" s="123">
        <v>0.65100000000000002</v>
      </c>
      <c r="BX8" s="33"/>
      <c r="BY8" s="50">
        <f t="shared" si="19"/>
        <v>9.6752118839971146E-6</v>
      </c>
      <c r="BZ8" s="26"/>
      <c r="CA8" s="26"/>
      <c r="CB8" s="37">
        <f t="shared" si="20"/>
        <v>-4.4592000000000001</v>
      </c>
      <c r="CC8" s="52">
        <f t="shared" si="21"/>
        <v>13858634.726898801</v>
      </c>
      <c r="CD8" s="70">
        <v>370</v>
      </c>
    </row>
    <row r="9" spans="1:82" x14ac:dyDescent="0.25">
      <c r="A9" s="51" t="s">
        <v>591</v>
      </c>
      <c r="B9" s="41" t="s">
        <v>50</v>
      </c>
      <c r="C9" s="41">
        <f t="shared" si="0"/>
        <v>6.91</v>
      </c>
      <c r="D9" s="51"/>
      <c r="E9" s="50"/>
      <c r="F9" s="50">
        <f t="shared" si="1"/>
        <v>7.2464200000000005</v>
      </c>
      <c r="G9" s="67">
        <f t="shared" si="2"/>
        <v>726465.662952026</v>
      </c>
      <c r="H9" s="50">
        <f t="shared" si="3"/>
        <v>0.3601751473183698</v>
      </c>
      <c r="I9" s="51"/>
      <c r="J9" s="51"/>
      <c r="K9" s="66">
        <v>26.9</v>
      </c>
      <c r="L9" s="41" t="s">
        <v>620</v>
      </c>
      <c r="M9" s="41">
        <v>3.58</v>
      </c>
      <c r="N9" s="49"/>
      <c r="O9" s="50">
        <f>1-EXP(Q2*10^R$9*R$2*$H$9*T$2*T/L^2/($G$9^2)/U$2/10^$F$9/S2*1000000)*ERFC(SQRT(Q2*10^R$9*R$2*T$2*$H$9*T/U$2/10^$F$9/S2*1000000)/L/$G$9)</f>
        <v>0.347851446890034</v>
      </c>
      <c r="P9" s="51"/>
      <c r="Q9" s="67"/>
      <c r="R9" s="77">
        <f>VLOOKUP(B$9,DDT_Prop,4,FALSE)*e_Endo430+VLOOKUP(B$9,DDT_Prop,5,FALSE)*s_Endo430+VLOOKUP(B$9,DDT_Prop,6,FALSE)*a_Endo430+VLOOKUP(B$9,DDT_Prop,7,FALSE)*b_Endo430+VLOOKUP(B$9,DDT_Prop,8,FALSE)*v_Endo430+c_Endo430</f>
        <v>7.1261799999999997</v>
      </c>
      <c r="S9" s="132"/>
      <c r="T9" s="52">
        <f>K9/1000/$G$9/O9*1000000000</f>
        <v>106.44943827695937</v>
      </c>
      <c r="U9" s="70">
        <v>72</v>
      </c>
      <c r="V9" s="41">
        <v>169</v>
      </c>
      <c r="W9" s="41" t="s">
        <v>585</v>
      </c>
      <c r="X9" s="110">
        <v>14.2</v>
      </c>
      <c r="Y9" s="33"/>
      <c r="Z9" s="50">
        <f t="shared" si="4"/>
        <v>1.9619212369148542E-5</v>
      </c>
      <c r="AA9" s="26"/>
      <c r="AB9" s="26"/>
      <c r="AC9" s="37">
        <f t="shared" si="5"/>
        <v>-3.8344</v>
      </c>
      <c r="AD9" s="52">
        <f t="shared" si="6"/>
        <v>11857415.668021478</v>
      </c>
      <c r="AE9" s="70">
        <v>530</v>
      </c>
      <c r="AF9" s="66">
        <v>14.5</v>
      </c>
      <c r="AG9" s="41" t="s">
        <v>620</v>
      </c>
      <c r="AH9" s="110">
        <v>4.28</v>
      </c>
      <c r="AI9" s="33"/>
      <c r="AJ9" s="50">
        <f t="shared" si="7"/>
        <v>1.6333708967364302E-5</v>
      </c>
      <c r="AK9" s="26"/>
      <c r="AL9" s="26"/>
      <c r="AM9" s="37">
        <f t="shared" si="8"/>
        <v>-3.9889999999999999</v>
      </c>
      <c r="AN9" s="52">
        <f t="shared" si="9"/>
        <v>1221991.2532541133</v>
      </c>
      <c r="AO9" s="70">
        <v>48</v>
      </c>
      <c r="AP9" s="66">
        <v>59.8</v>
      </c>
      <c r="AQ9" s="41" t="s">
        <v>585</v>
      </c>
      <c r="AR9" s="41">
        <v>4.13</v>
      </c>
      <c r="AS9" s="33"/>
      <c r="AT9" s="50">
        <f t="shared" si="10"/>
        <v>8.7369511625468022E-10</v>
      </c>
      <c r="AU9" s="26"/>
      <c r="AV9" s="26"/>
      <c r="AW9" s="38">
        <f t="shared" si="11"/>
        <v>-10.521000000000001</v>
      </c>
      <c r="AX9" s="37"/>
      <c r="AY9" s="70">
        <f t="shared" si="12"/>
        <v>94216330188.688354</v>
      </c>
      <c r="AZ9" s="116">
        <v>200</v>
      </c>
      <c r="BA9" s="66">
        <v>172</v>
      </c>
      <c r="BB9" s="41" t="s">
        <v>585</v>
      </c>
      <c r="BC9" s="110">
        <v>13.3</v>
      </c>
      <c r="BD9" s="33"/>
      <c r="BE9" s="50">
        <f t="shared" si="13"/>
        <v>6.2038955209731128E-6</v>
      </c>
      <c r="BF9" s="26"/>
      <c r="BG9" s="26"/>
      <c r="BH9" s="37">
        <f t="shared" si="14"/>
        <v>-6.2615999999999996</v>
      </c>
      <c r="BI9" s="52">
        <f t="shared" si="15"/>
        <v>38163559.975043111</v>
      </c>
      <c r="BJ9" s="116">
        <v>630</v>
      </c>
      <c r="BK9" s="122">
        <v>9.02</v>
      </c>
      <c r="BL9" s="117" t="s">
        <v>620</v>
      </c>
      <c r="BM9" s="123">
        <v>1.43</v>
      </c>
      <c r="BN9" s="33"/>
      <c r="BO9" s="50">
        <f t="shared" si="16"/>
        <v>7.8020667857447989E-6</v>
      </c>
      <c r="BP9" s="26"/>
      <c r="BQ9" s="26"/>
      <c r="BR9" s="37">
        <f t="shared" si="17"/>
        <v>-4.6444000000000001</v>
      </c>
      <c r="BS9" s="52">
        <f t="shared" si="18"/>
        <v>1591408.8987082797</v>
      </c>
      <c r="BT9" s="70">
        <v>31</v>
      </c>
      <c r="BU9" s="122">
        <v>2.62</v>
      </c>
      <c r="BV9" s="117" t="s">
        <v>620</v>
      </c>
      <c r="BW9" s="123">
        <v>1.27</v>
      </c>
      <c r="BX9" s="33"/>
      <c r="BY9" s="50">
        <f t="shared" si="19"/>
        <v>9.4550690944439353E-6</v>
      </c>
      <c r="BZ9" s="26"/>
      <c r="CA9" s="26"/>
      <c r="CB9" s="37">
        <f t="shared" si="20"/>
        <v>-4.4592000000000001</v>
      </c>
      <c r="CC9" s="52">
        <f t="shared" si="21"/>
        <v>381435.83594409446</v>
      </c>
      <c r="CD9" s="70">
        <v>31</v>
      </c>
    </row>
    <row r="10" spans="1:82" x14ac:dyDescent="0.25">
      <c r="A10" s="51" t="s">
        <v>592</v>
      </c>
      <c r="B10" s="41" t="s">
        <v>51</v>
      </c>
      <c r="C10" s="41">
        <f t="shared" si="0"/>
        <v>6.91</v>
      </c>
      <c r="D10" s="51"/>
      <c r="E10" s="50"/>
      <c r="F10" s="50">
        <f t="shared" si="1"/>
        <v>7.4090040000000013</v>
      </c>
      <c r="G10" s="67">
        <f t="shared" si="2"/>
        <v>399173.02011301357</v>
      </c>
      <c r="H10" s="50">
        <f t="shared" si="3"/>
        <v>0.3601751473183698</v>
      </c>
      <c r="I10" s="51"/>
      <c r="J10" s="51"/>
      <c r="K10" s="66">
        <v>336</v>
      </c>
      <c r="L10" s="41" t="s">
        <v>585</v>
      </c>
      <c r="M10" s="41">
        <v>4.75</v>
      </c>
      <c r="N10" s="49"/>
      <c r="O10" s="50">
        <f>1-EXP(Q2*10^R$10*R$2*$H$10*T$2*T/L^2/($G$10^2)/U$2/10^$F$10/S2*1000000)*ERFC(SQRT(Q2*10^R$10*R$2*T$2*$H$10*T/U$2/10^$F$10/S2*1000000)/L/$G$10)</f>
        <v>0.47328657011905195</v>
      </c>
      <c r="P10" s="51"/>
      <c r="Q10" s="67"/>
      <c r="R10" s="77">
        <f>VLOOKUP(B$10,DDT_Prop,4,FALSE)*e_Endo430+VLOOKUP(B$10,DDT_Prop,5,FALSE)*s_Endo430+VLOOKUP(B$10,DDT_Prop,6,FALSE)*a_Endo430+VLOOKUP(B$10,DDT_Prop,7,FALSE)*b_Endo430+VLOOKUP(B$10,DDT_Prop,8,FALSE)*v_Endo430+c_Endo430</f>
        <v>7.1849119999999989</v>
      </c>
      <c r="S10" s="132"/>
      <c r="T10" s="52">
        <f>K10/1000/$G$10/O10*1000000000</f>
        <v>1778.500191632307</v>
      </c>
      <c r="U10" s="70">
        <v>1500</v>
      </c>
      <c r="V10" s="41">
        <v>1840</v>
      </c>
      <c r="W10" s="41" t="s">
        <v>585</v>
      </c>
      <c r="X10" s="110">
        <v>18.8</v>
      </c>
      <c r="Y10" s="33"/>
      <c r="Z10" s="50">
        <f t="shared" si="4"/>
        <v>3.5705078581638183E-5</v>
      </c>
      <c r="AA10" s="26"/>
      <c r="AB10" s="26"/>
      <c r="AC10" s="37">
        <f t="shared" si="5"/>
        <v>-3.8344</v>
      </c>
      <c r="AD10" s="52">
        <f t="shared" si="6"/>
        <v>129100121.17457184</v>
      </c>
      <c r="AE10" s="70">
        <v>9800</v>
      </c>
      <c r="AF10" s="66">
        <v>178</v>
      </c>
      <c r="AG10" s="41" t="s">
        <v>585</v>
      </c>
      <c r="AH10" s="110">
        <v>6.23</v>
      </c>
      <c r="AI10" s="33"/>
      <c r="AJ10" s="50">
        <f t="shared" si="7"/>
        <v>2.9725841442340695E-5</v>
      </c>
      <c r="AK10" s="26"/>
      <c r="AL10" s="26"/>
      <c r="AM10" s="37">
        <f t="shared" si="8"/>
        <v>-3.9889999999999999</v>
      </c>
      <c r="AN10" s="52">
        <f t="shared" si="9"/>
        <v>15001153.861862896</v>
      </c>
      <c r="AO10" s="70">
        <v>1000</v>
      </c>
      <c r="AP10" s="66">
        <v>342</v>
      </c>
      <c r="AQ10" s="41" t="s">
        <v>585</v>
      </c>
      <c r="AR10" s="41">
        <v>5.75</v>
      </c>
      <c r="AS10" s="33"/>
      <c r="AT10" s="50">
        <f t="shared" si="10"/>
        <v>1.3186266523135259E-9</v>
      </c>
      <c r="AU10" s="26"/>
      <c r="AV10" s="26"/>
      <c r="AW10" s="38">
        <f t="shared" si="11"/>
        <v>-10.521000000000001</v>
      </c>
      <c r="AX10" s="37"/>
      <c r="AY10" s="70">
        <f t="shared" si="12"/>
        <v>649745195233.49951</v>
      </c>
      <c r="AZ10" s="116">
        <v>2000</v>
      </c>
      <c r="BA10" s="66">
        <v>1220</v>
      </c>
      <c r="BB10" s="41" t="s">
        <v>585</v>
      </c>
      <c r="BC10" s="110">
        <v>16.100000000000001</v>
      </c>
      <c r="BD10" s="33"/>
      <c r="BE10" s="50">
        <f t="shared" si="13"/>
        <v>1.1290590394952282E-5</v>
      </c>
      <c r="BF10" s="26"/>
      <c r="BG10" s="26"/>
      <c r="BH10" s="37">
        <f t="shared" si="14"/>
        <v>-6.2615999999999996</v>
      </c>
      <c r="BI10" s="52">
        <f t="shared" si="15"/>
        <v>270696099.89356965</v>
      </c>
      <c r="BJ10" s="116">
        <v>7700</v>
      </c>
      <c r="BK10" s="122">
        <v>113</v>
      </c>
      <c r="BL10" s="117" t="s">
        <v>585</v>
      </c>
      <c r="BM10" s="123">
        <v>1.53</v>
      </c>
      <c r="BN10" s="33"/>
      <c r="BO10" s="50">
        <f t="shared" si="16"/>
        <v>1.41991188209456E-5</v>
      </c>
      <c r="BP10" s="26"/>
      <c r="BQ10" s="26"/>
      <c r="BR10" s="37">
        <f t="shared" si="17"/>
        <v>-4.6444000000000001</v>
      </c>
      <c r="BS10" s="52">
        <f t="shared" si="18"/>
        <v>19936819.187161427</v>
      </c>
      <c r="BT10" s="70">
        <v>670</v>
      </c>
      <c r="BU10" s="122">
        <v>41.8</v>
      </c>
      <c r="BV10" s="117" t="s">
        <v>585</v>
      </c>
      <c r="BW10" s="123">
        <v>1.26</v>
      </c>
      <c r="BX10" s="33"/>
      <c r="BY10" s="50">
        <f t="shared" si="19"/>
        <v>1.7207428532173275E-5</v>
      </c>
      <c r="BZ10" s="26"/>
      <c r="CA10" s="26"/>
      <c r="CB10" s="37">
        <f t="shared" si="20"/>
        <v>-4.4592000000000001</v>
      </c>
      <c r="CC10" s="52">
        <f t="shared" si="21"/>
        <v>6085540.0848804377</v>
      </c>
      <c r="CD10" s="70">
        <v>670</v>
      </c>
    </row>
    <row r="11" spans="1:82" x14ac:dyDescent="0.25">
      <c r="A11" s="51" t="s">
        <v>0</v>
      </c>
      <c r="B11" s="41">
        <v>14</v>
      </c>
      <c r="C11" s="41">
        <f>VLOOKUP(B11,PCBs,8,FALSE)</f>
        <v>5.28</v>
      </c>
      <c r="D11" s="304">
        <f>10^(VLOOKUP(B11,PCBs,14,FALSE))</f>
        <v>37.068072178257609</v>
      </c>
      <c r="E11" s="77">
        <v>3.4972269037993344</v>
      </c>
      <c r="F11" s="132">
        <f>VLOOKUP(B11,PCBs,17,FALSE)</f>
        <v>5.1477599999999999</v>
      </c>
      <c r="G11" s="67">
        <v>70113.234068673803</v>
      </c>
      <c r="H11" s="50">
        <v>0.50171447741666797</v>
      </c>
      <c r="I11" s="52">
        <f>D11*Model!$C$68*Model!$C$69/Model!$C$70*'Sediment SPME'!F11*Model!$C$71</f>
        <v>2.0319538452909565</v>
      </c>
      <c r="J11" s="52">
        <f t="shared" ref="J11:J20" si="22">VLOOKUP(B11,PRC,5,FALSE)</f>
        <v>1346.6666666666667</v>
      </c>
      <c r="K11" s="66">
        <v>456</v>
      </c>
      <c r="L11" s="41" t="s">
        <v>585</v>
      </c>
      <c r="M11" s="41">
        <v>6.08</v>
      </c>
      <c r="N11" s="53">
        <f>K11/$J$11</f>
        <v>0.33861386138613858</v>
      </c>
      <c r="O11" s="50">
        <f>EXP(Q2*10^E$11*$R$2*$H$11*$T$2*T/L^2/($G$11^2)/$U$2/10^$F$11/S2*1000000)*ERFC(SQRT(Q2*10^E$11*$R$2*$T$2*$H$11*T/$U$2/10^$F$11/S2*1000000)/L/$G$11)</f>
        <v>0.45416326272320068</v>
      </c>
      <c r="P11" s="50">
        <f>(O11-N11)^2</f>
        <v>1.3351664149353447E-2</v>
      </c>
      <c r="Q11" s="67"/>
      <c r="R11" s="50">
        <v>2.5047871221393598</v>
      </c>
      <c r="S11" s="50"/>
      <c r="T11" s="51"/>
      <c r="U11" s="58"/>
      <c r="V11" s="41">
        <v>663</v>
      </c>
      <c r="W11" s="41" t="s">
        <v>585</v>
      </c>
      <c r="X11" s="110">
        <v>3.85</v>
      </c>
      <c r="Y11" s="53">
        <f t="shared" ref="Y11:Y20" si="23">V11/$J11</f>
        <v>0.49232673267326732</v>
      </c>
      <c r="Z11" s="50">
        <f>EXP(AB$2*10^AC11*AC$2*$H11*AD$2*T/L^2/($G11^2)/AE$2)*ERFC(SQRT(AB$2*10^AC11*AC$2*AD$2*$H11*T/AE$2)/L/$G11)</f>
        <v>0.17057249204548836</v>
      </c>
      <c r="AA11" s="50">
        <f>Z11-Y11</f>
        <v>-0.32175424062777896</v>
      </c>
      <c r="AB11" s="67"/>
      <c r="AC11" s="50">
        <v>4.5103894945135172</v>
      </c>
      <c r="AD11" s="26"/>
      <c r="AE11" s="34"/>
      <c r="AF11" s="66">
        <v>752</v>
      </c>
      <c r="AG11" s="41" t="s">
        <v>585</v>
      </c>
      <c r="AH11" s="110">
        <v>2.82</v>
      </c>
      <c r="AI11" s="53">
        <f t="shared" ref="AI11:AI20" si="24">AF11/$J11</f>
        <v>0.55841584158415836</v>
      </c>
      <c r="AJ11" s="50">
        <f t="shared" ref="AJ11:AJ20" si="25">EXP(AL$2*10^AM11*AM$2*$H11*AN$2*T/L^2/($G11^2)/AO$2)*ERFC(SQRT(AL$2*10^AM11*AM$2*AN$2*$H11*T/AO$2)/L/$G11)</f>
        <v>0.21194141731057667</v>
      </c>
      <c r="AK11" s="50">
        <f>AJ11-AI11</f>
        <v>-0.34647442427358166</v>
      </c>
      <c r="AL11" s="67"/>
      <c r="AM11" s="50">
        <v>4.3055429512993211</v>
      </c>
      <c r="AN11" s="26"/>
      <c r="AO11" s="34"/>
      <c r="AP11" s="66">
        <v>759</v>
      </c>
      <c r="AQ11" s="41" t="s">
        <v>585</v>
      </c>
      <c r="AR11" s="41">
        <v>2.06</v>
      </c>
      <c r="AS11" s="53">
        <f t="shared" ref="AS11:AS20" si="26">AP11/$J11</f>
        <v>0.56361386138613856</v>
      </c>
      <c r="AT11" s="50">
        <f t="shared" ref="AT11:AT20" si="27">EXP(AV$2*10^AW11*AW$2*$H11*AY$2*T/L^2/($G11^2)/AZ$2/10^$F11/AX$2*1000000)*ERFC(SQRT(AV$2*10^AW11*AW$2*AY$2*$H11*T/AZ$2/10^$F11/AX$2*1000000)/L/$G11)</f>
        <v>0.86599056235632377</v>
      </c>
      <c r="AU11" s="50">
        <f>AT11-AS11</f>
        <v>0.30237670097018521</v>
      </c>
      <c r="AV11" s="67"/>
      <c r="AW11" s="50">
        <v>1.6754533536890199</v>
      </c>
      <c r="AX11" s="50"/>
      <c r="AY11" s="34"/>
      <c r="AZ11" s="34"/>
      <c r="BA11" s="66">
        <v>861</v>
      </c>
      <c r="BB11" s="41" t="s">
        <v>585</v>
      </c>
      <c r="BC11" s="110">
        <v>2.48</v>
      </c>
      <c r="BD11" s="53">
        <f t="shared" ref="BD11:BD20" si="28">BA11/$J11</f>
        <v>0.63935643564356437</v>
      </c>
      <c r="BE11" s="50">
        <f t="shared" ref="BE11:BE20" si="29">EXP(BG$2*10^BH11*BH$2*$H11*BI$2*T/L^2/($G11^2)/BJ$2)*ERFC(SQRT(BG$2*10^BH11*BH$2*BI$2*$H11*T/BJ$2)/L/$G11)</f>
        <v>0.26396916146636124</v>
      </c>
      <c r="BF11" s="50">
        <f>BE11-BD11</f>
        <v>-0.37538727417720313</v>
      </c>
      <c r="BG11" s="67"/>
      <c r="BH11" s="50">
        <v>2.650784260844858</v>
      </c>
      <c r="BI11" s="26"/>
      <c r="BJ11" s="34"/>
      <c r="BK11" s="122">
        <v>776</v>
      </c>
      <c r="BL11" s="117" t="s">
        <v>585</v>
      </c>
      <c r="BM11" s="123">
        <v>1.76</v>
      </c>
      <c r="BN11" s="53">
        <f t="shared" ref="BN11:BN20" si="30">BK11/$J11</f>
        <v>0.57623762376237619</v>
      </c>
      <c r="BO11" s="50">
        <f t="shared" ref="BO11:BO20" si="31">EXP(BQ$2*10^BR11*BR$2*$H11*BS$2*T/L^2/($G11^2)/BT$2)*ERFC(SQRT(BQ$2*10^BR11*BR$2*BS$2*$H11*T/BT$2)/L/$G11)</f>
        <v>0.22461760263648262</v>
      </c>
      <c r="BP11" s="50">
        <f>BO11-BN11</f>
        <v>-0.35162002112589358</v>
      </c>
      <c r="BQ11" s="67"/>
      <c r="BR11" s="50">
        <v>4.2341966062286325</v>
      </c>
      <c r="BS11" s="26"/>
      <c r="BT11" s="34"/>
      <c r="BU11" s="122">
        <v>421</v>
      </c>
      <c r="BV11" s="117" t="s">
        <v>585</v>
      </c>
      <c r="BW11" s="123">
        <v>5.18</v>
      </c>
      <c r="BX11" s="53">
        <f t="shared" ref="BX11:BX20" si="32">BU11/$J11</f>
        <v>0.31262376237623762</v>
      </c>
      <c r="BY11" s="50">
        <f t="shared" ref="BY11:BY20" si="33">EXP(CA$2*10^CB11*CB$2*$H11*CC$2*T/L^2/($G11^2)/CD$2)*ERFC(SQRT(CA$2*10^CB11*CB$2*CC$2*$H11*T/CD$2)/L/$G11)</f>
        <v>8.952267286360209E-2</v>
      </c>
      <c r="BZ11" s="50">
        <f>BY11-BX11</f>
        <v>-0.22310108951263552</v>
      </c>
      <c r="CA11" s="67"/>
      <c r="CB11" s="50">
        <v>5.1077141977163931</v>
      </c>
      <c r="CC11" s="26"/>
      <c r="CD11" s="34"/>
    </row>
    <row r="12" spans="1:82" x14ac:dyDescent="0.25">
      <c r="A12" s="51" t="s">
        <v>1</v>
      </c>
      <c r="B12" s="41">
        <v>36</v>
      </c>
      <c r="C12" s="41">
        <f t="shared" ref="C12:C20" si="34">VLOOKUP(B12,PCBs,8,FALSE)</f>
        <v>5.88</v>
      </c>
      <c r="D12" s="304">
        <f t="shared" ref="D12:D20" si="35">10^(VLOOKUP(B12,PCBs,14,FALSE))</f>
        <v>49.136022729909193</v>
      </c>
      <c r="E12" s="77">
        <v>5.1721753918331004</v>
      </c>
      <c r="F12" s="132">
        <f t="shared" ref="F12:F19" si="36">VLOOKUP(B12,PCBs,17,FALSE)</f>
        <v>5.7470160000000003</v>
      </c>
      <c r="G12" s="67">
        <v>261999.22097727651</v>
      </c>
      <c r="H12" s="50">
        <v>0.45309549993879755</v>
      </c>
      <c r="I12" s="52">
        <f>D12*Model!$C$68*Model!$C$69/Model!$C$70*'Sediment SPME'!F12*Model!$C$71</f>
        <v>2.4324669861954336</v>
      </c>
      <c r="J12" s="52">
        <f t="shared" si="22"/>
        <v>1530</v>
      </c>
      <c r="K12" s="66">
        <v>674</v>
      </c>
      <c r="L12" s="41" t="s">
        <v>585</v>
      </c>
      <c r="M12" s="41">
        <v>14.1</v>
      </c>
      <c r="N12" s="53">
        <f>K12/$J$12</f>
        <v>0.44052287581699345</v>
      </c>
      <c r="O12" s="50">
        <f>EXP(Q2*10^E$12*$R$2*$H$12*$T$2*T/L^2/($G$12^2)/$U$2/10^$F$12/S2*1000000)*ERFC(SQRT(Q2*10^E$12*$R$2*$T$2*$H$12*T/$U$2/10^$F$12/S2*1000000)/L/$G$12)</f>
        <v>0.490314965211956</v>
      </c>
      <c r="P12" s="50">
        <f t="shared" ref="P12:P20" si="37">(O12-N12)^2</f>
        <v>2.4792521663159419E-3</v>
      </c>
      <c r="Q12" s="67"/>
      <c r="R12" s="50">
        <v>3.791094593403435</v>
      </c>
      <c r="S12" s="50"/>
      <c r="T12" s="51"/>
      <c r="U12" s="58"/>
      <c r="V12" s="41">
        <v>860</v>
      </c>
      <c r="W12" s="41" t="s">
        <v>585</v>
      </c>
      <c r="X12" s="110">
        <v>10.7</v>
      </c>
      <c r="Y12" s="53">
        <f t="shared" si="23"/>
        <v>0.56209150326797386</v>
      </c>
      <c r="Z12" s="50">
        <f t="shared" ref="Z12:Z20" si="38">EXP(AB$2*10^AC12*AC$2*$H12*AD$2*T/L^2/($G12^2)/AE$2)*ERFC(SQRT(AB$2*10^AC12*AC$2*AD$2*$H12*T/AE$2)/L/$G12)</f>
        <v>0.21449741177020534</v>
      </c>
      <c r="AA12" s="50">
        <f t="shared" ref="AA12:AA20" si="39">Z12-Y12</f>
        <v>-0.34759409149776854</v>
      </c>
      <c r="AB12" s="67"/>
      <c r="AC12" s="50">
        <v>5.4783730764005982</v>
      </c>
      <c r="AD12" s="26"/>
      <c r="AE12" s="34"/>
      <c r="AF12" s="66">
        <v>873</v>
      </c>
      <c r="AG12" s="41" t="s">
        <v>585</v>
      </c>
      <c r="AH12" s="110">
        <v>5.14</v>
      </c>
      <c r="AI12" s="53">
        <f t="shared" si="24"/>
        <v>0.57058823529411762</v>
      </c>
      <c r="AJ12" s="50">
        <f t="shared" si="25"/>
        <v>0.22052113788588018</v>
      </c>
      <c r="AK12" s="50">
        <f t="shared" ref="AK12:AK20" si="40">AJ12-AI12</f>
        <v>-0.35006709740823744</v>
      </c>
      <c r="AL12" s="67"/>
      <c r="AM12" s="50">
        <v>5.4554806312214756</v>
      </c>
      <c r="AN12" s="26"/>
      <c r="AO12" s="34"/>
      <c r="AP12" s="66">
        <v>914</v>
      </c>
      <c r="AQ12" s="41" t="s">
        <v>585</v>
      </c>
      <c r="AR12" s="41">
        <v>4.0999999999999996</v>
      </c>
      <c r="AS12" s="53">
        <f t="shared" si="26"/>
        <v>0.59738562091503267</v>
      </c>
      <c r="AT12" s="50">
        <f t="shared" si="27"/>
        <v>0.8147511333703068</v>
      </c>
      <c r="AU12" s="50">
        <f t="shared" ref="AU12:AU20" si="41">AT12-AS12</f>
        <v>0.21736551245527413</v>
      </c>
      <c r="AV12" s="67"/>
      <c r="AW12" s="50">
        <v>3.7870280126703793</v>
      </c>
      <c r="AX12" s="50"/>
      <c r="AY12" s="34"/>
      <c r="AZ12" s="34"/>
      <c r="BA12" s="66">
        <v>950</v>
      </c>
      <c r="BB12" s="41" t="s">
        <v>585</v>
      </c>
      <c r="BC12" s="110">
        <v>5.14</v>
      </c>
      <c r="BD12" s="53">
        <f t="shared" si="28"/>
        <v>0.62091503267973858</v>
      </c>
      <c r="BE12" s="50">
        <f t="shared" si="29"/>
        <v>0.24829723646902491</v>
      </c>
      <c r="BF12" s="50">
        <f t="shared" ref="BF12:BF20" si="42">BE12-BD12</f>
        <v>-0.37261779621071367</v>
      </c>
      <c r="BG12" s="67"/>
      <c r="BH12" s="50">
        <v>3.9036747448033906</v>
      </c>
      <c r="BI12" s="26"/>
      <c r="BJ12" s="34"/>
      <c r="BK12" s="122">
        <v>902</v>
      </c>
      <c r="BL12" s="117" t="s">
        <v>585</v>
      </c>
      <c r="BM12" s="123">
        <v>4.45</v>
      </c>
      <c r="BN12" s="53">
        <f t="shared" si="30"/>
        <v>0.58954248366013073</v>
      </c>
      <c r="BO12" s="50">
        <f t="shared" si="31"/>
        <v>0.23456546753696728</v>
      </c>
      <c r="BP12" s="50">
        <f t="shared" ref="BP12:BP20" si="43">BO12-BN12</f>
        <v>-0.35497701612316346</v>
      </c>
      <c r="BQ12" s="67"/>
      <c r="BR12" s="50">
        <v>5.3798520815834392</v>
      </c>
      <c r="BS12" s="26"/>
      <c r="BT12" s="34"/>
      <c r="BU12" s="122">
        <v>453</v>
      </c>
      <c r="BV12" s="117" t="s">
        <v>585</v>
      </c>
      <c r="BW12" s="123">
        <v>5.15</v>
      </c>
      <c r="BX12" s="53">
        <f t="shared" si="32"/>
        <v>0.29607843137254902</v>
      </c>
      <c r="BY12" s="50">
        <f t="shared" si="33"/>
        <v>8.36471449429219E-2</v>
      </c>
      <c r="BZ12" s="50">
        <f t="shared" ref="BZ12:BZ20" si="44">BY12-BX12</f>
        <v>-0.21243128642962711</v>
      </c>
      <c r="CA12" s="67"/>
      <c r="CB12" s="50">
        <v>6.3573185016067875</v>
      </c>
      <c r="CC12" s="26"/>
      <c r="CD12" s="34"/>
    </row>
    <row r="13" spans="1:82" x14ac:dyDescent="0.25">
      <c r="A13" s="51" t="s">
        <v>2</v>
      </c>
      <c r="B13" s="41">
        <v>78</v>
      </c>
      <c r="C13" s="41">
        <f t="shared" si="34"/>
        <v>6.35</v>
      </c>
      <c r="D13" s="304">
        <f t="shared" si="35"/>
        <v>65.132837718231713</v>
      </c>
      <c r="E13" s="77">
        <v>6.6174633378540504</v>
      </c>
      <c r="F13" s="132">
        <f t="shared" si="36"/>
        <v>6.3181720000000006</v>
      </c>
      <c r="G13" s="67">
        <v>840427.00709994102</v>
      </c>
      <c r="H13" s="50">
        <v>0.41446452428724656</v>
      </c>
      <c r="I13" s="52">
        <f>D13*Model!$C$68*Model!$C$69/Model!$C$70*'Sediment SPME'!F13*Model!$C$71</f>
        <v>2.9494739801775691</v>
      </c>
      <c r="J13" s="52">
        <f t="shared" si="22"/>
        <v>687.66666666666663</v>
      </c>
      <c r="K13" s="66">
        <v>390</v>
      </c>
      <c r="L13" s="41" t="s">
        <v>585</v>
      </c>
      <c r="M13" s="41">
        <v>25.1</v>
      </c>
      <c r="N13" s="53">
        <f>K13/$J$13</f>
        <v>0.56713523994183235</v>
      </c>
      <c r="O13" s="50">
        <f>EXP(Q2*10^$E$13*$R$2*$H$13*$T$2*T/L^2/($G$13^2)/$U$2/10^$F$13/S2*1000000)*ERFC(SQRT(Q2*10^E$13*$R$2*$T$2*$H$13*T/U2/10^$F$13/S$2*1000000)/L/$G$13)</f>
        <v>0.54631596296374296</v>
      </c>
      <c r="P13" s="50">
        <f t="shared" si="37"/>
        <v>4.3344229389040266E-4</v>
      </c>
      <c r="Q13" s="67"/>
      <c r="R13" s="50">
        <v>4.8539510466057934</v>
      </c>
      <c r="S13" s="50"/>
      <c r="T13" s="51"/>
      <c r="U13" s="58"/>
      <c r="V13" s="41">
        <v>425</v>
      </c>
      <c r="W13" s="41" t="s">
        <v>585</v>
      </c>
      <c r="X13" s="110">
        <v>7.66</v>
      </c>
      <c r="Y13" s="53">
        <f t="shared" si="23"/>
        <v>0.6180319922443045</v>
      </c>
      <c r="Z13" s="50">
        <f t="shared" si="38"/>
        <v>0.25738947476879798</v>
      </c>
      <c r="AA13" s="50">
        <f t="shared" si="39"/>
        <v>-0.36064251747550652</v>
      </c>
      <c r="AB13" s="67"/>
      <c r="AC13" s="50">
        <v>6.3447031474269782</v>
      </c>
      <c r="AD13" s="26"/>
      <c r="AE13" s="34"/>
      <c r="AF13" s="66">
        <v>423</v>
      </c>
      <c r="AG13" s="41" t="s">
        <v>585</v>
      </c>
      <c r="AH13" s="110">
        <v>7.47</v>
      </c>
      <c r="AI13" s="53">
        <f t="shared" si="24"/>
        <v>0.61512360639844887</v>
      </c>
      <c r="AJ13" s="50">
        <f t="shared" si="25"/>
        <v>0.25495861965113997</v>
      </c>
      <c r="AK13" s="50">
        <f t="shared" si="40"/>
        <v>-0.3601649867473089</v>
      </c>
      <c r="AL13" s="67"/>
      <c r="AM13" s="50">
        <v>6.3591638847731362</v>
      </c>
      <c r="AN13" s="26"/>
      <c r="AO13" s="34"/>
      <c r="AP13" s="66">
        <v>426</v>
      </c>
      <c r="AQ13" s="41" t="s">
        <v>585</v>
      </c>
      <c r="AR13" s="41">
        <v>4.09</v>
      </c>
      <c r="AS13" s="53">
        <f t="shared" si="26"/>
        <v>0.6194861851672322</v>
      </c>
      <c r="AT13" s="50">
        <f t="shared" si="27"/>
        <v>0.85312599011755175</v>
      </c>
      <c r="AU13" s="50">
        <f t="shared" si="41"/>
        <v>0.23363980495031955</v>
      </c>
      <c r="AV13" s="67"/>
      <c r="AW13" s="50">
        <v>5.1761061870520049</v>
      </c>
      <c r="AX13" s="50"/>
      <c r="AY13" s="34"/>
      <c r="AZ13" s="34"/>
      <c r="BA13" s="66">
        <v>453</v>
      </c>
      <c r="BB13" s="41" t="s">
        <v>585</v>
      </c>
      <c r="BC13" s="110">
        <v>7.4</v>
      </c>
      <c r="BD13" s="53">
        <f t="shared" si="28"/>
        <v>0.65874939408628219</v>
      </c>
      <c r="BE13" s="50">
        <f t="shared" si="29"/>
        <v>0.2816086179269166</v>
      </c>
      <c r="BF13" s="50">
        <f t="shared" si="42"/>
        <v>-0.37714077615936559</v>
      </c>
      <c r="BG13" s="67"/>
      <c r="BH13" s="50">
        <v>4.8224420315836873</v>
      </c>
      <c r="BI13" s="26"/>
      <c r="BJ13" s="34"/>
      <c r="BK13" s="122">
        <v>437</v>
      </c>
      <c r="BL13" s="117" t="s">
        <v>585</v>
      </c>
      <c r="BM13" s="123">
        <v>8.49</v>
      </c>
      <c r="BN13" s="53">
        <f t="shared" si="30"/>
        <v>0.63548230731943778</v>
      </c>
      <c r="BO13" s="50">
        <f t="shared" si="31"/>
        <v>0.27249059327841468</v>
      </c>
      <c r="BP13" s="50">
        <f t="shared" si="43"/>
        <v>-0.36299171404102309</v>
      </c>
      <c r="BQ13" s="67"/>
      <c r="BR13" s="50">
        <v>6.2757140965083194</v>
      </c>
      <c r="BS13" s="26"/>
      <c r="BT13" s="34"/>
      <c r="BU13" s="122">
        <v>208</v>
      </c>
      <c r="BV13" s="117" t="s">
        <v>585</v>
      </c>
      <c r="BW13" s="123">
        <v>3.33</v>
      </c>
      <c r="BX13" s="53">
        <f t="shared" si="32"/>
        <v>0.30247212796897721</v>
      </c>
      <c r="BY13" s="50">
        <f t="shared" si="33"/>
        <v>8.5893902772784331E-2</v>
      </c>
      <c r="BZ13" s="50">
        <f t="shared" si="44"/>
        <v>-0.21657822519619288</v>
      </c>
      <c r="CA13" s="67"/>
      <c r="CB13" s="50">
        <v>7.38488401008384</v>
      </c>
      <c r="CC13" s="26"/>
      <c r="CD13" s="34"/>
    </row>
    <row r="14" spans="1:82" x14ac:dyDescent="0.25">
      <c r="A14" s="51" t="s">
        <v>3</v>
      </c>
      <c r="B14" s="41">
        <v>121</v>
      </c>
      <c r="C14" s="41">
        <f t="shared" si="34"/>
        <v>6.64</v>
      </c>
      <c r="D14" s="304">
        <f t="shared" si="35"/>
        <v>86.337605559743807</v>
      </c>
      <c r="E14" s="77">
        <v>7.5192387361472015</v>
      </c>
      <c r="F14" s="132">
        <f t="shared" si="36"/>
        <v>6.7030280000000007</v>
      </c>
      <c r="G14" s="67">
        <v>1771740.0399431253</v>
      </c>
      <c r="H14" s="50">
        <v>0.38291771022895116</v>
      </c>
      <c r="I14" s="52">
        <f>D14*Model!$C$68*Model!$C$69/Model!$C$70*'Sediment SPME'!F14*Model!$C$71</f>
        <v>3.612124069352487</v>
      </c>
      <c r="J14" s="52">
        <f t="shared" si="22"/>
        <v>720</v>
      </c>
      <c r="K14" s="66">
        <v>459</v>
      </c>
      <c r="L14" s="41" t="s">
        <v>586</v>
      </c>
      <c r="M14" s="41">
        <v>10.6</v>
      </c>
      <c r="N14" s="53">
        <f>K14/$J$14</f>
        <v>0.63749999999999996</v>
      </c>
      <c r="O14" s="50">
        <f>EXP(Q2*10^E$14*$R$2*$H$14*$T$2*T/L^2/($G$14^2)/$U2/10^$F$14/S2*1000000)*ERFC(SQRT(Q2*10^E$14*$R$2*$T$2*$H$14*T/U2/10^$F$14/S2*1000000)/L/$G$14)</f>
        <v>0.59714589593851841</v>
      </c>
      <c r="P14" s="50">
        <f t="shared" si="37"/>
        <v>1.6284537146048813E-3</v>
      </c>
      <c r="Q14" s="67"/>
      <c r="R14" s="50">
        <v>5.557061343196013</v>
      </c>
      <c r="S14" s="50"/>
      <c r="T14" s="51"/>
      <c r="U14" s="58"/>
      <c r="V14" s="41">
        <v>487</v>
      </c>
      <c r="W14" s="41" t="s">
        <v>586</v>
      </c>
      <c r="X14" s="110">
        <v>3.6</v>
      </c>
      <c r="Y14" s="53">
        <f t="shared" si="23"/>
        <v>0.67638888888888893</v>
      </c>
      <c r="Z14" s="50">
        <f t="shared" si="38"/>
        <v>0.31170343553415625</v>
      </c>
      <c r="AA14" s="50">
        <f t="shared" si="39"/>
        <v>-0.36468545335473268</v>
      </c>
      <c r="AB14" s="67"/>
      <c r="AC14" s="50">
        <v>6.8203544668154548</v>
      </c>
      <c r="AD14" s="26"/>
      <c r="AE14" s="34"/>
      <c r="AF14" s="66">
        <v>489</v>
      </c>
      <c r="AG14" s="41" t="s">
        <v>586</v>
      </c>
      <c r="AH14" s="110">
        <v>4.12</v>
      </c>
      <c r="AI14" s="53">
        <f t="shared" si="24"/>
        <v>0.6791666666666667</v>
      </c>
      <c r="AJ14" s="50">
        <f t="shared" si="25"/>
        <v>0.31457904338844778</v>
      </c>
      <c r="AK14" s="50">
        <f t="shared" si="40"/>
        <v>-0.36458762327821892</v>
      </c>
      <c r="AL14" s="67"/>
      <c r="AM14" s="50">
        <v>6.8146288819933352</v>
      </c>
      <c r="AN14" s="26"/>
      <c r="AO14" s="34"/>
      <c r="AP14" s="66">
        <v>487</v>
      </c>
      <c r="AQ14" s="41" t="s">
        <v>586</v>
      </c>
      <c r="AR14" s="41">
        <v>2.87</v>
      </c>
      <c r="AS14" s="53">
        <f t="shared" si="26"/>
        <v>0.67638888888888893</v>
      </c>
      <c r="AT14" s="50">
        <f t="shared" si="27"/>
        <v>0.89563563596278384</v>
      </c>
      <c r="AU14" s="50">
        <f t="shared" si="41"/>
        <v>0.21924674707389491</v>
      </c>
      <c r="AV14" s="67"/>
      <c r="AW14" s="50">
        <v>5.913066277826406</v>
      </c>
      <c r="AX14" s="50"/>
      <c r="AY14" s="34"/>
      <c r="AZ14" s="34"/>
      <c r="BA14" s="66">
        <v>486</v>
      </c>
      <c r="BB14" s="41" t="s">
        <v>586</v>
      </c>
      <c r="BC14" s="110">
        <v>1.1599999999999999</v>
      </c>
      <c r="BD14" s="53">
        <f t="shared" si="28"/>
        <v>0.67500000000000004</v>
      </c>
      <c r="BE14" s="50">
        <f t="shared" si="29"/>
        <v>0.29738788816259132</v>
      </c>
      <c r="BF14" s="50">
        <f t="shared" si="42"/>
        <v>-0.37761211183740873</v>
      </c>
      <c r="BG14" s="67"/>
      <c r="BH14" s="50">
        <v>5.4453825762833077</v>
      </c>
      <c r="BI14" s="26"/>
      <c r="BJ14" s="34"/>
      <c r="BK14" s="122">
        <v>488</v>
      </c>
      <c r="BL14" s="117" t="s">
        <v>586</v>
      </c>
      <c r="BM14" s="123">
        <v>2.88</v>
      </c>
      <c r="BN14" s="53">
        <f t="shared" si="30"/>
        <v>0.67777777777777781</v>
      </c>
      <c r="BO14" s="50">
        <f t="shared" si="31"/>
        <v>0.31313761698351222</v>
      </c>
      <c r="BP14" s="50">
        <f t="shared" si="43"/>
        <v>-0.36464016079426559</v>
      </c>
      <c r="BQ14" s="67"/>
      <c r="BR14" s="50">
        <v>6.8061522654288931</v>
      </c>
      <c r="BS14" s="26"/>
      <c r="BT14" s="34"/>
      <c r="BU14" s="122">
        <v>231</v>
      </c>
      <c r="BV14" s="117" t="s">
        <v>586</v>
      </c>
      <c r="BW14" s="123">
        <v>4.0999999999999996</v>
      </c>
      <c r="BX14" s="53">
        <f t="shared" si="32"/>
        <v>0.32083333333333336</v>
      </c>
      <c r="BY14" s="50">
        <f t="shared" si="33"/>
        <v>9.2514541480845952E-2</v>
      </c>
      <c r="BZ14" s="50">
        <f t="shared" si="44"/>
        <v>-0.22831879185248741</v>
      </c>
      <c r="CA14" s="67"/>
      <c r="CB14" s="50">
        <v>8.000976920119454</v>
      </c>
      <c r="CC14" s="26"/>
      <c r="CD14" s="34"/>
    </row>
    <row r="15" spans="1:82" x14ac:dyDescent="0.25">
      <c r="A15" s="51" t="s">
        <v>4</v>
      </c>
      <c r="B15" s="41">
        <v>104</v>
      </c>
      <c r="C15" s="41">
        <f t="shared" si="34"/>
        <v>5.81</v>
      </c>
      <c r="D15" s="304">
        <f t="shared" si="35"/>
        <v>86.337605559743807</v>
      </c>
      <c r="E15" s="77">
        <v>7.0286392728933986</v>
      </c>
      <c r="F15" s="132">
        <f t="shared" si="36"/>
        <v>6.6676280000000006</v>
      </c>
      <c r="G15" s="67">
        <v>542750.20979631774</v>
      </c>
      <c r="H15" s="50">
        <v>0.38291771022895116</v>
      </c>
      <c r="I15" s="52">
        <f>D15*Model!$C$68*Model!$C$69/Model!$C$70*'Sediment SPME'!F15*Model!$C$71</f>
        <v>3.612124069352487</v>
      </c>
      <c r="J15" s="52">
        <f t="shared" si="22"/>
        <v>1626.6666666666667</v>
      </c>
      <c r="K15" s="66">
        <v>713</v>
      </c>
      <c r="L15" s="41" t="s">
        <v>585</v>
      </c>
      <c r="M15" s="41">
        <v>8.9499999999999993</v>
      </c>
      <c r="N15" s="53">
        <f>K15/$J$15</f>
        <v>0.43831967213114753</v>
      </c>
      <c r="O15" s="50">
        <f>EXP(Q2*10^E$15*$R$2*$H$15*$T$2*T/L^2/($G$15^2)/$U$2/10^$F$15/S2*1000000)*ERFC(SQRT(Q2*10^E$15*$R$2*$T$2*$H$15*T/U2/10^$F$15/S2*1000000)/L/$G$15)</f>
        <v>0.41737635042142962</v>
      </c>
      <c r="P15" s="50">
        <f t="shared" si="37"/>
        <v>4.3862272423674154E-4</v>
      </c>
      <c r="Q15" s="67"/>
      <c r="R15" s="50">
        <v>5.1345760917112777</v>
      </c>
      <c r="S15" s="50"/>
      <c r="T15" s="51"/>
      <c r="U15" s="58"/>
      <c r="V15" s="41">
        <v>740</v>
      </c>
      <c r="W15" s="41" t="s">
        <v>585</v>
      </c>
      <c r="X15" s="110">
        <v>3.04</v>
      </c>
      <c r="Y15" s="53">
        <f t="shared" si="23"/>
        <v>0.45491803278688525</v>
      </c>
      <c r="Z15" s="50">
        <f t="shared" si="38"/>
        <v>0.15046339168935743</v>
      </c>
      <c r="AA15" s="50">
        <f t="shared" si="39"/>
        <v>-0.30445464109752784</v>
      </c>
      <c r="AB15" s="67"/>
      <c r="AC15" s="50">
        <v>6.5228551763859537</v>
      </c>
      <c r="AD15" s="26"/>
      <c r="AE15" s="34"/>
      <c r="AF15" s="66">
        <v>778</v>
      </c>
      <c r="AG15" s="41" t="s">
        <v>585</v>
      </c>
      <c r="AH15" s="110">
        <v>3.48</v>
      </c>
      <c r="AI15" s="53">
        <f t="shared" si="24"/>
        <v>0.47827868852459016</v>
      </c>
      <c r="AJ15" s="50">
        <f t="shared" si="25"/>
        <v>0.16277201826624033</v>
      </c>
      <c r="AK15" s="50">
        <f t="shared" si="40"/>
        <v>-0.31550667025834983</v>
      </c>
      <c r="AL15" s="67"/>
      <c r="AM15" s="50">
        <v>6.4540369548862975</v>
      </c>
      <c r="AN15" s="26"/>
      <c r="AO15" s="34"/>
      <c r="AP15" s="66">
        <v>777</v>
      </c>
      <c r="AQ15" s="41" t="s">
        <v>585</v>
      </c>
      <c r="AR15" s="41">
        <v>2.42</v>
      </c>
      <c r="AS15" s="53">
        <f t="shared" si="26"/>
        <v>0.47766393442622951</v>
      </c>
      <c r="AT15" s="50">
        <f t="shared" si="27"/>
        <v>0.79731982464656037</v>
      </c>
      <c r="AU15" s="50">
        <f t="shared" si="41"/>
        <v>0.31965589022033086</v>
      </c>
      <c r="AV15" s="67"/>
      <c r="AW15" s="50">
        <v>5.5062825550836321</v>
      </c>
      <c r="AX15" s="50"/>
      <c r="AY15" s="34"/>
      <c r="AZ15" s="34"/>
      <c r="BA15" s="66">
        <v>808</v>
      </c>
      <c r="BB15" s="41" t="s">
        <v>585</v>
      </c>
      <c r="BC15" s="110">
        <v>0.97899999999999998</v>
      </c>
      <c r="BD15" s="53">
        <f t="shared" si="28"/>
        <v>0.49672131147540982</v>
      </c>
      <c r="BE15" s="50">
        <f t="shared" si="29"/>
        <v>0.16466452747244359</v>
      </c>
      <c r="BF15" s="50">
        <f t="shared" si="42"/>
        <v>-0.33205678400296623</v>
      </c>
      <c r="BG15" s="67"/>
      <c r="BH15" s="50">
        <v>5.011423054862048</v>
      </c>
      <c r="BI15" s="26"/>
      <c r="BJ15" s="34"/>
      <c r="BK15" s="122">
        <v>800</v>
      </c>
      <c r="BL15" s="117" t="s">
        <v>585</v>
      </c>
      <c r="BM15" s="123">
        <v>2.44</v>
      </c>
      <c r="BN15" s="53">
        <f t="shared" si="30"/>
        <v>0.49180327868852458</v>
      </c>
      <c r="BO15" s="50">
        <f t="shared" si="31"/>
        <v>0.17027623671528438</v>
      </c>
      <c r="BP15" s="50">
        <f t="shared" si="43"/>
        <v>-0.32152704197324022</v>
      </c>
      <c r="BQ15" s="67"/>
      <c r="BR15" s="50">
        <v>6.3979359971759742</v>
      </c>
      <c r="BS15" s="26"/>
      <c r="BT15" s="34"/>
      <c r="BU15" s="122">
        <v>376</v>
      </c>
      <c r="BV15" s="117" t="s">
        <v>585</v>
      </c>
      <c r="BW15" s="123">
        <v>3.47</v>
      </c>
      <c r="BX15" s="53">
        <f t="shared" si="32"/>
        <v>0.23114754098360654</v>
      </c>
      <c r="BY15" s="50">
        <f t="shared" si="33"/>
        <v>6.2336356646584309E-2</v>
      </c>
      <c r="BZ15" s="50">
        <f t="shared" si="44"/>
        <v>-0.16881118433702225</v>
      </c>
      <c r="CA15" s="67"/>
      <c r="CB15" s="50">
        <v>7.3226334821649672</v>
      </c>
      <c r="CC15" s="26"/>
      <c r="CD15" s="34"/>
    </row>
    <row r="16" spans="1:82" x14ac:dyDescent="0.25">
      <c r="A16" s="51" t="s">
        <v>5</v>
      </c>
      <c r="B16" s="41">
        <v>142</v>
      </c>
      <c r="C16" s="41">
        <f t="shared" si="34"/>
        <v>6.51</v>
      </c>
      <c r="D16" s="304">
        <f t="shared" si="35"/>
        <v>114.4458370758713</v>
      </c>
      <c r="E16" s="77">
        <v>8.5947789209737202</v>
      </c>
      <c r="F16" s="132">
        <f t="shared" si="36"/>
        <v>7.2564840000000004</v>
      </c>
      <c r="G16" s="67">
        <v>2280867.2006219607</v>
      </c>
      <c r="H16" s="50">
        <v>0.35659524089143563</v>
      </c>
      <c r="I16" s="52">
        <f>D16*Model!$C$68*Model!$C$69/Model!$C$70*'Sediment SPME'!F16*Model!$C$71</f>
        <v>4.4589515004665614</v>
      </c>
      <c r="J16" s="52">
        <f t="shared" si="22"/>
        <v>3796.6666666666665</v>
      </c>
      <c r="K16" s="66">
        <v>2010</v>
      </c>
      <c r="L16" s="41" t="s">
        <v>586</v>
      </c>
      <c r="M16" s="41">
        <v>6.98</v>
      </c>
      <c r="N16" s="53">
        <f>K16/$J$16</f>
        <v>0.52941176470588236</v>
      </c>
      <c r="O16" s="50">
        <f>EXP(Q2*10^E$16*$R$2*$H$16*$T$2*T/L^2/($G$16^2)/$U$2/10^$F$16/S2*1000000)*ERFC(SQRT(Q2*10^E$16*$R$2*$T$2*$H$16*T/U2/10^$F$16/S2*1000000)/L/$G$16)</f>
        <v>0.51272738602067192</v>
      </c>
      <c r="P16" s="50">
        <f t="shared" si="37"/>
        <v>2.7836849211150457E-4</v>
      </c>
      <c r="Q16" s="67"/>
      <c r="R16" s="50">
        <v>6.556892185113516</v>
      </c>
      <c r="S16" s="50"/>
      <c r="T16" s="51"/>
      <c r="U16" s="58"/>
      <c r="V16" s="41">
        <v>2160</v>
      </c>
      <c r="W16" s="41" t="s">
        <v>586</v>
      </c>
      <c r="X16" s="110">
        <v>4.51</v>
      </c>
      <c r="Y16" s="53">
        <f t="shared" si="23"/>
        <v>0.56892010535557513</v>
      </c>
      <c r="Z16" s="50">
        <f t="shared" si="38"/>
        <v>0.21932564738021215</v>
      </c>
      <c r="AA16" s="50">
        <f t="shared" si="39"/>
        <v>-0.34959445797536298</v>
      </c>
      <c r="AB16" s="67"/>
      <c r="AC16" s="50">
        <v>7.4399090725697317</v>
      </c>
      <c r="AD16" s="26"/>
      <c r="AE16" s="34"/>
      <c r="AF16" s="66">
        <v>2250</v>
      </c>
      <c r="AG16" s="41" t="s">
        <v>586</v>
      </c>
      <c r="AH16" s="110">
        <v>11.6</v>
      </c>
      <c r="AI16" s="53">
        <f t="shared" si="24"/>
        <v>0.59262510974539073</v>
      </c>
      <c r="AJ16" s="50">
        <f t="shared" si="25"/>
        <v>0.23693246187986558</v>
      </c>
      <c r="AK16" s="50">
        <f t="shared" si="40"/>
        <v>-0.35569264786552512</v>
      </c>
      <c r="AL16" s="67"/>
      <c r="AM16" s="50">
        <v>7.3669316596209606</v>
      </c>
      <c r="AN16" s="26"/>
      <c r="AO16" s="34"/>
      <c r="AP16" s="66">
        <v>2250</v>
      </c>
      <c r="AQ16" s="41" t="s">
        <v>586</v>
      </c>
      <c r="AR16" s="41">
        <v>1.68</v>
      </c>
      <c r="AS16" s="53">
        <f t="shared" si="26"/>
        <v>0.59262510974539073</v>
      </c>
      <c r="AT16" s="50">
        <f t="shared" si="27"/>
        <v>0.88021819394091405</v>
      </c>
      <c r="AU16" s="50">
        <f t="shared" si="41"/>
        <v>0.28759308419552332</v>
      </c>
      <c r="AV16" s="67"/>
      <c r="AW16" s="50">
        <v>6.8484120101638002</v>
      </c>
      <c r="AX16" s="50"/>
      <c r="AY16" s="34"/>
      <c r="AZ16" s="34"/>
      <c r="BA16" s="66">
        <v>2230</v>
      </c>
      <c r="BB16" s="41" t="s">
        <v>586</v>
      </c>
      <c r="BC16" s="110">
        <v>2.06</v>
      </c>
      <c r="BD16" s="53">
        <f t="shared" si="28"/>
        <v>0.5873573309920983</v>
      </c>
      <c r="BE16" s="50">
        <f t="shared" si="29"/>
        <v>0.22224076438362839</v>
      </c>
      <c r="BF16" s="50">
        <f t="shared" si="42"/>
        <v>-0.36511656660846992</v>
      </c>
      <c r="BG16" s="67"/>
      <c r="BH16" s="50">
        <v>5.9995989256860724</v>
      </c>
      <c r="BI16" s="26"/>
      <c r="BJ16" s="34"/>
      <c r="BK16" s="122">
        <v>2270</v>
      </c>
      <c r="BL16" s="117" t="s">
        <v>586</v>
      </c>
      <c r="BM16" s="123">
        <v>1.92</v>
      </c>
      <c r="BN16" s="53">
        <f t="shared" si="30"/>
        <v>0.59789288849868305</v>
      </c>
      <c r="BO16" s="50">
        <f t="shared" si="31"/>
        <v>0.24103321132543903</v>
      </c>
      <c r="BP16" s="50">
        <f t="shared" si="43"/>
        <v>-0.35685967717324402</v>
      </c>
      <c r="BQ16" s="67"/>
      <c r="BR16" s="50">
        <v>7.3358244642105586</v>
      </c>
      <c r="BS16" s="26"/>
      <c r="BT16" s="34"/>
      <c r="BU16" s="122">
        <v>1070</v>
      </c>
      <c r="BV16" s="117" t="s">
        <v>586</v>
      </c>
      <c r="BW16" s="123">
        <v>2.2200000000000002</v>
      </c>
      <c r="BX16" s="53">
        <f t="shared" si="32"/>
        <v>0.28182616330114135</v>
      </c>
      <c r="BY16" s="50">
        <f t="shared" si="33"/>
        <v>7.8741902200776426E-2</v>
      </c>
      <c r="BZ16" s="50">
        <f t="shared" si="44"/>
        <v>-0.20308426110036493</v>
      </c>
      <c r="CA16" s="67"/>
      <c r="CB16" s="50">
        <v>8.3944997559687895</v>
      </c>
      <c r="CC16" s="26"/>
      <c r="CD16" s="34"/>
    </row>
    <row r="17" spans="1:82" x14ac:dyDescent="0.25">
      <c r="A17" s="51" t="s">
        <v>6</v>
      </c>
      <c r="B17" s="41">
        <v>155</v>
      </c>
      <c r="C17" s="41">
        <f t="shared" si="34"/>
        <v>6.41</v>
      </c>
      <c r="D17" s="304">
        <f t="shared" si="35"/>
        <v>114.4458370758713</v>
      </c>
      <c r="E17" s="77">
        <v>8.8178594555423953</v>
      </c>
      <c r="F17" s="132">
        <f t="shared" si="36"/>
        <v>7.2328840000000003</v>
      </c>
      <c r="G17" s="67">
        <v>3630780.5477010179</v>
      </c>
      <c r="H17" s="50">
        <v>0.35659524089143563</v>
      </c>
      <c r="I17" s="52">
        <f>D17*Model!$C$68*Model!$C$69/Model!$C$70*'Sediment SPME'!F17*Model!$C$71</f>
        <v>4.4589515004665614</v>
      </c>
      <c r="J17" s="52">
        <f t="shared" si="22"/>
        <v>557</v>
      </c>
      <c r="K17" s="66">
        <v>344</v>
      </c>
      <c r="L17" s="41" t="s">
        <v>585</v>
      </c>
      <c r="M17" s="41">
        <v>3.24</v>
      </c>
      <c r="N17" s="53">
        <f>K17/$J$17</f>
        <v>0.61759425493716336</v>
      </c>
      <c r="O17" s="50">
        <f>EXP(Q2*10^E$17*$R$2*$H$17*$T$2*T/L^2/($G$17^2)/$U$2/10^$F$17/S2*1000000)*ERFC(SQRT(Q2*10^E$17*$R$2*$T$2*$H$17*T/U2/10^$F$17/S2*1000000)/L/$G$17)</f>
        <v>0.56209089250398159</v>
      </c>
      <c r="P17" s="50">
        <f t="shared" si="37"/>
        <v>3.0806232413891333E-3</v>
      </c>
      <c r="Q17" s="67"/>
      <c r="R17" s="50">
        <v>6.647802708142053</v>
      </c>
      <c r="S17" s="50"/>
      <c r="T17" s="51"/>
      <c r="U17" s="58"/>
      <c r="V17" s="41">
        <v>347</v>
      </c>
      <c r="W17" s="41" t="s">
        <v>585</v>
      </c>
      <c r="X17" s="110">
        <v>3.35</v>
      </c>
      <c r="Y17" s="53">
        <f t="shared" si="23"/>
        <v>0.62298025134649915</v>
      </c>
      <c r="Z17" s="50">
        <f t="shared" si="38"/>
        <v>0.26158065627817284</v>
      </c>
      <c r="AA17" s="50">
        <f t="shared" si="39"/>
        <v>-0.36139959506832631</v>
      </c>
      <c r="AB17" s="67"/>
      <c r="AC17" s="50">
        <v>7.6641519146987225</v>
      </c>
      <c r="AD17" s="26"/>
      <c r="AE17" s="34"/>
      <c r="AF17" s="66">
        <v>354</v>
      </c>
      <c r="AG17" s="41" t="s">
        <v>585</v>
      </c>
      <c r="AH17" s="110">
        <v>0.72499999999999998</v>
      </c>
      <c r="AI17" s="53">
        <f t="shared" si="24"/>
        <v>0.63554757630161585</v>
      </c>
      <c r="AJ17" s="50">
        <f t="shared" si="25"/>
        <v>0.27254879020991118</v>
      </c>
      <c r="AK17" s="50">
        <f t="shared" si="40"/>
        <v>-0.36299878609170466</v>
      </c>
      <c r="AL17" s="67"/>
      <c r="AM17" s="50">
        <v>7.6254430246322293</v>
      </c>
      <c r="AN17" s="26"/>
      <c r="AO17" s="34"/>
      <c r="AP17" s="66">
        <v>351</v>
      </c>
      <c r="AQ17" s="41" t="s">
        <v>585</v>
      </c>
      <c r="AR17" s="41">
        <v>0.70299999999999996</v>
      </c>
      <c r="AS17" s="53">
        <f t="shared" si="26"/>
        <v>0.63016157989228005</v>
      </c>
      <c r="AT17" s="50">
        <f t="shared" si="27"/>
        <v>0.89527002071704342</v>
      </c>
      <c r="AU17" s="50">
        <f t="shared" si="41"/>
        <v>0.26510844082476337</v>
      </c>
      <c r="AV17" s="67"/>
      <c r="AW17" s="50">
        <v>7.1003691038043719</v>
      </c>
      <c r="AX17" s="50"/>
      <c r="AY17" s="34"/>
      <c r="AZ17" s="34"/>
      <c r="BA17" s="66">
        <v>356</v>
      </c>
      <c r="BB17" s="41" t="s">
        <v>585</v>
      </c>
      <c r="BC17" s="110">
        <v>0.51200000000000001</v>
      </c>
      <c r="BD17" s="53">
        <f t="shared" si="28"/>
        <v>0.6391382405745063</v>
      </c>
      <c r="BE17" s="50">
        <f t="shared" si="29"/>
        <v>0.2637776791689983</v>
      </c>
      <c r="BF17" s="50">
        <f t="shared" si="42"/>
        <v>-0.375360561405508</v>
      </c>
      <c r="BG17" s="67"/>
      <c r="BH17" s="50">
        <v>6.2282272451323815</v>
      </c>
      <c r="BI17" s="26"/>
      <c r="BJ17" s="34"/>
      <c r="BK17" s="122">
        <v>358</v>
      </c>
      <c r="BL17" s="117" t="s">
        <v>585</v>
      </c>
      <c r="BM17" s="123">
        <v>0.56999999999999995</v>
      </c>
      <c r="BN17" s="53">
        <f t="shared" si="30"/>
        <v>0.64272890484739675</v>
      </c>
      <c r="BO17" s="50">
        <f t="shared" si="31"/>
        <v>0.27903277226806428</v>
      </c>
      <c r="BP17" s="50">
        <f t="shared" si="43"/>
        <v>-0.36369613257933248</v>
      </c>
      <c r="BQ17" s="67"/>
      <c r="BR17" s="50">
        <v>7.5867229165247521</v>
      </c>
      <c r="BS17" s="26"/>
      <c r="BT17" s="34"/>
      <c r="BU17" s="122">
        <v>166</v>
      </c>
      <c r="BV17" s="117" t="s">
        <v>585</v>
      </c>
      <c r="BW17" s="123">
        <v>3.07</v>
      </c>
      <c r="BX17" s="53">
        <f t="shared" si="32"/>
        <v>0.29802513464991021</v>
      </c>
      <c r="BY17" s="50">
        <f t="shared" si="33"/>
        <v>8.4328113478458297E-2</v>
      </c>
      <c r="BZ17" s="50">
        <f t="shared" si="44"/>
        <v>-0.2136970211714519</v>
      </c>
      <c r="CA17" s="67"/>
      <c r="CB17" s="50">
        <v>8.7375356722562252</v>
      </c>
      <c r="CC17" s="26"/>
      <c r="CD17" s="34"/>
    </row>
    <row r="18" spans="1:82" x14ac:dyDescent="0.25">
      <c r="A18" s="51" t="s">
        <v>7</v>
      </c>
      <c r="B18" s="41">
        <v>192</v>
      </c>
      <c r="C18" s="41">
        <f t="shared" si="34"/>
        <v>7.52</v>
      </c>
      <c r="D18" s="304">
        <f t="shared" si="35"/>
        <v>151.70503674593371</v>
      </c>
      <c r="E18" s="77">
        <v>10.057099793095603</v>
      </c>
      <c r="F18" s="132">
        <f t="shared" si="36"/>
        <v>7.8453400000000002</v>
      </c>
      <c r="G18" s="67">
        <v>12589254.117941668</v>
      </c>
      <c r="H18" s="50">
        <v>0.33424680832245074</v>
      </c>
      <c r="I18" s="52">
        <f>D18*Model!$C$68*Model!$C$69/Model!$C$70*'Sediment SPME'!F18*Model!$C$71</f>
        <v>5.5401876487861239</v>
      </c>
      <c r="J18" s="52">
        <f t="shared" si="22"/>
        <v>765</v>
      </c>
      <c r="K18" s="66">
        <v>598</v>
      </c>
      <c r="L18" s="41" t="s">
        <v>586</v>
      </c>
      <c r="M18" s="41">
        <v>5.56</v>
      </c>
      <c r="N18" s="53">
        <f>K18/$J$18</f>
        <v>0.78169934640522876</v>
      </c>
      <c r="O18" s="50">
        <f>EXP(Q2*10^E$18*$R$2*$H$18*$T$2*T/L^2/($G$18^2)/$U$2/10^$F$18/S2*1000000)*ERFC(SQRT(Q2*10^E$18*$R$2*$T$2*$H$18*T/U2/10^$F$18/S2*1000000)/L/$G$18)</f>
        <v>0.70013093289941231</v>
      </c>
      <c r="P18" s="50">
        <f t="shared" si="37"/>
        <v>6.6534060818558595E-3</v>
      </c>
      <c r="Q18" s="67"/>
      <c r="R18" s="50">
        <v>7.5625800251820108</v>
      </c>
      <c r="S18" s="50"/>
      <c r="T18" s="51"/>
      <c r="U18" s="58"/>
      <c r="V18" s="41">
        <v>597</v>
      </c>
      <c r="W18" s="41" t="s">
        <v>586</v>
      </c>
      <c r="X18" s="110">
        <v>2.4</v>
      </c>
      <c r="Y18" s="53">
        <f t="shared" si="23"/>
        <v>0.7803921568627451</v>
      </c>
      <c r="Z18" s="50">
        <f t="shared" si="38"/>
        <v>0.44269898799788809</v>
      </c>
      <c r="AA18" s="50">
        <f t="shared" si="39"/>
        <v>-0.33769316886485701</v>
      </c>
      <c r="AB18" s="67"/>
      <c r="AC18" s="50">
        <v>8.1472512400232571</v>
      </c>
      <c r="AD18" s="26"/>
      <c r="AE18" s="34"/>
      <c r="AF18" s="66">
        <v>591</v>
      </c>
      <c r="AG18" s="41" t="s">
        <v>586</v>
      </c>
      <c r="AH18" s="110">
        <v>3.8</v>
      </c>
      <c r="AI18" s="53">
        <f t="shared" si="24"/>
        <v>0.77254901960784317</v>
      </c>
      <c r="AJ18" s="50">
        <f t="shared" si="25"/>
        <v>0.43088092199448286</v>
      </c>
      <c r="AK18" s="50">
        <f t="shared" si="40"/>
        <v>-0.34166809761336031</v>
      </c>
      <c r="AL18" s="67"/>
      <c r="AM18" s="50">
        <v>8.1892708470213567</v>
      </c>
      <c r="AN18" s="26"/>
      <c r="AO18" s="34"/>
      <c r="AP18" s="66">
        <v>602</v>
      </c>
      <c r="AQ18" s="41" t="s">
        <v>586</v>
      </c>
      <c r="AR18" s="41">
        <v>1.23</v>
      </c>
      <c r="AS18" s="53">
        <f t="shared" si="26"/>
        <v>0.78692810457516338</v>
      </c>
      <c r="AT18" s="50">
        <f t="shared" si="27"/>
        <v>0.95552421415582256</v>
      </c>
      <c r="AU18" s="50">
        <f t="shared" si="41"/>
        <v>0.16859610958065918</v>
      </c>
      <c r="AV18" s="67"/>
      <c r="AW18" s="50">
        <v>8.0325167274509752</v>
      </c>
      <c r="AX18" s="50"/>
      <c r="AY18" s="34"/>
      <c r="AZ18" s="34"/>
      <c r="BA18" s="66">
        <v>606</v>
      </c>
      <c r="BB18" s="41" t="s">
        <v>586</v>
      </c>
      <c r="BC18" s="110">
        <v>1.33</v>
      </c>
      <c r="BD18" s="53">
        <f t="shared" si="28"/>
        <v>0.792156862745098</v>
      </c>
      <c r="BE18" s="50">
        <f t="shared" si="29"/>
        <v>0.44620217472631252</v>
      </c>
      <c r="BF18" s="50">
        <f t="shared" si="42"/>
        <v>-0.34595468801878548</v>
      </c>
      <c r="BG18" s="67"/>
      <c r="BH18" s="50">
        <v>6.7090320851713923</v>
      </c>
      <c r="BI18" s="26"/>
      <c r="BJ18" s="34"/>
      <c r="BK18" s="122">
        <v>593</v>
      </c>
      <c r="BL18" s="117" t="s">
        <v>586</v>
      </c>
      <c r="BM18" s="123">
        <v>1.66</v>
      </c>
      <c r="BN18" s="53">
        <f t="shared" si="30"/>
        <v>0.77516339869281048</v>
      </c>
      <c r="BO18" s="50">
        <f t="shared" si="31"/>
        <v>0.43477930728707354</v>
      </c>
      <c r="BP18" s="50">
        <f t="shared" si="43"/>
        <v>-0.34038409140573694</v>
      </c>
      <c r="BQ18" s="67"/>
      <c r="BR18" s="50">
        <v>8.1632626015101799</v>
      </c>
      <c r="BS18" s="26"/>
      <c r="BT18" s="34"/>
      <c r="BU18" s="122">
        <v>302</v>
      </c>
      <c r="BV18" s="117" t="s">
        <v>586</v>
      </c>
      <c r="BW18" s="123">
        <v>2.25</v>
      </c>
      <c r="BX18" s="53">
        <f t="shared" si="32"/>
        <v>0.39477124183006534</v>
      </c>
      <c r="BY18" s="50">
        <f t="shared" si="33"/>
        <v>0.12209908668911014</v>
      </c>
      <c r="BZ18" s="50">
        <f t="shared" si="44"/>
        <v>-0.27267215514095522</v>
      </c>
      <c r="CA18" s="67"/>
      <c r="CB18" s="50">
        <v>9.5136814464829023</v>
      </c>
      <c r="CC18" s="26"/>
      <c r="CD18" s="34"/>
    </row>
    <row r="19" spans="1:82" x14ac:dyDescent="0.25">
      <c r="A19" s="51" t="s">
        <v>8</v>
      </c>
      <c r="B19" s="41">
        <v>184</v>
      </c>
      <c r="C19" s="41">
        <f t="shared" si="34"/>
        <v>6.85</v>
      </c>
      <c r="D19" s="304">
        <f t="shared" si="35"/>
        <v>151.70503674593371</v>
      </c>
      <c r="E19" s="77">
        <v>9.7408489798978071</v>
      </c>
      <c r="F19" s="132">
        <f t="shared" si="36"/>
        <v>7.8040400000000005</v>
      </c>
      <c r="G19" s="67">
        <v>6280583.5881331861</v>
      </c>
      <c r="H19" s="50">
        <v>0.33424680832245074</v>
      </c>
      <c r="I19" s="52">
        <f>D19*Model!$C$68*Model!$C$69/Model!$C$70*'Sediment SPME'!F19*Model!$C$71</f>
        <v>5.5401876487861239</v>
      </c>
      <c r="J19" s="52">
        <f t="shared" si="22"/>
        <v>709.66666666666663</v>
      </c>
      <c r="K19" s="66">
        <v>499</v>
      </c>
      <c r="L19" s="41" t="s">
        <v>585</v>
      </c>
      <c r="M19" s="41">
        <v>4.21</v>
      </c>
      <c r="N19" s="53">
        <f>K19/$J$19</f>
        <v>0.70314701737905128</v>
      </c>
      <c r="O19" s="50">
        <f>EXP(Q2*10^E$19*$R$2*$H$19*$T$2*T/L^2/($G$19^2)/$U$2/10^$F$19/S2*1000000)*ERFC(SQRT(Q2*10^E$19*$R$2*$T$2*$H$19*T/U2/10^$F$19/S2*1000000)/L/$G$19)</f>
        <v>0.60841351888402517</v>
      </c>
      <c r="P19" s="50">
        <f t="shared" si="37"/>
        <v>8.9744357371071126E-3</v>
      </c>
      <c r="Q19" s="67"/>
      <c r="R19" s="50">
        <v>7.2543903736916064</v>
      </c>
      <c r="S19" s="50"/>
      <c r="T19" s="51"/>
      <c r="U19" s="58"/>
      <c r="V19" s="41">
        <v>466</v>
      </c>
      <c r="W19" s="41" t="s">
        <v>585</v>
      </c>
      <c r="X19" s="110">
        <v>1.82</v>
      </c>
      <c r="Y19" s="53">
        <f t="shared" si="23"/>
        <v>0.65664631282292163</v>
      </c>
      <c r="Z19" s="50">
        <f t="shared" si="38"/>
        <v>0.29207064644222913</v>
      </c>
      <c r="AA19" s="50">
        <f t="shared" si="39"/>
        <v>-0.3645756663806925</v>
      </c>
      <c r="AB19" s="67"/>
      <c r="AC19" s="50">
        <v>8.0505261043743257</v>
      </c>
      <c r="AD19" s="26"/>
      <c r="AE19" s="34"/>
      <c r="AF19" s="66">
        <v>496</v>
      </c>
      <c r="AG19" s="41" t="s">
        <v>585</v>
      </c>
      <c r="AH19" s="110">
        <v>2.88</v>
      </c>
      <c r="AI19" s="53">
        <f t="shared" si="24"/>
        <v>0.69891968060122123</v>
      </c>
      <c r="AJ19" s="50">
        <f t="shared" si="25"/>
        <v>0.33588899265149796</v>
      </c>
      <c r="AK19" s="50">
        <f t="shared" si="40"/>
        <v>-0.36303068794972326</v>
      </c>
      <c r="AL19" s="67"/>
      <c r="AM19" s="50">
        <v>7.8978661805086103</v>
      </c>
      <c r="AN19" s="26"/>
      <c r="AO19" s="34"/>
      <c r="AP19" s="66">
        <v>481</v>
      </c>
      <c r="AQ19" s="41" t="s">
        <v>585</v>
      </c>
      <c r="AR19" s="41">
        <v>0.93</v>
      </c>
      <c r="AS19" s="53">
        <f t="shared" si="26"/>
        <v>0.67778299671207143</v>
      </c>
      <c r="AT19" s="50">
        <f t="shared" si="27"/>
        <v>0.92634526197308975</v>
      </c>
      <c r="AU19" s="50">
        <f t="shared" si="41"/>
        <v>0.24856226526101832</v>
      </c>
      <c r="AV19" s="67"/>
      <c r="AW19" s="50">
        <v>7.8465594718988978</v>
      </c>
      <c r="AX19" s="50"/>
      <c r="AY19" s="34"/>
      <c r="AZ19" s="34"/>
      <c r="BA19" s="66">
        <v>479</v>
      </c>
      <c r="BB19" s="41" t="s">
        <v>585</v>
      </c>
      <c r="BC19" s="110">
        <v>1.01</v>
      </c>
      <c r="BD19" s="53">
        <f t="shared" si="28"/>
        <v>0.67496477219351814</v>
      </c>
      <c r="BE19" s="50">
        <f t="shared" si="29"/>
        <v>0.29735263890531294</v>
      </c>
      <c r="BF19" s="50">
        <f t="shared" si="42"/>
        <v>-0.3776121332882052</v>
      </c>
      <c r="BG19" s="67"/>
      <c r="BH19" s="50">
        <v>6.6037509973344992</v>
      </c>
      <c r="BI19" s="26"/>
      <c r="BJ19" s="34"/>
      <c r="BK19" s="122">
        <v>460</v>
      </c>
      <c r="BL19" s="117" t="s">
        <v>585</v>
      </c>
      <c r="BM19" s="123">
        <v>1.26</v>
      </c>
      <c r="BN19" s="53">
        <f t="shared" si="30"/>
        <v>0.64819163926726164</v>
      </c>
      <c r="BO19" s="50">
        <f t="shared" si="31"/>
        <v>0.28407459685552894</v>
      </c>
      <c r="BP19" s="50">
        <f t="shared" si="43"/>
        <v>-0.36411704241173271</v>
      </c>
      <c r="BQ19" s="67"/>
      <c r="BR19" s="50">
        <v>8.071582740660503</v>
      </c>
      <c r="BS19" s="26"/>
      <c r="BT19" s="34"/>
      <c r="BU19" s="122">
        <v>242</v>
      </c>
      <c r="BV19" s="117" t="s">
        <v>585</v>
      </c>
      <c r="BW19" s="123">
        <v>1.7</v>
      </c>
      <c r="BX19" s="53">
        <f t="shared" si="32"/>
        <v>0.34100516674495068</v>
      </c>
      <c r="BY19" s="50">
        <f t="shared" si="33"/>
        <v>0.10009564696033829</v>
      </c>
      <c r="BZ19" s="50">
        <f t="shared" si="44"/>
        <v>-0.24090951978461239</v>
      </c>
      <c r="CA19" s="67"/>
      <c r="CB19" s="50">
        <v>9.0888377782166092</v>
      </c>
      <c r="CC19" s="26"/>
      <c r="CD19" s="34"/>
    </row>
    <row r="20" spans="1:82" x14ac:dyDescent="0.25">
      <c r="A20" s="59" t="s">
        <v>9</v>
      </c>
      <c r="B20" s="109">
        <v>204</v>
      </c>
      <c r="C20" s="109">
        <f t="shared" si="34"/>
        <v>7.3</v>
      </c>
      <c r="D20" s="305">
        <f t="shared" si="35"/>
        <v>201.09441078951437</v>
      </c>
      <c r="E20" s="86">
        <v>11.128812139175297</v>
      </c>
      <c r="F20" s="285">
        <f>VLOOKUP(B20,PCBs,17,FALSE)</f>
        <v>8.4681959999999989</v>
      </c>
      <c r="G20" s="72">
        <v>19678862.89706853</v>
      </c>
      <c r="H20" s="55">
        <v>0.31499856731758102</v>
      </c>
      <c r="I20" s="56">
        <f>D20*Model!$C$68*Model!$C$69/Model!$C$70*'Sediment SPME'!F20*Model!$C$71</f>
        <v>6.9209511571841693</v>
      </c>
      <c r="J20" s="74">
        <f t="shared" si="22"/>
        <v>1186.6666666666667</v>
      </c>
      <c r="K20" s="71">
        <v>928</v>
      </c>
      <c r="L20" s="109" t="s">
        <v>585</v>
      </c>
      <c r="M20" s="109">
        <v>3.84</v>
      </c>
      <c r="N20" s="54">
        <f>K20/$J$20</f>
        <v>0.78202247191011232</v>
      </c>
      <c r="O20" s="55">
        <f>EXP(Q2*10^E$20*$R$2*$H$20*$T$2*T/L^2/($G$20^2)/$U$2/10^$F$20/S2*1000000)*ERFC(SQRT(Q2*10^E$20*$R$2*$T$2*$H$20*T/U2/10^$F$20/S2*1000000)/L/$G$20)</f>
        <v>0.69100563188027508</v>
      </c>
      <c r="P20" s="55">
        <f t="shared" si="37"/>
        <v>8.2840651690169811E-3</v>
      </c>
      <c r="Q20" s="72"/>
      <c r="R20" s="55">
        <v>8.4307316905598864</v>
      </c>
      <c r="S20" s="55"/>
      <c r="T20" s="59"/>
      <c r="U20" s="60"/>
      <c r="V20" s="109">
        <v>907</v>
      </c>
      <c r="W20" s="109" t="s">
        <v>585</v>
      </c>
      <c r="X20" s="83">
        <v>3.45</v>
      </c>
      <c r="Y20" s="54">
        <f t="shared" si="23"/>
        <v>0.76432584269662918</v>
      </c>
      <c r="Z20" s="55">
        <f t="shared" si="38"/>
        <v>0.4188793307028249</v>
      </c>
      <c r="AA20" s="55">
        <f t="shared" si="39"/>
        <v>-0.34544651199380427</v>
      </c>
      <c r="AB20" s="72"/>
      <c r="AC20" s="55">
        <v>8.6366415358783737</v>
      </c>
      <c r="AD20" s="27"/>
      <c r="AE20" s="35"/>
      <c r="AF20" s="71">
        <v>939</v>
      </c>
      <c r="AG20" s="109" t="s">
        <v>585</v>
      </c>
      <c r="AH20" s="83">
        <v>3.29</v>
      </c>
      <c r="AI20" s="54">
        <f t="shared" si="24"/>
        <v>0.79129213483146066</v>
      </c>
      <c r="AJ20" s="55">
        <f t="shared" si="25"/>
        <v>0.45975203010877241</v>
      </c>
      <c r="AK20" s="55">
        <f t="shared" si="40"/>
        <v>-0.33154010472268824</v>
      </c>
      <c r="AL20" s="72"/>
      <c r="AM20" s="55">
        <v>8.5118565459669107</v>
      </c>
      <c r="AN20" s="27"/>
      <c r="AO20" s="35"/>
      <c r="AP20" s="71">
        <v>919</v>
      </c>
      <c r="AQ20" s="109" t="s">
        <v>585</v>
      </c>
      <c r="AR20" s="109">
        <v>1.67</v>
      </c>
      <c r="AS20" s="54">
        <f t="shared" si="26"/>
        <v>0.77443820224719095</v>
      </c>
      <c r="AT20" s="55">
        <f t="shared" si="27"/>
        <v>0.96049199448251765</v>
      </c>
      <c r="AU20" s="55">
        <f t="shared" si="41"/>
        <v>0.1860537922353267</v>
      </c>
      <c r="AV20" s="72"/>
      <c r="AW20" s="55">
        <v>8.962713192503788</v>
      </c>
      <c r="AX20" s="55"/>
      <c r="AY20" s="35"/>
      <c r="AZ20" s="35"/>
      <c r="BA20" s="71">
        <v>920</v>
      </c>
      <c r="BB20" s="109" t="s">
        <v>585</v>
      </c>
      <c r="BC20" s="83">
        <v>1.32</v>
      </c>
      <c r="BD20" s="54">
        <f t="shared" si="28"/>
        <v>0.77528089887640439</v>
      </c>
      <c r="BE20" s="55">
        <f t="shared" si="29"/>
        <v>0.42015965787586151</v>
      </c>
      <c r="BF20" s="55">
        <f t="shared" si="42"/>
        <v>-0.35512124100054288</v>
      </c>
      <c r="BG20" s="72"/>
      <c r="BH20" s="55">
        <v>7.2053976072424808</v>
      </c>
      <c r="BI20" s="27"/>
      <c r="BJ20" s="35"/>
      <c r="BK20" s="124">
        <v>880</v>
      </c>
      <c r="BL20" s="118" t="s">
        <v>585</v>
      </c>
      <c r="BM20" s="125">
        <v>1.21</v>
      </c>
      <c r="BN20" s="54">
        <f t="shared" si="30"/>
        <v>0.74157303370786509</v>
      </c>
      <c r="BO20" s="55">
        <f t="shared" si="31"/>
        <v>0.38762153972549501</v>
      </c>
      <c r="BP20" s="55">
        <f t="shared" si="43"/>
        <v>-0.35395149398237008</v>
      </c>
      <c r="BQ20" s="72"/>
      <c r="BR20" s="55">
        <v>8.728445034605155</v>
      </c>
      <c r="BS20" s="27"/>
      <c r="BT20" s="35"/>
      <c r="BU20" s="124">
        <v>451</v>
      </c>
      <c r="BV20" s="118" t="s">
        <v>585</v>
      </c>
      <c r="BW20" s="125">
        <v>2.44</v>
      </c>
      <c r="BX20" s="54">
        <f t="shared" si="32"/>
        <v>0.38005617977528089</v>
      </c>
      <c r="BY20" s="55">
        <f t="shared" si="33"/>
        <v>0.11579512014247241</v>
      </c>
      <c r="BZ20" s="55">
        <f t="shared" si="44"/>
        <v>-0.26426105963280849</v>
      </c>
      <c r="CA20" s="72"/>
      <c r="CB20" s="55">
        <v>9.9754935292119029</v>
      </c>
      <c r="CC20" s="27"/>
      <c r="CD20" s="35"/>
    </row>
    <row r="21" spans="1:82" ht="18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31"/>
      <c r="L21" s="32"/>
      <c r="M21" s="32"/>
      <c r="N21" s="286" t="s">
        <v>708</v>
      </c>
      <c r="O21" s="287"/>
      <c r="P21" s="287"/>
      <c r="Q21" s="288" t="s">
        <v>710</v>
      </c>
      <c r="R21" s="289" t="s">
        <v>711</v>
      </c>
      <c r="S21" s="290" t="s">
        <v>716</v>
      </c>
      <c r="T21" s="289" t="s">
        <v>677</v>
      </c>
      <c r="U21" s="291" t="s">
        <v>654</v>
      </c>
    </row>
    <row r="22" spans="1:82" x14ac:dyDescent="0.25">
      <c r="A22" s="337" t="s">
        <v>587</v>
      </c>
      <c r="B22" s="338" t="s">
        <v>65</v>
      </c>
      <c r="K22" s="339" t="s">
        <v>645</v>
      </c>
      <c r="L22" s="339"/>
      <c r="M22" s="339"/>
      <c r="N22" s="292">
        <v>950</v>
      </c>
      <c r="O22" s="292" t="s">
        <v>709</v>
      </c>
      <c r="P22" s="292" t="s">
        <v>668</v>
      </c>
      <c r="Q22" s="293">
        <f>N22/1000000</f>
        <v>9.5E-4</v>
      </c>
      <c r="R22" s="292">
        <f>VLOOKUP(P22,Sed_Prop,6,FALSE)</f>
        <v>2</v>
      </c>
      <c r="S22" s="132">
        <f>IF(Q22*100&lt;1.2,DOC_avg,IF(Q22*100&gt;=1.2,(Q22*100)^2*DOC_F1+(Q22*100)*DOC_F2+DOC_F3))</f>
        <v>8.4666666666666668</v>
      </c>
      <c r="T22" s="292">
        <f>VLOOKUP(P22,Sed_Prop,4,FALSE)</f>
        <v>0.375</v>
      </c>
      <c r="U22" s="294">
        <f>VLOOKUP(P22,Sed_Prop,5,FALSE)</f>
        <v>1.9509375000000002E-2</v>
      </c>
    </row>
    <row r="23" spans="1:82" ht="25.5" x14ac:dyDescent="0.25">
      <c r="A23" s="337"/>
      <c r="B23" s="338"/>
      <c r="K23" s="251" t="s">
        <v>581</v>
      </c>
      <c r="L23" s="339" t="s">
        <v>582</v>
      </c>
      <c r="M23" s="252" t="s">
        <v>583</v>
      </c>
      <c r="N23" s="324" t="s">
        <v>599</v>
      </c>
      <c r="O23" s="335" t="s">
        <v>610</v>
      </c>
      <c r="P23" s="335" t="s">
        <v>852</v>
      </c>
      <c r="Q23" s="335"/>
      <c r="R23" s="335" t="s">
        <v>856</v>
      </c>
      <c r="S23" s="229"/>
      <c r="T23" s="229" t="s">
        <v>644</v>
      </c>
      <c r="U23" s="126" t="s">
        <v>701</v>
      </c>
    </row>
    <row r="24" spans="1:82" x14ac:dyDescent="0.25">
      <c r="A24" s="25" t="s">
        <v>31</v>
      </c>
      <c r="B24" s="41" t="s">
        <v>31</v>
      </c>
      <c r="K24" s="295" t="s">
        <v>584</v>
      </c>
      <c r="L24" s="340"/>
      <c r="M24" s="284" t="s">
        <v>584</v>
      </c>
      <c r="N24" s="325"/>
      <c r="O24" s="336"/>
      <c r="P24" s="336"/>
      <c r="Q24" s="336"/>
      <c r="R24" s="336"/>
      <c r="S24" s="230"/>
      <c r="T24" s="88" t="s">
        <v>611</v>
      </c>
      <c r="U24" s="89" t="s">
        <v>611</v>
      </c>
    </row>
    <row r="25" spans="1:82" x14ac:dyDescent="0.25">
      <c r="A25" s="51" t="s">
        <v>588</v>
      </c>
      <c r="B25" s="41" t="s">
        <v>32</v>
      </c>
      <c r="K25" s="62">
        <v>2140</v>
      </c>
      <c r="L25" s="112" t="s">
        <v>585</v>
      </c>
      <c r="M25" s="113">
        <v>4.8499999999999996</v>
      </c>
      <c r="N25" s="26"/>
      <c r="O25" s="50">
        <f>1-EXP(Q22*10^R$5*R$2*$H$5*T$2*T/L^2/($G$5^2)/U$2/10^$F$5/S22*1000000)*ERFC(SQRT(Q22*10^R$5*R$2*T$2*$H$5*T/U$2/10^$F$5/S22*1000000)/L/$G$5)</f>
        <v>0.90052294833112068</v>
      </c>
      <c r="P25" s="51"/>
      <c r="Q25" s="67"/>
      <c r="R25" s="77">
        <f>VLOOKUP(B$5,DDT_Prop,4,FALSE)*e_Endo430+VLOOKUP(B$5,DDT_Prop,5,FALSE)*s_Endo430+VLOOKUP(B$5,DDT_Prop,6,FALSE)*a_Endo430+VLOOKUP(B$5,DDT_Prop,7,FALSE)*b_Endo430+VLOOKUP(B$5,DDT_Prop,8,FALSE)*v_Endo430+c_Endo430</f>
        <v>6.6444559999999999</v>
      </c>
      <c r="S25" s="132"/>
      <c r="T25" s="52">
        <f>K25/1000/G$5/O25*1000000000</f>
        <v>40265.204797191953</v>
      </c>
      <c r="U25" s="303">
        <v>63000</v>
      </c>
    </row>
    <row r="26" spans="1:82" x14ac:dyDescent="0.25">
      <c r="A26" s="51" t="s">
        <v>589</v>
      </c>
      <c r="B26" s="41" t="s">
        <v>29</v>
      </c>
      <c r="K26" s="66">
        <v>4960</v>
      </c>
      <c r="L26" s="41" t="s">
        <v>585</v>
      </c>
      <c r="M26" s="110">
        <v>6.33</v>
      </c>
      <c r="N26" s="26"/>
      <c r="O26" s="50">
        <f>1-EXP(Q22*10^R$6*R$2*$H$6*T$2*T/L^2/($G$6^2)/U$2/10^$F$6/S22*1000000)*ERFC(SQRT(Q22*10^R$6*R$2*T$2*$H$6*T/U$2/10^$F$6/S22*1000000)/L/$G$6)</f>
        <v>0.86174075374189008</v>
      </c>
      <c r="P26" s="51"/>
      <c r="Q26" s="67"/>
      <c r="R26" s="77">
        <f>VLOOKUP(B$6,DDT_Prop,4,FALSE)*e_Endo430+VLOOKUP(B$6,DDT_Prop,5,FALSE)*s_Endo430+VLOOKUP(B$6,DDT_Prop,6,FALSE)*a_Endo430+VLOOKUP(B$6,DDT_Prop,7,FALSE)*b_Endo430+VLOOKUP(B$6,DDT_Prop,8,FALSE)*v_Endo430+c_Endo430</f>
        <v>6.6861379999999997</v>
      </c>
      <c r="S26" s="132"/>
      <c r="T26" s="52">
        <f>K26/1000/G$6/O26*1000000000</f>
        <v>83004.46468929862</v>
      </c>
      <c r="U26" s="303">
        <v>130000</v>
      </c>
    </row>
    <row r="27" spans="1:82" x14ac:dyDescent="0.25">
      <c r="A27" s="51" t="s">
        <v>590</v>
      </c>
      <c r="B27" s="41" t="s">
        <v>30</v>
      </c>
      <c r="K27" s="66">
        <v>1860</v>
      </c>
      <c r="L27" s="41" t="s">
        <v>585</v>
      </c>
      <c r="M27" s="110">
        <v>2.21</v>
      </c>
      <c r="N27" s="26"/>
      <c r="O27" s="50">
        <f>1-EXP(Q22*10^R$7*R$2*$H$7*T$2*T/L^2/($G$7^2)/U$2/10^$F$7/S22*1000000)*ERFC(SQRT(Q22*10^R$7*R$2*T$2*$H$7*T/U$2/10^$F$7/S22*1000000)/L/$G$7)</f>
        <v>0.36685130408776012</v>
      </c>
      <c r="P27" s="51"/>
      <c r="Q27" s="67"/>
      <c r="R27" s="77">
        <f>VLOOKUP(B$7,DDT_Prop,4,FALSE)*e_Endo430+VLOOKUP(B$7,DDT_Prop,5,FALSE)*s_Endo430+VLOOKUP(B$7,DDT_Prop,6,FALSE)*a_Endo430+VLOOKUP(B$7,DDT_Prop,7,FALSE)*b_Endo430+VLOOKUP(B$7,DDT_Prop,8,FALSE)*v_Endo430+c_Endo430</f>
        <v>6.7972259999999984</v>
      </c>
      <c r="S27" s="132"/>
      <c r="T27" s="52">
        <f>K27/1000/G$7/O27*1000000000</f>
        <v>7478.4915240503415</v>
      </c>
      <c r="U27" s="303">
        <v>6200</v>
      </c>
    </row>
    <row r="28" spans="1:82" x14ac:dyDescent="0.25">
      <c r="A28" s="51" t="s">
        <v>591</v>
      </c>
      <c r="B28" s="41" t="s">
        <v>50</v>
      </c>
      <c r="K28" s="66">
        <v>1500</v>
      </c>
      <c r="L28" s="41" t="s">
        <v>585</v>
      </c>
      <c r="M28" s="110">
        <v>2.65</v>
      </c>
      <c r="N28" s="26"/>
      <c r="O28" s="50">
        <f>1-EXP(Q22*10^R$8*R$2*$H$8*T$2*T/L^2/($G$8^2)/U$2/10^$F$8/S22*1000000)*ERFC(SQRT(Q22*10^R$8*R$2*T$2*$H$8*T/U$2/10^$F$8/S22*1000000)/L/$G$8)</f>
        <v>0.33543541575847025</v>
      </c>
      <c r="P28" s="51"/>
      <c r="Q28" s="67"/>
      <c r="R28" s="77">
        <f>VLOOKUP(B$8,DDT_Prop,4,FALSE)*e_Endo430+VLOOKUP(B$8,DDT_Prop,5,FALSE)*s_Endo430+VLOOKUP(B$8,DDT_Prop,6,FALSE)*a_Endo430+VLOOKUP(B$8,DDT_Prop,7,FALSE)*b_Endo430+VLOOKUP(B$8,DDT_Prop,8,FALSE)*v_Endo430+c_Endo430</f>
        <v>6.3145719999999983</v>
      </c>
      <c r="S28" s="132"/>
      <c r="T28" s="52">
        <f>K28/1000/$G$8/O28*1000000000</f>
        <v>5878.4537555059933</v>
      </c>
      <c r="U28" s="303">
        <v>4500</v>
      </c>
    </row>
    <row r="29" spans="1:82" x14ac:dyDescent="0.25">
      <c r="A29" s="51" t="s">
        <v>592</v>
      </c>
      <c r="B29" s="41" t="s">
        <v>51</v>
      </c>
      <c r="K29" s="66">
        <v>169</v>
      </c>
      <c r="L29" s="41" t="s">
        <v>585</v>
      </c>
      <c r="M29" s="110">
        <v>14.2</v>
      </c>
      <c r="N29" s="26"/>
      <c r="O29" s="50">
        <f>1-EXP(Q22*10^R$9*R$2*$H$9*T$2*T/L^2/($G$9^2)/U$2/10^$F$9/S22*1000000)*ERFC(SQRT(Q22*10^R$9*R$2*T$2*$H$9*T/U$2/10^$F$9/S22*1000000)/L/$G$9)</f>
        <v>0.34657495944314654</v>
      </c>
      <c r="P29" s="51"/>
      <c r="Q29" s="67"/>
      <c r="R29" s="77">
        <f>VLOOKUP(B$9,DDT_Prop,4,FALSE)*e_Endo430+VLOOKUP(B$9,DDT_Prop,5,FALSE)*s_Endo430+VLOOKUP(B$9,DDT_Prop,6,FALSE)*a_Endo430+VLOOKUP(B$9,DDT_Prop,7,FALSE)*b_Endo430+VLOOKUP(B$9,DDT_Prop,8,FALSE)*v_Endo430+c_Endo430</f>
        <v>7.1261799999999997</v>
      </c>
      <c r="S29" s="132"/>
      <c r="T29" s="52">
        <f>K29/1000/$G$9/O29*1000000000</f>
        <v>671.23474965981995</v>
      </c>
      <c r="U29" s="303">
        <v>530</v>
      </c>
    </row>
    <row r="30" spans="1:82" x14ac:dyDescent="0.25">
      <c r="A30" s="51" t="s">
        <v>0</v>
      </c>
      <c r="B30" s="41">
        <v>14</v>
      </c>
      <c r="K30" s="66">
        <v>1840</v>
      </c>
      <c r="L30" s="41" t="s">
        <v>585</v>
      </c>
      <c r="M30" s="110">
        <v>18.8</v>
      </c>
      <c r="N30" s="26"/>
      <c r="O30" s="50">
        <f>1-EXP(Q22*10^R$10*R$2*$H$10*T$2*T/L^2/($G$10^2)/U$2/10^$F$10/S22*1000000)*ERFC(SQRT(Q22*10^R$10*R$2*T$2*$H$10*T/U$2/10^$F$10/S22*1000000)/L/$G$10)</f>
        <v>0.47185044318986846</v>
      </c>
      <c r="P30" s="51"/>
      <c r="Q30" s="67"/>
      <c r="R30" s="77">
        <f>VLOOKUP(B$10,DDT_Prop,4,FALSE)*e_Endo430+VLOOKUP(B$10,DDT_Prop,5,FALSE)*s_Endo430+VLOOKUP(B$10,DDT_Prop,6,FALSE)*a_Endo430+VLOOKUP(B$10,DDT_Prop,7,FALSE)*b_Endo430+VLOOKUP(B$10,DDT_Prop,8,FALSE)*v_Endo430+c_Endo430</f>
        <v>7.1849119999999989</v>
      </c>
      <c r="S30" s="132"/>
      <c r="T30" s="52">
        <f>K30/1000/$G$10/O30*1000000000</f>
        <v>9769.0487271244656</v>
      </c>
      <c r="U30" s="303">
        <v>9800</v>
      </c>
    </row>
    <row r="31" spans="1:82" x14ac:dyDescent="0.25">
      <c r="A31" s="51" t="s">
        <v>1</v>
      </c>
      <c r="B31" s="41">
        <v>36</v>
      </c>
      <c r="K31" s="66">
        <v>663</v>
      </c>
      <c r="L31" s="41" t="s">
        <v>585</v>
      </c>
      <c r="M31" s="110">
        <v>3.85</v>
      </c>
      <c r="N31" s="53">
        <f>K31/$J$11</f>
        <v>0.49232673267326732</v>
      </c>
      <c r="O31" s="301">
        <f>EXP(Q22*10^E$11*$R$2*$H$11*$T$2*T/L^2/($G$11^2)/$U$2/10^$F$11/S22*1000000)*ERFC(SQRT(Q22*10^E$11*$R$2*$T$2*$H$11*T/$U$2/10^$F$11/S22*1000000)/L/$G$11)</f>
        <v>0.45560755703055994</v>
      </c>
      <c r="P31" s="50">
        <f>(O31-N31)^2</f>
        <v>1.3482978598799949E-3</v>
      </c>
      <c r="Q31" s="26"/>
      <c r="R31" s="26"/>
      <c r="S31" s="26"/>
      <c r="T31" s="26"/>
      <c r="U31" s="34"/>
    </row>
    <row r="32" spans="1:82" x14ac:dyDescent="0.25">
      <c r="A32" s="51" t="s">
        <v>2</v>
      </c>
      <c r="B32" s="41">
        <v>78</v>
      </c>
      <c r="K32" s="66">
        <v>860</v>
      </c>
      <c r="L32" s="41" t="s">
        <v>585</v>
      </c>
      <c r="M32" s="110">
        <v>10.7</v>
      </c>
      <c r="N32" s="53">
        <f>K32/$J$12</f>
        <v>0.56209150326797386</v>
      </c>
      <c r="O32" s="50">
        <f>EXP(Q22*10^E$12*$R$2*$H$12*$T$2*T/L^2/($G$12^2)/$U$2/10^$F$12/S22*1000000)*ERFC(SQRT(Q22*10^E$12*$R$2*$T$2*$H$12*T/$U$2/10^$F$12/S22*1000000)/L/$G$12)</f>
        <v>0.4917632343761108</v>
      </c>
      <c r="P32" s="50">
        <f t="shared" ref="P32:P40" si="45">(O32-N32)^2</f>
        <v>4.9460654053261931E-3</v>
      </c>
      <c r="Q32" s="26"/>
      <c r="R32" s="26"/>
      <c r="S32" s="26"/>
      <c r="T32" s="26"/>
      <c r="U32" s="34"/>
    </row>
    <row r="33" spans="1:21" x14ac:dyDescent="0.25">
      <c r="A33" s="51" t="s">
        <v>3</v>
      </c>
      <c r="B33" s="41">
        <v>121</v>
      </c>
      <c r="K33" s="66">
        <v>425</v>
      </c>
      <c r="L33" s="41" t="s">
        <v>585</v>
      </c>
      <c r="M33" s="110">
        <v>7.66</v>
      </c>
      <c r="N33" s="53">
        <f>K33/$J$13</f>
        <v>0.6180319922443045</v>
      </c>
      <c r="O33" s="50">
        <f>EXP(Q22*10^$E$13*$R$2*$H$13*$T$2*T/L^2/($G$13^2)/$U$2/10^$F$13/S22*1000000)*ERFC(SQRT(Q22*10^E$13*$R$2*$T$2*$H$13*T/U$2/10^$F$13/S$2*1000000)/L/$G$13)</f>
        <v>0.5477389979727354</v>
      </c>
      <c r="P33" s="50">
        <f t="shared" si="45"/>
        <v>4.9411050436628462E-3</v>
      </c>
      <c r="Q33" s="26"/>
      <c r="R33" s="26"/>
      <c r="S33" s="26"/>
      <c r="T33" s="26"/>
      <c r="U33" s="34"/>
    </row>
    <row r="34" spans="1:21" x14ac:dyDescent="0.25">
      <c r="A34" s="51" t="s">
        <v>4</v>
      </c>
      <c r="B34" s="41">
        <v>104</v>
      </c>
      <c r="K34" s="66">
        <v>487</v>
      </c>
      <c r="L34" s="41" t="s">
        <v>586</v>
      </c>
      <c r="M34" s="110">
        <v>3.6</v>
      </c>
      <c r="N34" s="53">
        <f>K34/$J$14</f>
        <v>0.67638888888888893</v>
      </c>
      <c r="O34" s="50">
        <f>EXP(Q22*10^E$14*$R$2*$H$14*$T$2*T/L^2/($G$14^2)/$U22/10^$F$14/S22*1000000)*ERFC(SQRT(Q22*10^E$14*$R$2*$T$2*$H$14*T/U$2/10^$F$14/S22*1000000)/L/$G$14)</f>
        <v>0.59851421670356364</v>
      </c>
      <c r="P34" s="50">
        <f t="shared" si="45"/>
        <v>6.0644645679718764E-3</v>
      </c>
      <c r="Q34" s="26"/>
      <c r="R34" s="26"/>
      <c r="S34" s="26"/>
      <c r="T34" s="26"/>
      <c r="U34" s="34"/>
    </row>
    <row r="35" spans="1:21" x14ac:dyDescent="0.25">
      <c r="A35" s="51" t="s">
        <v>5</v>
      </c>
      <c r="B35" s="41">
        <v>142</v>
      </c>
      <c r="K35" s="66">
        <v>740</v>
      </c>
      <c r="L35" s="41" t="s">
        <v>585</v>
      </c>
      <c r="M35" s="110">
        <v>3.04</v>
      </c>
      <c r="N35" s="53">
        <f>K35/$J$15</f>
        <v>0.45491803278688525</v>
      </c>
      <c r="O35" s="50">
        <f>EXP(Q22*10^E$15*$R$2*$H$15*$T$2*T/L^2/($G$15^2)/$U$2/10^$F$15/S22*1000000)*ERFC(SQRT(Q22*10^E$15*$R$2*$T$2*$H$15*T/U$2/10^$F$15/S22*1000000)/L/$G$15)</f>
        <v>0.41879974874259795</v>
      </c>
      <c r="P35" s="50">
        <f t="shared" si="45"/>
        <v>1.3045304423038183E-3</v>
      </c>
      <c r="Q35" s="26"/>
      <c r="R35" s="26"/>
      <c r="S35" s="26"/>
      <c r="T35" s="26"/>
      <c r="U35" s="34"/>
    </row>
    <row r="36" spans="1:21" x14ac:dyDescent="0.25">
      <c r="A36" s="51" t="s">
        <v>6</v>
      </c>
      <c r="B36" s="41">
        <v>155</v>
      </c>
      <c r="K36" s="66">
        <v>2160</v>
      </c>
      <c r="L36" s="41" t="s">
        <v>586</v>
      </c>
      <c r="M36" s="110">
        <v>4.51</v>
      </c>
      <c r="N36" s="53">
        <f>K36/$J$16</f>
        <v>0.56892010535557513</v>
      </c>
      <c r="O36" s="50">
        <f>EXP(Q22*10^E$16*$R$2*$H$16*$T$2*T/L^2/($G$16^2)/$U$2/10^$F$16/S22*1000000)*ERFC(SQRT(Q22*10^E$16*$R$2*$T$2*$H$16*T/U$2/10^$F$16/S22*1000000)/L/$G$16)</f>
        <v>0.51417006628027928</v>
      </c>
      <c r="P36" s="50">
        <f t="shared" si="45"/>
        <v>2.9975667787464229E-3</v>
      </c>
      <c r="Q36" s="26"/>
      <c r="R36" s="26"/>
      <c r="S36" s="26"/>
      <c r="T36" s="26"/>
      <c r="U36" s="34"/>
    </row>
    <row r="37" spans="1:21" x14ac:dyDescent="0.25">
      <c r="A37" s="51" t="s">
        <v>7</v>
      </c>
      <c r="B37" s="41">
        <v>192</v>
      </c>
      <c r="K37" s="66">
        <v>347</v>
      </c>
      <c r="L37" s="41" t="s">
        <v>585</v>
      </c>
      <c r="M37" s="110">
        <v>3.35</v>
      </c>
      <c r="N37" s="53">
        <f>K37/$J$17</f>
        <v>0.62298025134649915</v>
      </c>
      <c r="O37" s="50">
        <f>EXP(Q22*10^E$17*$R$2*$H$17*$T$2*T/L^2/($G$17^2)/$U$2/10^$F$17/S22*1000000)*ERFC(SQRT(Q22*10^E$17*$R$2*$T$2*$H$17*T/U$2/10^$F$17/S22*1000000)/L/$G$17)</f>
        <v>0.56350012396399107</v>
      </c>
      <c r="P37" s="50">
        <f t="shared" si="45"/>
        <v>3.5378855534393869E-3</v>
      </c>
      <c r="Q37" s="26"/>
      <c r="R37" s="26"/>
      <c r="S37" s="26"/>
      <c r="T37" s="26"/>
      <c r="U37" s="34"/>
    </row>
    <row r="38" spans="1:21" x14ac:dyDescent="0.25">
      <c r="A38" s="51" t="s">
        <v>8</v>
      </c>
      <c r="B38" s="41">
        <v>184</v>
      </c>
      <c r="K38" s="66">
        <v>597</v>
      </c>
      <c r="L38" s="41" t="s">
        <v>586</v>
      </c>
      <c r="M38" s="110">
        <v>2.4</v>
      </c>
      <c r="N38" s="53">
        <f>K38/$J$18</f>
        <v>0.7803921568627451</v>
      </c>
      <c r="O38" s="50">
        <f>EXP(Q22*10^E$18*$R$2*$H$18*$T$2*T/L^2/($G$18^2)/$U$2/10^$F$18/S22*1000000)*ERFC(SQRT(Q22*10^E$18*$R$2*$T$2*$H$18*T/U$2/10^$F$18/S22*1000000)/L/$G$18)</f>
        <v>0.70130076368629524</v>
      </c>
      <c r="P38" s="50">
        <f t="shared" si="45"/>
        <v>6.2554484745917802E-3</v>
      </c>
      <c r="Q38" s="26"/>
      <c r="R38" s="26"/>
      <c r="S38" s="26"/>
      <c r="T38" s="26"/>
      <c r="U38" s="34"/>
    </row>
    <row r="39" spans="1:21" x14ac:dyDescent="0.25">
      <c r="A39" s="59" t="s">
        <v>9</v>
      </c>
      <c r="B39" s="109">
        <v>204</v>
      </c>
      <c r="K39" s="66">
        <v>466</v>
      </c>
      <c r="L39" s="41" t="s">
        <v>585</v>
      </c>
      <c r="M39" s="110">
        <v>1.82</v>
      </c>
      <c r="N39" s="53">
        <f>K39/$J$19</f>
        <v>0.65664631282292163</v>
      </c>
      <c r="O39" s="50">
        <f>EXP(Q22*10^E$19*$R$2*$H$19*$T$2*T/L^2/($G$19^2)/$U$2/10^$F$19/S22*1000000)*ERFC(SQRT(Q22*10^E$19*$R$2*$T$2*$H$19*T/U$2/10^$F$19/S22*1000000)/L/$G$19)</f>
        <v>0.60976574196589894</v>
      </c>
      <c r="P39" s="50">
        <f t="shared" si="45"/>
        <v>2.1977879238803248E-3</v>
      </c>
      <c r="Q39" s="26"/>
      <c r="R39" s="26"/>
      <c r="S39" s="26"/>
      <c r="T39" s="26"/>
      <c r="U39" s="34"/>
    </row>
    <row r="40" spans="1:21" x14ac:dyDescent="0.25">
      <c r="K40" s="71">
        <v>907</v>
      </c>
      <c r="L40" s="109" t="s">
        <v>585</v>
      </c>
      <c r="M40" s="83">
        <v>3.45</v>
      </c>
      <c r="N40" s="54">
        <f>K40/$J$20</f>
        <v>0.76432584269662918</v>
      </c>
      <c r="O40" s="55">
        <f>EXP(Q22*10^E$20*$R$2*$H$20*$T$2*T/L^2/($G$20^2)/$U$2/10^$F$20/S22*1000000)*ERFC(SQRT(Q22*10^E$20*$R$2*$T$2*$H$20*T/U$2/10^$F$20/S22*1000000)/L/$G$20)</f>
        <v>0.69219760240561956</v>
      </c>
      <c r="P40" s="55">
        <f t="shared" si="45"/>
        <v>5.2024830474776225E-3</v>
      </c>
      <c r="Q40" s="27"/>
      <c r="R40" s="27"/>
      <c r="S40" s="27"/>
      <c r="T40" s="27"/>
      <c r="U40" s="35"/>
    </row>
    <row r="41" spans="1:21" ht="18" x14ac:dyDescent="0.3">
      <c r="K41" s="31"/>
      <c r="L41" s="32"/>
      <c r="M41" s="32"/>
      <c r="N41" s="296" t="s">
        <v>708</v>
      </c>
      <c r="O41" s="47"/>
      <c r="P41" s="47"/>
      <c r="Q41" s="297" t="s">
        <v>710</v>
      </c>
      <c r="R41" s="298" t="s">
        <v>711</v>
      </c>
      <c r="S41" s="290" t="s">
        <v>716</v>
      </c>
      <c r="T41" s="298" t="s">
        <v>677</v>
      </c>
      <c r="U41" s="299" t="s">
        <v>654</v>
      </c>
    </row>
    <row r="42" spans="1:21" x14ac:dyDescent="0.25">
      <c r="A42" s="337" t="s">
        <v>587</v>
      </c>
      <c r="B42" s="338" t="s">
        <v>65</v>
      </c>
      <c r="K42" s="341" t="s">
        <v>646</v>
      </c>
      <c r="L42" s="342"/>
      <c r="M42" s="343"/>
      <c r="N42" s="51">
        <v>940</v>
      </c>
      <c r="O42" s="51" t="s">
        <v>709</v>
      </c>
      <c r="P42" s="51" t="s">
        <v>668</v>
      </c>
      <c r="Q42" s="51">
        <f>N42/1000000</f>
        <v>9.3999999999999997E-4</v>
      </c>
      <c r="R42" s="51">
        <f>VLOOKUP(P42,Sed_Prop,6,FALSE)</f>
        <v>2</v>
      </c>
      <c r="S42" s="132">
        <f>IF(Q42*100&lt;1.2,DOC_avg,IF(Q42*100&gt;=1.2,(Q42*100)^2*DOC_F1+(Q42*100)*DOC_F2+DOC_F3))</f>
        <v>8.4666666666666668</v>
      </c>
      <c r="T42" s="51">
        <f>VLOOKUP(P42,Sed_Prop,4,FALSE)</f>
        <v>0.375</v>
      </c>
      <c r="U42" s="300">
        <f>VLOOKUP(P42,Sed_Prop,5,FALSE)</f>
        <v>1.9509375000000002E-2</v>
      </c>
    </row>
    <row r="43" spans="1:21" ht="25.5" x14ac:dyDescent="0.25">
      <c r="A43" s="337"/>
      <c r="B43" s="338"/>
      <c r="K43" s="251" t="s">
        <v>581</v>
      </c>
      <c r="L43" s="339" t="s">
        <v>582</v>
      </c>
      <c r="M43" s="252" t="s">
        <v>583</v>
      </c>
      <c r="N43" s="324" t="s">
        <v>599</v>
      </c>
      <c r="O43" s="335" t="s">
        <v>610</v>
      </c>
      <c r="P43" s="335" t="s">
        <v>852</v>
      </c>
      <c r="Q43" s="335"/>
      <c r="R43" s="335" t="s">
        <v>856</v>
      </c>
      <c r="S43" s="229"/>
      <c r="T43" s="229" t="s">
        <v>644</v>
      </c>
      <c r="U43" s="126" t="s">
        <v>701</v>
      </c>
    </row>
    <row r="44" spans="1:21" x14ac:dyDescent="0.25">
      <c r="A44" s="25" t="s">
        <v>31</v>
      </c>
      <c r="B44" s="41" t="s">
        <v>31</v>
      </c>
      <c r="K44" s="253" t="s">
        <v>584</v>
      </c>
      <c r="L44" s="339"/>
      <c r="M44" s="254" t="s">
        <v>584</v>
      </c>
      <c r="N44" s="325"/>
      <c r="O44" s="336"/>
      <c r="P44" s="336"/>
      <c r="Q44" s="336"/>
      <c r="R44" s="336"/>
      <c r="S44" s="230"/>
      <c r="T44" s="88" t="s">
        <v>611</v>
      </c>
      <c r="U44" s="89" t="s">
        <v>611</v>
      </c>
    </row>
    <row r="45" spans="1:21" x14ac:dyDescent="0.25">
      <c r="A45" s="51" t="s">
        <v>588</v>
      </c>
      <c r="B45" s="41" t="s">
        <v>32</v>
      </c>
      <c r="K45" s="62">
        <v>153</v>
      </c>
      <c r="L45" s="112" t="s">
        <v>585</v>
      </c>
      <c r="M45" s="113">
        <v>1.75</v>
      </c>
      <c r="N45" s="26"/>
      <c r="O45" s="50">
        <f>1-EXP(Q42*10^R$5*R$2*$H$5*T$2*T/L^2/($G$5^2)/U$2/10^$F$5/S42*1000000)*ERFC(SQRT(Q42*10^R$5*R$2*T$2*$H$5*T/U$2/10^$F$5/S42*1000000)/L/$G$5)</f>
        <v>0.90001103737049926</v>
      </c>
      <c r="P45" s="51"/>
      <c r="Q45" s="67"/>
      <c r="R45" s="77">
        <f>VLOOKUP(B$5,DDT_Prop,4,FALSE)*e_Endo430+VLOOKUP(B$5,DDT_Prop,5,FALSE)*s_Endo430+VLOOKUP(B$5,DDT_Prop,6,FALSE)*a_Endo430+VLOOKUP(B$5,DDT_Prop,7,FALSE)*b_Endo430+VLOOKUP(B$5,DDT_Prop,8,FALSE)*v_Endo430+c_Endo430</f>
        <v>6.6444559999999999</v>
      </c>
      <c r="S45" s="132"/>
      <c r="T45" s="52">
        <f>K45/1000/G$5/O45*1000000000</f>
        <v>2880.4113854865768</v>
      </c>
      <c r="U45" s="303">
        <v>4700</v>
      </c>
    </row>
    <row r="46" spans="1:21" x14ac:dyDescent="0.25">
      <c r="A46" s="51" t="s">
        <v>589</v>
      </c>
      <c r="B46" s="41" t="s">
        <v>29</v>
      </c>
      <c r="K46" s="66">
        <v>412</v>
      </c>
      <c r="L46" s="41" t="s">
        <v>585</v>
      </c>
      <c r="M46" s="110">
        <v>2.2799999999999998</v>
      </c>
      <c r="N46" s="26"/>
      <c r="O46" s="50">
        <f>1-EXP(Q42*10^R$6*R$2*$H$6*T$2*T/L^2/($G$6^2)/U$2/10^$F$6/S42*1000000)*ERFC(SQRT(Q42*10^R$6*R$2*T$2*$H$6*T/U$2/10^$F$6/S42*1000000)/L/$G$6)</f>
        <v>0.86104822306632856</v>
      </c>
      <c r="P46" s="51"/>
      <c r="Q46" s="67"/>
      <c r="R46" s="77">
        <f>VLOOKUP(B$6,DDT_Prop,4,FALSE)*e_Endo430+VLOOKUP(B$6,DDT_Prop,5,FALSE)*s_Endo430+VLOOKUP(B$6,DDT_Prop,6,FALSE)*a_Endo430+VLOOKUP(B$6,DDT_Prop,7,FALSE)*b_Endo430+VLOOKUP(B$6,DDT_Prop,8,FALSE)*v_Endo430+c_Endo430</f>
        <v>6.6861379999999997</v>
      </c>
      <c r="S46" s="132"/>
      <c r="T46" s="52">
        <f>K46/1000/G$6/O46*1000000000</f>
        <v>6900.271040484542</v>
      </c>
      <c r="U46" s="303">
        <v>11000</v>
      </c>
    </row>
    <row r="47" spans="1:21" x14ac:dyDescent="0.25">
      <c r="A47" s="51" t="s">
        <v>590</v>
      </c>
      <c r="B47" s="41" t="s">
        <v>30</v>
      </c>
      <c r="K47" s="66">
        <v>174</v>
      </c>
      <c r="L47" s="41" t="s">
        <v>585</v>
      </c>
      <c r="M47" s="110">
        <v>1.1200000000000001</v>
      </c>
      <c r="N47" s="26"/>
      <c r="O47" s="50">
        <f>1-EXP(Q42*10^R$7*R$2*$H$7*T$2*T/L^2/($G$7^2)/U$2/10^$F$7/S42*1000000)*ERFC(SQRT(Q42*10^R$7*R$2*T$2*$H$7*T/U$2/10^$F$7/S42*1000000)/L/$G$7)</f>
        <v>0.36552548031834953</v>
      </c>
      <c r="P47" s="51"/>
      <c r="Q47" s="67"/>
      <c r="R47" s="77">
        <f>VLOOKUP(B$7,DDT_Prop,4,FALSE)*e_Endo430+VLOOKUP(B$7,DDT_Prop,5,FALSE)*s_Endo430+VLOOKUP(B$7,DDT_Prop,6,FALSE)*a_Endo430+VLOOKUP(B$7,DDT_Prop,7,FALSE)*b_Endo430+VLOOKUP(B$7,DDT_Prop,8,FALSE)*v_Endo430+c_Endo430</f>
        <v>6.7972259999999984</v>
      </c>
      <c r="S47" s="132"/>
      <c r="T47" s="52">
        <f>K47/1000/G$7/O47*1000000000</f>
        <v>702.13839246264024</v>
      </c>
      <c r="U47" s="303">
        <v>610</v>
      </c>
    </row>
    <row r="48" spans="1:21" x14ac:dyDescent="0.25">
      <c r="A48" s="51" t="s">
        <v>591</v>
      </c>
      <c r="B48" s="41" t="s">
        <v>50</v>
      </c>
      <c r="K48" s="66">
        <v>203</v>
      </c>
      <c r="L48" s="41" t="s">
        <v>585</v>
      </c>
      <c r="M48" s="110">
        <v>1.36</v>
      </c>
      <c r="N48" s="26"/>
      <c r="O48" s="50">
        <f>1-EXP(Q42*10^R$8*R$2*$H$8*T$2*T/L^2/($G$8^2)/U$2/10^$F$8/S42*1000000)*ERFC(SQRT(Q42*10^R$8*R$2*T$2*$H$8*T/U$2/10^$F$8/S42*1000000)/L/$G$8)</f>
        <v>0.33417097243680949</v>
      </c>
      <c r="P48" s="51"/>
      <c r="Q48" s="67"/>
      <c r="R48" s="77">
        <f>VLOOKUP(B$8,DDT_Prop,4,FALSE)*e_Endo430+VLOOKUP(B$8,DDT_Prop,5,FALSE)*s_Endo430+VLOOKUP(B$8,DDT_Prop,6,FALSE)*a_Endo430+VLOOKUP(B$8,DDT_Prop,7,FALSE)*b_Endo430+VLOOKUP(B$8,DDT_Prop,8,FALSE)*v_Endo430+c_Endo430</f>
        <v>6.3145719999999983</v>
      </c>
      <c r="S48" s="132"/>
      <c r="T48" s="52">
        <f>K48/1000/$G$8/O48*1000000000</f>
        <v>798.56096360612992</v>
      </c>
      <c r="U48" s="303">
        <v>650</v>
      </c>
    </row>
    <row r="49" spans="1:21" x14ac:dyDescent="0.25">
      <c r="A49" s="51" t="s">
        <v>592</v>
      </c>
      <c r="B49" s="41" t="s">
        <v>51</v>
      </c>
      <c r="K49" s="66">
        <v>14.5</v>
      </c>
      <c r="L49" s="41" t="s">
        <v>620</v>
      </c>
      <c r="M49" s="110">
        <v>4.28</v>
      </c>
      <c r="N49" s="26"/>
      <c r="O49" s="50">
        <f>1-EXP(Q42*10^R$9*R$2*$H$9*T$2*T/L^2/($G$9^2)/U$2/10^$F$9/S42*1000000)*ERFC(SQRT(Q42*10^R$9*R$2*T$2*$H$9*T/U$2/10^$F$9/S42*1000000)/L/$G$9)</f>
        <v>0.34528752629545967</v>
      </c>
      <c r="P49" s="51"/>
      <c r="Q49" s="67"/>
      <c r="R49" s="77">
        <f>VLOOKUP(B$9,DDT_Prop,4,FALSE)*e_Endo430+VLOOKUP(B$9,DDT_Prop,5,FALSE)*s_Endo430+VLOOKUP(B$9,DDT_Prop,6,FALSE)*a_Endo430+VLOOKUP(B$9,DDT_Prop,7,FALSE)*b_Endo430+VLOOKUP(B$9,DDT_Prop,8,FALSE)*v_Endo430+c_Endo430</f>
        <v>7.1261799999999997</v>
      </c>
      <c r="S49" s="132"/>
      <c r="T49" s="52">
        <f>K49/1000/$G$9/O49*1000000000</f>
        <v>57.805880523578899</v>
      </c>
      <c r="U49" s="303">
        <v>48</v>
      </c>
    </row>
    <row r="50" spans="1:21" x14ac:dyDescent="0.25">
      <c r="A50" s="51" t="s">
        <v>0</v>
      </c>
      <c r="B50" s="41">
        <v>14</v>
      </c>
      <c r="K50" s="66">
        <v>178</v>
      </c>
      <c r="L50" s="41" t="s">
        <v>585</v>
      </c>
      <c r="M50" s="110">
        <v>6.23</v>
      </c>
      <c r="N50" s="26"/>
      <c r="O50" s="50">
        <f>1-EXP(Q42*10^R$10*R$2*$H$10*T$2*T/L^2/($G$10^2)/U$2/10^$F$10/S42*1000000)*ERFC(SQRT(Q42*10^R$10*R$2*T$2*$H$10*T/U$2/10^$F$10/S42*1000000)/L/$G$10)</f>
        <v>0.47039993674967129</v>
      </c>
      <c r="P50" s="51"/>
      <c r="Q50" s="67"/>
      <c r="R50" s="77">
        <f>VLOOKUP(B$10,DDT_Prop,4,FALSE)*e_Endo430+VLOOKUP(B$10,DDT_Prop,5,FALSE)*s_Endo430+VLOOKUP(B$10,DDT_Prop,6,FALSE)*a_Endo430+VLOOKUP(B$10,DDT_Prop,7,FALSE)*b_Endo430+VLOOKUP(B$10,DDT_Prop,8,FALSE)*v_Endo430+c_Endo430</f>
        <v>7.1849119999999989</v>
      </c>
      <c r="S50" s="132"/>
      <c r="T50" s="52">
        <f>K50/1000/$G$10/O50*1000000000</f>
        <v>947.96339521447624</v>
      </c>
      <c r="U50" s="303">
        <v>1000</v>
      </c>
    </row>
    <row r="51" spans="1:21" x14ac:dyDescent="0.25">
      <c r="A51" s="51" t="s">
        <v>1</v>
      </c>
      <c r="B51" s="41">
        <v>36</v>
      </c>
      <c r="K51" s="66">
        <v>752</v>
      </c>
      <c r="L51" s="41" t="s">
        <v>585</v>
      </c>
      <c r="M51" s="110">
        <v>2.82</v>
      </c>
      <c r="N51" s="53">
        <f>K51/$J$11</f>
        <v>0.55841584158415836</v>
      </c>
      <c r="O51" s="301">
        <f>EXP(Q42*10^E$11*$R$2*$H$11*$T$2*T/L^2/($G$11^2)/$U$2/10^$F$11/S42*1000000)*ERFC(SQRT(Q42*10^E$11*$R$2*$T$2*$H$11*T/$U$2/10^$F$11/S42*1000000)/L/$G$11)</f>
        <v>0.45706761332745754</v>
      </c>
      <c r="P51" s="50">
        <f>(O51-N51)^2</f>
        <v>1.0271463370772329E-2</v>
      </c>
      <c r="Q51" s="26"/>
      <c r="R51" s="26"/>
      <c r="S51" s="26"/>
      <c r="T51" s="26"/>
      <c r="U51" s="34"/>
    </row>
    <row r="52" spans="1:21" x14ac:dyDescent="0.25">
      <c r="A52" s="51" t="s">
        <v>2</v>
      </c>
      <c r="B52" s="41">
        <v>78</v>
      </c>
      <c r="K52" s="66">
        <v>873</v>
      </c>
      <c r="L52" s="41" t="s">
        <v>585</v>
      </c>
      <c r="M52" s="110">
        <v>5.14</v>
      </c>
      <c r="N52" s="53">
        <f>K52/$J$12</f>
        <v>0.57058823529411762</v>
      </c>
      <c r="O52" s="50">
        <f>EXP(Q42*10^E$12*$R$2*$H$12*$T$2*T/L^2/($G$12^2)/$U$2/10^$F$12/S42*1000000)*ERFC(SQRT(Q42*10^E$12*$R$2*$T$2*$H$12*T/$U$2/10^$F$12/S42*1000000)/L/$G$12)</f>
        <v>0.49322664987840797</v>
      </c>
      <c r="P52" s="50">
        <f t="shared" ref="P52:P60" si="46">(O52-N52)^2</f>
        <v>5.9848148980321389E-3</v>
      </c>
      <c r="Q52" s="26"/>
      <c r="R52" s="26"/>
      <c r="S52" s="26"/>
      <c r="T52" s="26"/>
      <c r="U52" s="34"/>
    </row>
    <row r="53" spans="1:21" x14ac:dyDescent="0.25">
      <c r="A53" s="51" t="s">
        <v>3</v>
      </c>
      <c r="B53" s="41">
        <v>121</v>
      </c>
      <c r="K53" s="66">
        <v>423</v>
      </c>
      <c r="L53" s="41" t="s">
        <v>585</v>
      </c>
      <c r="M53" s="110">
        <v>7.47</v>
      </c>
      <c r="N53" s="53">
        <f>K53/$J$13</f>
        <v>0.61512360639844887</v>
      </c>
      <c r="O53" s="50">
        <f>EXP(Q42*10^$E$13*$R$2*$H$13*$T$2*T/L^2/($G$13^2)/$U$2/10^$F$13/S42*1000000)*ERFC(SQRT(Q42*10^E$13*$R$2*$T$2*$H$13*T/U$2/10^$F$13/S$2*1000000)/L/$G$13)</f>
        <v>0.54917594752641596</v>
      </c>
      <c r="P53" s="50">
        <f t="shared" si="46"/>
        <v>4.3490937107020207E-3</v>
      </c>
      <c r="Q53" s="26"/>
      <c r="R53" s="26"/>
      <c r="S53" s="26"/>
      <c r="T53" s="26"/>
      <c r="U53" s="34"/>
    </row>
    <row r="54" spans="1:21" x14ac:dyDescent="0.25">
      <c r="A54" s="51" t="s">
        <v>4</v>
      </c>
      <c r="B54" s="41">
        <v>104</v>
      </c>
      <c r="K54" s="66">
        <v>489</v>
      </c>
      <c r="L54" s="41" t="s">
        <v>586</v>
      </c>
      <c r="M54" s="110">
        <v>4.12</v>
      </c>
      <c r="N54" s="53">
        <f>K54/$J$14</f>
        <v>0.6791666666666667</v>
      </c>
      <c r="O54" s="50">
        <f>EXP(Q42*10^E$14*$R$2*$H$14*$T$2*T/L^2/($G$14^2)/$U42/10^$F$14/S42*1000000)*ERFC(SQRT(Q42*10^E$14*$R$2*$T$2*$H$14*T/U$2/10^$F$14/S42*1000000)/L/$G$14)</f>
        <v>0.59989510818498093</v>
      </c>
      <c r="P54" s="50">
        <f t="shared" si="46"/>
        <v>6.2839799841153269E-3</v>
      </c>
      <c r="Q54" s="26"/>
      <c r="R54" s="26"/>
      <c r="S54" s="26"/>
      <c r="T54" s="26"/>
      <c r="U54" s="34"/>
    </row>
    <row r="55" spans="1:21" x14ac:dyDescent="0.25">
      <c r="A55" s="51" t="s">
        <v>5</v>
      </c>
      <c r="B55" s="41">
        <v>142</v>
      </c>
      <c r="K55" s="66">
        <v>778</v>
      </c>
      <c r="L55" s="41" t="s">
        <v>585</v>
      </c>
      <c r="M55" s="110">
        <v>3.48</v>
      </c>
      <c r="N55" s="53">
        <f>K55/$J$15</f>
        <v>0.47827868852459016</v>
      </c>
      <c r="O55" s="50">
        <f>EXP(Q42*10^E$15*$R$2*$H$15*$T$2*T/L^2/($G$15^2)/$U$2/10^$F$15/S42*1000000)*ERFC(SQRT(Q42*10^E$15*$R$2*$T$2*$H$15*T/U$2/10^$F$15/S42*1000000)/L/$G$15)</f>
        <v>0.42023935759169395</v>
      </c>
      <c r="P55" s="50">
        <f t="shared" si="46"/>
        <v>3.3685639351382422E-3</v>
      </c>
      <c r="Q55" s="26"/>
      <c r="R55" s="26"/>
      <c r="S55" s="26"/>
      <c r="T55" s="26"/>
      <c r="U55" s="34"/>
    </row>
    <row r="56" spans="1:21" x14ac:dyDescent="0.25">
      <c r="A56" s="51" t="s">
        <v>6</v>
      </c>
      <c r="B56" s="41">
        <v>155</v>
      </c>
      <c r="K56" s="66">
        <v>2250</v>
      </c>
      <c r="L56" s="41" t="s">
        <v>586</v>
      </c>
      <c r="M56" s="110">
        <v>11.6</v>
      </c>
      <c r="N56" s="53">
        <f>K56/$J$16</f>
        <v>0.59262510974539073</v>
      </c>
      <c r="O56" s="50">
        <f>EXP(Q42*10^E$16*$R$2*$H$16*$T$2*T/L^2/($G$16^2)/$U$2/10^$F$16/S42*1000000)*ERFC(SQRT(Q42*10^E$16*$R$2*$T$2*$H$16*T/U$2/10^$F$16/S42*1000000)/L/$G$16)</f>
        <v>0.51562743646089415</v>
      </c>
      <c r="P56" s="50">
        <f t="shared" si="46"/>
        <v>5.9286416912260782E-3</v>
      </c>
      <c r="Q56" s="26"/>
      <c r="R56" s="26"/>
      <c r="S56" s="26"/>
      <c r="T56" s="26"/>
      <c r="U56" s="34"/>
    </row>
    <row r="57" spans="1:21" x14ac:dyDescent="0.25">
      <c r="A57" s="51" t="s">
        <v>7</v>
      </c>
      <c r="B57" s="41">
        <v>192</v>
      </c>
      <c r="K57" s="66">
        <v>354</v>
      </c>
      <c r="L57" s="41" t="s">
        <v>585</v>
      </c>
      <c r="M57" s="110">
        <v>0.72499999999999998</v>
      </c>
      <c r="N57" s="53">
        <f>K57/$J$17</f>
        <v>0.63554757630161585</v>
      </c>
      <c r="O57" s="50">
        <f>EXP(Q42*10^E$17*$R$2*$H$17*$T$2*T/L^2/($G$17^2)/$U$2/10^$F$17/S42*1000000)*ERFC(SQRT(Q42*10^E$17*$R$2*$T$2*$H$17*T/U$2/10^$F$17/S42*1000000)/L/$G$17)</f>
        <v>0.56492287272562325</v>
      </c>
      <c r="P57" s="50">
        <f t="shared" si="46"/>
        <v>4.9878487551968213E-3</v>
      </c>
      <c r="Q57" s="26"/>
      <c r="R57" s="26"/>
      <c r="S57" s="26"/>
      <c r="T57" s="26"/>
      <c r="U57" s="34"/>
    </row>
    <row r="58" spans="1:21" x14ac:dyDescent="0.25">
      <c r="A58" s="51" t="s">
        <v>8</v>
      </c>
      <c r="B58" s="41">
        <v>184</v>
      </c>
      <c r="K58" s="66">
        <v>591</v>
      </c>
      <c r="L58" s="41" t="s">
        <v>586</v>
      </c>
      <c r="M58" s="110">
        <v>3.8</v>
      </c>
      <c r="N58" s="53">
        <f>K58/$J$18</f>
        <v>0.77254901960784317</v>
      </c>
      <c r="O58" s="50">
        <f>EXP(Q42*10^E$18*$R$2*$H$18*$T$2*T/L^2/($G$18^2)/$U$2/10^$F$18/S42*1000000)*ERFC(SQRT(Q42*10^E$18*$R$2*$T$2*$H$18*T/U$2/10^$F$18/S42*1000000)/L/$G$18)</f>
        <v>0.7024800272222913</v>
      </c>
      <c r="P58" s="50">
        <f t="shared" si="46"/>
        <v>4.9096636939265255E-3</v>
      </c>
      <c r="Q58" s="26"/>
      <c r="R58" s="26"/>
      <c r="S58" s="26"/>
      <c r="T58" s="26"/>
      <c r="U58" s="34"/>
    </row>
    <row r="59" spans="1:21" x14ac:dyDescent="0.25">
      <c r="A59" s="59" t="s">
        <v>9</v>
      </c>
      <c r="B59" s="109">
        <v>204</v>
      </c>
      <c r="K59" s="66">
        <v>496</v>
      </c>
      <c r="L59" s="41" t="s">
        <v>585</v>
      </c>
      <c r="M59" s="110">
        <v>2.88</v>
      </c>
      <c r="N59" s="53">
        <f>K59/$J$19</f>
        <v>0.69891968060122123</v>
      </c>
      <c r="O59" s="50">
        <f>EXP(Q42*10^E$19*$R$2*$H$19*$T$2*T/L^2/($G$19^2)/$U$2/10^$F$19/S42*1000000)*ERFC(SQRT(Q42*10^E$19*$R$2*$T$2*$H$19*T/U$2/10^$F$19/S42*1000000)/L/$G$19)</f>
        <v>0.61113021520582445</v>
      </c>
      <c r="P59" s="50">
        <f t="shared" si="46"/>
        <v>7.7069902344095694E-3</v>
      </c>
      <c r="Q59" s="26"/>
      <c r="R59" s="26"/>
      <c r="S59" s="26"/>
      <c r="T59" s="26"/>
      <c r="U59" s="34"/>
    </row>
    <row r="60" spans="1:21" x14ac:dyDescent="0.25">
      <c r="K60" s="71">
        <v>939</v>
      </c>
      <c r="L60" s="109" t="s">
        <v>585</v>
      </c>
      <c r="M60" s="83">
        <v>3.29</v>
      </c>
      <c r="N60" s="54">
        <f>K60/$J$20</f>
        <v>0.79129213483146066</v>
      </c>
      <c r="O60" s="55">
        <f>EXP(Q42*10^E$20*$R$2*$H$20*$T$2*T/L^2/($G$20^2)/$U$2/10^$F$20/S42*1000000)*ERFC(SQRT(Q42*10^E$20*$R$2*$T$2*$H$20*T/U$2/10^$F$20/S42*1000000)/L/$G$20)</f>
        <v>0.69339929828973468</v>
      </c>
      <c r="P60" s="55">
        <f t="shared" si="46"/>
        <v>9.5830074461850812E-3</v>
      </c>
      <c r="Q60" s="27"/>
      <c r="R60" s="27"/>
      <c r="S60" s="27"/>
      <c r="T60" s="27"/>
      <c r="U60" s="35"/>
    </row>
    <row r="61" spans="1:21" ht="18" x14ac:dyDescent="0.3">
      <c r="K61" s="31"/>
      <c r="L61" s="32"/>
      <c r="M61" s="32"/>
      <c r="N61" s="296" t="s">
        <v>708</v>
      </c>
      <c r="O61" s="47"/>
      <c r="P61" s="47"/>
      <c r="Q61" s="297" t="s">
        <v>710</v>
      </c>
      <c r="R61" s="298" t="s">
        <v>711</v>
      </c>
      <c r="S61" s="290" t="s">
        <v>716</v>
      </c>
      <c r="T61" s="298" t="s">
        <v>677</v>
      </c>
      <c r="U61" s="299" t="s">
        <v>654</v>
      </c>
    </row>
    <row r="62" spans="1:21" x14ac:dyDescent="0.25">
      <c r="A62" s="337" t="s">
        <v>587</v>
      </c>
      <c r="B62" s="338" t="s">
        <v>65</v>
      </c>
      <c r="K62" s="341" t="s">
        <v>705</v>
      </c>
      <c r="L62" s="342"/>
      <c r="M62" s="343"/>
      <c r="N62" s="52">
        <v>970</v>
      </c>
      <c r="O62" s="51" t="s">
        <v>709</v>
      </c>
      <c r="P62" s="51" t="s">
        <v>668</v>
      </c>
      <c r="Q62" s="51">
        <f>N62/1000000</f>
        <v>9.7000000000000005E-4</v>
      </c>
      <c r="R62" s="51">
        <f>VLOOKUP(P62,Sed_Prop,6,FALSE)</f>
        <v>2</v>
      </c>
      <c r="S62" s="132">
        <f>IF(Q62*100&lt;1.2,DOC_avg,IF(Q62*100&gt;=1.2,(Q62*100)^2*DOC_F1+(Q62*100)*DOC_F2+DOC_F3))</f>
        <v>8.4666666666666668</v>
      </c>
      <c r="T62" s="51">
        <f>VLOOKUP(P62,Sed_Prop,4,FALSE)</f>
        <v>0.375</v>
      </c>
      <c r="U62" s="300">
        <f>VLOOKUP(P62,Sed_Prop,5,FALSE)</f>
        <v>1.9509375000000002E-2</v>
      </c>
    </row>
    <row r="63" spans="1:21" ht="25.5" x14ac:dyDescent="0.25">
      <c r="A63" s="337"/>
      <c r="B63" s="338"/>
      <c r="K63" s="251" t="s">
        <v>581</v>
      </c>
      <c r="L63" s="339" t="s">
        <v>582</v>
      </c>
      <c r="M63" s="252" t="s">
        <v>583</v>
      </c>
      <c r="N63" s="324" t="s">
        <v>599</v>
      </c>
      <c r="O63" s="335" t="s">
        <v>610</v>
      </c>
      <c r="P63" s="335" t="s">
        <v>852</v>
      </c>
      <c r="Q63" s="335"/>
      <c r="R63" s="335" t="s">
        <v>856</v>
      </c>
      <c r="S63" s="229"/>
      <c r="T63" s="229" t="s">
        <v>644</v>
      </c>
      <c r="U63" s="126" t="s">
        <v>701</v>
      </c>
    </row>
    <row r="64" spans="1:21" x14ac:dyDescent="0.25">
      <c r="A64" s="25" t="s">
        <v>31</v>
      </c>
      <c r="B64" s="41" t="s">
        <v>31</v>
      </c>
      <c r="K64" s="253" t="s">
        <v>584</v>
      </c>
      <c r="L64" s="339"/>
      <c r="M64" s="254" t="s">
        <v>584</v>
      </c>
      <c r="N64" s="325"/>
      <c r="O64" s="336"/>
      <c r="P64" s="336"/>
      <c r="Q64" s="336"/>
      <c r="R64" s="336"/>
      <c r="S64" s="230"/>
      <c r="T64" s="88" t="s">
        <v>611</v>
      </c>
      <c r="U64" s="89" t="s">
        <v>611</v>
      </c>
    </row>
    <row r="65" spans="1:21" x14ac:dyDescent="0.25">
      <c r="A65" s="51" t="s">
        <v>588</v>
      </c>
      <c r="B65" s="41" t="s">
        <v>32</v>
      </c>
      <c r="K65" s="119">
        <v>82.1</v>
      </c>
      <c r="L65" s="120" t="s">
        <v>585</v>
      </c>
      <c r="M65" s="121">
        <v>0.66700000000000004</v>
      </c>
      <c r="N65" s="26"/>
      <c r="O65" s="50">
        <f>1-EXP(Q62*10^R$5*R$2*$H$5*T$2*T/L^2/($G$5^2)/U$2/10^$F$5/S62*1000000)*ERFC(SQRT(Q62*10^R$5*R$2*T$2*$H$5*T/U$2/10^$F$5/S62*1000000)/L/$G$5)</f>
        <v>0.90152359823299266</v>
      </c>
      <c r="P65" s="51"/>
      <c r="Q65" s="67"/>
      <c r="R65" s="77">
        <f>VLOOKUP(B$5,DDT_Prop,4,FALSE)*e_Endo430+VLOOKUP(B$5,DDT_Prop,5,FALSE)*s_Endo430+VLOOKUP(B$5,DDT_Prop,6,FALSE)*a_Endo430+VLOOKUP(B$5,DDT_Prop,7,FALSE)*b_Endo430+VLOOKUP(B$5,DDT_Prop,8,FALSE)*v_Endo430+c_Endo430</f>
        <v>6.6444559999999999</v>
      </c>
      <c r="S65" s="132"/>
      <c r="T65" s="52">
        <f>K65/1000/G$5/O65*1000000000</f>
        <v>1543.0392789178745</v>
      </c>
      <c r="U65" s="303">
        <v>2800</v>
      </c>
    </row>
    <row r="66" spans="1:21" x14ac:dyDescent="0.25">
      <c r="A66" s="51" t="s">
        <v>589</v>
      </c>
      <c r="B66" s="41" t="s">
        <v>29</v>
      </c>
      <c r="K66" s="122">
        <v>174</v>
      </c>
      <c r="L66" s="117" t="s">
        <v>585</v>
      </c>
      <c r="M66" s="123">
        <v>0.87</v>
      </c>
      <c r="N66" s="26"/>
      <c r="O66" s="50">
        <f>1-EXP(Q62*10^R$6*R$2*$H$6*T$2*T/L^2/($G$6^2)/U$2/10^$F$6/S62*1000000)*ERFC(SQRT(Q62*10^R$6*R$2*T$2*$H$6*T/U$2/10^$F$6/S62*1000000)/L/$G$6)</f>
        <v>0.86309522475914013</v>
      </c>
      <c r="P66" s="51"/>
      <c r="Q66" s="67"/>
      <c r="R66" s="77">
        <f>VLOOKUP(B$6,DDT_Prop,4,FALSE)*e_Endo430+VLOOKUP(B$6,DDT_Prop,5,FALSE)*s_Endo430+VLOOKUP(B$6,DDT_Prop,6,FALSE)*a_Endo430+VLOOKUP(B$6,DDT_Prop,7,FALSE)*b_Endo430+VLOOKUP(B$6,DDT_Prop,8,FALSE)*v_Endo430+c_Endo430</f>
        <v>6.6861379999999997</v>
      </c>
      <c r="S66" s="132"/>
      <c r="T66" s="52">
        <f>K66/1000/G$6/O66*1000000000</f>
        <v>2907.280553188747</v>
      </c>
      <c r="U66" s="303">
        <v>5100</v>
      </c>
    </row>
    <row r="67" spans="1:21" x14ac:dyDescent="0.25">
      <c r="A67" s="51" t="s">
        <v>590</v>
      </c>
      <c r="B67" s="41" t="s">
        <v>30</v>
      </c>
      <c r="K67" s="122">
        <v>107</v>
      </c>
      <c r="L67" s="117" t="s">
        <v>585</v>
      </c>
      <c r="M67" s="123">
        <v>0.55700000000000005</v>
      </c>
      <c r="N67" s="26"/>
      <c r="O67" s="50">
        <f>1-EXP(Q62*10^R$7*R$2*$H$7*T$2*T/L^2/($G$7^2)/U$2/10^$F$7/S62*1000000)*ERFC(SQRT(Q62*10^R$7*R$2*T$2*$H$7*T/U$2/10^$F$7/S62*1000000)/L/$G$7)</f>
        <v>0.36946846544303058</v>
      </c>
      <c r="P67" s="51"/>
      <c r="Q67" s="67"/>
      <c r="R67" s="77">
        <f>VLOOKUP(B$7,DDT_Prop,4,FALSE)*e_Endo430+VLOOKUP(B$7,DDT_Prop,5,FALSE)*s_Endo430+VLOOKUP(B$7,DDT_Prop,6,FALSE)*a_Endo430+VLOOKUP(B$7,DDT_Prop,7,FALSE)*b_Endo430+VLOOKUP(B$7,DDT_Prop,8,FALSE)*v_Endo430+c_Endo430</f>
        <v>6.7972259999999984</v>
      </c>
      <c r="S67" s="132"/>
      <c r="T67" s="52">
        <f>K67/1000/G$7/O67*1000000000</f>
        <v>427.16683771988392</v>
      </c>
      <c r="U67" s="303">
        <v>390</v>
      </c>
    </row>
    <row r="68" spans="1:21" x14ac:dyDescent="0.25">
      <c r="A68" s="51" t="s">
        <v>591</v>
      </c>
      <c r="B68" s="41" t="s">
        <v>50</v>
      </c>
      <c r="K68" s="122">
        <v>111</v>
      </c>
      <c r="L68" s="117" t="s">
        <v>585</v>
      </c>
      <c r="M68" s="123">
        <v>0.55700000000000005</v>
      </c>
      <c r="N68" s="26"/>
      <c r="O68" s="50">
        <f>1-EXP(Q62*10^R$8*R$2*$H$8*T$2*T/L^2/($G$8^2)/U$2/10^$F$8/S62*1000000)*ERFC(SQRT(Q62*10^R$8*R$2*T$2*$H$8*T/U$2/10^$F$8/S62*1000000)/L/$G$8)</f>
        <v>0.33793268367423823</v>
      </c>
      <c r="P68" s="51"/>
      <c r="Q68" s="67"/>
      <c r="R68" s="77">
        <f>VLOOKUP(B$8,DDT_Prop,4,FALSE)*e_Endo430+VLOOKUP(B$8,DDT_Prop,5,FALSE)*s_Endo430+VLOOKUP(B$8,DDT_Prop,6,FALSE)*a_Endo430+VLOOKUP(B$8,DDT_Prop,7,FALSE)*b_Endo430+VLOOKUP(B$8,DDT_Prop,8,FALSE)*v_Endo430+c_Endo430</f>
        <v>6.3145719999999983</v>
      </c>
      <c r="S68" s="132"/>
      <c r="T68" s="52">
        <f>K68/1000/$G$8/O68*1000000000</f>
        <v>431.7909569921859</v>
      </c>
      <c r="U68" s="303">
        <v>370</v>
      </c>
    </row>
    <row r="69" spans="1:21" x14ac:dyDescent="0.25">
      <c r="A69" s="51" t="s">
        <v>592</v>
      </c>
      <c r="B69" s="41" t="s">
        <v>51</v>
      </c>
      <c r="K69" s="122">
        <v>9.02</v>
      </c>
      <c r="L69" s="117" t="s">
        <v>620</v>
      </c>
      <c r="M69" s="123">
        <v>1.43</v>
      </c>
      <c r="N69" s="26"/>
      <c r="O69" s="50">
        <f>1-EXP(Q62*10^R$9*R$2*$H$9*T$2*T/L^2/($G$9^2)/U$2/10^$F$9/S62*1000000)*ERFC(SQRT(Q62*10^R$9*R$2*T$2*$H$9*T/U$2/10^$F$9/S62*1000000)/L/$G$9)</f>
        <v>0.34911717698917755</v>
      </c>
      <c r="P69" s="51"/>
      <c r="Q69" s="67"/>
      <c r="R69" s="77">
        <f>VLOOKUP(B$9,DDT_Prop,4,FALSE)*e_Endo430+VLOOKUP(B$9,DDT_Prop,5,FALSE)*s_Endo430+VLOOKUP(B$9,DDT_Prop,6,FALSE)*a_Endo430+VLOOKUP(B$9,DDT_Prop,7,FALSE)*b_Endo430+VLOOKUP(B$9,DDT_Prop,8,FALSE)*v_Endo430+c_Endo430</f>
        <v>7.1261799999999997</v>
      </c>
      <c r="S69" s="132"/>
      <c r="T69" s="52">
        <f>K69/1000/$G$9/O69*1000000000</f>
        <v>35.564788356247156</v>
      </c>
      <c r="U69" s="303">
        <v>31</v>
      </c>
    </row>
    <row r="70" spans="1:21" x14ac:dyDescent="0.25">
      <c r="A70" s="51" t="s">
        <v>0</v>
      </c>
      <c r="B70" s="41">
        <v>14</v>
      </c>
      <c r="K70" s="122">
        <v>113</v>
      </c>
      <c r="L70" s="117" t="s">
        <v>585</v>
      </c>
      <c r="M70" s="123">
        <v>1.53</v>
      </c>
      <c r="N70" s="26"/>
      <c r="O70" s="50">
        <f>1-EXP(Q62*10^R$10*R$2*$H$10*T$2*T/L^2/($G$10^2)/U$2/10^$F$10/S62*1000000)*ERFC(SQRT(Q62*10^R$10*R$2*T$2*$H$10*T/U$2/10^$F$10/S62*1000000)/L/$G$10)</f>
        <v>0.47470858349945866</v>
      </c>
      <c r="P70" s="51"/>
      <c r="Q70" s="67"/>
      <c r="R70" s="77">
        <f>VLOOKUP(B$10,DDT_Prop,4,FALSE)*e_Endo430+VLOOKUP(B$10,DDT_Prop,5,FALSE)*s_Endo430+VLOOKUP(B$10,DDT_Prop,6,FALSE)*a_Endo430+VLOOKUP(B$10,DDT_Prop,7,FALSE)*b_Endo430+VLOOKUP(B$10,DDT_Prop,8,FALSE)*v_Endo430+c_Endo430</f>
        <v>7.1849119999999989</v>
      </c>
      <c r="S70" s="132"/>
      <c r="T70" s="52">
        <f>K70/1000/$G$10/O70*1000000000</f>
        <v>596.33483444382671</v>
      </c>
      <c r="U70" s="303">
        <v>670</v>
      </c>
    </row>
    <row r="71" spans="1:21" x14ac:dyDescent="0.25">
      <c r="A71" s="51" t="s">
        <v>1</v>
      </c>
      <c r="B71" s="41">
        <v>36</v>
      </c>
      <c r="K71" s="122">
        <v>776</v>
      </c>
      <c r="L71" s="117" t="s">
        <v>585</v>
      </c>
      <c r="M71" s="123">
        <v>1.76</v>
      </c>
      <c r="N71" s="53">
        <f>K71/$J$11</f>
        <v>0.57623762376237619</v>
      </c>
      <c r="O71" s="302">
        <f>EXP(Q62*10^E$11*$R$2*$H$11*$T$2*T/L^2/($G$11^2)/$U$2/10^$F$11/S62*1000000)*ERFC(SQRT(Q62*10^E$11*$R$2*$T$2*$H$11*T/$U$2/10^$F$11/S62*1000000)/L/$G$11)</f>
        <v>0.45273442446955431</v>
      </c>
      <c r="P71" s="50">
        <f>(O71-N71)^2</f>
        <v>1.525304023556248E-2</v>
      </c>
      <c r="Q71" s="26"/>
      <c r="R71" s="26"/>
      <c r="S71" s="26"/>
      <c r="T71" s="26"/>
      <c r="U71" s="34"/>
    </row>
    <row r="72" spans="1:21" x14ac:dyDescent="0.25">
      <c r="A72" s="51" t="s">
        <v>2</v>
      </c>
      <c r="B72" s="41">
        <v>78</v>
      </c>
      <c r="K72" s="122">
        <v>902</v>
      </c>
      <c r="L72" s="117" t="s">
        <v>585</v>
      </c>
      <c r="M72" s="123">
        <v>4.45</v>
      </c>
      <c r="N72" s="53">
        <f>K72/$J$12</f>
        <v>0.58954248366013073</v>
      </c>
      <c r="O72" s="50">
        <f>EXP(Q62*10^E$12*$R$2*$H$12*$T$2*T/L^2/($G$12^2)/$U$2/10^$F$12/S62*1000000)*ERFC(SQRT(Q62*10^E$12*$R$2*$T$2*$H$12*T/$U$2/10^$F$12/S62*1000000)/L/$G$12)</f>
        <v>0.48888155553489798</v>
      </c>
      <c r="P72" s="50">
        <f t="shared" ref="P72:P80" si="47">(O72-N72)^2</f>
        <v>1.0132622451033274E-2</v>
      </c>
      <c r="Q72" s="26"/>
      <c r="R72" s="26"/>
      <c r="S72" s="26"/>
      <c r="T72" s="26"/>
      <c r="U72" s="34"/>
    </row>
    <row r="73" spans="1:21" x14ac:dyDescent="0.25">
      <c r="A73" s="51" t="s">
        <v>3</v>
      </c>
      <c r="B73" s="41">
        <v>121</v>
      </c>
      <c r="K73" s="122">
        <v>437</v>
      </c>
      <c r="L73" s="117" t="s">
        <v>585</v>
      </c>
      <c r="M73" s="123">
        <v>8.49</v>
      </c>
      <c r="N73" s="53">
        <f>K73/$J$13</f>
        <v>0.63548230731943778</v>
      </c>
      <c r="O73" s="50">
        <f>EXP(Q62*10^$E$13*$R$2*$H$13*$T$2*T/L^2/($G$13^2)/$U$2/10^$F$13/S62*1000000)*ERFC(SQRT(Q62*10^E$13*$R$2*$T$2*$H$13*T/U$2/10^$F$13/S$2*1000000)/L/$G$13)</f>
        <v>0.54490658827379546</v>
      </c>
      <c r="P73" s="50">
        <f t="shared" si="47"/>
        <v>8.203960880635134E-3</v>
      </c>
      <c r="Q73" s="26"/>
      <c r="R73" s="26"/>
      <c r="S73" s="26"/>
      <c r="T73" s="26"/>
      <c r="U73" s="34"/>
    </row>
    <row r="74" spans="1:21" x14ac:dyDescent="0.25">
      <c r="A74" s="51" t="s">
        <v>4</v>
      </c>
      <c r="B74" s="41">
        <v>104</v>
      </c>
      <c r="K74" s="122">
        <v>488</v>
      </c>
      <c r="L74" s="117" t="s">
        <v>586</v>
      </c>
      <c r="M74" s="123">
        <v>2.88</v>
      </c>
      <c r="N74" s="53">
        <f>K74/$J$14</f>
        <v>0.67777777777777781</v>
      </c>
      <c r="O74" s="50">
        <f>EXP(Q62*10^E$14*$R$2*$H$14*$T$2*T/L^2/($G$14^2)/$U62/10^$F$14/S62*1000000)*ERFC(SQRT(Q62*10^E$14*$R$2*$T$2*$H$14*T/U$2/10^$F$14/S62*1000000)/L/$G$14)</f>
        <v>0.59578992303768019</v>
      </c>
      <c r="P74" s="50">
        <f t="shared" si="47"/>
        <v>6.7220083248833483E-3</v>
      </c>
      <c r="Q74" s="26"/>
      <c r="R74" s="26"/>
      <c r="S74" s="26"/>
      <c r="T74" s="26"/>
      <c r="U74" s="34"/>
    </row>
    <row r="75" spans="1:21" x14ac:dyDescent="0.25">
      <c r="A75" s="51" t="s">
        <v>5</v>
      </c>
      <c r="B75" s="41">
        <v>142</v>
      </c>
      <c r="K75" s="122">
        <v>800</v>
      </c>
      <c r="L75" s="117" t="s">
        <v>585</v>
      </c>
      <c r="M75" s="123">
        <v>2.44</v>
      </c>
      <c r="N75" s="53">
        <f>K75/$J$15</f>
        <v>0.49180327868852458</v>
      </c>
      <c r="O75" s="50">
        <f>EXP(Q62*10^E$15*$R$2*$H$15*$T$2*T/L^2/($G$15^2)/$U$2/10^$F$15/S62*1000000)*ERFC(SQRT(Q62*10^E$15*$R$2*$T$2*$H$15*T/U$2/10^$F$15/S62*1000000)/L/$G$15)</f>
        <v>0.41596883969337406</v>
      </c>
      <c r="P75" s="50">
        <f t="shared" si="47"/>
        <v>5.7508621377092058E-3</v>
      </c>
      <c r="Q75" s="26"/>
      <c r="R75" s="26"/>
      <c r="S75" s="26"/>
      <c r="T75" s="26"/>
      <c r="U75" s="34"/>
    </row>
    <row r="76" spans="1:21" x14ac:dyDescent="0.25">
      <c r="A76" s="51" t="s">
        <v>6</v>
      </c>
      <c r="B76" s="41">
        <v>155</v>
      </c>
      <c r="K76" s="122">
        <v>2270</v>
      </c>
      <c r="L76" s="117" t="s">
        <v>586</v>
      </c>
      <c r="M76" s="123">
        <v>1.92</v>
      </c>
      <c r="N76" s="53">
        <f>K76/$J$16</f>
        <v>0.59789288849868305</v>
      </c>
      <c r="O76" s="50">
        <f>EXP(Q62*10^E$16*$R$2*$H$16*$T$2*T/L^2/($G$16^2)/$U$2/10^$F$16/S62*1000000)*ERFC(SQRT(Q62*10^E$16*$R$2*$T$2*$H$16*T/U$2/10^$F$16/S62*1000000)/L/$G$16)</f>
        <v>0.51129912153430801</v>
      </c>
      <c r="P76" s="50">
        <f t="shared" si="47"/>
        <v>7.4984804770804898E-3</v>
      </c>
      <c r="Q76" s="26"/>
      <c r="R76" s="26"/>
      <c r="S76" s="26"/>
      <c r="T76" s="26"/>
      <c r="U76" s="34"/>
    </row>
    <row r="77" spans="1:21" x14ac:dyDescent="0.25">
      <c r="A77" s="51" t="s">
        <v>7</v>
      </c>
      <c r="B77" s="41">
        <v>192</v>
      </c>
      <c r="K77" s="122">
        <v>358</v>
      </c>
      <c r="L77" s="117" t="s">
        <v>585</v>
      </c>
      <c r="M77" s="123">
        <v>0.56999999999999995</v>
      </c>
      <c r="N77" s="53">
        <f>K77/$J$17</f>
        <v>0.64272890484739675</v>
      </c>
      <c r="O77" s="50">
        <f>EXP(Q62*10^E$17*$R$2*$H$17*$T$2*T/L^2/($G$17^2)/$U$2/10^$F$17/S62*1000000)*ERFC(SQRT(Q62*10^E$17*$R$2*$T$2*$H$17*T/U$2/10^$F$17/S62*1000000)/L/$G$17)</f>
        <v>0.5606949337412116</v>
      </c>
      <c r="P77" s="50">
        <f t="shared" si="47"/>
        <v>6.7295724154504211E-3</v>
      </c>
      <c r="Q77" s="26"/>
      <c r="R77" s="26"/>
      <c r="S77" s="26"/>
      <c r="T77" s="26"/>
      <c r="U77" s="34"/>
    </row>
    <row r="78" spans="1:21" x14ac:dyDescent="0.25">
      <c r="A78" s="51" t="s">
        <v>8</v>
      </c>
      <c r="B78" s="41">
        <v>184</v>
      </c>
      <c r="K78" s="122">
        <v>593</v>
      </c>
      <c r="L78" s="117" t="s">
        <v>586</v>
      </c>
      <c r="M78" s="123">
        <v>1.66</v>
      </c>
      <c r="N78" s="53">
        <f>K78/$J$18</f>
        <v>0.77516339869281048</v>
      </c>
      <c r="O78" s="50">
        <f>EXP(Q62*10^E$18*$R$2*$H$18*$T$2*T/L^2/($G$18^2)/$U$2/10^$F$18/S62*1000000)*ERFC(SQRT(Q62*10^E$18*$R$2*$T$2*$H$18*T/U$2/10^$F$18/S62*1000000)/L/$G$18)</f>
        <v>0.69897037628922054</v>
      </c>
      <c r="P78" s="50">
        <f t="shared" si="47"/>
        <v>5.8053766629939585E-3</v>
      </c>
      <c r="Q78" s="26"/>
      <c r="R78" s="26"/>
      <c r="S78" s="26"/>
      <c r="T78" s="26"/>
      <c r="U78" s="34"/>
    </row>
    <row r="79" spans="1:21" x14ac:dyDescent="0.25">
      <c r="A79" s="59" t="s">
        <v>9</v>
      </c>
      <c r="B79" s="109">
        <v>204</v>
      </c>
      <c r="K79" s="122">
        <v>460</v>
      </c>
      <c r="L79" s="117" t="s">
        <v>585</v>
      </c>
      <c r="M79" s="123">
        <v>1.26</v>
      </c>
      <c r="N79" s="53">
        <f>K79/$J$19</f>
        <v>0.64819163926726164</v>
      </c>
      <c r="O79" s="50">
        <f>EXP(Q62*10^E$19*$R$2*$H$19*$T$2*T/L^2/($G$19^2)/$U$2/10^$F$19/S62*1000000)*ERFC(SQRT(Q62*10^E$19*$R$2*$T$2*$H$19*T/U$2/10^$F$19/S62*1000000)/L/$G$19)</f>
        <v>0.60707333016494835</v>
      </c>
      <c r="P79" s="50">
        <f t="shared" si="47"/>
        <v>1.6907153434333798E-3</v>
      </c>
      <c r="Q79" s="26"/>
      <c r="R79" s="26"/>
      <c r="S79" s="26"/>
      <c r="T79" s="26"/>
      <c r="U79" s="34"/>
    </row>
    <row r="80" spans="1:21" x14ac:dyDescent="0.25">
      <c r="K80" s="124">
        <v>880</v>
      </c>
      <c r="L80" s="118" t="s">
        <v>585</v>
      </c>
      <c r="M80" s="125">
        <v>1.21</v>
      </c>
      <c r="N80" s="54">
        <f>K80/$J$20</f>
        <v>0.74157303370786509</v>
      </c>
      <c r="O80" s="55">
        <f>EXP(Q62*10^E$20*$R$2*$H$20*$T$2*T/L^2/($G$20^2)/$U$2/10^$F$20/S62*1000000)*ERFC(SQRT(Q62*10^E$20*$R$2*$T$2*$H$20*T/U$2/10^$F$20/S62*1000000)/L/$G$20)</f>
        <v>0.68982322252709372</v>
      </c>
      <c r="P80" s="55">
        <f t="shared" si="47"/>
        <v>2.6780429572454902E-3</v>
      </c>
      <c r="Q80" s="27"/>
      <c r="R80" s="27"/>
      <c r="S80" s="27"/>
      <c r="T80" s="27"/>
      <c r="U80" s="35"/>
    </row>
    <row r="81" spans="1:21" ht="18" x14ac:dyDescent="0.3">
      <c r="K81" s="31"/>
      <c r="L81" s="32"/>
      <c r="M81" s="32"/>
      <c r="N81" s="296" t="s">
        <v>708</v>
      </c>
      <c r="O81" s="47"/>
      <c r="P81" s="47"/>
      <c r="Q81" s="297" t="s">
        <v>710</v>
      </c>
      <c r="R81" s="298" t="s">
        <v>711</v>
      </c>
      <c r="S81" s="290" t="s">
        <v>716</v>
      </c>
      <c r="T81" s="298" t="s">
        <v>677</v>
      </c>
      <c r="U81" s="299" t="s">
        <v>654</v>
      </c>
    </row>
    <row r="82" spans="1:21" x14ac:dyDescent="0.25">
      <c r="A82" s="337" t="s">
        <v>587</v>
      </c>
      <c r="B82" s="338" t="s">
        <v>65</v>
      </c>
      <c r="K82" s="341" t="s">
        <v>706</v>
      </c>
      <c r="L82" s="342"/>
      <c r="M82" s="343"/>
      <c r="N82" s="52">
        <v>930</v>
      </c>
      <c r="O82" s="51" t="s">
        <v>709</v>
      </c>
      <c r="P82" s="51" t="s">
        <v>668</v>
      </c>
      <c r="Q82" s="51">
        <f>N82/1000000</f>
        <v>9.3000000000000005E-4</v>
      </c>
      <c r="R82" s="51">
        <f>VLOOKUP(P82,Sed_Prop,6,FALSE)</f>
        <v>2</v>
      </c>
      <c r="S82" s="132">
        <f>IF(Q82*100&lt;1.2,DOC_avg,IF(Q82*100&gt;=1.2,(Q82*100)^2*DOC_F1+(Q82*100)*DOC_F2+DOC_F3))</f>
        <v>8.4666666666666668</v>
      </c>
      <c r="T82" s="51">
        <f>VLOOKUP(P82,Sed_Prop,4,FALSE)</f>
        <v>0.375</v>
      </c>
      <c r="U82" s="300">
        <f>VLOOKUP(P82,Sed_Prop,5,FALSE)</f>
        <v>1.9509375000000002E-2</v>
      </c>
    </row>
    <row r="83" spans="1:21" ht="25.5" x14ac:dyDescent="0.25">
      <c r="A83" s="337"/>
      <c r="B83" s="338"/>
      <c r="K83" s="251" t="s">
        <v>581</v>
      </c>
      <c r="L83" s="339" t="s">
        <v>582</v>
      </c>
      <c r="M83" s="252" t="s">
        <v>583</v>
      </c>
      <c r="N83" s="324" t="s">
        <v>599</v>
      </c>
      <c r="O83" s="335" t="s">
        <v>610</v>
      </c>
      <c r="P83" s="335" t="s">
        <v>852</v>
      </c>
      <c r="Q83" s="335"/>
      <c r="R83" s="335" t="s">
        <v>856</v>
      </c>
      <c r="S83" s="229"/>
      <c r="T83" s="229" t="s">
        <v>644</v>
      </c>
      <c r="U83" s="126" t="s">
        <v>701</v>
      </c>
    </row>
    <row r="84" spans="1:21" x14ac:dyDescent="0.25">
      <c r="A84" s="25" t="s">
        <v>31</v>
      </c>
      <c r="B84" s="41" t="s">
        <v>31</v>
      </c>
      <c r="K84" s="253" t="s">
        <v>584</v>
      </c>
      <c r="L84" s="339"/>
      <c r="M84" s="254" t="s">
        <v>584</v>
      </c>
      <c r="N84" s="325"/>
      <c r="O84" s="336"/>
      <c r="P84" s="336"/>
      <c r="Q84" s="336"/>
      <c r="R84" s="336"/>
      <c r="S84" s="230"/>
      <c r="T84" s="88" t="s">
        <v>611</v>
      </c>
      <c r="U84" s="89" t="s">
        <v>611</v>
      </c>
    </row>
    <row r="85" spans="1:21" x14ac:dyDescent="0.25">
      <c r="A85" s="51" t="s">
        <v>588</v>
      </c>
      <c r="B85" s="41" t="s">
        <v>32</v>
      </c>
      <c r="K85" s="119">
        <v>44.6</v>
      </c>
      <c r="L85" s="120" t="s">
        <v>585</v>
      </c>
      <c r="M85" s="121">
        <v>0.65100000000000002</v>
      </c>
      <c r="N85" s="26"/>
      <c r="O85" s="50">
        <f>1-EXP(Q82*10^R$5*R$2*$H$5*T$2*T/L^2/($G$5^2)/U$2/10^$F$5/S82*1000000)*ERFC(SQRT(Q82*10^R$5*R$2*T$2*$H$5*T/U$2/10^$F$5/S82*1000000)/L/$G$5)</f>
        <v>0.89949113432565386</v>
      </c>
      <c r="P85" s="51"/>
      <c r="Q85" s="67"/>
      <c r="R85" s="77">
        <f>VLOOKUP(B$5,DDT_Prop,4,FALSE)*e_Endo430+VLOOKUP(B$5,DDT_Prop,5,FALSE)*s_Endo430+VLOOKUP(B$5,DDT_Prop,6,FALSE)*a_Endo430+VLOOKUP(B$5,DDT_Prop,7,FALSE)*b_Endo430+VLOOKUP(B$5,DDT_Prop,8,FALSE)*v_Endo430+c_Endo430</f>
        <v>6.6444559999999999</v>
      </c>
      <c r="S85" s="132"/>
      <c r="T85" s="52">
        <f>K85/1000/G$5/O85*1000000000</f>
        <v>840.13464664985736</v>
      </c>
      <c r="U85" s="303">
        <v>1000</v>
      </c>
    </row>
    <row r="86" spans="1:21" x14ac:dyDescent="0.25">
      <c r="A86" s="51" t="s">
        <v>589</v>
      </c>
      <c r="B86" s="41" t="s">
        <v>29</v>
      </c>
      <c r="K86" s="122">
        <v>90.6</v>
      </c>
      <c r="L86" s="117" t="s">
        <v>585</v>
      </c>
      <c r="M86" s="123">
        <v>0.80800000000000005</v>
      </c>
      <c r="N86" s="26"/>
      <c r="O86" s="50">
        <f>1-EXP(Q82*10^R$6*R$2*$H$6*T$2*T/L^2/($G$6^2)/U$2/10^$F$6/S82*1000000)*ERFC(SQRT(Q82*10^R$6*R$2*T$2*$H$6*T/U$2/10^$F$6/S82*1000000)/L/$G$6)</f>
        <v>0.86034514991793087</v>
      </c>
      <c r="P86" s="51"/>
      <c r="Q86" s="67"/>
      <c r="R86" s="77">
        <f>VLOOKUP(B$6,DDT_Prop,4,FALSE)*e_Endo430+VLOOKUP(B$6,DDT_Prop,5,FALSE)*s_Endo430+VLOOKUP(B$6,DDT_Prop,6,FALSE)*a_Endo430+VLOOKUP(B$6,DDT_Prop,7,FALSE)*b_Endo430+VLOOKUP(B$6,DDT_Prop,8,FALSE)*v_Endo430+c_Endo430</f>
        <v>6.6861379999999997</v>
      </c>
      <c r="S86" s="132"/>
      <c r="T86" s="52">
        <f>K86/1000/G$6/O86*1000000000</f>
        <v>1518.6297089403042</v>
      </c>
      <c r="U86" s="303">
        <v>1800</v>
      </c>
    </row>
    <row r="87" spans="1:21" x14ac:dyDescent="0.25">
      <c r="A87" s="51" t="s">
        <v>590</v>
      </c>
      <c r="B87" s="41" t="s">
        <v>30</v>
      </c>
      <c r="K87" s="122">
        <v>80.599999999999994</v>
      </c>
      <c r="L87" s="117" t="s">
        <v>585</v>
      </c>
      <c r="M87" s="123">
        <v>0.65100000000000002</v>
      </c>
      <c r="N87" s="26"/>
      <c r="O87" s="50">
        <f>1-EXP(Q82*10^R$7*R$2*$H$7*T$2*T/L^2/($G$7^2)/U$2/10^$F$7/S82*1000000)*ERFC(SQRT(Q82*10^R$7*R$2*T$2*$H$7*T/U$2/10^$F$7/S82*1000000)/L/$G$7)</f>
        <v>0.36418788743492592</v>
      </c>
      <c r="P87" s="51"/>
      <c r="Q87" s="67"/>
      <c r="R87" s="77">
        <f>VLOOKUP(B$7,DDT_Prop,4,FALSE)*e_Endo430+VLOOKUP(B$7,DDT_Prop,5,FALSE)*s_Endo430+VLOOKUP(B$7,DDT_Prop,6,FALSE)*a_Endo430+VLOOKUP(B$7,DDT_Prop,7,FALSE)*b_Endo430+VLOOKUP(B$7,DDT_Prop,8,FALSE)*v_Endo430+c_Endo430</f>
        <v>6.7972259999999984</v>
      </c>
      <c r="S87" s="132"/>
      <c r="T87" s="52">
        <f>K87/1000/G$7/O87*1000000000</f>
        <v>326.4379735223481</v>
      </c>
      <c r="U87" s="303">
        <v>170</v>
      </c>
    </row>
    <row r="88" spans="1:21" x14ac:dyDescent="0.25">
      <c r="A88" s="51" t="s">
        <v>591</v>
      </c>
      <c r="B88" s="41" t="s">
        <v>50</v>
      </c>
      <c r="K88" s="122">
        <v>102</v>
      </c>
      <c r="L88" s="117" t="s">
        <v>585</v>
      </c>
      <c r="M88" s="123">
        <v>0.65100000000000002</v>
      </c>
      <c r="N88" s="26"/>
      <c r="O88" s="50">
        <f>1-EXP(Q82*10^R$8*R$2*$H$8*T$2*T/L^2/($G$8^2)/U$2/10^$F$8/S82*1000000)*ERFC(SQRT(Q82*10^R$8*R$2*T$2*$H$8*T/U$2/10^$F$8/S82*1000000)/L/$G$8)</f>
        <v>0.33289574269671152</v>
      </c>
      <c r="P88" s="51"/>
      <c r="Q88" s="67"/>
      <c r="R88" s="77">
        <f>VLOOKUP(B$8,DDT_Prop,4,FALSE)*e_Endo430+VLOOKUP(B$8,DDT_Prop,5,FALSE)*s_Endo430+VLOOKUP(B$8,DDT_Prop,6,FALSE)*a_Endo430+VLOOKUP(B$8,DDT_Prop,7,FALSE)*b_Endo430+VLOOKUP(B$8,DDT_Prop,8,FALSE)*v_Endo430+c_Endo430</f>
        <v>6.3145719999999983</v>
      </c>
      <c r="S88" s="132"/>
      <c r="T88" s="52">
        <f>K88/1000/$G$8/O88*1000000000</f>
        <v>402.78444632386379</v>
      </c>
      <c r="U88" s="303">
        <v>190</v>
      </c>
    </row>
    <row r="89" spans="1:21" x14ac:dyDescent="0.25">
      <c r="A89" s="51" t="s">
        <v>592</v>
      </c>
      <c r="B89" s="41" t="s">
        <v>51</v>
      </c>
      <c r="K89" s="122">
        <v>2.62</v>
      </c>
      <c r="L89" s="117" t="s">
        <v>620</v>
      </c>
      <c r="M89" s="123">
        <v>1.27</v>
      </c>
      <c r="N89" s="26"/>
      <c r="O89" s="50">
        <f>1-EXP(Q82*10^R$9*R$2*$H$9*T$2*T/L^2/($G$9^2)/U$2/10^$F$9/S82*1000000)*ERFC(SQRT(Q82*10^R$9*R$2*T$2*$H$9*T/U$2/10^$F$9/S82*1000000)/L/$G$9)</f>
        <v>0.34398895387935191</v>
      </c>
      <c r="P89" s="51"/>
      <c r="Q89" s="67"/>
      <c r="R89" s="77">
        <f>VLOOKUP(B$9,DDT_Prop,4,FALSE)*e_Endo430+VLOOKUP(B$9,DDT_Prop,5,FALSE)*s_Endo430+VLOOKUP(B$9,DDT_Prop,6,FALSE)*a_Endo430+VLOOKUP(B$9,DDT_Prop,7,FALSE)*b_Endo430+VLOOKUP(B$9,DDT_Prop,8,FALSE)*v_Endo430+c_Endo430</f>
        <v>7.1261799999999997</v>
      </c>
      <c r="S89" s="132"/>
      <c r="T89" s="52">
        <f>K89/1000/$G$9/O89*1000000000</f>
        <v>10.48435463777512</v>
      </c>
      <c r="U89" s="303">
        <v>5.0999999999999996</v>
      </c>
    </row>
    <row r="90" spans="1:21" x14ac:dyDescent="0.25">
      <c r="A90" s="51" t="s">
        <v>0</v>
      </c>
      <c r="B90" s="41">
        <v>14</v>
      </c>
      <c r="K90" s="122">
        <v>41.8</v>
      </c>
      <c r="L90" s="117" t="s">
        <v>585</v>
      </c>
      <c r="M90" s="123">
        <v>1.26</v>
      </c>
      <c r="N90" s="26"/>
      <c r="O90" s="50">
        <f>1-EXP(Q82*10^R$10*R$2*$H$10*T$2*T/L^2/($G$10^2)/U$2/10^$F$10/S82*1000000)*ERFC(SQRT(Q82*10^R$10*R$2*T$2*$H$10*T/U$2/10^$F$10/S82*1000000)/L/$G$10)</f>
        <v>0.46893477718454546</v>
      </c>
      <c r="P90" s="51"/>
      <c r="Q90" s="67"/>
      <c r="R90" s="77">
        <f>VLOOKUP(B$10,DDT_Prop,4,FALSE)*e_Endo430+VLOOKUP(B$10,DDT_Prop,5,FALSE)*s_Endo430+VLOOKUP(B$10,DDT_Prop,6,FALSE)*a_Endo430+VLOOKUP(B$10,DDT_Prop,7,FALSE)*b_Endo430+VLOOKUP(B$10,DDT_Prop,8,FALSE)*v_Endo430+c_Endo430</f>
        <v>7.1849119999999989</v>
      </c>
      <c r="S90" s="132"/>
      <c r="T90" s="52">
        <f>K90/1000/$G$10/O90*1000000000</f>
        <v>223.30716591114654</v>
      </c>
      <c r="U90" s="303">
        <v>150</v>
      </c>
    </row>
    <row r="91" spans="1:21" x14ac:dyDescent="0.25">
      <c r="A91" s="51" t="s">
        <v>1</v>
      </c>
      <c r="B91" s="41">
        <v>36</v>
      </c>
      <c r="K91" s="122">
        <v>421</v>
      </c>
      <c r="L91" s="117" t="s">
        <v>585</v>
      </c>
      <c r="M91" s="123">
        <v>5.18</v>
      </c>
      <c r="N91" s="53">
        <f>K91/$J$11</f>
        <v>0.31262376237623762</v>
      </c>
      <c r="O91" s="302">
        <f>EXP(Q82*10^E$11*$R$2*$H$11*$T$2*T/L^2/($G$11^2)/$U$2/10^$F$11/S82*1000000)*ERFC(SQRT(Q82*10^E$11*$R$2*$T$2*$H$11*T/$U$2/10^$F$11/S82*1000000)/L/$G$11)</f>
        <v>0.45854374661656944</v>
      </c>
      <c r="P91" s="50">
        <f>(O91-N91)^2</f>
        <v>2.1292641800698685E-2</v>
      </c>
      <c r="Q91" s="26"/>
      <c r="R91" s="26"/>
      <c r="S91" s="26"/>
      <c r="T91" s="26"/>
      <c r="U91" s="34"/>
    </row>
    <row r="92" spans="1:21" x14ac:dyDescent="0.25">
      <c r="A92" s="51" t="s">
        <v>2</v>
      </c>
      <c r="B92" s="41">
        <v>78</v>
      </c>
      <c r="K92" s="122">
        <v>453</v>
      </c>
      <c r="L92" s="117" t="s">
        <v>585</v>
      </c>
      <c r="M92" s="123">
        <v>5.15</v>
      </c>
      <c r="N92" s="53">
        <f>K92/$J$12</f>
        <v>0.29607843137254902</v>
      </c>
      <c r="O92" s="50">
        <f>EXP(Q82*10^E$12*$R$2*$H$12*$T$2*T/L^2/($G$12^2)/$U$2/10^$F$12/S82*1000000)*ERFC(SQRT(Q82*10^E$12*$R$2*$T$2*$H$12*T/$U$2/10^$F$12/S82*1000000)/L/$G$12)</f>
        <v>0.49470550694040694</v>
      </c>
      <c r="P92" s="50">
        <f t="shared" ref="P92:P100" si="48">(O92-N92)^2</f>
        <v>3.9452715148639537E-2</v>
      </c>
      <c r="Q92" s="26"/>
      <c r="R92" s="26"/>
      <c r="S92" s="26"/>
      <c r="T92" s="26"/>
      <c r="U92" s="34"/>
    </row>
    <row r="93" spans="1:21" x14ac:dyDescent="0.25">
      <c r="A93" s="51" t="s">
        <v>3</v>
      </c>
      <c r="B93" s="41">
        <v>121</v>
      </c>
      <c r="K93" s="122">
        <v>208</v>
      </c>
      <c r="L93" s="117" t="s">
        <v>585</v>
      </c>
      <c r="M93" s="123">
        <v>3.33</v>
      </c>
      <c r="N93" s="53">
        <f>K93/$J$13</f>
        <v>0.30247212796897721</v>
      </c>
      <c r="O93" s="50">
        <f>EXP(Q82*10^$E$13*$R$2*$H$13*$T$2*T/L^2/($G$13^2)/$U$2/10^$F$13/S82*1000000)*ERFC(SQRT(Q82*10^E$13*$R$2*$T$2*$H$13*T/U$2/10^$F$13/S$2*1000000)/L/$G$13)</f>
        <v>0.55062707311301307</v>
      </c>
      <c r="P93" s="50">
        <f t="shared" si="48"/>
        <v>6.1580876799439445E-2</v>
      </c>
      <c r="Q93" s="26"/>
      <c r="R93" s="26"/>
      <c r="S93" s="26"/>
      <c r="T93" s="26"/>
      <c r="U93" s="34"/>
    </row>
    <row r="94" spans="1:21" x14ac:dyDescent="0.25">
      <c r="A94" s="51" t="s">
        <v>4</v>
      </c>
      <c r="B94" s="41">
        <v>104</v>
      </c>
      <c r="K94" s="122">
        <v>231</v>
      </c>
      <c r="L94" s="117" t="s">
        <v>586</v>
      </c>
      <c r="M94" s="123">
        <v>4.0999999999999996</v>
      </c>
      <c r="N94" s="53">
        <f>K94/$J$14</f>
        <v>0.32083333333333336</v>
      </c>
      <c r="O94" s="50">
        <f>EXP(Q82*10^E$14*$R$2*$H$14*$T$2*T/L^2/($G$14^2)/$U82/10^$F$14/S82*1000000)*ERFC(SQRT(Q82*10^E$14*$R$2*$T$2*$H$14*T/U$2/10^$F$14/S82*1000000)/L/$G$14)</f>
        <v>0.60128879949735836</v>
      </c>
      <c r="P94" s="50">
        <f t="shared" si="48"/>
        <v>7.8655268501280573E-2</v>
      </c>
      <c r="Q94" s="26"/>
      <c r="R94" s="26"/>
      <c r="S94" s="26"/>
      <c r="T94" s="26"/>
      <c r="U94" s="34"/>
    </row>
    <row r="95" spans="1:21" x14ac:dyDescent="0.25">
      <c r="A95" s="51" t="s">
        <v>5</v>
      </c>
      <c r="B95" s="41">
        <v>142</v>
      </c>
      <c r="K95" s="122">
        <v>376</v>
      </c>
      <c r="L95" s="117" t="s">
        <v>585</v>
      </c>
      <c r="M95" s="123">
        <v>3.47</v>
      </c>
      <c r="N95" s="53">
        <f>K95/$J$15</f>
        <v>0.23114754098360654</v>
      </c>
      <c r="O95" s="50">
        <f>EXP(Q82*10^E$15*$R$2*$H$15*$T$2*T/L^2/($G$15^2)/$U$2/10^$F$15/S82*1000000)*ERFC(SQRT(Q82*10^E$15*$R$2*$T$2*$H$15*T/U$2/10^$F$15/S82*1000000)/L/$G$15)</f>
        <v>0.42169550964053515</v>
      </c>
      <c r="P95" s="50">
        <f t="shared" si="48"/>
        <v>3.6308528359281847E-2</v>
      </c>
      <c r="Q95" s="26"/>
      <c r="R95" s="26"/>
      <c r="S95" s="26"/>
      <c r="T95" s="26"/>
      <c r="U95" s="34"/>
    </row>
    <row r="96" spans="1:21" x14ac:dyDescent="0.25">
      <c r="A96" s="51" t="s">
        <v>6</v>
      </c>
      <c r="B96" s="41">
        <v>155</v>
      </c>
      <c r="K96" s="122">
        <v>1070</v>
      </c>
      <c r="L96" s="117" t="s">
        <v>586</v>
      </c>
      <c r="M96" s="123">
        <v>2.2200000000000002</v>
      </c>
      <c r="N96" s="53">
        <f>K96/$J$16</f>
        <v>0.28182616330114135</v>
      </c>
      <c r="O96" s="50">
        <f>EXP(Q82*10^E$16*$R$2*$H$16*$T$2*T/L^2/($G$16^2)/$U$2/10^$F$16/S82*1000000)*ERFC(SQRT(Q82*10^E$16*$R$2*$T$2*$H$16*T/U$2/10^$F$16/S82*1000000)/L/$G$16)</f>
        <v>0.51709977863922396</v>
      </c>
      <c r="P96" s="50">
        <f t="shared" si="48"/>
        <v>5.5353674074252061E-2</v>
      </c>
      <c r="Q96" s="26"/>
      <c r="R96" s="26"/>
      <c r="S96" s="26"/>
      <c r="T96" s="26"/>
      <c r="U96" s="34"/>
    </row>
    <row r="97" spans="1:21" x14ac:dyDescent="0.25">
      <c r="A97" s="51" t="s">
        <v>7</v>
      </c>
      <c r="B97" s="41">
        <v>192</v>
      </c>
      <c r="K97" s="122">
        <v>166</v>
      </c>
      <c r="L97" s="117" t="s">
        <v>585</v>
      </c>
      <c r="M97" s="123">
        <v>3.07</v>
      </c>
      <c r="N97" s="53">
        <f>K97/$J$17</f>
        <v>0.29802513464991021</v>
      </c>
      <c r="O97" s="50">
        <f>EXP(Q82*10^E$17*$R$2*$H$17*$T$2*T/L^2/($G$17^2)/$U$2/10^$F$17/S82*1000000)*ERFC(SQRT(Q82*10^E$17*$R$2*$T$2*$H$17*T/U$2/10^$F$17/S82*1000000)/L/$G$17)</f>
        <v>0.56635939034343685</v>
      </c>
      <c r="P97" s="50">
        <f t="shared" si="48"/>
        <v>7.2003272778598942E-2</v>
      </c>
      <c r="Q97" s="26"/>
      <c r="R97" s="26"/>
      <c r="S97" s="26"/>
      <c r="T97" s="26"/>
      <c r="U97" s="34"/>
    </row>
    <row r="98" spans="1:21" x14ac:dyDescent="0.25">
      <c r="A98" s="51" t="s">
        <v>8</v>
      </c>
      <c r="B98" s="41">
        <v>184</v>
      </c>
      <c r="K98" s="122">
        <v>302</v>
      </c>
      <c r="L98" s="117" t="s">
        <v>586</v>
      </c>
      <c r="M98" s="123">
        <v>2.25</v>
      </c>
      <c r="N98" s="53">
        <f>K98/$J$18</f>
        <v>0.39477124183006534</v>
      </c>
      <c r="O98" s="50">
        <f>EXP(Q82*10^E$18*$R$2*$H$18*$T$2*T/L^2/($G$18^2)/$U$2/10^$F$18/S82*1000000)*ERFC(SQRT(Q82*10^E$18*$R$2*$T$2*$H$18*T/U$2/10^$F$18/S82*1000000)/L/$G$18)</f>
        <v>0.70366888642320224</v>
      </c>
      <c r="P98" s="50">
        <f t="shared" si="48"/>
        <v>9.5417754835187912E-2</v>
      </c>
      <c r="Q98" s="26"/>
      <c r="R98" s="26"/>
      <c r="S98" s="26"/>
      <c r="T98" s="26"/>
      <c r="U98" s="34"/>
    </row>
    <row r="99" spans="1:21" x14ac:dyDescent="0.25">
      <c r="A99" s="59" t="s">
        <v>9</v>
      </c>
      <c r="B99" s="109">
        <v>204</v>
      </c>
      <c r="K99" s="122">
        <v>242</v>
      </c>
      <c r="L99" s="117" t="s">
        <v>585</v>
      </c>
      <c r="M99" s="123">
        <v>1.7</v>
      </c>
      <c r="N99" s="53">
        <f>K99/$J$19</f>
        <v>0.34100516674495068</v>
      </c>
      <c r="O99" s="50">
        <f>EXP(Q82*10^E$19*$R$2*$H$19*$T$2*T/L^2/($G$19^2)/$U$2/10^$F$19/S82*1000000)*ERFC(SQRT(Q82*10^E$19*$R$2*$T$2*$H$19*T/U$2/10^$F$19/S82*1000000)/L/$G$19)</f>
        <v>0.61250716044321663</v>
      </c>
      <c r="P99" s="50">
        <f t="shared" si="48"/>
        <v>7.3713332582133237E-2</v>
      </c>
      <c r="Q99" s="26"/>
      <c r="R99" s="26"/>
      <c r="S99" s="26"/>
      <c r="T99" s="26"/>
      <c r="U99" s="34"/>
    </row>
    <row r="100" spans="1:21" x14ac:dyDescent="0.25">
      <c r="K100" s="124">
        <v>451</v>
      </c>
      <c r="L100" s="118" t="s">
        <v>585</v>
      </c>
      <c r="M100" s="125">
        <v>2.44</v>
      </c>
      <c r="N100" s="54">
        <f>K100/$J$20</f>
        <v>0.38005617977528089</v>
      </c>
      <c r="O100" s="55">
        <f>EXP(Q82*10^E$20*$R$2*$H$20*$T$2*T/L^2/($G$20^2)/$U$2/10^$F$20/S82*1000000)*ERFC(SQRT(Q82*10^E$20*$R$2*$T$2*$H$20*T/U$2/10^$F$20/S82*1000000)/L/$G$20)</f>
        <v>0.69461088822481776</v>
      </c>
      <c r="P100" s="55">
        <f t="shared" si="48"/>
        <v>9.8944664607773139E-2</v>
      </c>
      <c r="Q100" s="27"/>
      <c r="R100" s="27"/>
      <c r="S100" s="27"/>
      <c r="T100" s="27"/>
      <c r="U100" s="35"/>
    </row>
    <row r="101" spans="1:21" ht="18" x14ac:dyDescent="0.3">
      <c r="K101" s="31"/>
      <c r="L101" s="32"/>
      <c r="M101" s="32"/>
      <c r="N101" s="296" t="s">
        <v>708</v>
      </c>
      <c r="O101" s="47"/>
      <c r="P101" s="47"/>
      <c r="Q101" s="297" t="s">
        <v>710</v>
      </c>
      <c r="R101" s="298" t="s">
        <v>711</v>
      </c>
      <c r="S101" s="290" t="s">
        <v>716</v>
      </c>
      <c r="T101" s="298" t="s">
        <v>677</v>
      </c>
      <c r="U101" s="299" t="s">
        <v>654</v>
      </c>
    </row>
    <row r="102" spans="1:21" x14ac:dyDescent="0.25">
      <c r="A102" s="337" t="s">
        <v>587</v>
      </c>
      <c r="B102" s="338" t="s">
        <v>65</v>
      </c>
      <c r="K102" s="339" t="s">
        <v>854</v>
      </c>
      <c r="L102" s="339"/>
      <c r="M102" s="339"/>
      <c r="N102" s="52">
        <v>920</v>
      </c>
      <c r="O102" s="51" t="s">
        <v>709</v>
      </c>
      <c r="P102" s="51" t="s">
        <v>668</v>
      </c>
      <c r="Q102" s="51">
        <f>N102/1000000</f>
        <v>9.2000000000000003E-4</v>
      </c>
      <c r="R102" s="51">
        <f>VLOOKUP(P102,Sed_Prop,6,FALSE)</f>
        <v>2</v>
      </c>
      <c r="S102" s="132">
        <f>IF(Q102*100&lt;1.2,DOC_avg,IF(Q102*100&gt;=1.2,(Q102*100)^2*DOC_F1+(Q102*100)*DOC_F2+DOC_F3))</f>
        <v>8.4666666666666668</v>
      </c>
      <c r="T102" s="51">
        <f>VLOOKUP(P102,Sed_Prop,4,FALSE)</f>
        <v>0.375</v>
      </c>
      <c r="U102" s="300">
        <f>VLOOKUP(P102,Sed_Prop,5,FALSE)</f>
        <v>1.9509375000000002E-2</v>
      </c>
    </row>
    <row r="103" spans="1:21" ht="25.5" x14ac:dyDescent="0.25">
      <c r="A103" s="337"/>
      <c r="B103" s="338"/>
      <c r="K103" s="251" t="s">
        <v>581</v>
      </c>
      <c r="L103" s="339" t="s">
        <v>582</v>
      </c>
      <c r="M103" s="252" t="s">
        <v>583</v>
      </c>
      <c r="N103" s="324" t="s">
        <v>599</v>
      </c>
      <c r="O103" s="335" t="s">
        <v>610</v>
      </c>
      <c r="P103" s="335" t="s">
        <v>852</v>
      </c>
      <c r="Q103" s="335"/>
      <c r="R103" s="335" t="s">
        <v>856</v>
      </c>
      <c r="S103" s="229"/>
      <c r="T103" s="229" t="s">
        <v>644</v>
      </c>
      <c r="U103" s="126" t="s">
        <v>701</v>
      </c>
    </row>
    <row r="104" spans="1:21" x14ac:dyDescent="0.25">
      <c r="A104" s="25" t="s">
        <v>31</v>
      </c>
      <c r="B104" s="41" t="s">
        <v>31</v>
      </c>
      <c r="K104" s="253" t="s">
        <v>584</v>
      </c>
      <c r="L104" s="339"/>
      <c r="M104" s="254" t="s">
        <v>584</v>
      </c>
      <c r="N104" s="325"/>
      <c r="O104" s="336"/>
      <c r="P104" s="336"/>
      <c r="Q104" s="336"/>
      <c r="R104" s="336"/>
      <c r="S104" s="230"/>
      <c r="T104" s="88" t="s">
        <v>611</v>
      </c>
      <c r="U104" s="89" t="s">
        <v>611</v>
      </c>
    </row>
    <row r="105" spans="1:21" x14ac:dyDescent="0.25">
      <c r="A105" s="51" t="s">
        <v>588</v>
      </c>
      <c r="B105" s="41" t="s">
        <v>32</v>
      </c>
      <c r="K105" s="1">
        <v>117</v>
      </c>
      <c r="L105" s="1" t="s">
        <v>585</v>
      </c>
      <c r="M105" s="224">
        <v>0.67800000000000005</v>
      </c>
      <c r="N105" s="26"/>
      <c r="O105" s="50">
        <f>1-EXP(Q102*10^R$5*R$2*$H$5*T$2*T/L^2/($G$5^2)/U$2/10^$F$5/S102*1000000)*ERFC(SQRT(Q102*10^R$5*R$2*T$2*$H$5*T/U$2/10^$F$5/S102*1000000)/L/$G$5)</f>
        <v>0.89896302887402191</v>
      </c>
      <c r="P105" s="51"/>
      <c r="Q105" s="67"/>
      <c r="R105" s="77">
        <f>VLOOKUP(B$5,DDT_Prop,4,FALSE)*e_Endo430+VLOOKUP(B$5,DDT_Prop,5,FALSE)*s_Endo430+VLOOKUP(B$5,DDT_Prop,6,FALSE)*a_Endo430+VLOOKUP(B$5,DDT_Prop,7,FALSE)*b_Endo430+VLOOKUP(B$5,DDT_Prop,8,FALSE)*v_Endo430+c_Endo430</f>
        <v>6.6444559999999999</v>
      </c>
      <c r="S105" s="132"/>
      <c r="T105" s="52">
        <f>K105/1000/G$5/O105*1000000000</f>
        <v>2205.2353935076026</v>
      </c>
      <c r="U105" s="303">
        <v>3100</v>
      </c>
    </row>
    <row r="106" spans="1:21" x14ac:dyDescent="0.25">
      <c r="A106" s="51" t="s">
        <v>589</v>
      </c>
      <c r="B106" s="41" t="s">
        <v>29</v>
      </c>
      <c r="K106" s="1">
        <v>275</v>
      </c>
      <c r="L106" s="1" t="s">
        <v>585</v>
      </c>
      <c r="M106" s="224">
        <v>0.88300000000000001</v>
      </c>
      <c r="N106" s="26"/>
      <c r="O106" s="50">
        <f>1-EXP(Q102*10^R$6*R$2*$H$6*T$2*T/L^2/($G$6^2)/U$2/10^$F$6/S102*1000000)*ERFC(SQRT(Q102*10^R$6*R$2*T$2*$H$6*T/U$2/10^$F$6/S102*1000000)/L/$G$6)</f>
        <v>0.85963126333929318</v>
      </c>
      <c r="P106" s="51"/>
      <c r="Q106" s="67"/>
      <c r="R106" s="77">
        <f>VLOOKUP(B$6,DDT_Prop,4,FALSE)*e_Endo430+VLOOKUP(B$6,DDT_Prop,5,FALSE)*s_Endo430+VLOOKUP(B$6,DDT_Prop,6,FALSE)*a_Endo430+VLOOKUP(B$6,DDT_Prop,7,FALSE)*b_Endo430+VLOOKUP(B$6,DDT_Prop,8,FALSE)*v_Endo430+c_Endo430</f>
        <v>6.6861379999999997</v>
      </c>
      <c r="S106" s="132"/>
      <c r="T106" s="52">
        <f>K106/1000/G$6/O106*1000000000</f>
        <v>4613.3552752303285</v>
      </c>
      <c r="U106" s="303">
        <v>6400</v>
      </c>
    </row>
    <row r="107" spans="1:21" x14ac:dyDescent="0.25">
      <c r="A107" s="51" t="s">
        <v>590</v>
      </c>
      <c r="B107" s="41" t="s">
        <v>30</v>
      </c>
      <c r="K107" s="1">
        <v>302</v>
      </c>
      <c r="L107" s="1" t="s">
        <v>585</v>
      </c>
      <c r="M107" s="224">
        <v>0.504</v>
      </c>
      <c r="N107" s="26"/>
      <c r="O107" s="50">
        <f>1-EXP(Q102*10^R$7*R$2*$H$7*T$2*T/L^2/($G$7^2)/U$2/10^$F$7/S102*1000000)*ERFC(SQRT(Q102*10^R$7*R$2*T$2*$H$7*T/U$2/10^$F$7/S102*1000000)/L/$G$7)</f>
        <v>0.36283831293696112</v>
      </c>
      <c r="P107" s="51"/>
      <c r="Q107" s="67"/>
      <c r="R107" s="77">
        <f>VLOOKUP(B$7,DDT_Prop,4,FALSE)*e_Endo430+VLOOKUP(B$7,DDT_Prop,5,FALSE)*s_Endo430+VLOOKUP(B$7,DDT_Prop,6,FALSE)*a_Endo430+VLOOKUP(B$7,DDT_Prop,7,FALSE)*b_Endo430+VLOOKUP(B$7,DDT_Prop,8,FALSE)*v_Endo430+c_Endo430</f>
        <v>6.7972259999999984</v>
      </c>
      <c r="S107" s="132"/>
      <c r="T107" s="52">
        <f>K107/1000/G$7/O107*1000000000</f>
        <v>1227.6792987625076</v>
      </c>
      <c r="U107" s="303">
        <v>970</v>
      </c>
    </row>
    <row r="108" spans="1:21" x14ac:dyDescent="0.25">
      <c r="A108" s="51" t="s">
        <v>591</v>
      </c>
      <c r="B108" s="41" t="s">
        <v>50</v>
      </c>
      <c r="K108" s="1">
        <v>418</v>
      </c>
      <c r="L108" s="1" t="s">
        <v>585</v>
      </c>
      <c r="M108" s="224">
        <v>0.60799999999999998</v>
      </c>
      <c r="N108" s="26"/>
      <c r="O108" s="50">
        <f>1-EXP(Q102*10^R$8*R$2*$H$8*T$2*T/L^2/($G$8^2)/U$2/10^$F$8/S102*1000000)*ERFC(SQRT(Q102*10^R$8*R$2*T$2*$H$8*T/U$2/10^$F$8/S102*1000000)/L/$G$8)</f>
        <v>0.33160953495400713</v>
      </c>
      <c r="P108" s="51"/>
      <c r="Q108" s="67"/>
      <c r="R108" s="77">
        <f>VLOOKUP(B$8,DDT_Prop,4,FALSE)*e_Endo430+VLOOKUP(B$8,DDT_Prop,5,FALSE)*s_Endo430+VLOOKUP(B$8,DDT_Prop,6,FALSE)*a_Endo430+VLOOKUP(B$8,DDT_Prop,7,FALSE)*b_Endo430+VLOOKUP(B$8,DDT_Prop,8,FALSE)*v_Endo430+c_Endo430</f>
        <v>6.3145719999999983</v>
      </c>
      <c r="S108" s="132"/>
      <c r="T108" s="52">
        <f>K108/1000/$G$8/O108*1000000000</f>
        <v>1657.028710675778</v>
      </c>
      <c r="U108" s="303">
        <v>1200</v>
      </c>
    </row>
    <row r="109" spans="1:21" x14ac:dyDescent="0.25">
      <c r="A109" s="51" t="s">
        <v>592</v>
      </c>
      <c r="B109" s="41" t="s">
        <v>51</v>
      </c>
      <c r="K109" s="1">
        <v>4.17</v>
      </c>
      <c r="L109" s="1" t="s">
        <v>620</v>
      </c>
      <c r="M109" s="224">
        <v>1.39</v>
      </c>
      <c r="N109" s="26"/>
      <c r="O109" s="50">
        <f>1-EXP(Q102*10^R$9*R$2*$H$9*T$2*T/L^2/($G$9^2)/U$2/10^$F$9/S102*1000000)*ERFC(SQRT(Q102*10^R$9*R$2*T$2*$H$9*T/U$2/10^$F$9/S102*1000000)/L/$G$9)</f>
        <v>0.34267904321216458</v>
      </c>
      <c r="P109" s="51"/>
      <c r="Q109" s="67"/>
      <c r="R109" s="77">
        <f>VLOOKUP(B$9,DDT_Prop,4,FALSE)*e_Endo430+VLOOKUP(B$9,DDT_Prop,5,FALSE)*s_Endo430+VLOOKUP(B$9,DDT_Prop,6,FALSE)*a_Endo430+VLOOKUP(B$9,DDT_Prop,7,FALSE)*b_Endo430+VLOOKUP(B$9,DDT_Prop,8,FALSE)*v_Endo430+c_Endo430</f>
        <v>7.1261799999999997</v>
      </c>
      <c r="S109" s="132"/>
      <c r="T109" s="52">
        <f>K109/1000/$G$9/O109*1000000000</f>
        <v>16.750717623075552</v>
      </c>
      <c r="U109" s="303">
        <v>13</v>
      </c>
    </row>
    <row r="110" spans="1:21" x14ac:dyDescent="0.25">
      <c r="A110" s="51" t="s">
        <v>0</v>
      </c>
      <c r="B110" s="41">
        <v>14</v>
      </c>
      <c r="K110" s="1">
        <v>24.7</v>
      </c>
      <c r="L110" s="1" t="s">
        <v>585</v>
      </c>
      <c r="M110" s="224">
        <v>1.41</v>
      </c>
      <c r="N110" s="26"/>
      <c r="O110" s="50">
        <f>1-EXP(Q102*10^R$10*R$2*$H$10*T$2*T/L^2/($G$10^2)/U$2/10^$F$10/S102*1000000)*ERFC(SQRT(Q102*10^R$10*R$2*T$2*$H$10*T/U$2/10^$F$10/S102*1000000)/L/$G$10)</f>
        <v>0.46745468292806125</v>
      </c>
      <c r="P110" s="51"/>
      <c r="Q110" s="67"/>
      <c r="R110" s="77">
        <f>VLOOKUP(B$10,DDT_Prop,4,FALSE)*e_Endo430+VLOOKUP(B$10,DDT_Prop,5,FALSE)*s_Endo430+VLOOKUP(B$10,DDT_Prop,6,FALSE)*a_Endo430+VLOOKUP(B$10,DDT_Prop,7,FALSE)*b_Endo430+VLOOKUP(B$10,DDT_Prop,8,FALSE)*v_Endo430+c_Endo430</f>
        <v>7.1849119999999989</v>
      </c>
      <c r="S110" s="132"/>
      <c r="T110" s="52">
        <f>K110/1000/$G$10/O110*1000000000</f>
        <v>132.37203897559655</v>
      </c>
      <c r="U110" s="303">
        <v>120</v>
      </c>
    </row>
    <row r="111" spans="1:21" x14ac:dyDescent="0.25">
      <c r="A111" s="51" t="s">
        <v>1</v>
      </c>
      <c r="B111" s="41">
        <v>36</v>
      </c>
      <c r="K111" s="1">
        <v>667</v>
      </c>
      <c r="L111" s="1" t="s">
        <v>585</v>
      </c>
      <c r="M111" s="224">
        <v>2.39</v>
      </c>
      <c r="N111" s="53">
        <f>K111/$J$11</f>
        <v>0.49529702970297029</v>
      </c>
      <c r="O111" s="302">
        <f>EXP(Q102*10^E$11*$R$2*$H$11*$T$2*T/L^2/($G$11^2)/$U$2/10^$F$11/S102*1000000)*ERFC(SQRT(Q102*10^E$11*$R$2*$T$2*$H$11*T/$U$2/10^$F$11/S102*1000000)/L/$G$11)</f>
        <v>0.46003628133077645</v>
      </c>
      <c r="P111" s="50">
        <f>(O111-N111)^2</f>
        <v>1.2433203757671704E-3</v>
      </c>
      <c r="Q111" s="26"/>
      <c r="R111" s="26"/>
      <c r="S111" s="26"/>
      <c r="T111" s="26"/>
      <c r="U111" s="34"/>
    </row>
    <row r="112" spans="1:21" x14ac:dyDescent="0.25">
      <c r="A112" s="51" t="s">
        <v>2</v>
      </c>
      <c r="B112" s="41">
        <v>78</v>
      </c>
      <c r="K112" s="1">
        <v>785</v>
      </c>
      <c r="L112" s="1" t="s">
        <v>585</v>
      </c>
      <c r="M112" s="224">
        <v>3.54</v>
      </c>
      <c r="N112" s="53">
        <f>K112/$J$12</f>
        <v>0.51307189542483655</v>
      </c>
      <c r="O112" s="50">
        <f>EXP(Q102*10^E$12*$R$2*$H$12*$T$2*T/L^2/($G$12^2)/$U$2/10^$F$12/S102*1000000)*ERFC(SQRT(Q102*10^E$12*$R$2*$T$2*$H$12*T/$U$2/10^$F$12/S102*1000000)/L/$G$12)</f>
        <v>0.49620010948623994</v>
      </c>
      <c r="P112" s="50">
        <f t="shared" ref="P112:P120" si="49">(O112-N112)^2</f>
        <v>2.8465716075782655E-4</v>
      </c>
      <c r="Q112" s="26"/>
      <c r="R112" s="26"/>
      <c r="S112" s="26"/>
      <c r="T112" s="26"/>
      <c r="U112" s="34"/>
    </row>
    <row r="113" spans="1:21" x14ac:dyDescent="0.25">
      <c r="A113" s="51" t="s">
        <v>3</v>
      </c>
      <c r="B113" s="41">
        <v>121</v>
      </c>
      <c r="K113" s="1">
        <v>386</v>
      </c>
      <c r="L113" s="1" t="s">
        <v>585</v>
      </c>
      <c r="M113" s="224">
        <v>7.76</v>
      </c>
      <c r="N113" s="53">
        <f>K113/$J$13</f>
        <v>0.56131846825012122</v>
      </c>
      <c r="O113" s="50">
        <f>EXP(Q102*10^$E$13*$R$2*$H$13*$T$2*T/L^2/($G$13^2)/$U$2/10^$F$13/S102*1000000)*ERFC(SQRT(Q102*10^E$13*$R$2*$T$2*$H$13*T/U$2/10^$F$13/S$2*1000000)/L/$G$13)</f>
        <v>0.55209264376764822</v>
      </c>
      <c r="P113" s="50">
        <f t="shared" si="49"/>
        <v>8.5115837381398191E-5</v>
      </c>
      <c r="Q113" s="26"/>
      <c r="R113" s="26"/>
      <c r="S113" s="26"/>
      <c r="T113" s="26"/>
      <c r="U113" s="34"/>
    </row>
    <row r="114" spans="1:21" x14ac:dyDescent="0.25">
      <c r="A114" s="51" t="s">
        <v>4</v>
      </c>
      <c r="B114" s="41">
        <v>104</v>
      </c>
      <c r="K114" s="1">
        <v>479</v>
      </c>
      <c r="L114" s="1" t="s">
        <v>586</v>
      </c>
      <c r="M114" s="224">
        <v>2.34</v>
      </c>
      <c r="N114" s="53">
        <f>K114/$J$14</f>
        <v>0.66527777777777775</v>
      </c>
      <c r="O114" s="50">
        <f>EXP(Q102*10^E$14*$R$2*$H$14*$T$2*T/L^2/($G$14^2)/$U102/10^$F$14/S102*1000000)*ERFC(SQRT(Q102*10^E$14*$R$2*$T$2*$H$14*T/U$2/10^$F$14/S102*1000000)/L/$G$14)</f>
        <v>0.60269552626048317</v>
      </c>
      <c r="P114" s="50">
        <f t="shared" si="49"/>
        <v>3.9165382049739187E-3</v>
      </c>
      <c r="Q114" s="26"/>
      <c r="R114" s="26"/>
      <c r="S114" s="26"/>
      <c r="T114" s="26"/>
      <c r="U114" s="34"/>
    </row>
    <row r="115" spans="1:21" x14ac:dyDescent="0.25">
      <c r="A115" s="51" t="s">
        <v>5</v>
      </c>
      <c r="B115" s="41">
        <v>142</v>
      </c>
      <c r="K115" s="1">
        <v>719</v>
      </c>
      <c r="L115" s="1" t="s">
        <v>585</v>
      </c>
      <c r="M115" s="224">
        <v>1.98</v>
      </c>
      <c r="N115" s="53">
        <f>K115/$J$15</f>
        <v>0.44200819672131147</v>
      </c>
      <c r="O115" s="50">
        <f>EXP(Q102*10^E$15*$R$2*$H$15*$T$2*T/L^2/($G$15^2)/$U$2/10^$F$15/S102*1000000)*ERFC(SQRT(Q102*10^E$15*$R$2*$T$2*$H$15*T/U$2/10^$F$15/S102*1000000)/L/$G$15)</f>
        <v>0.42316854769275597</v>
      </c>
      <c r="P115" s="50">
        <f t="shared" si="49"/>
        <v>3.5493237551915236E-4</v>
      </c>
      <c r="Q115" s="26"/>
      <c r="R115" s="26"/>
      <c r="S115" s="26"/>
      <c r="T115" s="26"/>
      <c r="U115" s="34"/>
    </row>
    <row r="116" spans="1:21" x14ac:dyDescent="0.25">
      <c r="A116" s="51" t="s">
        <v>6</v>
      </c>
      <c r="B116" s="41">
        <v>155</v>
      </c>
      <c r="K116" s="1">
        <v>2130</v>
      </c>
      <c r="L116" s="1" t="s">
        <v>586</v>
      </c>
      <c r="M116" s="224">
        <v>2.58</v>
      </c>
      <c r="N116" s="53">
        <f>K116/$J$16</f>
        <v>0.56101843722563649</v>
      </c>
      <c r="O116" s="50">
        <f>EXP(Q102*10^E$16*$R$2*$H$16*$T$2*T/L^2/($G$16^2)/$U$2/10^$F$16/S102*1000000)*ERFC(SQRT(Q102*10^E$16*$R$2*$T$2*$H$16*T/U$2/10^$F$16/S102*1000000)/L/$G$16)</f>
        <v>0.51858738313369124</v>
      </c>
      <c r="P116" s="50">
        <f t="shared" si="49"/>
        <v>1.8003943513535839E-3</v>
      </c>
      <c r="Q116" s="26"/>
      <c r="R116" s="26"/>
      <c r="S116" s="26"/>
      <c r="T116" s="26"/>
      <c r="U116" s="34"/>
    </row>
    <row r="117" spans="1:21" x14ac:dyDescent="0.25">
      <c r="A117" s="51" t="s">
        <v>7</v>
      </c>
      <c r="B117" s="41">
        <v>192</v>
      </c>
      <c r="K117" s="1">
        <v>352</v>
      </c>
      <c r="L117" s="1" t="s">
        <v>585</v>
      </c>
      <c r="M117" s="224">
        <v>1.2</v>
      </c>
      <c r="N117" s="53">
        <f>K117/$J$17</f>
        <v>0.63195691202872528</v>
      </c>
      <c r="O117" s="50">
        <f>EXP(Q102*10^E$17*$R$2*$H$17*$T$2*T/L^2/($G$17^2)/$U$2/10^$F$17/S102*1000000)*ERFC(SQRT(Q102*10^E$17*$R$2*$T$2*$H$17*T/U$2/10^$F$17/S102*1000000)/L/$G$17)</f>
        <v>0.56780993559336368</v>
      </c>
      <c r="P117" s="50">
        <f t="shared" si="49"/>
        <v>4.1148345857988369E-3</v>
      </c>
      <c r="Q117" s="26"/>
      <c r="R117" s="26"/>
      <c r="S117" s="26"/>
      <c r="T117" s="26"/>
      <c r="U117" s="34"/>
    </row>
    <row r="118" spans="1:21" x14ac:dyDescent="0.25">
      <c r="A118" s="51" t="s">
        <v>8</v>
      </c>
      <c r="B118" s="41">
        <v>184</v>
      </c>
      <c r="K118" s="1">
        <v>612</v>
      </c>
      <c r="L118" s="1" t="s">
        <v>586</v>
      </c>
      <c r="M118" s="224">
        <v>2.19</v>
      </c>
      <c r="N118" s="53">
        <f>K118/$J$18</f>
        <v>0.8</v>
      </c>
      <c r="O118" s="50">
        <f>EXP(Q102*10^E$18*$R$2*$H$18*$T$2*T/L^2/($G$18^2)/$U$2/10^$F$18/S102*1000000)*ERFC(SQRT(Q102*10^E$18*$R$2*$T$2*$H$18*T/U$2/10^$F$18/S102*1000000)/L/$G$18)</f>
        <v>0.70486750871423998</v>
      </c>
      <c r="P118" s="50">
        <f t="shared" si="49"/>
        <v>9.050190898235215E-3</v>
      </c>
      <c r="Q118" s="26"/>
      <c r="R118" s="26"/>
      <c r="S118" s="26"/>
      <c r="T118" s="26"/>
      <c r="U118" s="34"/>
    </row>
    <row r="119" spans="1:21" x14ac:dyDescent="0.25">
      <c r="A119" s="59" t="s">
        <v>9</v>
      </c>
      <c r="B119" s="109">
        <v>204</v>
      </c>
      <c r="K119" s="1">
        <v>484</v>
      </c>
      <c r="L119" s="1" t="s">
        <v>585</v>
      </c>
      <c r="M119" s="224">
        <v>1.66</v>
      </c>
      <c r="N119" s="53">
        <f>K119/$J$19</f>
        <v>0.68201033348990137</v>
      </c>
      <c r="O119" s="50">
        <f>EXP(Q102*10^E$19*$R$2*$H$19*$T$2*T/L^2/($G$19^2)/$U$2/10^$F$19/S102*1000000)*ERFC(SQRT(Q102*10^E$19*$R$2*$T$2*$H$19*T/U$2/10^$F$19/S102*1000000)/L/$G$19)</f>
        <v>0.61389680579552564</v>
      </c>
      <c r="P119" s="50">
        <f t="shared" si="49"/>
        <v>4.6394526549724899E-3</v>
      </c>
      <c r="Q119" s="26"/>
      <c r="R119" s="26"/>
      <c r="S119" s="26"/>
      <c r="T119" s="26"/>
      <c r="U119" s="34"/>
    </row>
    <row r="120" spans="1:21" x14ac:dyDescent="0.25">
      <c r="K120" s="1">
        <v>933</v>
      </c>
      <c r="L120" s="1" t="s">
        <v>585</v>
      </c>
      <c r="M120" s="224">
        <v>1.7</v>
      </c>
      <c r="N120" s="54">
        <f>K120/$J$20</f>
        <v>0.78623595505617971</v>
      </c>
      <c r="O120" s="55">
        <f>EXP(Q102*10^E$20*$R$2*$H$20*$T$2*T/L^2/($G$20^2)/$U$2/10^$F$20/S102*1000000)*ERFC(SQRT(Q102*10^E$20*$R$2*$T$2*$H$20*T/U$2/10^$F$20/S102*1000000)/L/$G$20)</f>
        <v>0.69583254558105601</v>
      </c>
      <c r="P120" s="55">
        <f t="shared" si="49"/>
        <v>8.1727764447268869E-3</v>
      </c>
      <c r="Q120" s="27"/>
      <c r="R120" s="27"/>
      <c r="S120" s="27"/>
      <c r="T120" s="27"/>
      <c r="U120" s="35"/>
    </row>
    <row r="121" spans="1:21" ht="18" x14ac:dyDescent="0.3">
      <c r="K121" s="31"/>
      <c r="L121" s="32"/>
      <c r="M121" s="32"/>
      <c r="N121" s="296" t="s">
        <v>708</v>
      </c>
      <c r="O121" s="47"/>
      <c r="P121" s="47"/>
      <c r="Q121" s="297" t="s">
        <v>710</v>
      </c>
      <c r="R121" s="298" t="s">
        <v>711</v>
      </c>
      <c r="S121" s="290" t="s">
        <v>716</v>
      </c>
      <c r="T121" s="298" t="s">
        <v>677</v>
      </c>
      <c r="U121" s="299" t="s">
        <v>654</v>
      </c>
    </row>
    <row r="122" spans="1:21" x14ac:dyDescent="0.25">
      <c r="A122" s="337" t="s">
        <v>587</v>
      </c>
      <c r="B122" s="338" t="s">
        <v>65</v>
      </c>
      <c r="K122" s="339" t="s">
        <v>855</v>
      </c>
      <c r="L122" s="339"/>
      <c r="M122" s="339"/>
      <c r="N122" s="52">
        <v>910</v>
      </c>
      <c r="O122" s="51" t="s">
        <v>709</v>
      </c>
      <c r="P122" s="51" t="s">
        <v>668</v>
      </c>
      <c r="Q122" s="51">
        <f>N122/1000000</f>
        <v>9.1E-4</v>
      </c>
      <c r="R122" s="51">
        <f>VLOOKUP(P122,Sed_Prop,6,FALSE)</f>
        <v>2</v>
      </c>
      <c r="S122" s="132">
        <f>IF(Q122*100&lt;1.2,DOC_avg,IF(Q122*100&gt;=1.2,(Q122*100)^2*DOC_F1+(Q122*100)*DOC_F2+DOC_F3))</f>
        <v>8.4666666666666668</v>
      </c>
      <c r="T122" s="51">
        <f>VLOOKUP(P122,Sed_Prop,4,FALSE)</f>
        <v>0.375</v>
      </c>
      <c r="U122" s="300">
        <f>VLOOKUP(P122,Sed_Prop,5,FALSE)</f>
        <v>1.9509375000000002E-2</v>
      </c>
    </row>
    <row r="123" spans="1:21" ht="25.5" x14ac:dyDescent="0.25">
      <c r="A123" s="337"/>
      <c r="B123" s="338"/>
      <c r="K123" s="251" t="s">
        <v>581</v>
      </c>
      <c r="L123" s="339" t="s">
        <v>582</v>
      </c>
      <c r="M123" s="252" t="s">
        <v>583</v>
      </c>
      <c r="N123" s="324" t="s">
        <v>599</v>
      </c>
      <c r="O123" s="335" t="s">
        <v>610</v>
      </c>
      <c r="P123" s="335" t="s">
        <v>852</v>
      </c>
      <c r="Q123" s="335"/>
      <c r="R123" s="335" t="s">
        <v>856</v>
      </c>
      <c r="S123" s="229"/>
      <c r="T123" s="229" t="s">
        <v>644</v>
      </c>
      <c r="U123" s="126" t="s">
        <v>701</v>
      </c>
    </row>
    <row r="124" spans="1:21" x14ac:dyDescent="0.25">
      <c r="A124" s="25" t="s">
        <v>31</v>
      </c>
      <c r="B124" s="41" t="s">
        <v>31</v>
      </c>
      <c r="K124" s="253" t="s">
        <v>584</v>
      </c>
      <c r="L124" s="339"/>
      <c r="M124" s="254" t="s">
        <v>584</v>
      </c>
      <c r="N124" s="325"/>
      <c r="O124" s="336"/>
      <c r="P124" s="336"/>
      <c r="Q124" s="336"/>
      <c r="R124" s="336"/>
      <c r="S124" s="230"/>
      <c r="T124" s="88" t="s">
        <v>611</v>
      </c>
      <c r="U124" s="89" t="s">
        <v>611</v>
      </c>
    </row>
    <row r="125" spans="1:21" x14ac:dyDescent="0.25">
      <c r="A125" s="51" t="s">
        <v>588</v>
      </c>
      <c r="B125" s="41" t="s">
        <v>32</v>
      </c>
      <c r="K125" s="1">
        <v>79.8</v>
      </c>
      <c r="L125" s="1" t="s">
        <v>585</v>
      </c>
      <c r="M125" s="224">
        <v>0.628</v>
      </c>
      <c r="N125" s="26"/>
      <c r="O125" s="50">
        <f>1-EXP(Q122*10^R$5*R$2*$H$5*T$2*T/L^2/($G$5^2)/U$2/10^$F$5/S122*1000000)*ERFC(SQRT(Q122*10^R$5*R$2*T$2*$H$5*T/U$2/10^$F$5/S122*1000000)/L/$G$5)</f>
        <v>0.89842650285528547</v>
      </c>
      <c r="P125" s="51"/>
      <c r="Q125" s="67"/>
      <c r="R125" s="77">
        <f>VLOOKUP(B$5,DDT_Prop,4,FALSE)*e_Endo430+VLOOKUP(B$5,DDT_Prop,5,FALSE)*s_Endo430+VLOOKUP(B$5,DDT_Prop,6,FALSE)*a_Endo430+VLOOKUP(B$5,DDT_Prop,7,FALSE)*b_Endo430+VLOOKUP(B$5,DDT_Prop,8,FALSE)*v_Endo430+c_Endo430</f>
        <v>6.6444559999999999</v>
      </c>
      <c r="S125" s="132"/>
      <c r="T125" s="52">
        <f>K125/1000/G$5/O125*1000000000</f>
        <v>1504.9818421877169</v>
      </c>
      <c r="U125" s="303">
        <v>2200</v>
      </c>
    </row>
    <row r="126" spans="1:21" x14ac:dyDescent="0.25">
      <c r="A126" s="51" t="s">
        <v>589</v>
      </c>
      <c r="B126" s="41" t="s">
        <v>29</v>
      </c>
      <c r="K126" s="1">
        <v>147</v>
      </c>
      <c r="L126" s="1" t="s">
        <v>585</v>
      </c>
      <c r="M126" s="224">
        <v>0.81899999999999995</v>
      </c>
      <c r="N126" s="26"/>
      <c r="O126" s="50">
        <f>1-EXP(Q122*10^R$6*R$2*$H$6*T$2*T/L^2/($G$6^2)/U$2/10^$F$6/S122*1000000)*ERFC(SQRT(Q122*10^R$6*R$2*T$2*$H$6*T/U$2/10^$F$6/S122*1000000)/L/$G$6)</f>
        <v>0.85890628249720213</v>
      </c>
      <c r="P126" s="51"/>
      <c r="Q126" s="67"/>
      <c r="R126" s="77">
        <f>VLOOKUP(B$6,DDT_Prop,4,FALSE)*e_Endo430+VLOOKUP(B$6,DDT_Prop,5,FALSE)*s_Endo430+VLOOKUP(B$6,DDT_Prop,6,FALSE)*a_Endo430+VLOOKUP(B$6,DDT_Prop,7,FALSE)*b_Endo430+VLOOKUP(B$6,DDT_Prop,8,FALSE)*v_Endo430+c_Endo430</f>
        <v>6.6861379999999997</v>
      </c>
      <c r="S126" s="132"/>
      <c r="T126" s="52">
        <f>K126/1000/G$6/O126*1000000000</f>
        <v>2468.1296207481159</v>
      </c>
      <c r="U126" s="303">
        <v>3500</v>
      </c>
    </row>
    <row r="127" spans="1:21" x14ac:dyDescent="0.25">
      <c r="A127" s="51" t="s">
        <v>590</v>
      </c>
      <c r="B127" s="41" t="s">
        <v>30</v>
      </c>
      <c r="K127" s="1">
        <v>205</v>
      </c>
      <c r="L127" s="1" t="s">
        <v>585</v>
      </c>
      <c r="M127" s="224">
        <v>0.58199999999999996</v>
      </c>
      <c r="N127" s="26"/>
      <c r="O127" s="50">
        <f>1-EXP(Q122*10^R$7*R$2*$H$7*T$2*T/L^2/($G$7^2)/U$2/10^$F$7/S122*1000000)*ERFC(SQRT(Q122*10^R$7*R$2*T$2*$H$7*T/U$2/10^$F$7/S122*1000000)/L/$G$7)</f>
        <v>0.36147653828557935</v>
      </c>
      <c r="P127" s="51"/>
      <c r="Q127" s="67"/>
      <c r="R127" s="77">
        <f>VLOOKUP(B$7,DDT_Prop,4,FALSE)*e_Endo430+VLOOKUP(B$7,DDT_Prop,5,FALSE)*s_Endo430+VLOOKUP(B$7,DDT_Prop,6,FALSE)*a_Endo430+VLOOKUP(B$7,DDT_Prop,7,FALSE)*b_Endo430+VLOOKUP(B$7,DDT_Prop,8,FALSE)*v_Endo430+c_Endo430</f>
        <v>6.7972259999999984</v>
      </c>
      <c r="S127" s="132"/>
      <c r="T127" s="52">
        <f>K127/1000/G$7/O127*1000000000</f>
        <v>836.49793905229694</v>
      </c>
      <c r="U127" s="303">
        <v>670</v>
      </c>
    </row>
    <row r="128" spans="1:21" x14ac:dyDescent="0.25">
      <c r="A128" s="51" t="s">
        <v>591</v>
      </c>
      <c r="B128" s="41" t="s">
        <v>50</v>
      </c>
      <c r="K128" s="1">
        <v>295</v>
      </c>
      <c r="L128" s="1" t="s">
        <v>585</v>
      </c>
      <c r="M128" s="224">
        <v>0.68200000000000005</v>
      </c>
      <c r="N128" s="26"/>
      <c r="O128" s="50">
        <f>1-EXP(Q122*10^R$8*R$2*$H$8*T$2*T/L^2/($G$8^2)/U$2/10^$F$8/S122*1000000)*ERFC(SQRT(Q122*10^R$8*R$2*T$2*$H$8*T/U$2/10^$F$8/S122*1000000)/L/$G$8)</f>
        <v>0.33031215222251986</v>
      </c>
      <c r="P128" s="51"/>
      <c r="Q128" s="67"/>
      <c r="R128" s="77">
        <f>VLOOKUP(B$8,DDT_Prop,4,FALSE)*e_Endo430+VLOOKUP(B$8,DDT_Prop,5,FALSE)*s_Endo430+VLOOKUP(B$8,DDT_Prop,6,FALSE)*a_Endo430+VLOOKUP(B$8,DDT_Prop,7,FALSE)*b_Endo430+VLOOKUP(B$8,DDT_Prop,8,FALSE)*v_Endo430+c_Endo430</f>
        <v>6.3145719999999983</v>
      </c>
      <c r="S128" s="132"/>
      <c r="T128" s="52">
        <f>K128/1000/$G$8/O128*1000000000</f>
        <v>1174.0273799336051</v>
      </c>
      <c r="U128" s="303">
        <v>880</v>
      </c>
    </row>
    <row r="129" spans="1:21" x14ac:dyDescent="0.25">
      <c r="A129" s="51" t="s">
        <v>592</v>
      </c>
      <c r="B129" s="41" t="s">
        <v>51</v>
      </c>
      <c r="K129" s="1">
        <v>4.0999999999999996</v>
      </c>
      <c r="L129" s="1" t="s">
        <v>823</v>
      </c>
      <c r="M129" s="224">
        <v>1.38</v>
      </c>
      <c r="N129" s="26"/>
      <c r="O129" s="50">
        <f>1-EXP(Q122*10^R$9*R$2*$H$9*T$2*T/L^2/($G$9^2)/U$2/10^$F$9/S122*1000000)*ERFC(SQRT(Q122*10^R$9*R$2*T$2*$H$9*T/U$2/10^$F$9/S122*1000000)/L/$G$9)</f>
        <v>0.34135758968579144</v>
      </c>
      <c r="P129" s="51"/>
      <c r="Q129" s="67"/>
      <c r="R129" s="77">
        <f>VLOOKUP(B$9,DDT_Prop,4,FALSE)*e_Endo430+VLOOKUP(B$9,DDT_Prop,5,FALSE)*s_Endo430+VLOOKUP(B$9,DDT_Prop,6,FALSE)*a_Endo430+VLOOKUP(B$9,DDT_Prop,7,FALSE)*b_Endo430+VLOOKUP(B$9,DDT_Prop,8,FALSE)*v_Endo430+c_Endo430</f>
        <v>7.1261799999999997</v>
      </c>
      <c r="S129" s="132"/>
      <c r="T129" s="52">
        <f>K129/1000/$G$9/O129*1000000000</f>
        <v>16.53328688197265</v>
      </c>
      <c r="U129" s="303">
        <v>13</v>
      </c>
    </row>
    <row r="130" spans="1:21" x14ac:dyDescent="0.25">
      <c r="A130" s="51" t="s">
        <v>0</v>
      </c>
      <c r="B130" s="41">
        <v>14</v>
      </c>
      <c r="K130" s="1">
        <v>5.0199999999999996</v>
      </c>
      <c r="L130" s="1" t="s">
        <v>620</v>
      </c>
      <c r="M130" s="224">
        <v>1.57</v>
      </c>
      <c r="N130" s="26"/>
      <c r="O130" s="50">
        <f>1-EXP(Q122*10^R$10*R$2*$H$10*T$2*T/L^2/($G$10^2)/U$2/10^$F$10/S122*1000000)*ERFC(SQRT(Q122*10^R$10*R$2*T$2*$H$10*T/U$2/10^$F$10/S122*1000000)/L/$G$10)</f>
        <v>0.46595936414530159</v>
      </c>
      <c r="P130" s="51"/>
      <c r="Q130" s="67"/>
      <c r="R130" s="77">
        <f>VLOOKUP(B$10,DDT_Prop,4,FALSE)*e_Endo430+VLOOKUP(B$10,DDT_Prop,5,FALSE)*s_Endo430+VLOOKUP(B$10,DDT_Prop,6,FALSE)*a_Endo430+VLOOKUP(B$10,DDT_Prop,7,FALSE)*b_Endo430+VLOOKUP(B$10,DDT_Prop,8,FALSE)*v_Endo430+c_Endo430</f>
        <v>7.1849119999999989</v>
      </c>
      <c r="S130" s="132"/>
      <c r="T130" s="52">
        <f>K130/1000/$G$10/O130*1000000000</f>
        <v>26.989478516496334</v>
      </c>
      <c r="U130" s="303">
        <v>26</v>
      </c>
    </row>
    <row r="131" spans="1:21" x14ac:dyDescent="0.25">
      <c r="A131" s="51" t="s">
        <v>1</v>
      </c>
      <c r="B131" s="41">
        <v>36</v>
      </c>
      <c r="K131" s="1">
        <v>684</v>
      </c>
      <c r="L131" s="1" t="s">
        <v>585</v>
      </c>
      <c r="M131" s="224">
        <v>1.8</v>
      </c>
      <c r="N131" s="53">
        <f>K131/$J$11</f>
        <v>0.50792079207920793</v>
      </c>
      <c r="O131" s="302">
        <f>EXP(Q122*10^E$11*$R$2*$H$11*$T$2*T/L^2/($G$11^2)/$U$2/10^$F$11/S122*1000000)*ERFC(SQRT(Q122*10^E$11*$R$2*$T$2*$H$11*T/$U$2/10^$F$11/S122*1000000)/L/$G$11)</f>
        <v>0.46154555171503803</v>
      </c>
      <c r="P131" s="50">
        <f>(O131-N131)^2</f>
        <v>2.1506629188345334E-3</v>
      </c>
      <c r="Q131" s="26"/>
      <c r="R131" s="26"/>
      <c r="S131" s="26"/>
      <c r="T131" s="26"/>
      <c r="U131" s="34"/>
    </row>
    <row r="132" spans="1:21" x14ac:dyDescent="0.25">
      <c r="A132" s="51" t="s">
        <v>2</v>
      </c>
      <c r="B132" s="41">
        <v>78</v>
      </c>
      <c r="K132" s="1">
        <v>805</v>
      </c>
      <c r="L132" s="1" t="s">
        <v>585</v>
      </c>
      <c r="M132" s="224">
        <v>2.33</v>
      </c>
      <c r="N132" s="53">
        <f>K132/$J$12</f>
        <v>0.52614379084967322</v>
      </c>
      <c r="O132" s="50">
        <f>EXP(Q122*10^E$12*$R$2*$H$12*$T$2*T/L^2/($G$12^2)/$U$2/10^$F$12/S122*1000000)*ERFC(SQRT(Q122*10^E$12*$R$2*$T$2*$H$12*T/$U$2/10^$F$12/S122*1000000)/L/$G$12)</f>
        <v>0.49771077049147516</v>
      </c>
      <c r="P132" s="50">
        <f t="shared" ref="P132:P140" si="50">(O132-N132)^2</f>
        <v>8.084366466897052E-4</v>
      </c>
      <c r="Q132" s="26"/>
      <c r="R132" s="26"/>
      <c r="S132" s="26"/>
      <c r="T132" s="26"/>
      <c r="U132" s="34"/>
    </row>
    <row r="133" spans="1:21" x14ac:dyDescent="0.25">
      <c r="A133" s="51" t="s">
        <v>3</v>
      </c>
      <c r="B133" s="41">
        <v>121</v>
      </c>
      <c r="K133" s="1">
        <v>412</v>
      </c>
      <c r="L133" s="1" t="s">
        <v>585</v>
      </c>
      <c r="M133" s="224">
        <v>5.87</v>
      </c>
      <c r="N133" s="53">
        <f>K133/$J$13</f>
        <v>0.5991274842462434</v>
      </c>
      <c r="O133" s="50">
        <f>EXP(Q122*10^$E$13*$R$2*$H$13*$T$2*T/L^2/($G$13^2)/$U$2/10^$F$13/S122*1000000)*ERFC(SQRT(Q122*10^E$13*$R$2*$T$2*$H$13*T/U$2/10^$F$13/S$2*1000000)/L/$G$13)</f>
        <v>0.55357293637090355</v>
      </c>
      <c r="P133" s="50">
        <f t="shared" si="50"/>
        <v>2.075216832126631E-3</v>
      </c>
      <c r="Q133" s="26"/>
      <c r="R133" s="26"/>
      <c r="S133" s="26"/>
      <c r="T133" s="26"/>
      <c r="U133" s="34"/>
    </row>
    <row r="134" spans="1:21" x14ac:dyDescent="0.25">
      <c r="A134" s="51" t="s">
        <v>4</v>
      </c>
      <c r="B134" s="41">
        <v>104</v>
      </c>
      <c r="K134" s="1">
        <v>476</v>
      </c>
      <c r="L134" s="1" t="s">
        <v>586</v>
      </c>
      <c r="M134" s="224">
        <v>2.5299999999999998</v>
      </c>
      <c r="N134" s="53">
        <f>K134/$J$14</f>
        <v>0.66111111111111109</v>
      </c>
      <c r="O134" s="50">
        <f>EXP(Q122*10^E$14*$R$2*$H$14*$T$2*T/L^2/($G$14^2)/$U122/10^$F$14/S122*1000000)*ERFC(SQRT(Q122*10^E$14*$R$2*$T$2*$H$14*T/U$2/10^$F$14/S122*1000000)/L/$G$14)</f>
        <v>0.60411553085422121</v>
      </c>
      <c r="P134" s="50">
        <f t="shared" si="50"/>
        <v>3.2484961688195764E-3</v>
      </c>
      <c r="Q134" s="26"/>
      <c r="R134" s="26"/>
      <c r="S134" s="26"/>
      <c r="T134" s="26"/>
      <c r="U134" s="34"/>
    </row>
    <row r="135" spans="1:21" x14ac:dyDescent="0.25">
      <c r="A135" s="51" t="s">
        <v>5</v>
      </c>
      <c r="B135" s="41">
        <v>142</v>
      </c>
      <c r="K135" s="1">
        <v>680</v>
      </c>
      <c r="L135" s="1" t="s">
        <v>585</v>
      </c>
      <c r="M135" s="224">
        <v>2.14</v>
      </c>
      <c r="N135" s="53">
        <f>K135/$J$15</f>
        <v>0.41803278688524587</v>
      </c>
      <c r="O135" s="50">
        <f>EXP(Q122*10^E$15*$R$2*$H$15*$T$2*T/L^2/($G$15^2)/$U$2/10^$F$15/S122*1000000)*ERFC(SQRT(Q122*10^E$15*$R$2*$T$2*$H$15*T/U$2/10^$F$15/S122*1000000)/L/$G$15)</f>
        <v>0.42465882509891478</v>
      </c>
      <c r="P135" s="50">
        <f t="shared" si="50"/>
        <v>4.3904382409000765E-5</v>
      </c>
      <c r="Q135" s="26"/>
      <c r="R135" s="26"/>
      <c r="S135" s="26"/>
      <c r="T135" s="26"/>
      <c r="U135" s="34"/>
    </row>
    <row r="136" spans="1:21" x14ac:dyDescent="0.25">
      <c r="A136" s="51" t="s">
        <v>6</v>
      </c>
      <c r="B136" s="41">
        <v>155</v>
      </c>
      <c r="K136" s="1">
        <v>2260</v>
      </c>
      <c r="L136" s="1" t="s">
        <v>586</v>
      </c>
      <c r="M136" s="224">
        <v>3.61</v>
      </c>
      <c r="N136" s="53">
        <f>K136/$J$16</f>
        <v>0.59525899912203695</v>
      </c>
      <c r="O136" s="50">
        <f>EXP(Q122*10^E$16*$R$2*$H$16*$T$2*T/L^2/($G$16^2)/$U$2/10^$F$16/S122*1000000)*ERFC(SQRT(Q122*10^E$16*$R$2*$T$2*$H$16*T/U$2/10^$F$16/S122*1000000)/L/$G$16)</f>
        <v>0.52009054883296779</v>
      </c>
      <c r="P136" s="50">
        <f t="shared" si="50"/>
        <v>5.6502959188602609E-3</v>
      </c>
      <c r="Q136" s="26"/>
      <c r="R136" s="26"/>
      <c r="S136" s="26"/>
      <c r="T136" s="26"/>
      <c r="U136" s="34"/>
    </row>
    <row r="137" spans="1:21" x14ac:dyDescent="0.25">
      <c r="A137" s="51" t="s">
        <v>7</v>
      </c>
      <c r="B137" s="41">
        <v>192</v>
      </c>
      <c r="K137" s="1">
        <v>360</v>
      </c>
      <c r="L137" s="1" t="s">
        <v>585</v>
      </c>
      <c r="M137" s="224">
        <v>1.49</v>
      </c>
      <c r="N137" s="53">
        <f>K137/$J$17</f>
        <v>0.64631956912028721</v>
      </c>
      <c r="O137" s="50">
        <f>EXP(Q122*10^E$17*$R$2*$H$17*$T$2*T/L^2/($G$17^2)/$U$2/10^$F$17/S122*1000000)*ERFC(SQRT(Q122*10^E$17*$R$2*$T$2*$H$17*T/U$2/10^$F$17/S122*1000000)/L/$G$17)</f>
        <v>0.56927477475747701</v>
      </c>
      <c r="P137" s="50">
        <f t="shared" si="50"/>
        <v>5.9359003384077099E-3</v>
      </c>
      <c r="Q137" s="26"/>
      <c r="R137" s="26"/>
      <c r="S137" s="26"/>
      <c r="T137" s="26"/>
      <c r="U137" s="34"/>
    </row>
    <row r="138" spans="1:21" x14ac:dyDescent="0.25">
      <c r="A138" s="51" t="s">
        <v>8</v>
      </c>
      <c r="B138" s="41">
        <v>184</v>
      </c>
      <c r="K138" s="1">
        <v>618</v>
      </c>
      <c r="L138" s="1" t="s">
        <v>586</v>
      </c>
      <c r="M138" s="224">
        <v>1.65</v>
      </c>
      <c r="N138" s="53">
        <f>K138/$J$18</f>
        <v>0.80784313725490198</v>
      </c>
      <c r="O138" s="50">
        <f>EXP(Q122*10^E$18*$R$2*$H$18*$T$2*T/L^2/($G$18^2)/$U$2/10^$F$18/S122*1000000)*ERFC(SQRT(Q122*10^E$18*$R$2*$T$2*$H$18*T/U$2/10^$F$18/S122*1000000)/L/$G$18)</f>
        <v>0.70607606620426067</v>
      </c>
      <c r="P138" s="50">
        <f t="shared" si="50"/>
        <v>1.0356536750226276E-2</v>
      </c>
      <c r="Q138" s="26"/>
      <c r="R138" s="26"/>
      <c r="S138" s="26"/>
      <c r="T138" s="26"/>
      <c r="U138" s="34"/>
    </row>
    <row r="139" spans="1:21" x14ac:dyDescent="0.25">
      <c r="A139" s="59" t="s">
        <v>9</v>
      </c>
      <c r="B139" s="109">
        <v>204</v>
      </c>
      <c r="K139" s="1">
        <v>484</v>
      </c>
      <c r="L139" s="1" t="s">
        <v>585</v>
      </c>
      <c r="M139" s="224">
        <v>1.25</v>
      </c>
      <c r="N139" s="53">
        <f>K139/$J$19</f>
        <v>0.68201033348990137</v>
      </c>
      <c r="O139" s="50">
        <f>EXP(Q122*10^E$19*$R$2*$H$19*$T$2*T/L^2/($G$19^2)/$U$2/10^$F$19/S122*1000000)*ERFC(SQRT(Q122*10^E$19*$R$2*$T$2*$H$19*T/U$2/10^$F$19/S122*1000000)/L/$G$19)</f>
        <v>0.61529938590375277</v>
      </c>
      <c r="P139" s="50">
        <f t="shared" si="50"/>
        <v>4.4503505278418653E-3</v>
      </c>
      <c r="Q139" s="26"/>
      <c r="R139" s="26"/>
      <c r="S139" s="26"/>
      <c r="T139" s="26"/>
      <c r="U139" s="34"/>
    </row>
    <row r="140" spans="1:21" x14ac:dyDescent="0.25">
      <c r="K140" s="1">
        <v>930</v>
      </c>
      <c r="L140" s="1" t="s">
        <v>585</v>
      </c>
      <c r="M140" s="224">
        <v>1.93</v>
      </c>
      <c r="N140" s="54">
        <f>K140/$J$20</f>
        <v>0.7837078651685393</v>
      </c>
      <c r="O140" s="55">
        <f>EXP(Q122*10^E$20*$R$2*$H$20*$T$2*T/L^2/($G$20^2)/$U$2/10^$F$20/S122*1000000)*ERFC(SQRT(Q122*10^E$20*$R$2*$T$2*$H$20*T/U$2/10^$F$20/S122*1000000)/L/$G$20)</f>
        <v>0.69706444858754879</v>
      </c>
      <c r="P140" s="55">
        <f t="shared" si="50"/>
        <v>7.5070816368270604E-3</v>
      </c>
      <c r="Q140" s="27"/>
      <c r="R140" s="27"/>
      <c r="S140" s="27"/>
      <c r="T140" s="27"/>
      <c r="U140" s="35"/>
    </row>
    <row r="142" spans="1:21" x14ac:dyDescent="0.25">
      <c r="P142" s="132">
        <f>SUM(P5:P140)</f>
        <v>0.92684854297070807</v>
      </c>
    </row>
  </sheetData>
  <mergeCells count="95">
    <mergeCell ref="BX3:BX4"/>
    <mergeCell ref="BY3:BY4"/>
    <mergeCell ref="BZ3:CA4"/>
    <mergeCell ref="CB3:CB4"/>
    <mergeCell ref="BN3:BN4"/>
    <mergeCell ref="BO3:BO4"/>
    <mergeCell ref="BP3:BQ4"/>
    <mergeCell ref="BR3:BR4"/>
    <mergeCell ref="BU2:BW2"/>
    <mergeCell ref="BV3:BV4"/>
    <mergeCell ref="BF3:BG4"/>
    <mergeCell ref="BH3:BH4"/>
    <mergeCell ref="BK2:BM2"/>
    <mergeCell ref="BL3:BL4"/>
    <mergeCell ref="BE3:BE4"/>
    <mergeCell ref="AK3:AL4"/>
    <mergeCell ref="AM3:AM4"/>
    <mergeCell ref="AP2:AR2"/>
    <mergeCell ref="AQ3:AQ4"/>
    <mergeCell ref="AS3:AS4"/>
    <mergeCell ref="AT3:AT4"/>
    <mergeCell ref="AU3:AV4"/>
    <mergeCell ref="AW3:AW4"/>
    <mergeCell ref="BA2:BC2"/>
    <mergeCell ref="BB3:BB4"/>
    <mergeCell ref="BD3:BD4"/>
    <mergeCell ref="AI3:AI4"/>
    <mergeCell ref="AJ3:AJ4"/>
    <mergeCell ref="V2:X2"/>
    <mergeCell ref="W3:W4"/>
    <mergeCell ref="Y3:Y4"/>
    <mergeCell ref="Z3:Z4"/>
    <mergeCell ref="AA3:AB4"/>
    <mergeCell ref="AC3:AC4"/>
    <mergeCell ref="R3:R4"/>
    <mergeCell ref="K2:M2"/>
    <mergeCell ref="L3:L4"/>
    <mergeCell ref="AF2:AH2"/>
    <mergeCell ref="AG3:AG4"/>
    <mergeCell ref="P3:Q4"/>
    <mergeCell ref="N3:N4"/>
    <mergeCell ref="O3:O4"/>
    <mergeCell ref="A22:A23"/>
    <mergeCell ref="B22:B23"/>
    <mergeCell ref="A3:A4"/>
    <mergeCell ref="B3:B4"/>
    <mergeCell ref="C3:H3"/>
    <mergeCell ref="I3:I4"/>
    <mergeCell ref="J3:J4"/>
    <mergeCell ref="K42:M42"/>
    <mergeCell ref="L43:L44"/>
    <mergeCell ref="K62:M62"/>
    <mergeCell ref="L63:L64"/>
    <mergeCell ref="K22:M22"/>
    <mergeCell ref="L23:L24"/>
    <mergeCell ref="K82:M82"/>
    <mergeCell ref="L83:L84"/>
    <mergeCell ref="P63:Q64"/>
    <mergeCell ref="R63:R64"/>
    <mergeCell ref="N83:N84"/>
    <mergeCell ref="O83:O84"/>
    <mergeCell ref="P83:Q84"/>
    <mergeCell ref="R83:R84"/>
    <mergeCell ref="N63:N64"/>
    <mergeCell ref="O63:O64"/>
    <mergeCell ref="R23:R24"/>
    <mergeCell ref="N43:N44"/>
    <mergeCell ref="O43:O44"/>
    <mergeCell ref="P43:Q44"/>
    <mergeCell ref="R43:R44"/>
    <mergeCell ref="N23:N24"/>
    <mergeCell ref="O23:O24"/>
    <mergeCell ref="P23:Q24"/>
    <mergeCell ref="A42:A43"/>
    <mergeCell ref="B42:B43"/>
    <mergeCell ref="A62:A63"/>
    <mergeCell ref="B62:B63"/>
    <mergeCell ref="A82:A83"/>
    <mergeCell ref="B82:B83"/>
    <mergeCell ref="A102:A103"/>
    <mergeCell ref="B102:B103"/>
    <mergeCell ref="A122:A123"/>
    <mergeCell ref="B122:B123"/>
    <mergeCell ref="P103:Q104"/>
    <mergeCell ref="L123:L124"/>
    <mergeCell ref="N103:N104"/>
    <mergeCell ref="O103:O104"/>
    <mergeCell ref="K102:M102"/>
    <mergeCell ref="L103:L104"/>
    <mergeCell ref="K122:M122"/>
    <mergeCell ref="R103:R104"/>
    <mergeCell ref="N123:N124"/>
    <mergeCell ref="O123:O124"/>
    <mergeCell ref="P123:Q124"/>
    <mergeCell ref="R123:R1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B636-DECD-4CDF-94CA-8E32740F9B02}">
  <sheetPr>
    <tabColor rgb="FFF5FECA"/>
  </sheetPr>
  <dimension ref="A1:AQ220"/>
  <sheetViews>
    <sheetView zoomScale="110" zoomScaleNormal="110" workbookViewId="0">
      <selection activeCell="Z20" sqref="Z6:Z20"/>
    </sheetView>
  </sheetViews>
  <sheetFormatPr defaultRowHeight="15" x14ac:dyDescent="0.25"/>
  <cols>
    <col min="18" max="22" width="8.85546875" customWidth="1"/>
    <col min="23" max="23" width="10" customWidth="1"/>
    <col min="24" max="24" width="11.140625" customWidth="1"/>
    <col min="25" max="25" width="12.140625" customWidth="1"/>
    <col min="26" max="26" width="10.140625" customWidth="1"/>
    <col min="27" max="37" width="9" customWidth="1"/>
    <col min="39" max="43" width="8.85546875" customWidth="1"/>
  </cols>
  <sheetData>
    <row r="1" spans="1:43" x14ac:dyDescent="0.25">
      <c r="O1" s="350" t="s">
        <v>833</v>
      </c>
      <c r="P1" s="351"/>
      <c r="Q1" s="352"/>
      <c r="R1" s="141"/>
      <c r="S1" s="141"/>
      <c r="T1" s="141"/>
      <c r="U1" s="141"/>
      <c r="V1" s="226"/>
      <c r="AM1" s="141"/>
      <c r="AN1" s="141"/>
      <c r="AO1" s="141"/>
      <c r="AP1" s="141"/>
      <c r="AQ1" s="226"/>
    </row>
    <row r="2" spans="1:43" x14ac:dyDescent="0.25">
      <c r="O2" s="353"/>
      <c r="P2" s="354"/>
      <c r="Q2" s="355"/>
      <c r="R2" s="9"/>
      <c r="T2" s="9"/>
      <c r="U2" s="9"/>
      <c r="V2" s="9"/>
      <c r="AM2" s="9"/>
      <c r="AO2" s="9"/>
      <c r="AP2" s="9"/>
      <c r="AQ2" s="9"/>
    </row>
    <row r="3" spans="1:43" x14ac:dyDescent="0.25">
      <c r="A3" s="365" t="s">
        <v>593</v>
      </c>
      <c r="B3" s="365"/>
      <c r="C3" s="365"/>
      <c r="D3" s="365"/>
      <c r="E3" s="362" t="s">
        <v>831</v>
      </c>
      <c r="F3" s="363"/>
      <c r="G3" s="363"/>
      <c r="H3" s="363"/>
      <c r="I3" s="363"/>
      <c r="J3" s="363"/>
      <c r="K3" s="363"/>
      <c r="L3" s="363"/>
      <c r="M3" s="363"/>
      <c r="N3" s="364"/>
      <c r="O3" s="339" t="s">
        <v>814</v>
      </c>
      <c r="P3" s="339"/>
      <c r="Q3" s="339"/>
      <c r="R3" s="324" t="s">
        <v>834</v>
      </c>
      <c r="S3" s="335"/>
      <c r="T3" s="335"/>
      <c r="U3" s="335"/>
      <c r="V3" s="348"/>
      <c r="W3" s="323" t="s">
        <v>814</v>
      </c>
      <c r="X3" s="323"/>
      <c r="Y3" s="323"/>
    </row>
    <row r="4" spans="1:43" ht="14.45" customHeight="1" x14ac:dyDescent="0.25">
      <c r="A4" s="365" t="s">
        <v>587</v>
      </c>
      <c r="B4" s="367" t="s">
        <v>813</v>
      </c>
      <c r="C4" s="366" t="s">
        <v>803</v>
      </c>
      <c r="D4" s="366" t="s">
        <v>804</v>
      </c>
      <c r="E4" s="275"/>
      <c r="F4" s="358" t="s">
        <v>857</v>
      </c>
      <c r="G4" s="233"/>
      <c r="H4" s="233"/>
      <c r="I4" s="233"/>
      <c r="J4" s="233"/>
      <c r="K4" s="233"/>
      <c r="L4" s="233"/>
      <c r="M4" s="233"/>
      <c r="N4" s="356" t="s">
        <v>13</v>
      </c>
      <c r="O4" s="251" t="s">
        <v>581</v>
      </c>
      <c r="P4" s="339" t="s">
        <v>582</v>
      </c>
      <c r="Q4" s="252" t="s">
        <v>583</v>
      </c>
      <c r="R4" s="325"/>
      <c r="S4" s="336"/>
      <c r="T4" s="336"/>
      <c r="U4" s="336"/>
      <c r="V4" s="349"/>
      <c r="W4" s="324" t="s">
        <v>599</v>
      </c>
      <c r="X4" s="335" t="s">
        <v>610</v>
      </c>
      <c r="Y4" s="360" t="s">
        <v>832</v>
      </c>
    </row>
    <row r="5" spans="1:43" ht="63.6" customHeight="1" x14ac:dyDescent="0.25">
      <c r="A5" s="365"/>
      <c r="B5" s="368"/>
      <c r="C5" s="366"/>
      <c r="D5" s="366"/>
      <c r="E5" s="276" t="s">
        <v>836</v>
      </c>
      <c r="F5" s="359"/>
      <c r="G5" s="227" t="s">
        <v>699</v>
      </c>
      <c r="H5" s="88" t="s">
        <v>604</v>
      </c>
      <c r="I5" s="234" t="s">
        <v>79</v>
      </c>
      <c r="J5" s="234" t="s">
        <v>80</v>
      </c>
      <c r="K5" s="234" t="s">
        <v>81</v>
      </c>
      <c r="L5" s="234" t="s">
        <v>82</v>
      </c>
      <c r="M5" s="234" t="s">
        <v>83</v>
      </c>
      <c r="N5" s="357"/>
      <c r="O5" s="253" t="s">
        <v>584</v>
      </c>
      <c r="P5" s="339"/>
      <c r="Q5" s="254" t="s">
        <v>584</v>
      </c>
      <c r="R5" s="255" t="s">
        <v>815</v>
      </c>
      <c r="S5" s="256" t="s">
        <v>716</v>
      </c>
      <c r="T5" s="256" t="s">
        <v>711</v>
      </c>
      <c r="U5" s="256" t="s">
        <v>677</v>
      </c>
      <c r="V5" s="257" t="s">
        <v>654</v>
      </c>
      <c r="W5" s="325"/>
      <c r="X5" s="336"/>
      <c r="Y5" s="361"/>
      <c r="Z5" s="261" t="s">
        <v>835</v>
      </c>
      <c r="AA5" s="277" t="s">
        <v>843</v>
      </c>
      <c r="AB5" s="261" t="s">
        <v>842</v>
      </c>
      <c r="AC5" s="277" t="s">
        <v>843</v>
      </c>
      <c r="AD5" s="261" t="s">
        <v>844</v>
      </c>
      <c r="AE5" s="277" t="s">
        <v>843</v>
      </c>
      <c r="AF5" s="261" t="s">
        <v>845</v>
      </c>
      <c r="AG5" s="277" t="s">
        <v>843</v>
      </c>
      <c r="AH5" s="261" t="s">
        <v>847</v>
      </c>
      <c r="AI5" s="277" t="s">
        <v>843</v>
      </c>
      <c r="AJ5" s="261" t="s">
        <v>848</v>
      </c>
      <c r="AK5" s="277" t="s">
        <v>843</v>
      </c>
      <c r="AL5" s="278" t="s">
        <v>849</v>
      </c>
    </row>
    <row r="6" spans="1:43" x14ac:dyDescent="0.25">
      <c r="A6" s="42" t="s">
        <v>805</v>
      </c>
      <c r="B6" s="231" t="s">
        <v>31</v>
      </c>
      <c r="C6" s="221" t="s">
        <v>829</v>
      </c>
      <c r="D6" s="222" t="s">
        <v>830</v>
      </c>
      <c r="E6" s="235"/>
      <c r="F6" s="236">
        <f t="shared" ref="F6:F11" si="0">VLOOKUP($B6,DDT_Prop,13,FALSE)</f>
        <v>6.7480640000000012</v>
      </c>
      <c r="G6" s="63">
        <f t="shared" ref="G6:G20" si="1">VLOOKUP(B6,PRC,10,FALSE)</f>
        <v>59018.623536026826</v>
      </c>
      <c r="H6" s="245">
        <f t="shared" ref="H6:H20" si="2">VLOOKUP(B6,PRC,12,FALSE)</f>
        <v>0.385934623618432</v>
      </c>
      <c r="I6" s="120">
        <f t="shared" ref="I6:I11" si="3">VLOOKUP($B6,DDT_Prop,4,FALSE)</f>
        <v>1.8</v>
      </c>
      <c r="J6" s="120">
        <f t="shared" ref="J6:J11" si="4">VLOOKUP($B6,DDT_Prop,5,FALSE)</f>
        <v>1.73</v>
      </c>
      <c r="K6" s="120">
        <f t="shared" ref="K6:K11" si="5">VLOOKUP($B6,DDT_Prop,6,FALSE)</f>
        <v>0.1</v>
      </c>
      <c r="L6" s="120">
        <f t="shared" ref="L6:L11" si="6">VLOOKUP($B6,DDT_Prop,7,FALSE)</f>
        <v>0.26</v>
      </c>
      <c r="M6" s="246">
        <f t="shared" ref="M6:M11" si="7">VLOOKUP($B6,DDT_Prop,8,FALSE)</f>
        <v>2.0956000000000001</v>
      </c>
      <c r="N6" s="237" t="s">
        <v>829</v>
      </c>
      <c r="O6" s="1">
        <v>230</v>
      </c>
      <c r="P6" s="1" t="s">
        <v>585</v>
      </c>
      <c r="Q6" s="224">
        <v>1.1299999999999999</v>
      </c>
      <c r="R6" s="262"/>
      <c r="S6" s="263"/>
      <c r="T6" s="263"/>
      <c r="U6" s="263"/>
      <c r="V6" s="264"/>
      <c r="Z6" s="2">
        <f t="shared" ref="Z6:Z20" si="8">I6*e_Nguyen+J6*s_Nguyen+K6*a_Nguyen+L6*b_Nguyen+M6*v_Nguyen+c_Nguyen</f>
        <v>5.1525679999999996</v>
      </c>
      <c r="AL6">
        <f t="shared" ref="AL6:AL11" si="9">VLOOKUP(B6,DDT_Prop,2,FALSE)</f>
        <v>5.87</v>
      </c>
    </row>
    <row r="7" spans="1:43" x14ac:dyDescent="0.25">
      <c r="A7" s="42" t="s">
        <v>588</v>
      </c>
      <c r="B7" s="231" t="s">
        <v>32</v>
      </c>
      <c r="C7" s="221" t="s">
        <v>829</v>
      </c>
      <c r="D7" s="222" t="s">
        <v>830</v>
      </c>
      <c r="E7" s="238"/>
      <c r="F7" s="232">
        <f t="shared" si="0"/>
        <v>6.9480080000000006</v>
      </c>
      <c r="G7" s="67">
        <f t="shared" si="1"/>
        <v>69343.153997951944</v>
      </c>
      <c r="H7" s="247">
        <f t="shared" si="2"/>
        <v>0.385934623618432</v>
      </c>
      <c r="I7" s="117">
        <f t="shared" si="3"/>
        <v>1.6736</v>
      </c>
      <c r="J7" s="117">
        <f t="shared" si="4"/>
        <v>1.4444999999999999</v>
      </c>
      <c r="K7" s="117">
        <f t="shared" si="5"/>
        <v>8.7999999999999995E-2</v>
      </c>
      <c r="L7" s="117">
        <f t="shared" si="6"/>
        <v>0.22070000000000001</v>
      </c>
      <c r="M7" s="248">
        <f t="shared" si="7"/>
        <v>2.0956000000000001</v>
      </c>
      <c r="N7" s="239" t="s">
        <v>829</v>
      </c>
      <c r="O7" s="1">
        <v>477</v>
      </c>
      <c r="P7" s="1" t="s">
        <v>585</v>
      </c>
      <c r="Q7" s="224">
        <v>1.47</v>
      </c>
      <c r="R7" s="265"/>
      <c r="S7" s="225"/>
      <c r="T7" s="225"/>
      <c r="U7" s="225"/>
      <c r="V7" s="266"/>
      <c r="Z7" s="2">
        <f t="shared" si="8"/>
        <v>5.2951019999999991</v>
      </c>
      <c r="AL7">
        <f t="shared" si="9"/>
        <v>5.87</v>
      </c>
    </row>
    <row r="8" spans="1:43" x14ac:dyDescent="0.25">
      <c r="A8" s="42" t="s">
        <v>589</v>
      </c>
      <c r="B8" s="231" t="s">
        <v>29</v>
      </c>
      <c r="C8" s="221" t="s">
        <v>829</v>
      </c>
      <c r="D8" s="222" t="s">
        <v>830</v>
      </c>
      <c r="E8" s="238"/>
      <c r="F8" s="232">
        <f t="shared" si="0"/>
        <v>6.9662440000000005</v>
      </c>
      <c r="G8" s="67">
        <f t="shared" si="1"/>
        <v>677967.49341078789</v>
      </c>
      <c r="H8" s="247">
        <f t="shared" si="2"/>
        <v>0.41353639976675849</v>
      </c>
      <c r="I8" s="117">
        <f t="shared" si="3"/>
        <v>1.9</v>
      </c>
      <c r="J8" s="117">
        <f t="shared" si="4"/>
        <v>1.5</v>
      </c>
      <c r="K8" s="117">
        <f t="shared" si="5"/>
        <v>0</v>
      </c>
      <c r="L8" s="117">
        <f t="shared" si="6"/>
        <v>0.18</v>
      </c>
      <c r="M8" s="248">
        <f t="shared" si="7"/>
        <v>2.0526</v>
      </c>
      <c r="N8" s="239" t="s">
        <v>829</v>
      </c>
      <c r="O8" s="1">
        <v>283</v>
      </c>
      <c r="P8" s="1" t="s">
        <v>585</v>
      </c>
      <c r="Q8" s="224">
        <v>1.0900000000000001</v>
      </c>
      <c r="R8" s="265"/>
      <c r="S8" s="225"/>
      <c r="T8" s="225"/>
      <c r="U8" s="225"/>
      <c r="V8" s="266"/>
      <c r="Z8" s="2">
        <f t="shared" si="8"/>
        <v>5.4735279999999991</v>
      </c>
      <c r="AL8">
        <f t="shared" si="9"/>
        <v>5.87</v>
      </c>
    </row>
    <row r="9" spans="1:43" x14ac:dyDescent="0.25">
      <c r="A9" s="42" t="s">
        <v>590</v>
      </c>
      <c r="B9" s="231" t="s">
        <v>30</v>
      </c>
      <c r="C9" s="221" t="s">
        <v>829</v>
      </c>
      <c r="D9" s="222" t="s">
        <v>830</v>
      </c>
      <c r="E9" s="238"/>
      <c r="F9" s="232">
        <f t="shared" si="0"/>
        <v>6.4948830000000006</v>
      </c>
      <c r="G9" s="67">
        <f t="shared" si="1"/>
        <v>760710.19883052027</v>
      </c>
      <c r="H9" s="247">
        <f t="shared" si="2"/>
        <v>0.41353639976675849</v>
      </c>
      <c r="I9" s="117">
        <f t="shared" si="3"/>
        <v>1.8025</v>
      </c>
      <c r="J9" s="117">
        <f t="shared" si="4"/>
        <v>1.5327999999999999</v>
      </c>
      <c r="K9" s="117">
        <f t="shared" si="5"/>
        <v>0</v>
      </c>
      <c r="L9" s="117">
        <f t="shared" si="6"/>
        <v>0.29670000000000002</v>
      </c>
      <c r="M9" s="248">
        <f t="shared" si="7"/>
        <v>2.0526</v>
      </c>
      <c r="N9" s="239" t="s">
        <v>829</v>
      </c>
      <c r="O9" s="1">
        <v>277</v>
      </c>
      <c r="P9" s="1" t="s">
        <v>585</v>
      </c>
      <c r="Q9" s="224">
        <v>1.3</v>
      </c>
      <c r="R9" s="265"/>
      <c r="S9" s="225"/>
      <c r="T9" s="225"/>
      <c r="U9" s="225"/>
      <c r="V9" s="266"/>
      <c r="Z9" s="2">
        <f t="shared" si="8"/>
        <v>5.1115959999999996</v>
      </c>
      <c r="AL9">
        <f t="shared" si="9"/>
        <v>6</v>
      </c>
    </row>
    <row r="10" spans="1:43" x14ac:dyDescent="0.25">
      <c r="A10" s="42" t="s">
        <v>591</v>
      </c>
      <c r="B10" s="231" t="s">
        <v>50</v>
      </c>
      <c r="C10" s="221" t="s">
        <v>829</v>
      </c>
      <c r="D10" s="222" t="s">
        <v>830</v>
      </c>
      <c r="E10" s="238"/>
      <c r="F10" s="232">
        <f t="shared" si="0"/>
        <v>7.2464200000000005</v>
      </c>
      <c r="G10" s="67">
        <f t="shared" si="1"/>
        <v>726465.662952026</v>
      </c>
      <c r="H10" s="247">
        <f t="shared" si="2"/>
        <v>0.3601751473183698</v>
      </c>
      <c r="I10" s="117">
        <f t="shared" si="3"/>
        <v>1.85</v>
      </c>
      <c r="J10" s="117">
        <f t="shared" si="4"/>
        <v>1.7</v>
      </c>
      <c r="K10" s="117">
        <f t="shared" si="5"/>
        <v>0</v>
      </c>
      <c r="L10" s="117">
        <f t="shared" si="6"/>
        <v>0.25</v>
      </c>
      <c r="M10" s="248">
        <f t="shared" si="7"/>
        <v>2.218</v>
      </c>
      <c r="N10" s="239" t="s">
        <v>829</v>
      </c>
      <c r="O10" s="1">
        <v>27.8</v>
      </c>
      <c r="P10" s="1" t="s">
        <v>585</v>
      </c>
      <c r="Q10" s="224">
        <v>2.56</v>
      </c>
      <c r="R10" s="265"/>
      <c r="S10" s="225"/>
      <c r="T10" s="225"/>
      <c r="U10" s="225"/>
      <c r="V10" s="266"/>
      <c r="Z10" s="2">
        <f t="shared" si="8"/>
        <v>5.5130399999999993</v>
      </c>
      <c r="AL10">
        <f t="shared" si="9"/>
        <v>6.79</v>
      </c>
    </row>
    <row r="11" spans="1:43" x14ac:dyDescent="0.25">
      <c r="A11" s="42" t="s">
        <v>592</v>
      </c>
      <c r="B11" s="231" t="s">
        <v>51</v>
      </c>
      <c r="C11" s="221" t="s">
        <v>829</v>
      </c>
      <c r="D11" s="222" t="s">
        <v>830</v>
      </c>
      <c r="E11" s="238"/>
      <c r="F11" s="232">
        <f t="shared" si="0"/>
        <v>7.4090040000000013</v>
      </c>
      <c r="G11" s="67">
        <f t="shared" si="1"/>
        <v>399173.02011301357</v>
      </c>
      <c r="H11" s="247">
        <f t="shared" si="2"/>
        <v>0.3601751473183698</v>
      </c>
      <c r="I11" s="117">
        <f t="shared" si="3"/>
        <v>1.758</v>
      </c>
      <c r="J11" s="117">
        <f t="shared" si="4"/>
        <v>1.5118</v>
      </c>
      <c r="K11" s="117">
        <f t="shared" si="5"/>
        <v>0</v>
      </c>
      <c r="L11" s="117">
        <f t="shared" si="6"/>
        <v>0.215</v>
      </c>
      <c r="M11" s="248">
        <f t="shared" si="7"/>
        <v>2.218</v>
      </c>
      <c r="N11" s="239" t="s">
        <v>829</v>
      </c>
      <c r="O11" s="1">
        <v>349</v>
      </c>
      <c r="P11" s="1" t="s">
        <v>585</v>
      </c>
      <c r="Q11" s="224">
        <v>2.66</v>
      </c>
      <c r="R11" s="265"/>
      <c r="S11" s="225"/>
      <c r="T11" s="225"/>
      <c r="U11" s="225"/>
      <c r="V11" s="266"/>
      <c r="Z11" s="2">
        <f t="shared" si="8"/>
        <v>5.616644</v>
      </c>
      <c r="AL11">
        <f t="shared" si="9"/>
        <v>6.79</v>
      </c>
    </row>
    <row r="12" spans="1:43" x14ac:dyDescent="0.25">
      <c r="A12" s="42" t="s">
        <v>0</v>
      </c>
      <c r="B12" s="223">
        <v>14</v>
      </c>
      <c r="C12" s="221" t="s">
        <v>806</v>
      </c>
      <c r="D12" s="222" t="s">
        <v>804</v>
      </c>
      <c r="E12" s="240">
        <v>3.5993389230776551</v>
      </c>
      <c r="F12" s="37">
        <f t="shared" ref="F12:F20" si="10">VLOOKUP(B12,PCBs,17,FALSE)</f>
        <v>5.1477599999999999</v>
      </c>
      <c r="G12" s="67">
        <f t="shared" si="1"/>
        <v>63919.616214142108</v>
      </c>
      <c r="H12" s="247">
        <f t="shared" si="2"/>
        <v>0.50171447741666797</v>
      </c>
      <c r="I12" s="117">
        <f t="shared" ref="I12:I20" si="11">VLOOKUP($B12,PCBs,10,FALSE)</f>
        <v>1.65</v>
      </c>
      <c r="J12" s="117">
        <f t="shared" ref="J12:J20" si="12">VLOOKUP($B12,PCBs,11,FALSE)</f>
        <v>1.18</v>
      </c>
      <c r="K12" s="117">
        <f t="shared" ref="K12:K20" si="13">VLOOKUP($B12,PCBs,12,FALSE)</f>
        <v>0</v>
      </c>
      <c r="L12" s="117">
        <f t="shared" ref="L12:L20" si="14">VLOOKUP($B12,PCBs,13,FALSE)</f>
        <v>0.16</v>
      </c>
      <c r="M12" s="248">
        <f t="shared" ref="M12:M20" si="15">VLOOKUP($B12,PCBs,14,FALSE)</f>
        <v>1.569</v>
      </c>
      <c r="N12" s="241">
        <f t="shared" ref="N12:N20" si="16">VLOOKUP(B12,PRC,5,FALSE)</f>
        <v>1346.6666666666667</v>
      </c>
      <c r="O12" s="1">
        <v>492</v>
      </c>
      <c r="P12" s="1" t="s">
        <v>585</v>
      </c>
      <c r="Q12" s="224">
        <v>2.27</v>
      </c>
      <c r="R12" s="267">
        <f>7500/1000000</f>
        <v>7.4999999999999997E-3</v>
      </c>
      <c r="S12" s="268">
        <f>IF(R12*100&lt;1.2,DOC_avg,IF(R12*100&gt;=1.2,(R12*100)^2*DOC_F1+(R12*100)*DOC_F2+DOC_F3))</f>
        <v>8.4666666666666668</v>
      </c>
      <c r="T12" s="269">
        <v>1.81</v>
      </c>
      <c r="U12" s="270">
        <v>0.38400000000000001</v>
      </c>
      <c r="V12" s="271">
        <v>0.11457546239999999</v>
      </c>
      <c r="W12" s="2">
        <f>O12/N12</f>
        <v>0.36534653465346534</v>
      </c>
      <c r="X12" s="2">
        <f>EXP(R$12*10^$E12*T$12*$H12*U$12*T/L^2/($G12^2)/V$12/10^$F12/S$12*1000000)*ERFC(SQRT(R$12*10^$E12*T$12*U$12*$H12*T/V$12/10^$F12/S$12*1000000)/L/$G12)</f>
        <v>0.36918960805257989</v>
      </c>
      <c r="Y12" s="2">
        <f>(X12-W12)^2</f>
        <v>1.4769213150981856E-5</v>
      </c>
      <c r="Z12" s="2">
        <f t="shared" si="8"/>
        <v>4.3659199999999991</v>
      </c>
      <c r="AA12" s="2">
        <f>(Z12-$E12)^2</f>
        <v>0.58764654749542067</v>
      </c>
      <c r="AB12" s="2">
        <f t="shared" ref="AB12:AB20" si="17">I12*e_Poole+J12*s_Poole+K12*a_Poole+L12*b_Poole+M12*v_Poole+c_Poole</f>
        <v>4.2347399999999995</v>
      </c>
      <c r="AC12" s="2">
        <f>(AB12-$E12)^2</f>
        <v>0.40373452855407499</v>
      </c>
      <c r="AD12" s="2">
        <f t="shared" ref="AD12:AD20" si="18">I12*e_Bronner+J12*s_Bronner+K12*a_Bronner+L12*b_Bronner+M12*v_Bronner+c_Bronner</f>
        <v>4.4676100000000005</v>
      </c>
      <c r="AE12" s="2">
        <f t="shared" ref="AE12:AE20" si="19">(AD12-$E12)^2</f>
        <v>0.75389466301988939</v>
      </c>
      <c r="AF12" s="2">
        <f t="shared" ref="AF12:AF20" si="20">I12*e_Endo+J12*s_Endo+K12*a_Endo+L12*b_Endo+M12*v_Endo+c_Endo</f>
        <v>6.1606899999999998</v>
      </c>
      <c r="AG12" s="2">
        <f t="shared" ref="AG12:AG20" si="21">(AF12-$E12)^2</f>
        <v>6.5605193392512549</v>
      </c>
      <c r="AH12" s="2">
        <f t="shared" ref="AH12:AH20" si="22">I12*e_CoalTar+J12*s_CoalTar+K12*a_CoalTar+L12*b_CoalTar+M12*v_CoalTar+c_CoalTar</f>
        <v>5.9147400000000001</v>
      </c>
      <c r="AI12" s="2">
        <f t="shared" ref="AI12:AI20" si="23">(AH12-$E12)^2</f>
        <v>5.3610821470131551</v>
      </c>
      <c r="AJ12" s="2">
        <f t="shared" ref="AJ12:AJ20" si="24">I12*e_Endo430+J12*s_Endo430+K12*a_Endo430+L12*b_Endo430+M12*v_Endo430+c_Endo430</f>
        <v>5.0080899999999993</v>
      </c>
      <c r="AK12" s="2">
        <f t="shared" ref="AK12:AK20" si="25">(AJ12-$E12)^2</f>
        <v>1.9845795967298643</v>
      </c>
      <c r="AL12">
        <f t="shared" ref="AL12:AL20" si="26">VLOOKUP(B12,PCBs,8,FALSE)</f>
        <v>5.28</v>
      </c>
      <c r="AN12" s="2"/>
      <c r="AO12" s="2"/>
      <c r="AP12" s="2"/>
    </row>
    <row r="13" spans="1:43" x14ac:dyDescent="0.25">
      <c r="A13" s="42" t="s">
        <v>1</v>
      </c>
      <c r="B13" s="223">
        <v>36</v>
      </c>
      <c r="C13" s="221" t="s">
        <v>807</v>
      </c>
      <c r="D13" s="222" t="s">
        <v>804</v>
      </c>
      <c r="E13" s="240">
        <v>5.1213079115569577</v>
      </c>
      <c r="F13" s="37">
        <f t="shared" si="10"/>
        <v>5.7470160000000003</v>
      </c>
      <c r="G13" s="67">
        <f t="shared" si="1"/>
        <v>262677.88071364415</v>
      </c>
      <c r="H13" s="247">
        <f t="shared" si="2"/>
        <v>0.45309549993879755</v>
      </c>
      <c r="I13" s="117">
        <f t="shared" si="11"/>
        <v>1.79</v>
      </c>
      <c r="J13" s="117">
        <f t="shared" si="12"/>
        <v>1.31</v>
      </c>
      <c r="K13" s="117">
        <f t="shared" si="13"/>
        <v>0</v>
      </c>
      <c r="L13" s="117">
        <f t="shared" si="14"/>
        <v>0.13</v>
      </c>
      <c r="M13" s="248">
        <f t="shared" si="15"/>
        <v>1.6914</v>
      </c>
      <c r="N13" s="241">
        <f t="shared" si="16"/>
        <v>1530</v>
      </c>
      <c r="O13" s="1">
        <v>792</v>
      </c>
      <c r="P13" s="1" t="s">
        <v>585</v>
      </c>
      <c r="Q13" s="224">
        <v>5.18</v>
      </c>
      <c r="R13" s="265"/>
      <c r="S13" s="225"/>
      <c r="T13" s="26"/>
      <c r="U13" s="225"/>
      <c r="V13" s="266"/>
      <c r="W13" s="2">
        <f t="shared" ref="W13:W20" si="27">O13/N13</f>
        <v>0.51764705882352946</v>
      </c>
      <c r="X13" s="2">
        <f t="shared" ref="X13:X20" si="28">EXP(R$12*10^$E13*T$12*$H13*U$12*T/L^2/($G13^2)/V$12/10^$F13/S$12*1000000)*ERFC(SQRT(R$12*10^$E13*T$12*U$12*$H13*T/V$12/10^$F13/S$12*1000000)/L/$G13)</f>
        <v>0.47828120115502243</v>
      </c>
      <c r="Y13" s="2">
        <f t="shared" ref="Y13:Y20" si="29">(X13-W13)^2</f>
        <v>1.5496707499771539E-3</v>
      </c>
      <c r="Z13" s="2">
        <f t="shared" si="8"/>
        <v>4.764791999999999</v>
      </c>
      <c r="AA13" s="2">
        <f t="shared" ref="AA13:AC20" si="30">(Z13-$E13)^2</f>
        <v>0.1271035951932892</v>
      </c>
      <c r="AB13" s="2">
        <f t="shared" si="17"/>
        <v>4.5669639999999996</v>
      </c>
      <c r="AC13" s="2">
        <f t="shared" si="30"/>
        <v>0.30729717228026865</v>
      </c>
      <c r="AD13" s="2">
        <f t="shared" si="18"/>
        <v>4.9708860000000001</v>
      </c>
      <c r="AE13" s="2">
        <f t="shared" si="19"/>
        <v>2.2626751476449179E-2</v>
      </c>
      <c r="AF13" s="2">
        <f t="shared" si="20"/>
        <v>6.9414940000000005</v>
      </c>
      <c r="AG13" s="2">
        <f t="shared" si="21"/>
        <v>3.3130773965615843</v>
      </c>
      <c r="AH13" s="2">
        <f t="shared" si="22"/>
        <v>6.5455040000000002</v>
      </c>
      <c r="AI13" s="2">
        <f t="shared" si="23"/>
        <v>2.0283344983364624</v>
      </c>
      <c r="AJ13" s="2">
        <f t="shared" si="24"/>
        <v>5.6375139999999995</v>
      </c>
      <c r="AK13" s="2">
        <f t="shared" si="25"/>
        <v>0.26646872574566544</v>
      </c>
      <c r="AL13">
        <f t="shared" si="26"/>
        <v>5.88</v>
      </c>
      <c r="AN13" s="2"/>
      <c r="AO13" s="2"/>
      <c r="AP13" s="2"/>
    </row>
    <row r="14" spans="1:43" x14ac:dyDescent="0.25">
      <c r="A14" s="42" t="s">
        <v>2</v>
      </c>
      <c r="B14" s="223">
        <v>78</v>
      </c>
      <c r="C14" s="221" t="s">
        <v>808</v>
      </c>
      <c r="D14" s="222" t="s">
        <v>804</v>
      </c>
      <c r="E14" s="240">
        <v>6.3885619982004886</v>
      </c>
      <c r="F14" s="37">
        <f t="shared" si="10"/>
        <v>6.3181720000000006</v>
      </c>
      <c r="G14" s="67">
        <f t="shared" si="1"/>
        <v>842807.64446312503</v>
      </c>
      <c r="H14" s="247">
        <f t="shared" si="2"/>
        <v>0.41446452428724656</v>
      </c>
      <c r="I14" s="117">
        <f t="shared" si="11"/>
        <v>1.94</v>
      </c>
      <c r="J14" s="117">
        <f t="shared" si="12"/>
        <v>1.44</v>
      </c>
      <c r="K14" s="117">
        <f t="shared" si="13"/>
        <v>0</v>
      </c>
      <c r="L14" s="117">
        <f t="shared" si="14"/>
        <v>0.11</v>
      </c>
      <c r="M14" s="248">
        <f t="shared" si="15"/>
        <v>1.8138000000000001</v>
      </c>
      <c r="N14" s="241">
        <f t="shared" si="16"/>
        <v>687.66666666666663</v>
      </c>
      <c r="O14" s="1">
        <v>394</v>
      </c>
      <c r="P14" s="1" t="s">
        <v>585</v>
      </c>
      <c r="Q14" s="224">
        <v>12.8</v>
      </c>
      <c r="R14" s="265"/>
      <c r="S14" s="225"/>
      <c r="T14" s="26"/>
      <c r="U14" s="225"/>
      <c r="V14" s="266"/>
      <c r="W14" s="2">
        <f t="shared" si="27"/>
        <v>0.57295201163354337</v>
      </c>
      <c r="X14" s="2">
        <f t="shared" si="28"/>
        <v>0.58965330907648206</v>
      </c>
      <c r="Y14" s="2">
        <f t="shared" si="29"/>
        <v>2.7893333627751043E-4</v>
      </c>
      <c r="Z14" s="2">
        <f t="shared" si="8"/>
        <v>5.154863999999999</v>
      </c>
      <c r="AA14" s="2">
        <f t="shared" si="30"/>
        <v>1.5220107507638954</v>
      </c>
      <c r="AB14" s="2">
        <f t="shared" si="17"/>
        <v>4.8971879999999999</v>
      </c>
      <c r="AC14" s="2">
        <f t="shared" si="30"/>
        <v>2.2241964025085115</v>
      </c>
      <c r="AD14" s="2">
        <f t="shared" si="18"/>
        <v>5.4478620000000006</v>
      </c>
      <c r="AE14" s="2">
        <f t="shared" si="19"/>
        <v>0.88491648661439815</v>
      </c>
      <c r="AF14" s="2">
        <f t="shared" si="20"/>
        <v>7.6859980000000006</v>
      </c>
      <c r="AG14" s="2">
        <f t="shared" si="21"/>
        <v>1.6833401787655031</v>
      </c>
      <c r="AH14" s="2">
        <f t="shared" si="22"/>
        <v>7.1366680000000002</v>
      </c>
      <c r="AI14" s="2">
        <f t="shared" si="23"/>
        <v>0.55966258992845086</v>
      </c>
      <c r="AJ14" s="2">
        <f t="shared" si="24"/>
        <v>6.232937999999999</v>
      </c>
      <c r="AK14" s="2">
        <f t="shared" si="25"/>
        <v>2.4218828815906011E-2</v>
      </c>
      <c r="AL14">
        <f t="shared" si="26"/>
        <v>6.35</v>
      </c>
      <c r="AN14" s="2"/>
      <c r="AO14" s="2"/>
      <c r="AP14" s="2"/>
    </row>
    <row r="15" spans="1:43" x14ac:dyDescent="0.25">
      <c r="A15" s="42" t="s">
        <v>3</v>
      </c>
      <c r="B15" s="223">
        <v>121</v>
      </c>
      <c r="C15" s="221" t="s">
        <v>809</v>
      </c>
      <c r="D15" s="222" t="s">
        <v>804</v>
      </c>
      <c r="E15" s="240">
        <v>7.0923537593378221</v>
      </c>
      <c r="F15" s="37">
        <f t="shared" si="10"/>
        <v>6.7030280000000007</v>
      </c>
      <c r="G15" s="67">
        <f t="shared" si="1"/>
        <v>1777033.55268118</v>
      </c>
      <c r="H15" s="247">
        <f t="shared" si="2"/>
        <v>0.38291771022895116</v>
      </c>
      <c r="I15" s="117">
        <f t="shared" si="11"/>
        <v>2.04</v>
      </c>
      <c r="J15" s="117">
        <f t="shared" si="12"/>
        <v>1.61</v>
      </c>
      <c r="K15" s="117">
        <f t="shared" si="13"/>
        <v>0</v>
      </c>
      <c r="L15" s="117">
        <f t="shared" si="14"/>
        <v>0.13</v>
      </c>
      <c r="M15" s="248">
        <f t="shared" si="15"/>
        <v>1.9361999999999999</v>
      </c>
      <c r="N15" s="241">
        <f t="shared" si="16"/>
        <v>720</v>
      </c>
      <c r="O15" s="1">
        <v>485</v>
      </c>
      <c r="P15" s="1" t="s">
        <v>586</v>
      </c>
      <c r="Q15" s="224">
        <v>4.58</v>
      </c>
      <c r="R15" s="265"/>
      <c r="S15" s="225"/>
      <c r="T15" s="26"/>
      <c r="U15" s="225"/>
      <c r="V15" s="266"/>
      <c r="W15" s="2">
        <f t="shared" si="27"/>
        <v>0.67361111111111116</v>
      </c>
      <c r="X15" s="2">
        <f t="shared" si="28"/>
        <v>0.69283776051805046</v>
      </c>
      <c r="Y15" s="2">
        <f t="shared" si="29"/>
        <v>3.6966404741735934E-4</v>
      </c>
      <c r="Z15" s="2">
        <f t="shared" si="8"/>
        <v>5.3819359999999987</v>
      </c>
      <c r="AA15" s="2">
        <f t="shared" si="30"/>
        <v>2.9255289114582204</v>
      </c>
      <c r="AB15" s="2">
        <f t="shared" si="17"/>
        <v>5.1183119999999995</v>
      </c>
      <c r="AC15" s="2">
        <f t="shared" si="30"/>
        <v>3.8968408676095656</v>
      </c>
      <c r="AD15" s="2">
        <f t="shared" si="18"/>
        <v>5.7223379999999997</v>
      </c>
      <c r="AE15" s="2">
        <f t="shared" si="19"/>
        <v>1.87694318083399</v>
      </c>
      <c r="AF15" s="2">
        <f t="shared" si="20"/>
        <v>8.3082020000000014</v>
      </c>
      <c r="AG15" s="2">
        <f t="shared" si="21"/>
        <v>1.4782869443213167</v>
      </c>
      <c r="AH15" s="2">
        <f t="shared" si="22"/>
        <v>7.5104319999999998</v>
      </c>
      <c r="AI15" s="2">
        <f t="shared" si="23"/>
        <v>0.17478941531518177</v>
      </c>
      <c r="AJ15" s="2">
        <f t="shared" si="24"/>
        <v>6.6612619999999989</v>
      </c>
      <c r="AK15" s="2">
        <f t="shared" si="25"/>
        <v>0.18584010496897965</v>
      </c>
      <c r="AL15">
        <f t="shared" si="26"/>
        <v>6.64</v>
      </c>
      <c r="AN15" s="2"/>
      <c r="AO15" s="2"/>
      <c r="AP15" s="2"/>
    </row>
    <row r="16" spans="1:43" x14ac:dyDescent="0.25">
      <c r="A16" s="42" t="s">
        <v>4</v>
      </c>
      <c r="B16" s="223">
        <v>104</v>
      </c>
      <c r="C16" s="221" t="s">
        <v>809</v>
      </c>
      <c r="D16" s="222" t="s">
        <v>804</v>
      </c>
      <c r="E16" s="240">
        <v>6.7714158550120036</v>
      </c>
      <c r="F16" s="37">
        <f t="shared" si="10"/>
        <v>6.6676280000000006</v>
      </c>
      <c r="G16" s="67">
        <f t="shared" si="1"/>
        <v>544238.28532434627</v>
      </c>
      <c r="H16" s="247">
        <f t="shared" si="2"/>
        <v>0.38291771022895116</v>
      </c>
      <c r="I16" s="117">
        <f t="shared" si="11"/>
        <v>1.98</v>
      </c>
      <c r="J16" s="117">
        <f t="shared" si="12"/>
        <v>1.61</v>
      </c>
      <c r="K16" s="117">
        <f t="shared" si="13"/>
        <v>0</v>
      </c>
      <c r="L16" s="117">
        <f t="shared" si="14"/>
        <v>0.13</v>
      </c>
      <c r="M16" s="248">
        <f t="shared" si="15"/>
        <v>1.9361999999999999</v>
      </c>
      <c r="N16" s="241">
        <f t="shared" si="16"/>
        <v>1626.6666666666667</v>
      </c>
      <c r="O16" s="1">
        <v>730</v>
      </c>
      <c r="P16" s="1" t="s">
        <v>585</v>
      </c>
      <c r="Q16" s="224">
        <v>3.87</v>
      </c>
      <c r="R16" s="265"/>
      <c r="S16" s="225"/>
      <c r="T16" s="26"/>
      <c r="U16" s="225"/>
      <c r="V16" s="266"/>
      <c r="W16" s="2">
        <f t="shared" si="27"/>
        <v>0.44877049180327866</v>
      </c>
      <c r="X16" s="2">
        <f t="shared" si="28"/>
        <v>0.4707388987577672</v>
      </c>
      <c r="Y16" s="2">
        <f t="shared" si="29"/>
        <v>4.8261090411802043E-4</v>
      </c>
      <c r="Z16" s="2">
        <f t="shared" si="8"/>
        <v>5.3159359999999989</v>
      </c>
      <c r="AA16" s="2">
        <f t="shared" si="30"/>
        <v>2.1184216083457663</v>
      </c>
      <c r="AB16" s="2">
        <f t="shared" si="17"/>
        <v>5.061312</v>
      </c>
      <c r="AC16" s="2">
        <f t="shared" si="30"/>
        <v>2.9244551949269155</v>
      </c>
      <c r="AD16" s="2">
        <f t="shared" si="18"/>
        <v>5.6737380000000002</v>
      </c>
      <c r="AE16" s="2">
        <f t="shared" si="19"/>
        <v>1.2048966733837527</v>
      </c>
      <c r="AF16" s="2">
        <f t="shared" si="20"/>
        <v>8.2896019999999986</v>
      </c>
      <c r="AG16" s="2">
        <f t="shared" si="21"/>
        <v>2.3048891708335093</v>
      </c>
      <c r="AH16" s="2">
        <f t="shared" si="22"/>
        <v>7.4804319999999995</v>
      </c>
      <c r="AI16" s="2">
        <f t="shared" si="23"/>
        <v>0.50270389385363889</v>
      </c>
      <c r="AJ16" s="2">
        <f t="shared" si="24"/>
        <v>6.6354619999999986</v>
      </c>
      <c r="AK16" s="2">
        <f t="shared" si="25"/>
        <v>1.8483450692625268E-2</v>
      </c>
      <c r="AL16">
        <f t="shared" si="26"/>
        <v>5.81</v>
      </c>
      <c r="AN16" s="2"/>
      <c r="AO16" s="2"/>
      <c r="AP16" s="2"/>
    </row>
    <row r="17" spans="1:42" x14ac:dyDescent="0.25">
      <c r="A17" s="42" t="s">
        <v>6</v>
      </c>
      <c r="B17" s="223">
        <v>155</v>
      </c>
      <c r="C17" s="221" t="s">
        <v>810</v>
      </c>
      <c r="D17" s="222" t="s">
        <v>804</v>
      </c>
      <c r="E17" s="240">
        <v>8.3373281465970912</v>
      </c>
      <c r="F17" s="37">
        <f t="shared" si="10"/>
        <v>7.2328840000000003</v>
      </c>
      <c r="G17" s="67">
        <f t="shared" si="1"/>
        <v>3642170.2218736345</v>
      </c>
      <c r="H17" s="247">
        <f t="shared" si="2"/>
        <v>0.35659524089143563</v>
      </c>
      <c r="I17" s="117">
        <f t="shared" si="11"/>
        <v>2.12</v>
      </c>
      <c r="J17" s="117">
        <f t="shared" si="12"/>
        <v>1.74</v>
      </c>
      <c r="K17" s="117">
        <f t="shared" si="13"/>
        <v>0</v>
      </c>
      <c r="L17" s="117">
        <f t="shared" si="14"/>
        <v>0.11</v>
      </c>
      <c r="M17" s="248">
        <f t="shared" si="15"/>
        <v>2.0586000000000002</v>
      </c>
      <c r="N17" s="241">
        <f t="shared" si="16"/>
        <v>557</v>
      </c>
      <c r="O17" s="1">
        <v>352</v>
      </c>
      <c r="P17" s="1" t="s">
        <v>585</v>
      </c>
      <c r="Q17" s="224">
        <v>0.94799999999999995</v>
      </c>
      <c r="R17" s="265"/>
      <c r="S17" s="225"/>
      <c r="T17" s="26"/>
      <c r="U17" s="225"/>
      <c r="V17" s="266"/>
      <c r="W17" s="2">
        <f t="shared" si="27"/>
        <v>0.63195691202872528</v>
      </c>
      <c r="X17" s="2">
        <f t="shared" si="28"/>
        <v>0.67667391702677238</v>
      </c>
      <c r="Y17" s="2">
        <f t="shared" si="29"/>
        <v>1.9996105359953689E-3</v>
      </c>
      <c r="Z17" s="2">
        <f t="shared" si="8"/>
        <v>5.6950080000000005</v>
      </c>
      <c r="AA17" s="2">
        <f t="shared" si="30"/>
        <v>6.9818557571128705</v>
      </c>
      <c r="AB17" s="2">
        <f t="shared" si="17"/>
        <v>5.3820360000000003</v>
      </c>
      <c r="AC17" s="2">
        <f t="shared" si="30"/>
        <v>8.7337516717384425</v>
      </c>
      <c r="AD17" s="2">
        <f t="shared" si="18"/>
        <v>6.1426140000000009</v>
      </c>
      <c r="AE17" s="2">
        <f t="shared" si="19"/>
        <v>4.816770185273394</v>
      </c>
      <c r="AF17" s="2">
        <f t="shared" si="20"/>
        <v>9.0310060000000014</v>
      </c>
      <c r="AG17" s="2">
        <f t="shared" si="21"/>
        <v>0.48118896430166941</v>
      </c>
      <c r="AH17" s="2">
        <f t="shared" si="22"/>
        <v>8.0665960000000005</v>
      </c>
      <c r="AI17" s="2">
        <f t="shared" si="23"/>
        <v>7.3295895201068592E-2</v>
      </c>
      <c r="AJ17" s="2">
        <f t="shared" si="24"/>
        <v>7.2265860000000011</v>
      </c>
      <c r="AK17" s="2">
        <f t="shared" si="25"/>
        <v>1.2337481162271118</v>
      </c>
      <c r="AL17">
        <f t="shared" si="26"/>
        <v>6.41</v>
      </c>
      <c r="AN17" s="2"/>
      <c r="AO17" s="2"/>
      <c r="AP17" s="2"/>
    </row>
    <row r="18" spans="1:42" x14ac:dyDescent="0.25">
      <c r="A18" s="42" t="s">
        <v>7</v>
      </c>
      <c r="B18" s="223">
        <v>192</v>
      </c>
      <c r="C18" s="221" t="s">
        <v>811</v>
      </c>
      <c r="D18" s="222" t="s">
        <v>804</v>
      </c>
      <c r="E18" s="240">
        <v>9.3881859209727931</v>
      </c>
      <c r="F18" s="37">
        <f t="shared" si="10"/>
        <v>7.8453400000000002</v>
      </c>
      <c r="G18" s="67">
        <f t="shared" si="1"/>
        <v>12632002.71097157</v>
      </c>
      <c r="H18" s="247">
        <f t="shared" si="2"/>
        <v>0.33424680832245074</v>
      </c>
      <c r="I18" s="117">
        <f t="shared" si="11"/>
        <v>2.34</v>
      </c>
      <c r="J18" s="117">
        <f t="shared" si="12"/>
        <v>1.87</v>
      </c>
      <c r="K18" s="117">
        <f t="shared" si="13"/>
        <v>0</v>
      </c>
      <c r="L18" s="117">
        <f t="shared" si="14"/>
        <v>0.09</v>
      </c>
      <c r="M18" s="248">
        <f t="shared" si="15"/>
        <v>2.181</v>
      </c>
      <c r="N18" s="241">
        <f t="shared" si="16"/>
        <v>765</v>
      </c>
      <c r="O18" s="1">
        <v>611</v>
      </c>
      <c r="P18" s="1" t="s">
        <v>586</v>
      </c>
      <c r="Q18" s="224">
        <v>1.5</v>
      </c>
      <c r="R18" s="265"/>
      <c r="S18" s="225"/>
      <c r="T18" s="26"/>
      <c r="U18" s="225"/>
      <c r="V18" s="266"/>
      <c r="W18" s="2">
        <f t="shared" si="27"/>
        <v>0.79869281045751639</v>
      </c>
      <c r="X18" s="2">
        <f t="shared" si="28"/>
        <v>0.8250447370815529</v>
      </c>
      <c r="Y18" s="2">
        <f t="shared" si="29"/>
        <v>6.9442403679860455E-4</v>
      </c>
      <c r="Z18" s="2">
        <f t="shared" si="8"/>
        <v>6.1620799999999987</v>
      </c>
      <c r="AA18" s="2">
        <f t="shared" si="30"/>
        <v>10.407759413335722</v>
      </c>
      <c r="AB18" s="2">
        <f t="shared" si="17"/>
        <v>5.7787600000000001</v>
      </c>
      <c r="AC18" s="2">
        <f t="shared" si="30"/>
        <v>13.027955478990295</v>
      </c>
      <c r="AD18" s="2">
        <f t="shared" si="18"/>
        <v>6.6762900000000007</v>
      </c>
      <c r="AE18" s="2">
        <f t="shared" si="19"/>
        <v>7.3543794861888703</v>
      </c>
      <c r="AF18" s="2">
        <f t="shared" si="20"/>
        <v>9.7972099999999998</v>
      </c>
      <c r="AG18" s="2">
        <f t="shared" si="21"/>
        <v>0.16730069722405455</v>
      </c>
      <c r="AH18" s="2">
        <f t="shared" si="22"/>
        <v>8.6927599999999998</v>
      </c>
      <c r="AI18" s="2">
        <f t="shared" si="23"/>
        <v>0.4836172115608578</v>
      </c>
      <c r="AJ18" s="2">
        <f t="shared" si="24"/>
        <v>7.8521099999999997</v>
      </c>
      <c r="AK18" s="2">
        <f t="shared" si="25"/>
        <v>2.3595292349924155</v>
      </c>
      <c r="AL18">
        <f t="shared" si="26"/>
        <v>7.52</v>
      </c>
      <c r="AN18" s="2"/>
      <c r="AO18" s="2"/>
      <c r="AP18" s="2"/>
    </row>
    <row r="19" spans="1:42" x14ac:dyDescent="0.25">
      <c r="A19" s="42" t="s">
        <v>8</v>
      </c>
      <c r="B19" s="223">
        <v>184</v>
      </c>
      <c r="C19" s="221" t="s">
        <v>811</v>
      </c>
      <c r="D19" s="222" t="s">
        <v>804</v>
      </c>
      <c r="E19" s="240">
        <v>9.1561831730064629</v>
      </c>
      <c r="F19" s="37">
        <f t="shared" si="10"/>
        <v>7.8040400000000005</v>
      </c>
      <c r="G19" s="67">
        <f t="shared" si="1"/>
        <v>6301001.593298153</v>
      </c>
      <c r="H19" s="247">
        <f t="shared" si="2"/>
        <v>0.33424680832245074</v>
      </c>
      <c r="I19" s="117">
        <f t="shared" si="11"/>
        <v>2.27</v>
      </c>
      <c r="J19" s="117">
        <f t="shared" si="12"/>
        <v>1.87</v>
      </c>
      <c r="K19" s="117">
        <f t="shared" si="13"/>
        <v>0</v>
      </c>
      <c r="L19" s="117">
        <f t="shared" si="14"/>
        <v>0.09</v>
      </c>
      <c r="M19" s="248">
        <f t="shared" si="15"/>
        <v>2.181</v>
      </c>
      <c r="N19" s="241">
        <f t="shared" si="16"/>
        <v>709.66666666666663</v>
      </c>
      <c r="O19" s="1">
        <v>488</v>
      </c>
      <c r="P19" s="1" t="s">
        <v>585</v>
      </c>
      <c r="Q19" s="224">
        <v>1.1299999999999999</v>
      </c>
      <c r="R19" s="265"/>
      <c r="S19" s="225"/>
      <c r="T19" s="26"/>
      <c r="U19" s="225"/>
      <c r="V19" s="266"/>
      <c r="W19" s="2">
        <f>O19/N19</f>
        <v>0.68764678252700806</v>
      </c>
      <c r="X19" s="2">
        <f t="shared" si="28"/>
        <v>0.7412713349052692</v>
      </c>
      <c r="Y19" s="2">
        <f t="shared" si="29"/>
        <v>2.8755926177688722E-3</v>
      </c>
      <c r="Z19" s="2">
        <f t="shared" si="8"/>
        <v>6.0850799999999996</v>
      </c>
      <c r="AA19" s="2">
        <f t="shared" si="30"/>
        <v>9.4316746992503671</v>
      </c>
      <c r="AB19" s="2">
        <f t="shared" si="17"/>
        <v>5.7122599999999997</v>
      </c>
      <c r="AC19" s="2">
        <f t="shared" si="30"/>
        <v>11.860606821570906</v>
      </c>
      <c r="AD19" s="2">
        <f t="shared" si="18"/>
        <v>6.6195900000000005</v>
      </c>
      <c r="AE19" s="2">
        <f t="shared" si="19"/>
        <v>6.4343049253429925</v>
      </c>
      <c r="AF19" s="2">
        <f t="shared" si="20"/>
        <v>9.7755100000000006</v>
      </c>
      <c r="AG19" s="2">
        <f t="shared" si="21"/>
        <v>0.38356571863388339</v>
      </c>
      <c r="AH19" s="2">
        <f t="shared" si="22"/>
        <v>8.6577599999999997</v>
      </c>
      <c r="AI19" s="2">
        <f t="shared" si="23"/>
        <v>0.24842565938983077</v>
      </c>
      <c r="AJ19" s="2">
        <f t="shared" si="24"/>
        <v>7.8220099999999988</v>
      </c>
      <c r="AK19" s="2">
        <f t="shared" si="25"/>
        <v>1.7800180555701364</v>
      </c>
      <c r="AL19">
        <f t="shared" si="26"/>
        <v>6.85</v>
      </c>
      <c r="AN19" s="2"/>
      <c r="AO19" s="2"/>
      <c r="AP19" s="2"/>
    </row>
    <row r="20" spans="1:42" x14ac:dyDescent="0.25">
      <c r="A20" s="42" t="s">
        <v>9</v>
      </c>
      <c r="B20" s="223">
        <v>204</v>
      </c>
      <c r="C20" s="221" t="s">
        <v>812</v>
      </c>
      <c r="D20" s="222" t="s">
        <v>804</v>
      </c>
      <c r="E20" s="242">
        <v>10.527742948190678</v>
      </c>
      <c r="F20" s="243">
        <f t="shared" si="10"/>
        <v>8.4681959999999989</v>
      </c>
      <c r="G20" s="72">
        <f t="shared" si="1"/>
        <v>19747514.291125294</v>
      </c>
      <c r="H20" s="249">
        <f t="shared" si="2"/>
        <v>0.31499856731758102</v>
      </c>
      <c r="I20" s="118">
        <f t="shared" si="11"/>
        <v>2.52</v>
      </c>
      <c r="J20" s="118">
        <f t="shared" si="12"/>
        <v>2</v>
      </c>
      <c r="K20" s="118">
        <f t="shared" si="13"/>
        <v>0</v>
      </c>
      <c r="L20" s="118">
        <f t="shared" si="14"/>
        <v>0.06</v>
      </c>
      <c r="M20" s="250">
        <f t="shared" si="15"/>
        <v>2.3033999999999999</v>
      </c>
      <c r="N20" s="244">
        <f t="shared" si="16"/>
        <v>1186.6666666666667</v>
      </c>
      <c r="O20" s="1">
        <v>928</v>
      </c>
      <c r="P20" s="1" t="s">
        <v>585</v>
      </c>
      <c r="Q20" s="224">
        <v>2.0699999999999998</v>
      </c>
      <c r="R20" s="272"/>
      <c r="S20" s="273"/>
      <c r="T20" s="27"/>
      <c r="U20" s="273"/>
      <c r="V20" s="274"/>
      <c r="W20" s="2">
        <f t="shared" si="27"/>
        <v>0.78202247191011232</v>
      </c>
      <c r="X20" s="2">
        <f t="shared" si="28"/>
        <v>0.80654608690187346</v>
      </c>
      <c r="Y20" s="2">
        <f t="shared" si="29"/>
        <v>6.0140769226413196E-4</v>
      </c>
      <c r="Z20" s="2">
        <f t="shared" si="8"/>
        <v>6.604951999999999</v>
      </c>
      <c r="AA20" s="2">
        <f t="shared" si="30"/>
        <v>15.388288823206725</v>
      </c>
      <c r="AB20" s="2">
        <f t="shared" si="17"/>
        <v>6.1489839999999996</v>
      </c>
      <c r="AC20" s="2">
        <f t="shared" si="30"/>
        <v>19.173529926359937</v>
      </c>
      <c r="AD20" s="2">
        <f t="shared" si="18"/>
        <v>7.2119660000000012</v>
      </c>
      <c r="AE20" s="2">
        <f t="shared" si="19"/>
        <v>10.994376770152677</v>
      </c>
      <c r="AF20" s="2">
        <f t="shared" si="20"/>
        <v>10.590413999999999</v>
      </c>
      <c r="AG20" s="2">
        <f t="shared" si="21"/>
        <v>3.9276607348866215E-3</v>
      </c>
      <c r="AH20" s="2">
        <f t="shared" si="22"/>
        <v>9.3435240000000004</v>
      </c>
      <c r="AI20" s="2">
        <f t="shared" si="23"/>
        <v>1.4023745172538347</v>
      </c>
      <c r="AJ20" s="2">
        <f t="shared" si="24"/>
        <v>8.4987339999999989</v>
      </c>
      <c r="AK20" s="2">
        <f t="shared" si="25"/>
        <v>4.1168773118378459</v>
      </c>
      <c r="AL20">
        <f t="shared" si="26"/>
        <v>7.3</v>
      </c>
      <c r="AN20" s="2"/>
      <c r="AO20" s="2"/>
      <c r="AP20" s="2"/>
    </row>
    <row r="21" spans="1:42" x14ac:dyDescent="0.25">
      <c r="O21" s="339" t="s">
        <v>816</v>
      </c>
      <c r="P21" s="339"/>
      <c r="Q21" s="339"/>
      <c r="R21" s="324" t="s">
        <v>834</v>
      </c>
      <c r="S21" s="335"/>
      <c r="T21" s="335"/>
      <c r="U21" s="335"/>
      <c r="V21" s="348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42" x14ac:dyDescent="0.25">
      <c r="O22" s="251" t="s">
        <v>581</v>
      </c>
      <c r="P22" s="339" t="s">
        <v>582</v>
      </c>
      <c r="Q22" s="251" t="s">
        <v>583</v>
      </c>
      <c r="R22" s="325"/>
      <c r="S22" s="336"/>
      <c r="T22" s="336"/>
      <c r="U22" s="336"/>
      <c r="V22" s="349"/>
      <c r="AA22" s="2">
        <f>SUM(AA13,AA14,AA15,AA16,AA17,AA19)</f>
        <v>23.106595322124406</v>
      </c>
      <c r="AB22" s="2"/>
      <c r="AC22" s="2">
        <f>SUM(AC13,AC14,AC15,AC16,AC17,AC19)</f>
        <v>29.947148130634609</v>
      </c>
      <c r="AD22" s="2"/>
      <c r="AE22" s="2">
        <f>SUM(AE13,AE14,AE15,AE16,AE17,AE19)</f>
        <v>15.240458202924977</v>
      </c>
      <c r="AF22" s="2"/>
      <c r="AG22" s="2">
        <f>SUM(AG13,AG14,AG15,AG16,AG17,AG19)</f>
        <v>9.6443483734174666</v>
      </c>
      <c r="AH22" s="2"/>
      <c r="AI22" s="2">
        <f>SUM(AI13,AI14,AI15,AI16,AI17,AI19)</f>
        <v>3.5872119520246337</v>
      </c>
      <c r="AJ22" s="2"/>
      <c r="AK22" s="2">
        <f>SUM(AK13,AK14,AK15,AK16,AK17,AK19)</f>
        <v>3.5087772820204242</v>
      </c>
      <c r="AN22" s="2"/>
      <c r="AP22" s="2"/>
    </row>
    <row r="23" spans="1:42" ht="45.95" customHeight="1" x14ac:dyDescent="0.25">
      <c r="O23" s="253" t="s">
        <v>584</v>
      </c>
      <c r="P23" s="339"/>
      <c r="Q23" s="253" t="s">
        <v>584</v>
      </c>
      <c r="R23" s="255" t="s">
        <v>815</v>
      </c>
      <c r="S23" s="256" t="s">
        <v>716</v>
      </c>
      <c r="T23" s="256" t="s">
        <v>711</v>
      </c>
      <c r="U23" s="256" t="s">
        <v>677</v>
      </c>
      <c r="V23" s="257" t="s">
        <v>654</v>
      </c>
    </row>
    <row r="24" spans="1:42" x14ac:dyDescent="0.25">
      <c r="O24" s="1">
        <v>403</v>
      </c>
      <c r="P24" s="1" t="s">
        <v>585</v>
      </c>
      <c r="Q24" s="224">
        <v>1.7</v>
      </c>
      <c r="R24" s="225"/>
      <c r="S24" s="225"/>
      <c r="T24" s="225"/>
      <c r="U24" s="225"/>
      <c r="V24" s="225"/>
    </row>
    <row r="25" spans="1:42" x14ac:dyDescent="0.25">
      <c r="O25" s="1">
        <v>813</v>
      </c>
      <c r="P25" s="1" t="s">
        <v>585</v>
      </c>
      <c r="Q25" s="224">
        <v>2.21</v>
      </c>
      <c r="R25" s="225"/>
      <c r="S25" s="225"/>
      <c r="T25" s="225"/>
      <c r="U25" s="225"/>
      <c r="V25" s="225"/>
    </row>
    <row r="26" spans="1:42" x14ac:dyDescent="0.25">
      <c r="O26" s="1">
        <v>534</v>
      </c>
      <c r="P26" s="1" t="s">
        <v>585</v>
      </c>
      <c r="Q26" s="224">
        <v>1.45</v>
      </c>
      <c r="R26" s="225"/>
      <c r="S26" s="225"/>
      <c r="T26" s="225"/>
      <c r="U26" s="225"/>
      <c r="V26" s="225"/>
    </row>
    <row r="27" spans="1:42" x14ac:dyDescent="0.25">
      <c r="O27" s="1">
        <v>634</v>
      </c>
      <c r="P27" s="1" t="s">
        <v>585</v>
      </c>
      <c r="Q27" s="224">
        <v>1.79</v>
      </c>
      <c r="R27" s="225"/>
      <c r="S27" s="225"/>
      <c r="T27" s="225"/>
      <c r="U27" s="225"/>
      <c r="V27" s="225"/>
    </row>
    <row r="28" spans="1:42" x14ac:dyDescent="0.25">
      <c r="O28" s="1">
        <v>17.899999999999999</v>
      </c>
      <c r="P28" s="1" t="s">
        <v>620</v>
      </c>
      <c r="Q28" s="224">
        <v>3.54</v>
      </c>
      <c r="R28" s="225"/>
      <c r="S28" s="225"/>
      <c r="T28" s="225"/>
      <c r="U28" s="225"/>
      <c r="V28" s="225"/>
    </row>
    <row r="29" spans="1:42" x14ac:dyDescent="0.25">
      <c r="O29" s="1">
        <v>59.5</v>
      </c>
      <c r="P29" s="1" t="s">
        <v>585</v>
      </c>
      <c r="Q29" s="224">
        <v>4.59</v>
      </c>
      <c r="R29" s="225"/>
      <c r="S29" s="225"/>
      <c r="T29" s="225"/>
      <c r="U29" s="225"/>
      <c r="V29" s="225"/>
    </row>
    <row r="30" spans="1:42" x14ac:dyDescent="0.25">
      <c r="A30" s="42" t="s">
        <v>0</v>
      </c>
      <c r="B30" s="223">
        <v>14</v>
      </c>
      <c r="C30" s="221" t="s">
        <v>806</v>
      </c>
      <c r="E30" s="2">
        <f t="shared" ref="E30:H38" si="31">E12</f>
        <v>3.5993389230776551</v>
      </c>
      <c r="F30" s="2">
        <v>5.1477599999999999</v>
      </c>
      <c r="G30" s="16">
        <f t="shared" si="31"/>
        <v>63919.616214142108</v>
      </c>
      <c r="H30" s="2">
        <f t="shared" si="31"/>
        <v>0.50171447741666797</v>
      </c>
      <c r="N30" s="3">
        <v>1346.6666666666667</v>
      </c>
      <c r="O30" s="1">
        <v>362</v>
      </c>
      <c r="P30" s="1" t="s">
        <v>585</v>
      </c>
      <c r="Q30" s="224">
        <v>2.6</v>
      </c>
      <c r="R30" s="258">
        <f>33000/1000000</f>
        <v>3.3000000000000002E-2</v>
      </c>
      <c r="S30" s="259">
        <f>IF(R30*100&lt;1.2,DOC_avg,IF(R30*100&gt;=1.2,(R30*100)^2*DOC_F1+(R30*100)*DOC_F2+DOC_F3))</f>
        <v>88.823100000000039</v>
      </c>
      <c r="T30" s="258">
        <v>1.81</v>
      </c>
      <c r="U30" s="260">
        <v>0.38400000000000001</v>
      </c>
      <c r="V30" s="260">
        <v>0.11457546239999999</v>
      </c>
      <c r="W30" s="2">
        <f>O30/N30</f>
        <v>0.26881188118811877</v>
      </c>
      <c r="X30" s="2">
        <f t="shared" ref="X30:X38" si="32">EXP(R$30*10^$E30*T$30*$H30*U$30*T/L^2/($G30^2)/V$30/10^$F30/S$30*1000000)*ERFC(SQRT(R$30*10^$E30*T$30*U$30*$H30*T/V$30/10^$F30/S$30*1000000)/L/$G30)</f>
        <v>0.48727390485045391</v>
      </c>
      <c r="Y30" s="2">
        <f>(X30-W30)^2</f>
        <v>4.7725655782642679E-2</v>
      </c>
    </row>
    <row r="31" spans="1:42" x14ac:dyDescent="0.25">
      <c r="A31" s="42" t="s">
        <v>1</v>
      </c>
      <c r="B31" s="223">
        <v>36</v>
      </c>
      <c r="C31" s="221" t="s">
        <v>807</v>
      </c>
      <c r="E31" s="2">
        <f t="shared" si="31"/>
        <v>5.1213079115569577</v>
      </c>
      <c r="F31" s="2">
        <v>5.7470160000000003</v>
      </c>
      <c r="G31" s="16">
        <f t="shared" si="31"/>
        <v>262677.88071364415</v>
      </c>
      <c r="H31" s="2">
        <f t="shared" si="31"/>
        <v>0.45309549993879755</v>
      </c>
      <c r="N31" s="3">
        <v>1530</v>
      </c>
      <c r="O31" s="1">
        <v>618</v>
      </c>
      <c r="P31" s="1" t="s">
        <v>585</v>
      </c>
      <c r="Q31" s="224">
        <v>11.5</v>
      </c>
      <c r="R31" s="225"/>
      <c r="S31" s="225"/>
      <c r="U31" s="225"/>
      <c r="V31" s="225"/>
      <c r="W31" s="2">
        <f t="shared" ref="W31:W38" si="33">O31/N31</f>
        <v>0.40392156862745099</v>
      </c>
      <c r="X31" s="2">
        <f t="shared" si="32"/>
        <v>0.59634829569331937</v>
      </c>
      <c r="Y31" s="2">
        <f t="shared" ref="Y31:Y38" si="34">(X31-W31)^2</f>
        <v>3.7028045289282205E-2</v>
      </c>
    </row>
    <row r="32" spans="1:42" x14ac:dyDescent="0.25">
      <c r="A32" s="42" t="s">
        <v>2</v>
      </c>
      <c r="B32" s="223">
        <v>78</v>
      </c>
      <c r="C32" s="221" t="s">
        <v>808</v>
      </c>
      <c r="E32" s="2">
        <f t="shared" si="31"/>
        <v>6.3885619982004886</v>
      </c>
      <c r="F32" s="2">
        <v>6.3181720000000006</v>
      </c>
      <c r="G32" s="16">
        <f t="shared" si="31"/>
        <v>842807.64446312503</v>
      </c>
      <c r="H32" s="2">
        <f t="shared" si="31"/>
        <v>0.41446452428724656</v>
      </c>
      <c r="N32" s="3">
        <v>687.66666666666663</v>
      </c>
      <c r="O32" s="1">
        <v>351</v>
      </c>
      <c r="P32" s="1" t="s">
        <v>585</v>
      </c>
      <c r="Q32" s="224">
        <v>30.6</v>
      </c>
      <c r="R32" s="225"/>
      <c r="S32" s="225"/>
      <c r="U32" s="225"/>
      <c r="V32" s="225"/>
      <c r="W32" s="2">
        <f t="shared" si="33"/>
        <v>0.51042171594764907</v>
      </c>
      <c r="X32" s="2">
        <f t="shared" si="32"/>
        <v>0.69647955170581011</v>
      </c>
      <c r="Y32" s="2">
        <f t="shared" si="34"/>
        <v>3.4617518247010828E-2</v>
      </c>
    </row>
    <row r="33" spans="1:25" x14ac:dyDescent="0.25">
      <c r="A33" s="42" t="s">
        <v>3</v>
      </c>
      <c r="B33" s="223">
        <v>121</v>
      </c>
      <c r="C33" s="221" t="s">
        <v>809</v>
      </c>
      <c r="E33" s="2">
        <f t="shared" si="31"/>
        <v>7.0923537593378221</v>
      </c>
      <c r="F33" s="2">
        <v>6.7030280000000007</v>
      </c>
      <c r="G33" s="16">
        <f t="shared" si="31"/>
        <v>1777033.55268118</v>
      </c>
      <c r="H33" s="2">
        <f t="shared" si="31"/>
        <v>0.38291771022895116</v>
      </c>
      <c r="N33" s="3">
        <v>720</v>
      </c>
      <c r="O33" s="1">
        <v>465</v>
      </c>
      <c r="P33" s="1" t="s">
        <v>586</v>
      </c>
      <c r="Q33" s="224">
        <v>5.71</v>
      </c>
      <c r="R33" s="225"/>
      <c r="S33" s="225"/>
      <c r="U33" s="225"/>
      <c r="V33" s="225"/>
      <c r="W33" s="2">
        <f t="shared" si="33"/>
        <v>0.64583333333333337</v>
      </c>
      <c r="X33" s="2">
        <f t="shared" si="32"/>
        <v>0.78120475422203206</v>
      </c>
      <c r="Y33" s="2">
        <f t="shared" si="34"/>
        <v>1.832542159342521E-2</v>
      </c>
    </row>
    <row r="34" spans="1:25" x14ac:dyDescent="0.25">
      <c r="A34" s="42" t="s">
        <v>4</v>
      </c>
      <c r="B34" s="223">
        <v>104</v>
      </c>
      <c r="C34" s="221" t="s">
        <v>809</v>
      </c>
      <c r="E34" s="2">
        <f t="shared" si="31"/>
        <v>6.7714158550120036</v>
      </c>
      <c r="F34" s="2">
        <v>6.6676280000000006</v>
      </c>
      <c r="G34" s="16">
        <f t="shared" si="31"/>
        <v>544238.28532434627</v>
      </c>
      <c r="H34" s="2">
        <f t="shared" si="31"/>
        <v>0.38291771022895116</v>
      </c>
      <c r="N34" s="3">
        <v>1626.6666666666667</v>
      </c>
      <c r="O34" s="1">
        <v>651</v>
      </c>
      <c r="P34" s="1" t="s">
        <v>585</v>
      </c>
      <c r="Q34" s="224">
        <v>4.82</v>
      </c>
      <c r="R34" s="225"/>
      <c r="S34" s="225"/>
      <c r="U34" s="225"/>
      <c r="V34" s="225"/>
      <c r="W34" s="2">
        <f t="shared" si="33"/>
        <v>0.40020491803278685</v>
      </c>
      <c r="X34" s="2">
        <f t="shared" si="32"/>
        <v>0.58918803329995439</v>
      </c>
      <c r="Y34" s="2">
        <f t="shared" si="34"/>
        <v>3.5714617856083535E-2</v>
      </c>
    </row>
    <row r="35" spans="1:25" x14ac:dyDescent="0.25">
      <c r="A35" s="42" t="s">
        <v>6</v>
      </c>
      <c r="B35" s="223">
        <v>155</v>
      </c>
      <c r="C35" s="221" t="s">
        <v>810</v>
      </c>
      <c r="E35" s="2">
        <f t="shared" si="31"/>
        <v>8.3373281465970912</v>
      </c>
      <c r="F35" s="2">
        <v>7.2328840000000003</v>
      </c>
      <c r="G35" s="16">
        <f t="shared" si="31"/>
        <v>3642170.2218736345</v>
      </c>
      <c r="H35" s="2">
        <f t="shared" si="31"/>
        <v>0.35659524089143563</v>
      </c>
      <c r="N35" s="3">
        <v>557</v>
      </c>
      <c r="O35" s="1">
        <v>352</v>
      </c>
      <c r="P35" s="1" t="s">
        <v>585</v>
      </c>
      <c r="Q35" s="224">
        <v>1.27</v>
      </c>
      <c r="R35" s="225"/>
      <c r="S35" s="225"/>
      <c r="U35" s="225"/>
      <c r="V35" s="225"/>
      <c r="W35" s="2">
        <f t="shared" si="33"/>
        <v>0.63195691202872528</v>
      </c>
      <c r="X35" s="2">
        <f t="shared" si="32"/>
        <v>0.76837939926109144</v>
      </c>
      <c r="Y35" s="2">
        <f t="shared" si="34"/>
        <v>1.861109502266511E-2</v>
      </c>
    </row>
    <row r="36" spans="1:25" x14ac:dyDescent="0.25">
      <c r="A36" s="42" t="s">
        <v>7</v>
      </c>
      <c r="B36" s="223">
        <v>192</v>
      </c>
      <c r="C36" s="221" t="s">
        <v>811</v>
      </c>
      <c r="E36" s="2">
        <f t="shared" si="31"/>
        <v>9.3881859209727931</v>
      </c>
      <c r="F36" s="2">
        <v>7.8453400000000002</v>
      </c>
      <c r="G36" s="16">
        <f t="shared" si="31"/>
        <v>12632002.71097157</v>
      </c>
      <c r="H36" s="2">
        <f t="shared" si="31"/>
        <v>0.33424680832245074</v>
      </c>
      <c r="N36" s="3">
        <v>765</v>
      </c>
      <c r="O36" s="1">
        <v>613</v>
      </c>
      <c r="P36" s="1" t="s">
        <v>586</v>
      </c>
      <c r="Q36" s="224">
        <v>4.91</v>
      </c>
      <c r="R36" s="225"/>
      <c r="S36" s="225"/>
      <c r="U36" s="225"/>
      <c r="V36" s="225"/>
      <c r="W36" s="2">
        <f t="shared" si="33"/>
        <v>0.8013071895424837</v>
      </c>
      <c r="X36" s="2">
        <f t="shared" si="32"/>
        <v>0.88070720261947555</v>
      </c>
      <c r="Y36" s="2">
        <f t="shared" si="34"/>
        <v>6.3043620766264769E-3</v>
      </c>
    </row>
    <row r="37" spans="1:25" x14ac:dyDescent="0.25">
      <c r="A37" s="42" t="s">
        <v>8</v>
      </c>
      <c r="B37" s="223">
        <v>184</v>
      </c>
      <c r="C37" s="221" t="s">
        <v>811</v>
      </c>
      <c r="E37" s="2">
        <f t="shared" si="31"/>
        <v>9.1561831730064629</v>
      </c>
      <c r="F37" s="2">
        <v>7.8040400000000005</v>
      </c>
      <c r="G37" s="16">
        <f t="shared" si="31"/>
        <v>6301001.593298153</v>
      </c>
      <c r="H37" s="2">
        <f t="shared" si="31"/>
        <v>0.33424680832245074</v>
      </c>
      <c r="N37" s="3">
        <v>709.66666666666663</v>
      </c>
      <c r="O37" s="1">
        <v>514</v>
      </c>
      <c r="P37" s="1" t="s">
        <v>585</v>
      </c>
      <c r="Q37" s="224">
        <v>3.71</v>
      </c>
      <c r="R37" s="225"/>
      <c r="S37" s="225"/>
      <c r="U37" s="225"/>
      <c r="V37" s="225"/>
      <c r="W37" s="2">
        <f t="shared" si="33"/>
        <v>0.72428370126820107</v>
      </c>
      <c r="X37" s="2">
        <f t="shared" si="32"/>
        <v>0.81873125780674894</v>
      </c>
      <c r="Y37" s="2">
        <f t="shared" si="34"/>
        <v>8.9203409361021946E-3</v>
      </c>
    </row>
    <row r="38" spans="1:25" x14ac:dyDescent="0.25">
      <c r="A38" s="42" t="s">
        <v>9</v>
      </c>
      <c r="B38" s="223">
        <v>204</v>
      </c>
      <c r="C38" s="221" t="s">
        <v>812</v>
      </c>
      <c r="E38" s="2">
        <f t="shared" si="31"/>
        <v>10.527742948190678</v>
      </c>
      <c r="F38" s="2">
        <v>8.4681959999999989</v>
      </c>
      <c r="G38" s="16">
        <f t="shared" si="31"/>
        <v>19747514.291125294</v>
      </c>
      <c r="H38" s="2">
        <f t="shared" si="31"/>
        <v>0.31499856731758102</v>
      </c>
      <c r="N38" s="3">
        <v>1186.6666666666667</v>
      </c>
      <c r="O38" s="1">
        <v>945</v>
      </c>
      <c r="P38" s="1" t="s">
        <v>585</v>
      </c>
      <c r="Q38" s="224">
        <v>3.47</v>
      </c>
      <c r="R38" s="225"/>
      <c r="S38" s="225"/>
      <c r="U38" s="225"/>
      <c r="V38" s="225"/>
      <c r="W38" s="2">
        <f t="shared" si="33"/>
        <v>0.79634831460674149</v>
      </c>
      <c r="X38" s="2">
        <f t="shared" si="32"/>
        <v>0.86732103867389676</v>
      </c>
      <c r="Y38" s="2">
        <f t="shared" si="34"/>
        <v>5.037127561512561E-3</v>
      </c>
    </row>
    <row r="39" spans="1:25" x14ac:dyDescent="0.25">
      <c r="O39" s="339" t="s">
        <v>817</v>
      </c>
      <c r="P39" s="339"/>
      <c r="Q39" s="339"/>
      <c r="R39" s="324" t="s">
        <v>834</v>
      </c>
      <c r="S39" s="335"/>
      <c r="T39" s="335"/>
      <c r="U39" s="335"/>
      <c r="V39" s="348"/>
    </row>
    <row r="40" spans="1:25" x14ac:dyDescent="0.25">
      <c r="O40" s="251" t="s">
        <v>581</v>
      </c>
      <c r="P40" s="339" t="s">
        <v>582</v>
      </c>
      <c r="Q40" s="252" t="s">
        <v>583</v>
      </c>
      <c r="R40" s="325"/>
      <c r="S40" s="336"/>
      <c r="T40" s="336"/>
      <c r="U40" s="336"/>
      <c r="V40" s="349"/>
    </row>
    <row r="41" spans="1:25" ht="45.95" customHeight="1" x14ac:dyDescent="0.25">
      <c r="O41" s="253" t="s">
        <v>584</v>
      </c>
      <c r="P41" s="339"/>
      <c r="Q41" s="254" t="s">
        <v>584</v>
      </c>
      <c r="R41" s="255" t="s">
        <v>815</v>
      </c>
      <c r="S41" s="256" t="s">
        <v>716</v>
      </c>
      <c r="T41" s="256" t="s">
        <v>711</v>
      </c>
      <c r="U41" s="256" t="s">
        <v>677</v>
      </c>
      <c r="V41" s="257" t="s">
        <v>654</v>
      </c>
    </row>
    <row r="42" spans="1:25" x14ac:dyDescent="0.25">
      <c r="O42" s="1">
        <v>116</v>
      </c>
      <c r="P42" s="1" t="s">
        <v>585</v>
      </c>
      <c r="Q42" s="224">
        <v>0.80300000000000005</v>
      </c>
    </row>
    <row r="43" spans="1:25" x14ac:dyDescent="0.25">
      <c r="O43" s="1">
        <v>262</v>
      </c>
      <c r="P43" s="1" t="s">
        <v>585</v>
      </c>
      <c r="Q43" s="224">
        <v>1.05</v>
      </c>
    </row>
    <row r="44" spans="1:25" x14ac:dyDescent="0.25">
      <c r="O44" s="1">
        <v>270</v>
      </c>
      <c r="P44" s="1" t="s">
        <v>585</v>
      </c>
      <c r="Q44" s="224">
        <v>0.68700000000000006</v>
      </c>
    </row>
    <row r="45" spans="1:25" x14ac:dyDescent="0.25">
      <c r="O45" s="1">
        <v>379</v>
      </c>
      <c r="P45" s="1" t="s">
        <v>585</v>
      </c>
      <c r="Q45" s="224">
        <v>0.82899999999999996</v>
      </c>
    </row>
    <row r="46" spans="1:25" x14ac:dyDescent="0.25">
      <c r="O46" s="1">
        <v>3.6</v>
      </c>
      <c r="P46" s="1" t="s">
        <v>620</v>
      </c>
      <c r="Q46" s="224">
        <v>1.52</v>
      </c>
    </row>
    <row r="47" spans="1:25" x14ac:dyDescent="0.25">
      <c r="O47" s="1">
        <v>84.8</v>
      </c>
      <c r="P47" s="1" t="s">
        <v>585</v>
      </c>
      <c r="Q47" s="224">
        <v>1.67</v>
      </c>
    </row>
    <row r="48" spans="1:25" x14ac:dyDescent="0.25">
      <c r="A48" s="42" t="s">
        <v>0</v>
      </c>
      <c r="B48" s="223">
        <v>14</v>
      </c>
      <c r="C48" s="221" t="s">
        <v>806</v>
      </c>
      <c r="E48" s="2">
        <f t="shared" ref="E48:H56" si="35">E30</f>
        <v>3.5993389230776551</v>
      </c>
      <c r="F48" s="2">
        <f t="shared" ref="F48:F56" si="36">F30</f>
        <v>5.1477599999999999</v>
      </c>
      <c r="G48" s="16">
        <f t="shared" si="35"/>
        <v>63919.616214142108</v>
      </c>
      <c r="H48" s="2">
        <f t="shared" si="35"/>
        <v>0.50171447741666797</v>
      </c>
      <c r="N48" s="3">
        <v>1346.6666666666667</v>
      </c>
      <c r="O48" s="1">
        <v>606</v>
      </c>
      <c r="P48" s="1" t="s">
        <v>585</v>
      </c>
      <c r="Q48" s="224">
        <v>1.74</v>
      </c>
      <c r="R48" s="258">
        <f>11000/1000000</f>
        <v>1.0999999999999999E-2</v>
      </c>
      <c r="S48" s="259">
        <f>IF(R48*100&lt;1.2,DOC_avg,IF(R48*100&gt;=1.2,(R48*100)^2*DOC_F1+(R48*100)*DOC_F2+DOC_F3))</f>
        <v>8.4666666666666668</v>
      </c>
      <c r="T48" s="258">
        <v>1.81</v>
      </c>
      <c r="U48" s="260">
        <v>0.38400000000000001</v>
      </c>
      <c r="V48" s="260">
        <v>0.11457546239999999</v>
      </c>
      <c r="W48" s="2">
        <f>O48/N48</f>
        <v>0.44999999999999996</v>
      </c>
      <c r="X48" s="2">
        <f t="shared" ref="X48:X56" si="37">EXP(R$48*10^$E48*T$48*$H48*U$48*T/L^2/($G48^2)/V$48/10^$F48/S$48*1000000)*ERFC(SQRT(R$48*10^$E48*T$48*U$48*$H48*T/V$48/10^$F48/S$48*1000000)/L/$G48)</f>
        <v>0.32061853605642104</v>
      </c>
      <c r="Y48" s="2">
        <f>(X48-W48)^2</f>
        <v>1.673956321218361E-2</v>
      </c>
    </row>
    <row r="49" spans="1:25" x14ac:dyDescent="0.25">
      <c r="A49" s="42" t="s">
        <v>1</v>
      </c>
      <c r="B49" s="223">
        <v>36</v>
      </c>
      <c r="C49" s="221" t="s">
        <v>807</v>
      </c>
      <c r="E49" s="2">
        <f t="shared" si="35"/>
        <v>5.1213079115569577</v>
      </c>
      <c r="F49" s="2">
        <f t="shared" si="36"/>
        <v>5.7470160000000003</v>
      </c>
      <c r="G49" s="16">
        <f t="shared" si="35"/>
        <v>262677.88071364415</v>
      </c>
      <c r="H49" s="2">
        <f t="shared" si="35"/>
        <v>0.45309549993879755</v>
      </c>
      <c r="N49" s="3">
        <v>1530</v>
      </c>
      <c r="O49" s="1">
        <v>754</v>
      </c>
      <c r="P49" s="1" t="s">
        <v>585</v>
      </c>
      <c r="Q49" s="224">
        <v>8.66</v>
      </c>
      <c r="W49" s="2">
        <f t="shared" ref="W49:W56" si="38">O49/N49</f>
        <v>0.49281045751633989</v>
      </c>
      <c r="X49" s="2">
        <f t="shared" si="37"/>
        <v>0.42554807648072152</v>
      </c>
      <c r="Y49" s="2">
        <f t="shared" ref="Y49:Y56" si="39">(X49-W49)^2</f>
        <v>4.5242279025807146E-3</v>
      </c>
    </row>
    <row r="50" spans="1:25" x14ac:dyDescent="0.25">
      <c r="A50" s="42" t="s">
        <v>2</v>
      </c>
      <c r="B50" s="223">
        <v>78</v>
      </c>
      <c r="C50" s="221" t="s">
        <v>808</v>
      </c>
      <c r="E50" s="2">
        <f t="shared" si="35"/>
        <v>6.3885619982004886</v>
      </c>
      <c r="F50" s="2">
        <f t="shared" si="36"/>
        <v>6.3181720000000006</v>
      </c>
      <c r="G50" s="16">
        <f t="shared" si="35"/>
        <v>842807.64446312503</v>
      </c>
      <c r="H50" s="2">
        <f t="shared" si="35"/>
        <v>0.41446452428724656</v>
      </c>
      <c r="N50" s="3">
        <v>687.66666666666663</v>
      </c>
      <c r="O50" s="1">
        <v>409</v>
      </c>
      <c r="P50" s="1" t="s">
        <v>585</v>
      </c>
      <c r="Q50" s="224">
        <v>14.4</v>
      </c>
      <c r="W50" s="2">
        <f t="shared" si="38"/>
        <v>0.59476490547746008</v>
      </c>
      <c r="X50" s="2">
        <f t="shared" si="37"/>
        <v>0.53820252166557359</v>
      </c>
      <c r="Y50" s="2">
        <f t="shared" si="39"/>
        <v>3.1993032624831595E-3</v>
      </c>
    </row>
    <row r="51" spans="1:25" x14ac:dyDescent="0.25">
      <c r="A51" s="42" t="s">
        <v>3</v>
      </c>
      <c r="B51" s="223">
        <v>121</v>
      </c>
      <c r="C51" s="221" t="s">
        <v>809</v>
      </c>
      <c r="E51" s="2">
        <f t="shared" si="35"/>
        <v>7.0923537593378221</v>
      </c>
      <c r="F51" s="2">
        <f t="shared" si="36"/>
        <v>6.7030280000000007</v>
      </c>
      <c r="G51" s="16">
        <f t="shared" si="35"/>
        <v>1777033.55268118</v>
      </c>
      <c r="H51" s="2">
        <f t="shared" si="35"/>
        <v>0.38291771022895116</v>
      </c>
      <c r="N51" s="3">
        <v>720</v>
      </c>
      <c r="O51" s="1">
        <v>498</v>
      </c>
      <c r="P51" s="1" t="s">
        <v>586</v>
      </c>
      <c r="Q51" s="224">
        <v>4.59</v>
      </c>
      <c r="W51" s="2">
        <f t="shared" si="38"/>
        <v>0.69166666666666665</v>
      </c>
      <c r="X51" s="2">
        <f t="shared" si="37"/>
        <v>0.64751930755399045</v>
      </c>
      <c r="Y51" s="2">
        <f t="shared" si="39"/>
        <v>1.9489893166235942E-3</v>
      </c>
    </row>
    <row r="52" spans="1:25" x14ac:dyDescent="0.25">
      <c r="A52" s="42" t="s">
        <v>4</v>
      </c>
      <c r="B52" s="223">
        <v>104</v>
      </c>
      <c r="C52" s="221" t="s">
        <v>809</v>
      </c>
      <c r="E52" s="2">
        <f t="shared" si="35"/>
        <v>6.7714158550120036</v>
      </c>
      <c r="F52" s="2">
        <f t="shared" si="36"/>
        <v>6.6676280000000006</v>
      </c>
      <c r="G52" s="16">
        <f t="shared" si="35"/>
        <v>544238.28532434627</v>
      </c>
      <c r="H52" s="2">
        <f t="shared" si="35"/>
        <v>0.38291771022895116</v>
      </c>
      <c r="N52" s="3">
        <v>1626.6666666666667</v>
      </c>
      <c r="O52" s="1">
        <v>776</v>
      </c>
      <c r="P52" s="1" t="s">
        <v>585</v>
      </c>
      <c r="Q52" s="224">
        <v>3.88</v>
      </c>
      <c r="W52" s="2">
        <f t="shared" si="38"/>
        <v>0.4770491803278688</v>
      </c>
      <c r="X52" s="2">
        <f t="shared" si="37"/>
        <v>0.41812110285594489</v>
      </c>
      <c r="Y52" s="2">
        <f t="shared" si="39"/>
        <v>3.4725183145370665E-3</v>
      </c>
    </row>
    <row r="53" spans="1:25" x14ac:dyDescent="0.25">
      <c r="A53" s="42" t="s">
        <v>6</v>
      </c>
      <c r="B53" s="223">
        <v>155</v>
      </c>
      <c r="C53" s="221" t="s">
        <v>810</v>
      </c>
      <c r="E53" s="2">
        <f t="shared" si="35"/>
        <v>8.3373281465970912</v>
      </c>
      <c r="F53" s="2">
        <f t="shared" si="36"/>
        <v>7.2328840000000003</v>
      </c>
      <c r="G53" s="16">
        <f t="shared" si="35"/>
        <v>3642170.2218736345</v>
      </c>
      <c r="H53" s="2">
        <f t="shared" si="35"/>
        <v>0.35659524089143563</v>
      </c>
      <c r="N53" s="3">
        <v>557</v>
      </c>
      <c r="O53" s="1">
        <v>370</v>
      </c>
      <c r="P53" s="1" t="s">
        <v>585</v>
      </c>
      <c r="Q53" s="224">
        <v>1.77</v>
      </c>
      <c r="W53" s="2">
        <f t="shared" si="38"/>
        <v>0.6642728904847397</v>
      </c>
      <c r="X53" s="2">
        <f t="shared" si="37"/>
        <v>0.6300844835426751</v>
      </c>
      <c r="Y53" s="2">
        <f t="shared" si="39"/>
        <v>1.1688471692362108E-3</v>
      </c>
    </row>
    <row r="54" spans="1:25" x14ac:dyDescent="0.25">
      <c r="A54" s="42" t="s">
        <v>7</v>
      </c>
      <c r="B54" s="223">
        <v>192</v>
      </c>
      <c r="C54" s="221" t="s">
        <v>811</v>
      </c>
      <c r="E54" s="2">
        <f t="shared" si="35"/>
        <v>9.3881859209727931</v>
      </c>
      <c r="F54" s="2">
        <f t="shared" si="36"/>
        <v>7.8453400000000002</v>
      </c>
      <c r="G54" s="16">
        <f t="shared" si="35"/>
        <v>12632002.71097157</v>
      </c>
      <c r="H54" s="2">
        <f t="shared" si="35"/>
        <v>0.33424680832245074</v>
      </c>
      <c r="N54" s="3">
        <v>765</v>
      </c>
      <c r="O54" s="1">
        <v>635</v>
      </c>
      <c r="P54" s="1" t="s">
        <v>586</v>
      </c>
      <c r="Q54" s="224">
        <v>2.81</v>
      </c>
      <c r="W54" s="2">
        <f t="shared" si="38"/>
        <v>0.83006535947712423</v>
      </c>
      <c r="X54" s="2">
        <f t="shared" si="37"/>
        <v>0.79436877990626198</v>
      </c>
      <c r="Y54" s="2">
        <f t="shared" si="39"/>
        <v>1.2742457930589003E-3</v>
      </c>
    </row>
    <row r="55" spans="1:25" x14ac:dyDescent="0.25">
      <c r="A55" s="42" t="s">
        <v>8</v>
      </c>
      <c r="B55" s="223">
        <v>184</v>
      </c>
      <c r="C55" s="221" t="s">
        <v>811</v>
      </c>
      <c r="E55" s="2">
        <f t="shared" si="35"/>
        <v>9.1561831730064629</v>
      </c>
      <c r="F55" s="2">
        <f t="shared" si="36"/>
        <v>7.8040400000000005</v>
      </c>
      <c r="G55" s="16">
        <f t="shared" si="35"/>
        <v>6301001.593298153</v>
      </c>
      <c r="H55" s="2">
        <f t="shared" si="35"/>
        <v>0.33424680832245074</v>
      </c>
      <c r="N55" s="3">
        <v>709.66666666666663</v>
      </c>
      <c r="O55" s="1">
        <v>524</v>
      </c>
      <c r="P55" s="1" t="s">
        <v>585</v>
      </c>
      <c r="Q55" s="224">
        <v>2.12</v>
      </c>
      <c r="W55" s="2">
        <f t="shared" si="38"/>
        <v>0.73837482386096764</v>
      </c>
      <c r="X55" s="2">
        <f t="shared" si="37"/>
        <v>0.70044352418874178</v>
      </c>
      <c r="Y55" s="2">
        <f t="shared" si="39"/>
        <v>1.4387834948242017E-3</v>
      </c>
    </row>
    <row r="56" spans="1:25" x14ac:dyDescent="0.25">
      <c r="A56" s="42" t="s">
        <v>9</v>
      </c>
      <c r="B56" s="223">
        <v>204</v>
      </c>
      <c r="C56" s="221" t="s">
        <v>812</v>
      </c>
      <c r="E56" s="2">
        <f t="shared" si="35"/>
        <v>10.527742948190678</v>
      </c>
      <c r="F56" s="2">
        <f t="shared" si="36"/>
        <v>8.4681959999999989</v>
      </c>
      <c r="G56" s="16">
        <f t="shared" si="35"/>
        <v>19747514.291125294</v>
      </c>
      <c r="H56" s="2">
        <f t="shared" si="35"/>
        <v>0.31499856731758102</v>
      </c>
      <c r="N56" s="3">
        <v>1186.6666666666667</v>
      </c>
      <c r="O56" s="1">
        <v>946</v>
      </c>
      <c r="P56" s="1" t="s">
        <v>585</v>
      </c>
      <c r="Q56" s="224">
        <v>4.79</v>
      </c>
      <c r="W56" s="2">
        <f t="shared" si="38"/>
        <v>0.79719101123595504</v>
      </c>
      <c r="X56" s="2">
        <f t="shared" si="37"/>
        <v>0.77337107357996038</v>
      </c>
      <c r="Y56" s="2">
        <f t="shared" si="39"/>
        <v>5.6738942993547238E-4</v>
      </c>
    </row>
    <row r="57" spans="1:25" x14ac:dyDescent="0.25">
      <c r="O57" s="339" t="s">
        <v>818</v>
      </c>
      <c r="P57" s="339"/>
      <c r="Q57" s="339"/>
      <c r="R57" s="324" t="s">
        <v>834</v>
      </c>
      <c r="S57" s="335"/>
      <c r="T57" s="335"/>
      <c r="U57" s="335"/>
      <c r="V57" s="348"/>
    </row>
    <row r="58" spans="1:25" x14ac:dyDescent="0.25">
      <c r="O58" s="251" t="s">
        <v>581</v>
      </c>
      <c r="P58" s="339" t="s">
        <v>582</v>
      </c>
      <c r="Q58" s="252" t="s">
        <v>583</v>
      </c>
      <c r="R58" s="325"/>
      <c r="S58" s="336"/>
      <c r="T58" s="336"/>
      <c r="U58" s="336"/>
      <c r="V58" s="349"/>
      <c r="Y58" s="2"/>
    </row>
    <row r="59" spans="1:25" ht="45.95" customHeight="1" x14ac:dyDescent="0.25">
      <c r="O59" s="253" t="s">
        <v>584</v>
      </c>
      <c r="P59" s="339"/>
      <c r="Q59" s="254" t="s">
        <v>584</v>
      </c>
      <c r="R59" s="255" t="s">
        <v>815</v>
      </c>
      <c r="S59" s="256" t="s">
        <v>716</v>
      </c>
      <c r="T59" s="256" t="s">
        <v>711</v>
      </c>
      <c r="U59" s="256" t="s">
        <v>677</v>
      </c>
      <c r="V59" s="257" t="s">
        <v>654</v>
      </c>
    </row>
    <row r="60" spans="1:25" x14ac:dyDescent="0.25">
      <c r="O60" s="1">
        <v>70.599999999999994</v>
      </c>
      <c r="P60" s="1" t="s">
        <v>585</v>
      </c>
      <c r="Q60" s="224">
        <v>0.86799999999999999</v>
      </c>
    </row>
    <row r="61" spans="1:25" x14ac:dyDescent="0.25">
      <c r="O61" s="1">
        <v>128</v>
      </c>
      <c r="P61" s="1" t="s">
        <v>585</v>
      </c>
      <c r="Q61" s="224">
        <v>1.1299999999999999</v>
      </c>
    </row>
    <row r="62" spans="1:25" x14ac:dyDescent="0.25">
      <c r="O62" s="1">
        <v>154</v>
      </c>
      <c r="P62" s="1" t="s">
        <v>585</v>
      </c>
      <c r="Q62" s="224">
        <v>0.435</v>
      </c>
    </row>
    <row r="63" spans="1:25" x14ac:dyDescent="0.25">
      <c r="O63" s="1">
        <v>211</v>
      </c>
      <c r="P63" s="1" t="s">
        <v>585</v>
      </c>
      <c r="Q63" s="224">
        <v>0.52100000000000002</v>
      </c>
    </row>
    <row r="64" spans="1:25" x14ac:dyDescent="0.25">
      <c r="O64" s="1">
        <v>1.74</v>
      </c>
      <c r="P64" s="1" t="s">
        <v>620</v>
      </c>
      <c r="Q64" s="224">
        <v>1.5</v>
      </c>
    </row>
    <row r="65" spans="1:25" x14ac:dyDescent="0.25">
      <c r="O65" s="1">
        <v>43.3</v>
      </c>
      <c r="P65" s="1" t="s">
        <v>585</v>
      </c>
      <c r="Q65" s="224">
        <v>1.91</v>
      </c>
    </row>
    <row r="66" spans="1:25" x14ac:dyDescent="0.25">
      <c r="A66" s="42" t="s">
        <v>0</v>
      </c>
      <c r="B66" s="223">
        <v>14</v>
      </c>
      <c r="C66" s="221" t="s">
        <v>806</v>
      </c>
      <c r="E66" s="2">
        <f t="shared" ref="E66:H74" si="40">E48</f>
        <v>3.5993389230776551</v>
      </c>
      <c r="F66" s="2">
        <f t="shared" ref="F66:F74" si="41">F48</f>
        <v>5.1477599999999999</v>
      </c>
      <c r="G66" s="16">
        <f t="shared" si="40"/>
        <v>63919.616214142108</v>
      </c>
      <c r="H66" s="2">
        <f t="shared" si="40"/>
        <v>0.50171447741666797</v>
      </c>
      <c r="N66" s="3">
        <v>1346.6666666666667</v>
      </c>
      <c r="O66" s="1">
        <v>617</v>
      </c>
      <c r="P66" s="1" t="s">
        <v>585</v>
      </c>
      <c r="Q66" s="224">
        <v>1.99</v>
      </c>
      <c r="R66" s="258">
        <f>5800/1000000</f>
        <v>5.7999999999999996E-3</v>
      </c>
      <c r="S66" s="259">
        <f>IF(R66*100&lt;1.2,DOC_avg,IF(R66*100&gt;=1.2,(R66*100)^2*DOC_F1+(R66*100)*DOC_F2+DOC_F3))</f>
        <v>8.4666666666666668</v>
      </c>
      <c r="T66" s="258">
        <v>1.81</v>
      </c>
      <c r="U66" s="260">
        <v>0.38400000000000001</v>
      </c>
      <c r="V66" s="260">
        <v>0.11457546239999999</v>
      </c>
      <c r="W66" s="2">
        <f>O66/N66</f>
        <v>0.45816831683168313</v>
      </c>
      <c r="X66" s="2">
        <f t="shared" ref="X66:X74" si="42">EXP(R$66*10^$E66*T$66*$H66*U$66*T/L^2/($G66^2)/V$66/10^$F66/S$66*1000000)*ERFC(SQRT(R$66*10^$E66*T$66*U$66*$H66*T/V$66/10^$F66/S$66*1000000)/L/$G66)</f>
        <v>0.40332434468414508</v>
      </c>
      <c r="Y66" s="2">
        <f>(X66-W66)^2</f>
        <v>3.0078612809199302E-3</v>
      </c>
    </row>
    <row r="67" spans="1:25" x14ac:dyDescent="0.25">
      <c r="A67" s="42" t="s">
        <v>1</v>
      </c>
      <c r="B67" s="223">
        <v>36</v>
      </c>
      <c r="C67" s="221" t="s">
        <v>807</v>
      </c>
      <c r="E67" s="2">
        <f t="shared" si="40"/>
        <v>5.1213079115569577</v>
      </c>
      <c r="F67" s="2">
        <f t="shared" si="41"/>
        <v>5.7470160000000003</v>
      </c>
      <c r="G67" s="16">
        <f t="shared" si="40"/>
        <v>262677.88071364415</v>
      </c>
      <c r="H67" s="2">
        <f t="shared" si="40"/>
        <v>0.45309549993879755</v>
      </c>
      <c r="N67" s="3">
        <v>1530</v>
      </c>
      <c r="O67" s="1">
        <v>835</v>
      </c>
      <c r="P67" s="1" t="s">
        <v>585</v>
      </c>
      <c r="Q67" s="224">
        <v>3.23</v>
      </c>
      <c r="W67" s="2">
        <f t="shared" ref="W67:W74" si="43">O67/N67</f>
        <v>0.54575163398692805</v>
      </c>
      <c r="X67" s="2">
        <f t="shared" si="42"/>
        <v>0.51379931547140267</v>
      </c>
      <c r="Y67" s="2">
        <f t="shared" ref="Y67:Y74" si="44">(X67-W67)^2</f>
        <v>1.020950658517586E-3</v>
      </c>
    </row>
    <row r="68" spans="1:25" x14ac:dyDescent="0.25">
      <c r="A68" s="42" t="s">
        <v>2</v>
      </c>
      <c r="B68" s="223">
        <v>78</v>
      </c>
      <c r="C68" s="221" t="s">
        <v>808</v>
      </c>
      <c r="E68" s="2">
        <f t="shared" si="40"/>
        <v>6.3885619982004886</v>
      </c>
      <c r="F68" s="2">
        <f t="shared" si="41"/>
        <v>6.3181720000000006</v>
      </c>
      <c r="G68" s="16">
        <f t="shared" si="40"/>
        <v>842807.64446312503</v>
      </c>
      <c r="H68" s="2">
        <f t="shared" si="40"/>
        <v>0.41446452428724656</v>
      </c>
      <c r="N68" s="3">
        <v>687.66666666666663</v>
      </c>
      <c r="O68" s="1">
        <v>429</v>
      </c>
      <c r="P68" s="1" t="s">
        <v>585</v>
      </c>
      <c r="Q68" s="224">
        <v>4.6399999999999997</v>
      </c>
      <c r="W68" s="2">
        <f t="shared" si="43"/>
        <v>0.62384876393601552</v>
      </c>
      <c r="X68" s="2">
        <f t="shared" si="42"/>
        <v>0.62293232368071227</v>
      </c>
      <c r="Y68" s="2">
        <f t="shared" si="44"/>
        <v>8.3986274154027017E-7</v>
      </c>
    </row>
    <row r="69" spans="1:25" x14ac:dyDescent="0.25">
      <c r="A69" s="42" t="s">
        <v>3</v>
      </c>
      <c r="B69" s="223">
        <v>121</v>
      </c>
      <c r="C69" s="221" t="s">
        <v>809</v>
      </c>
      <c r="E69" s="2">
        <f t="shared" si="40"/>
        <v>7.0923537593378221</v>
      </c>
      <c r="F69" s="2">
        <f t="shared" si="41"/>
        <v>6.7030280000000007</v>
      </c>
      <c r="G69" s="16">
        <f t="shared" si="40"/>
        <v>1777033.55268118</v>
      </c>
      <c r="H69" s="2">
        <f t="shared" si="40"/>
        <v>0.38291771022895116</v>
      </c>
      <c r="N69" s="3">
        <v>720</v>
      </c>
      <c r="O69" s="1">
        <v>505</v>
      </c>
      <c r="P69" s="1" t="s">
        <v>586</v>
      </c>
      <c r="Q69" s="224">
        <v>1.82</v>
      </c>
      <c r="W69" s="2">
        <f t="shared" si="43"/>
        <v>0.70138888888888884</v>
      </c>
      <c r="X69" s="2">
        <f t="shared" si="42"/>
        <v>0.72115005174288016</v>
      </c>
      <c r="Y69" s="2">
        <f t="shared" si="44"/>
        <v>3.9050355734196641E-4</v>
      </c>
    </row>
    <row r="70" spans="1:25" x14ac:dyDescent="0.25">
      <c r="A70" s="42" t="s">
        <v>4</v>
      </c>
      <c r="B70" s="223">
        <v>104</v>
      </c>
      <c r="C70" s="221" t="s">
        <v>809</v>
      </c>
      <c r="E70" s="2">
        <f t="shared" si="40"/>
        <v>6.7714158550120036</v>
      </c>
      <c r="F70" s="2">
        <f t="shared" si="41"/>
        <v>6.6676280000000006</v>
      </c>
      <c r="G70" s="16">
        <f t="shared" si="40"/>
        <v>544238.28532434627</v>
      </c>
      <c r="H70" s="2">
        <f t="shared" si="40"/>
        <v>0.38291771022895116</v>
      </c>
      <c r="N70" s="3">
        <v>1626.6666666666667</v>
      </c>
      <c r="O70" s="1">
        <v>775</v>
      </c>
      <c r="P70" s="1" t="s">
        <v>585</v>
      </c>
      <c r="Q70" s="224">
        <v>1.54</v>
      </c>
      <c r="W70" s="2">
        <f t="shared" si="43"/>
        <v>0.47643442622950816</v>
      </c>
      <c r="X70" s="2">
        <f t="shared" si="42"/>
        <v>0.50628064538569384</v>
      </c>
      <c r="Y70" s="2">
        <f t="shared" si="44"/>
        <v>8.9079679791906525E-4</v>
      </c>
    </row>
    <row r="71" spans="1:25" x14ac:dyDescent="0.25">
      <c r="A71" s="42" t="s">
        <v>6</v>
      </c>
      <c r="B71" s="223">
        <v>155</v>
      </c>
      <c r="C71" s="221" t="s">
        <v>810</v>
      </c>
      <c r="E71" s="2">
        <f t="shared" si="40"/>
        <v>8.3373281465970912</v>
      </c>
      <c r="F71" s="2">
        <f t="shared" si="41"/>
        <v>7.2328840000000003</v>
      </c>
      <c r="G71" s="16">
        <f t="shared" si="40"/>
        <v>3642170.2218736345</v>
      </c>
      <c r="H71" s="2">
        <f t="shared" si="40"/>
        <v>0.35659524089143563</v>
      </c>
      <c r="N71" s="3">
        <v>557</v>
      </c>
      <c r="O71" s="1">
        <v>373</v>
      </c>
      <c r="P71" s="1" t="s">
        <v>585</v>
      </c>
      <c r="Q71" s="224">
        <v>0.877</v>
      </c>
      <c r="W71" s="2">
        <f t="shared" si="43"/>
        <v>0.66965888689407538</v>
      </c>
      <c r="X71" s="2">
        <f t="shared" si="42"/>
        <v>0.70593389072126311</v>
      </c>
      <c r="Y71" s="2">
        <f t="shared" si="44"/>
        <v>1.3158759026624849E-3</v>
      </c>
    </row>
    <row r="72" spans="1:25" x14ac:dyDescent="0.25">
      <c r="A72" s="42" t="s">
        <v>7</v>
      </c>
      <c r="B72" s="223">
        <v>192</v>
      </c>
      <c r="C72" s="221" t="s">
        <v>811</v>
      </c>
      <c r="E72" s="2">
        <f t="shared" si="40"/>
        <v>9.3881859209727931</v>
      </c>
      <c r="F72" s="2">
        <f t="shared" si="41"/>
        <v>7.8453400000000002</v>
      </c>
      <c r="G72" s="16">
        <f t="shared" si="40"/>
        <v>12632002.71097157</v>
      </c>
      <c r="H72" s="2">
        <f t="shared" si="40"/>
        <v>0.33424680832245074</v>
      </c>
      <c r="N72" s="3">
        <v>765</v>
      </c>
      <c r="O72" s="1">
        <v>632</v>
      </c>
      <c r="P72" s="1" t="s">
        <v>586</v>
      </c>
      <c r="Q72" s="224">
        <v>1.83</v>
      </c>
      <c r="W72" s="2">
        <f t="shared" si="43"/>
        <v>0.82614379084967315</v>
      </c>
      <c r="X72" s="2">
        <f t="shared" si="42"/>
        <v>0.84344326360483346</v>
      </c>
      <c r="Y72" s="2">
        <f t="shared" si="44"/>
        <v>2.992717576065337E-4</v>
      </c>
    </row>
    <row r="73" spans="1:25" x14ac:dyDescent="0.25">
      <c r="A73" s="42" t="s">
        <v>8</v>
      </c>
      <c r="B73" s="223">
        <v>184</v>
      </c>
      <c r="C73" s="221" t="s">
        <v>811</v>
      </c>
      <c r="E73" s="2">
        <f t="shared" si="40"/>
        <v>9.1561831730064629</v>
      </c>
      <c r="F73" s="2">
        <f t="shared" si="41"/>
        <v>7.8040400000000005</v>
      </c>
      <c r="G73" s="16">
        <f t="shared" si="40"/>
        <v>6301001.593298153</v>
      </c>
      <c r="H73" s="2">
        <f t="shared" si="40"/>
        <v>0.33424680832245074</v>
      </c>
      <c r="N73" s="3">
        <v>709.66666666666663</v>
      </c>
      <c r="O73" s="1">
        <v>513</v>
      </c>
      <c r="P73" s="1" t="s">
        <v>585</v>
      </c>
      <c r="Q73" s="224">
        <v>1.39</v>
      </c>
      <c r="W73" s="2">
        <f t="shared" si="43"/>
        <v>0.72287458900892443</v>
      </c>
      <c r="X73" s="2">
        <f t="shared" si="42"/>
        <v>0.766388240449555</v>
      </c>
      <c r="Y73" s="2">
        <f t="shared" si="44"/>
        <v>1.8934378616966912E-3</v>
      </c>
    </row>
    <row r="74" spans="1:25" x14ac:dyDescent="0.25">
      <c r="A74" s="42" t="s">
        <v>9</v>
      </c>
      <c r="B74" s="223">
        <v>204</v>
      </c>
      <c r="C74" s="221" t="s">
        <v>812</v>
      </c>
      <c r="E74" s="2">
        <f t="shared" si="40"/>
        <v>10.527742948190678</v>
      </c>
      <c r="F74" s="2">
        <f t="shared" si="41"/>
        <v>8.4681959999999989</v>
      </c>
      <c r="G74" s="16">
        <f t="shared" si="40"/>
        <v>19747514.291125294</v>
      </c>
      <c r="H74" s="2">
        <f t="shared" si="40"/>
        <v>0.31499856731758102</v>
      </c>
      <c r="N74" s="3">
        <v>1186.6666666666667</v>
      </c>
      <c r="O74" s="1">
        <v>972</v>
      </c>
      <c r="P74" s="1" t="s">
        <v>585</v>
      </c>
      <c r="Q74" s="224">
        <v>2.15</v>
      </c>
      <c r="W74" s="2">
        <f t="shared" si="43"/>
        <v>0.81910112359550558</v>
      </c>
      <c r="X74" s="2">
        <f t="shared" si="42"/>
        <v>0.82655268627194545</v>
      </c>
      <c r="Y74" s="2">
        <f t="shared" si="44"/>
        <v>5.5525786320911739E-5</v>
      </c>
    </row>
    <row r="75" spans="1:25" x14ac:dyDescent="0.25">
      <c r="O75" s="339" t="s">
        <v>819</v>
      </c>
      <c r="P75" s="339"/>
      <c r="Q75" s="339"/>
      <c r="R75" s="324" t="s">
        <v>834</v>
      </c>
      <c r="S75" s="335"/>
      <c r="T75" s="335"/>
      <c r="U75" s="335"/>
      <c r="V75" s="348"/>
    </row>
    <row r="76" spans="1:25" x14ac:dyDescent="0.25">
      <c r="O76" s="251" t="s">
        <v>581</v>
      </c>
      <c r="P76" s="339" t="s">
        <v>582</v>
      </c>
      <c r="Q76" s="251" t="s">
        <v>583</v>
      </c>
      <c r="R76" s="325"/>
      <c r="S76" s="336"/>
      <c r="T76" s="336"/>
      <c r="U76" s="336"/>
      <c r="V76" s="349"/>
    </row>
    <row r="77" spans="1:25" ht="45.95" customHeight="1" x14ac:dyDescent="0.25">
      <c r="O77" s="253" t="s">
        <v>584</v>
      </c>
      <c r="P77" s="339"/>
      <c r="Q77" s="253" t="s">
        <v>584</v>
      </c>
      <c r="R77" s="255" t="s">
        <v>815</v>
      </c>
      <c r="S77" s="256" t="s">
        <v>716</v>
      </c>
      <c r="T77" s="256" t="s">
        <v>711</v>
      </c>
      <c r="U77" s="256" t="s">
        <v>677</v>
      </c>
      <c r="V77" s="257" t="s">
        <v>654</v>
      </c>
    </row>
    <row r="78" spans="1:25" x14ac:dyDescent="0.25">
      <c r="O78" s="1">
        <v>65.599999999999994</v>
      </c>
      <c r="P78" s="1" t="s">
        <v>585</v>
      </c>
      <c r="Q78" s="224">
        <v>0.60899999999999999</v>
      </c>
    </row>
    <row r="79" spans="1:25" x14ac:dyDescent="0.25">
      <c r="O79" s="1">
        <v>106</v>
      </c>
      <c r="P79" s="1" t="s">
        <v>585</v>
      </c>
      <c r="Q79" s="224">
        <v>0.79400000000000004</v>
      </c>
    </row>
    <row r="80" spans="1:25" x14ac:dyDescent="0.25">
      <c r="O80" s="1">
        <v>182</v>
      </c>
      <c r="P80" s="1" t="s">
        <v>585</v>
      </c>
      <c r="Q80" s="224">
        <v>0.502</v>
      </c>
    </row>
    <row r="81" spans="1:25" x14ac:dyDescent="0.25">
      <c r="O81" s="1">
        <v>219</v>
      </c>
      <c r="P81" s="1" t="s">
        <v>585</v>
      </c>
      <c r="Q81" s="224">
        <v>0.58599999999999997</v>
      </c>
    </row>
    <row r="82" spans="1:25" x14ac:dyDescent="0.25">
      <c r="O82" s="1" t="s">
        <v>820</v>
      </c>
      <c r="P82" s="1" t="s">
        <v>709</v>
      </c>
      <c r="Q82" s="224">
        <v>1.1100000000000001</v>
      </c>
    </row>
    <row r="83" spans="1:25" x14ac:dyDescent="0.25">
      <c r="O83" s="1">
        <v>8.74</v>
      </c>
      <c r="P83" s="1" t="s">
        <v>620</v>
      </c>
      <c r="Q83" s="224">
        <v>1.27</v>
      </c>
    </row>
    <row r="84" spans="1:25" x14ac:dyDescent="0.25">
      <c r="A84" s="42" t="s">
        <v>0</v>
      </c>
      <c r="B84" s="223">
        <v>14</v>
      </c>
      <c r="C84" s="221" t="s">
        <v>806</v>
      </c>
      <c r="E84" s="2">
        <f t="shared" ref="E84:H92" si="45">E66</f>
        <v>3.5993389230776551</v>
      </c>
      <c r="F84" s="2">
        <f t="shared" ref="F84:F92" si="46">F66</f>
        <v>5.1477599999999999</v>
      </c>
      <c r="G84" s="16">
        <f t="shared" si="45"/>
        <v>63919.616214142108</v>
      </c>
      <c r="H84" s="2">
        <f t="shared" si="45"/>
        <v>0.50171447741666797</v>
      </c>
      <c r="N84" s="3">
        <v>1346.6666666666667</v>
      </c>
      <c r="O84" s="1">
        <v>706</v>
      </c>
      <c r="P84" s="1" t="s">
        <v>585</v>
      </c>
      <c r="Q84" s="224">
        <v>1.0900000000000001</v>
      </c>
      <c r="R84" s="258">
        <f>3100/1000000</f>
        <v>3.0999999999999999E-3</v>
      </c>
      <c r="S84" s="259">
        <f>IF(R84*100&lt;1.2,DOC_avg,IF(R84*100&gt;=1.2,(R84*100)^2*DOC_F1+(R84*100)*DOC_F2+DOC_F3))</f>
        <v>8.4666666666666668</v>
      </c>
      <c r="T84" s="258">
        <v>1.81</v>
      </c>
      <c r="U84" s="260">
        <v>0.38400000000000001</v>
      </c>
      <c r="V84" s="260">
        <v>0.11457546239999999</v>
      </c>
      <c r="W84" s="2">
        <f>O84/N84</f>
        <v>0.52425742574257428</v>
      </c>
      <c r="X84" s="2">
        <f t="shared" ref="X84:X92" si="47">EXP(R$84*10^$E84*T$84*$H84*U$84*T/L^2/($G84^2)/V$84/10^$F84/S$84*1000000)*ERFC(SQRT(R$84*10^$E84*T$84*U$84*$H84*T/V$84/10^$F84/S$84*1000000)/L/$G84)</f>
        <v>0.48929296564744712</v>
      </c>
      <c r="Y84" s="2">
        <f>(X84-W84)^2</f>
        <v>1.2225134697437395E-3</v>
      </c>
    </row>
    <row r="85" spans="1:25" x14ac:dyDescent="0.25">
      <c r="A85" s="42" t="s">
        <v>1</v>
      </c>
      <c r="B85" s="223">
        <v>36</v>
      </c>
      <c r="C85" s="221" t="s">
        <v>807</v>
      </c>
      <c r="E85" s="2">
        <f t="shared" si="45"/>
        <v>5.1213079115569577</v>
      </c>
      <c r="F85" s="2">
        <f t="shared" si="46"/>
        <v>5.7470160000000003</v>
      </c>
      <c r="G85" s="16">
        <f t="shared" si="45"/>
        <v>262677.88071364415</v>
      </c>
      <c r="H85" s="2">
        <f t="shared" si="45"/>
        <v>0.45309549993879755</v>
      </c>
      <c r="N85" s="3">
        <v>1530</v>
      </c>
      <c r="O85" s="1">
        <v>881</v>
      </c>
      <c r="P85" s="1" t="s">
        <v>585</v>
      </c>
      <c r="Q85" s="224">
        <v>7.02</v>
      </c>
      <c r="W85" s="2">
        <f t="shared" ref="W85:W92" si="48">O85/N85</f>
        <v>0.57581699346405224</v>
      </c>
      <c r="X85" s="2">
        <f t="shared" si="47"/>
        <v>0.59825655228494268</v>
      </c>
      <c r="Y85" s="2">
        <f t="shared" ref="Y85:Y92" si="49">(X85-W85)^2</f>
        <v>5.0353380007620181E-4</v>
      </c>
    </row>
    <row r="86" spans="1:25" x14ac:dyDescent="0.25">
      <c r="A86" s="42" t="s">
        <v>2</v>
      </c>
      <c r="B86" s="223">
        <v>78</v>
      </c>
      <c r="C86" s="221" t="s">
        <v>808</v>
      </c>
      <c r="E86" s="2">
        <f t="shared" si="45"/>
        <v>6.3885619982004886</v>
      </c>
      <c r="F86" s="2">
        <f t="shared" si="46"/>
        <v>6.3181720000000006</v>
      </c>
      <c r="G86" s="16">
        <f t="shared" si="45"/>
        <v>842807.64446312503</v>
      </c>
      <c r="H86" s="2">
        <f t="shared" si="45"/>
        <v>0.41446452428724656</v>
      </c>
      <c r="N86" s="3">
        <v>687.66666666666663</v>
      </c>
      <c r="O86" s="1">
        <v>450</v>
      </c>
      <c r="P86" s="1" t="s">
        <v>585</v>
      </c>
      <c r="Q86" s="224">
        <v>4.83</v>
      </c>
      <c r="W86" s="2">
        <f t="shared" si="48"/>
        <v>0.65438681531749887</v>
      </c>
      <c r="X86" s="2">
        <f t="shared" si="47"/>
        <v>0.69812184106762054</v>
      </c>
      <c r="Y86" s="2">
        <f t="shared" si="49"/>
        <v>1.9127524773638056E-3</v>
      </c>
    </row>
    <row r="87" spans="1:25" x14ac:dyDescent="0.25">
      <c r="A87" s="42" t="s">
        <v>3</v>
      </c>
      <c r="B87" s="223">
        <v>121</v>
      </c>
      <c r="C87" s="221" t="s">
        <v>809</v>
      </c>
      <c r="E87" s="2">
        <f t="shared" si="45"/>
        <v>7.0923537593378221</v>
      </c>
      <c r="F87" s="2">
        <f t="shared" si="46"/>
        <v>6.7030280000000007</v>
      </c>
      <c r="G87" s="16">
        <f t="shared" si="45"/>
        <v>1777033.55268118</v>
      </c>
      <c r="H87" s="2">
        <f t="shared" si="45"/>
        <v>0.38291771022895116</v>
      </c>
      <c r="N87" s="3">
        <v>720</v>
      </c>
      <c r="O87" s="1">
        <v>537</v>
      </c>
      <c r="P87" s="1" t="s">
        <v>586</v>
      </c>
      <c r="Q87" s="224">
        <v>1.86</v>
      </c>
      <c r="W87" s="2">
        <f t="shared" si="48"/>
        <v>0.74583333333333335</v>
      </c>
      <c r="X87" s="2">
        <f t="shared" si="47"/>
        <v>0.78250882537232591</v>
      </c>
      <c r="Y87" s="2">
        <f t="shared" si="49"/>
        <v>1.3450917163022069E-3</v>
      </c>
    </row>
    <row r="88" spans="1:25" x14ac:dyDescent="0.25">
      <c r="A88" s="42" t="s">
        <v>4</v>
      </c>
      <c r="B88" s="223">
        <v>104</v>
      </c>
      <c r="C88" s="221" t="s">
        <v>809</v>
      </c>
      <c r="E88" s="2">
        <f t="shared" si="45"/>
        <v>6.7714158550120036</v>
      </c>
      <c r="F88" s="2">
        <f t="shared" si="46"/>
        <v>6.6676280000000006</v>
      </c>
      <c r="G88" s="16">
        <f t="shared" si="45"/>
        <v>544238.28532434627</v>
      </c>
      <c r="H88" s="2">
        <f t="shared" si="45"/>
        <v>0.38291771022895116</v>
      </c>
      <c r="N88" s="3">
        <v>1626.6666666666667</v>
      </c>
      <c r="O88" s="1">
        <v>947</v>
      </c>
      <c r="P88" s="1" t="s">
        <v>585</v>
      </c>
      <c r="Q88" s="224">
        <v>1.57</v>
      </c>
      <c r="W88" s="2">
        <f t="shared" si="48"/>
        <v>0.58217213114754096</v>
      </c>
      <c r="X88" s="2">
        <f t="shared" si="47"/>
        <v>0.59110945521705283</v>
      </c>
      <c r="Y88" s="2">
        <f t="shared" si="49"/>
        <v>7.9875761523476118E-5</v>
      </c>
    </row>
    <row r="89" spans="1:25" x14ac:dyDescent="0.25">
      <c r="A89" s="42" t="s">
        <v>6</v>
      </c>
      <c r="B89" s="223">
        <v>155</v>
      </c>
      <c r="C89" s="221" t="s">
        <v>810</v>
      </c>
      <c r="E89" s="2">
        <f t="shared" si="45"/>
        <v>8.3373281465970912</v>
      </c>
      <c r="F89" s="2">
        <f t="shared" si="46"/>
        <v>7.2328840000000003</v>
      </c>
      <c r="G89" s="16">
        <f t="shared" si="45"/>
        <v>3642170.2218736345</v>
      </c>
      <c r="H89" s="2">
        <f t="shared" si="45"/>
        <v>0.35659524089143563</v>
      </c>
      <c r="N89" s="3">
        <v>557</v>
      </c>
      <c r="O89" s="1">
        <v>394</v>
      </c>
      <c r="P89" s="1" t="s">
        <v>585</v>
      </c>
      <c r="Q89" s="224">
        <v>0.46400000000000002</v>
      </c>
      <c r="W89" s="2">
        <f t="shared" si="48"/>
        <v>0.70736086175942547</v>
      </c>
      <c r="X89" s="2">
        <f t="shared" si="47"/>
        <v>0.76974102095955543</v>
      </c>
      <c r="Y89" s="2">
        <f t="shared" si="49"/>
        <v>3.8912842618335584E-3</v>
      </c>
    </row>
    <row r="90" spans="1:25" x14ac:dyDescent="0.25">
      <c r="A90" s="42" t="s">
        <v>7</v>
      </c>
      <c r="B90" s="223">
        <v>192</v>
      </c>
      <c r="C90" s="221" t="s">
        <v>811</v>
      </c>
      <c r="E90" s="2">
        <f t="shared" si="45"/>
        <v>9.3881859209727931</v>
      </c>
      <c r="F90" s="2">
        <f t="shared" si="46"/>
        <v>7.8453400000000002</v>
      </c>
      <c r="G90" s="16">
        <f t="shared" si="45"/>
        <v>12632002.71097157</v>
      </c>
      <c r="H90" s="2">
        <f t="shared" si="45"/>
        <v>0.33424680832245074</v>
      </c>
      <c r="N90" s="3">
        <v>765</v>
      </c>
      <c r="O90" s="1">
        <v>648</v>
      </c>
      <c r="P90" s="1" t="s">
        <v>586</v>
      </c>
      <c r="Q90" s="224">
        <v>1.63</v>
      </c>
      <c r="W90" s="2">
        <f t="shared" si="48"/>
        <v>0.84705882352941175</v>
      </c>
      <c r="X90" s="2">
        <f t="shared" si="47"/>
        <v>0.88149150662106512</v>
      </c>
      <c r="Y90" s="2">
        <f t="shared" si="49"/>
        <v>1.1856096648902319E-3</v>
      </c>
    </row>
    <row r="91" spans="1:25" x14ac:dyDescent="0.25">
      <c r="A91" s="42" t="s">
        <v>8</v>
      </c>
      <c r="B91" s="223">
        <v>184</v>
      </c>
      <c r="C91" s="221" t="s">
        <v>811</v>
      </c>
      <c r="E91" s="2">
        <f t="shared" si="45"/>
        <v>9.1561831730064629</v>
      </c>
      <c r="F91" s="2">
        <f t="shared" si="46"/>
        <v>7.8040400000000005</v>
      </c>
      <c r="G91" s="16">
        <f t="shared" si="45"/>
        <v>6301001.593298153</v>
      </c>
      <c r="H91" s="2">
        <f t="shared" si="45"/>
        <v>0.33424680832245074</v>
      </c>
      <c r="N91" s="3">
        <v>709.66666666666663</v>
      </c>
      <c r="O91" s="1">
        <v>563</v>
      </c>
      <c r="P91" s="1" t="s">
        <v>585</v>
      </c>
      <c r="Q91" s="224">
        <v>1.23</v>
      </c>
      <c r="W91" s="2">
        <f t="shared" si="48"/>
        <v>0.79333020197275717</v>
      </c>
      <c r="X91" s="2">
        <f t="shared" si="47"/>
        <v>0.81985434673455171</v>
      </c>
      <c r="Y91" s="2">
        <f t="shared" si="49"/>
        <v>7.0353025534463298E-4</v>
      </c>
    </row>
    <row r="92" spans="1:25" x14ac:dyDescent="0.25">
      <c r="A92" s="42" t="s">
        <v>9</v>
      </c>
      <c r="B92" s="223">
        <v>204</v>
      </c>
      <c r="C92" s="221" t="s">
        <v>812</v>
      </c>
      <c r="E92" s="2">
        <f t="shared" si="45"/>
        <v>10.527742948190678</v>
      </c>
      <c r="F92" s="2">
        <f t="shared" si="46"/>
        <v>8.4681959999999989</v>
      </c>
      <c r="G92" s="16">
        <f t="shared" si="45"/>
        <v>19747514.291125294</v>
      </c>
      <c r="H92" s="2">
        <f t="shared" si="45"/>
        <v>0.31499856731758102</v>
      </c>
      <c r="N92" s="3">
        <v>1186.6666666666667</v>
      </c>
      <c r="O92" s="1">
        <v>949</v>
      </c>
      <c r="P92" s="1" t="s">
        <v>585</v>
      </c>
      <c r="Q92" s="224">
        <v>0.95799999999999996</v>
      </c>
      <c r="W92" s="2">
        <f t="shared" si="48"/>
        <v>0.79971910112359545</v>
      </c>
      <c r="X92" s="2">
        <f t="shared" si="47"/>
        <v>0.86818262932323209</v>
      </c>
      <c r="Y92" s="2">
        <f t="shared" si="49"/>
        <v>4.6872546935424406E-3</v>
      </c>
    </row>
    <row r="93" spans="1:25" x14ac:dyDescent="0.25">
      <c r="O93" s="339" t="s">
        <v>821</v>
      </c>
      <c r="P93" s="339"/>
      <c r="Q93" s="339"/>
      <c r="R93" s="324" t="s">
        <v>834</v>
      </c>
      <c r="S93" s="335"/>
      <c r="T93" s="335"/>
      <c r="U93" s="335"/>
      <c r="V93" s="348"/>
    </row>
    <row r="94" spans="1:25" x14ac:dyDescent="0.25">
      <c r="O94" s="251" t="s">
        <v>581</v>
      </c>
      <c r="P94" s="339" t="s">
        <v>582</v>
      </c>
      <c r="Q94" s="252" t="s">
        <v>583</v>
      </c>
      <c r="R94" s="325"/>
      <c r="S94" s="336"/>
      <c r="T94" s="336"/>
      <c r="U94" s="336"/>
      <c r="V94" s="349"/>
    </row>
    <row r="95" spans="1:25" ht="45.95" customHeight="1" x14ac:dyDescent="0.25">
      <c r="O95" s="253" t="s">
        <v>584</v>
      </c>
      <c r="P95" s="339"/>
      <c r="Q95" s="254" t="s">
        <v>584</v>
      </c>
      <c r="R95" s="255" t="s">
        <v>815</v>
      </c>
      <c r="S95" s="256" t="s">
        <v>716</v>
      </c>
      <c r="T95" s="256" t="s">
        <v>711</v>
      </c>
      <c r="U95" s="256" t="s">
        <v>677</v>
      </c>
      <c r="V95" s="257" t="s">
        <v>654</v>
      </c>
    </row>
    <row r="96" spans="1:25" x14ac:dyDescent="0.25">
      <c r="O96" s="1">
        <v>326</v>
      </c>
      <c r="P96" s="1" t="s">
        <v>585</v>
      </c>
      <c r="Q96" s="224">
        <v>0.84799999999999998</v>
      </c>
    </row>
    <row r="97" spans="1:25" x14ac:dyDescent="0.25">
      <c r="O97" s="1">
        <v>650</v>
      </c>
      <c r="P97" s="1" t="s">
        <v>585</v>
      </c>
      <c r="Q97" s="224">
        <v>1.1100000000000001</v>
      </c>
    </row>
    <row r="98" spans="1:25" x14ac:dyDescent="0.25">
      <c r="O98" s="1">
        <v>1070</v>
      </c>
      <c r="P98" s="1" t="s">
        <v>585</v>
      </c>
      <c r="Q98" s="224">
        <v>1.72</v>
      </c>
    </row>
    <row r="99" spans="1:25" x14ac:dyDescent="0.25">
      <c r="O99" s="1">
        <v>1170</v>
      </c>
      <c r="P99" s="1" t="s">
        <v>585</v>
      </c>
      <c r="Q99" s="224">
        <v>2.08</v>
      </c>
    </row>
    <row r="100" spans="1:25" x14ac:dyDescent="0.25">
      <c r="O100" s="1">
        <v>11</v>
      </c>
      <c r="P100" s="1" t="s">
        <v>620</v>
      </c>
      <c r="Q100" s="224">
        <v>1.92</v>
      </c>
    </row>
    <row r="101" spans="1:25" x14ac:dyDescent="0.25">
      <c r="F101" s="2"/>
      <c r="O101" s="1">
        <v>69.599999999999994</v>
      </c>
      <c r="P101" s="1" t="s">
        <v>585</v>
      </c>
      <c r="Q101" s="224">
        <v>2.0099999999999998</v>
      </c>
    </row>
    <row r="102" spans="1:25" x14ac:dyDescent="0.25">
      <c r="A102" s="42" t="s">
        <v>0</v>
      </c>
      <c r="B102" s="223">
        <v>14</v>
      </c>
      <c r="C102" s="221" t="s">
        <v>806</v>
      </c>
      <c r="E102" s="2">
        <f t="shared" ref="E102:H110" si="50">E84</f>
        <v>3.5993389230776551</v>
      </c>
      <c r="F102" s="2">
        <f t="shared" ref="F102:F110" si="51">F84</f>
        <v>5.1477599999999999</v>
      </c>
      <c r="G102" s="16">
        <f t="shared" si="50"/>
        <v>63919.616214142108</v>
      </c>
      <c r="H102" s="2">
        <f t="shared" si="50"/>
        <v>0.50171447741666797</v>
      </c>
      <c r="N102" s="3">
        <v>1346.6666666666667</v>
      </c>
      <c r="O102" s="1">
        <v>498</v>
      </c>
      <c r="P102" s="1" t="s">
        <v>585</v>
      </c>
      <c r="Q102" s="224">
        <v>3.21</v>
      </c>
      <c r="R102" s="258">
        <f>14000/1000000</f>
        <v>1.4E-2</v>
      </c>
      <c r="S102" s="259">
        <f>IF(R102*100&lt;1.2,DOC_avg,IF(R102*100&gt;=1.2,(R102*100)^2*DOC_F1+(R102*100)*DOC_F2+DOC_F3))</f>
        <v>11.301200000000005</v>
      </c>
      <c r="T102" s="258">
        <v>1.81</v>
      </c>
      <c r="U102" s="260">
        <v>0.38400000000000001</v>
      </c>
      <c r="V102" s="260">
        <v>0.11457546239999999</v>
      </c>
      <c r="W102" s="2">
        <f>O102/N102</f>
        <v>0.3698019801980198</v>
      </c>
      <c r="X102" s="2">
        <f t="shared" ref="X102:X110" si="52">EXP(R$102*10^$E102*T$102*$H102*U$102*T/L^2/($G102^2)/V$102/10^$F102/S$102*1000000)*ERFC(SQRT(R$102*10^$E102*T$102*U$102*$H102*T/V$102/10^$F102/S$102*1000000)/L/$G102)</f>
        <v>0.32647937089175166</v>
      </c>
      <c r="Y102" s="2">
        <f>(X102-W102)^2</f>
        <v>1.8768484771035502E-3</v>
      </c>
    </row>
    <row r="103" spans="1:25" x14ac:dyDescent="0.25">
      <c r="A103" s="42" t="s">
        <v>1</v>
      </c>
      <c r="B103" s="223">
        <v>36</v>
      </c>
      <c r="C103" s="221" t="s">
        <v>807</v>
      </c>
      <c r="E103" s="2">
        <f t="shared" si="50"/>
        <v>5.1213079115569577</v>
      </c>
      <c r="F103" s="2">
        <f t="shared" si="51"/>
        <v>5.7470160000000003</v>
      </c>
      <c r="G103" s="16">
        <f t="shared" si="50"/>
        <v>262677.88071364415</v>
      </c>
      <c r="H103" s="2">
        <f t="shared" si="50"/>
        <v>0.45309549993879755</v>
      </c>
      <c r="N103" s="3">
        <v>1530</v>
      </c>
      <c r="O103" s="1">
        <v>684</v>
      </c>
      <c r="P103" s="1" t="s">
        <v>585</v>
      </c>
      <c r="Q103" s="224">
        <v>8.7799999999999994</v>
      </c>
      <c r="W103" s="2">
        <f t="shared" ref="W103:W110" si="53">O103/N103</f>
        <v>0.44705882352941179</v>
      </c>
      <c r="X103" s="2">
        <f t="shared" si="52"/>
        <v>0.43205550556032618</v>
      </c>
      <c r="Y103" s="2">
        <f t="shared" ref="Y103:Y110" si="54">(X103-W103)^2</f>
        <v>2.2509955008148701E-4</v>
      </c>
    </row>
    <row r="104" spans="1:25" x14ac:dyDescent="0.25">
      <c r="A104" s="42" t="s">
        <v>2</v>
      </c>
      <c r="B104" s="223">
        <v>78</v>
      </c>
      <c r="C104" s="221" t="s">
        <v>808</v>
      </c>
      <c r="E104" s="2">
        <f t="shared" si="50"/>
        <v>6.3885619982004886</v>
      </c>
      <c r="F104" s="2">
        <f t="shared" si="51"/>
        <v>6.3181720000000006</v>
      </c>
      <c r="G104" s="16">
        <f t="shared" si="50"/>
        <v>842807.64446312503</v>
      </c>
      <c r="H104" s="2">
        <f t="shared" si="50"/>
        <v>0.41446452428724656</v>
      </c>
      <c r="N104" s="3">
        <v>687.66666666666663</v>
      </c>
      <c r="O104" s="1">
        <v>368</v>
      </c>
      <c r="P104" s="1" t="s">
        <v>585</v>
      </c>
      <c r="Q104" s="224">
        <v>9.57</v>
      </c>
      <c r="W104" s="2">
        <f t="shared" si="53"/>
        <v>0.53514299563742129</v>
      </c>
      <c r="X104" s="2">
        <f t="shared" si="52"/>
        <v>0.54469160328081645</v>
      </c>
      <c r="Y104" s="2">
        <f t="shared" si="54"/>
        <v>9.1175907927504413E-5</v>
      </c>
    </row>
    <row r="105" spans="1:25" x14ac:dyDescent="0.25">
      <c r="A105" s="42" t="s">
        <v>3</v>
      </c>
      <c r="B105" s="223">
        <v>121</v>
      </c>
      <c r="C105" s="221" t="s">
        <v>809</v>
      </c>
      <c r="E105" s="2">
        <f t="shared" si="50"/>
        <v>7.0923537593378221</v>
      </c>
      <c r="F105" s="2">
        <f t="shared" si="51"/>
        <v>6.7030280000000007</v>
      </c>
      <c r="G105" s="16">
        <f t="shared" si="50"/>
        <v>1777033.55268118</v>
      </c>
      <c r="H105" s="2">
        <f t="shared" si="50"/>
        <v>0.38291771022895116</v>
      </c>
      <c r="N105" s="3">
        <v>720</v>
      </c>
      <c r="O105" s="1">
        <v>452</v>
      </c>
      <c r="P105" s="1" t="s">
        <v>586</v>
      </c>
      <c r="Q105" s="224">
        <v>5.01</v>
      </c>
      <c r="W105" s="2">
        <f t="shared" si="53"/>
        <v>0.62777777777777777</v>
      </c>
      <c r="X105" s="2">
        <f t="shared" si="52"/>
        <v>0.65334399429071544</v>
      </c>
      <c r="Y105" s="2">
        <f t="shared" si="54"/>
        <v>6.5363142678640667E-4</v>
      </c>
    </row>
    <row r="106" spans="1:25" x14ac:dyDescent="0.25">
      <c r="A106" s="42" t="s">
        <v>4</v>
      </c>
      <c r="B106" s="223">
        <v>104</v>
      </c>
      <c r="C106" s="221" t="s">
        <v>809</v>
      </c>
      <c r="E106" s="2">
        <f t="shared" si="50"/>
        <v>6.7714158550120036</v>
      </c>
      <c r="F106" s="2">
        <f t="shared" si="51"/>
        <v>6.6676280000000006</v>
      </c>
      <c r="G106" s="16">
        <f t="shared" si="50"/>
        <v>544238.28532434627</v>
      </c>
      <c r="H106" s="2">
        <f t="shared" si="50"/>
        <v>0.38291771022895116</v>
      </c>
      <c r="N106" s="3">
        <v>1626.6666666666667</v>
      </c>
      <c r="O106" s="1">
        <v>694</v>
      </c>
      <c r="P106" s="1" t="s">
        <v>585</v>
      </c>
      <c r="Q106" s="224">
        <v>4.2300000000000004</v>
      </c>
      <c r="W106" s="2">
        <f t="shared" si="53"/>
        <v>0.42663934426229505</v>
      </c>
      <c r="X106" s="2">
        <f t="shared" si="52"/>
        <v>0.42460441762480727</v>
      </c>
      <c r="Y106" s="2">
        <f t="shared" si="54"/>
        <v>4.1409264199573114E-6</v>
      </c>
    </row>
    <row r="107" spans="1:25" x14ac:dyDescent="0.25">
      <c r="A107" s="42" t="s">
        <v>6</v>
      </c>
      <c r="B107" s="223">
        <v>155</v>
      </c>
      <c r="C107" s="221" t="s">
        <v>810</v>
      </c>
      <c r="E107" s="2">
        <f t="shared" si="50"/>
        <v>8.3373281465970912</v>
      </c>
      <c r="F107" s="2">
        <f t="shared" si="51"/>
        <v>7.2328840000000003</v>
      </c>
      <c r="G107" s="16">
        <f t="shared" si="50"/>
        <v>3642170.2218736345</v>
      </c>
      <c r="H107" s="2">
        <f t="shared" si="50"/>
        <v>0.35659524089143563</v>
      </c>
      <c r="N107" s="3">
        <v>557</v>
      </c>
      <c r="O107" s="1">
        <v>332</v>
      </c>
      <c r="P107" s="1" t="s">
        <v>585</v>
      </c>
      <c r="Q107" s="224">
        <v>3.1</v>
      </c>
      <c r="W107" s="2">
        <f t="shared" si="53"/>
        <v>0.59605026929982041</v>
      </c>
      <c r="X107" s="2">
        <f t="shared" si="52"/>
        <v>0.63605533697537875</v>
      </c>
      <c r="Y107" s="2">
        <f t="shared" si="54"/>
        <v>1.6004054397260024E-3</v>
      </c>
    </row>
    <row r="108" spans="1:25" x14ac:dyDescent="0.25">
      <c r="A108" s="42" t="s">
        <v>7</v>
      </c>
      <c r="B108" s="223">
        <v>192</v>
      </c>
      <c r="C108" s="221" t="s">
        <v>811</v>
      </c>
      <c r="E108" s="2">
        <f t="shared" si="50"/>
        <v>9.3881859209727931</v>
      </c>
      <c r="F108" s="2">
        <f t="shared" si="51"/>
        <v>7.8453400000000002</v>
      </c>
      <c r="G108" s="16">
        <f t="shared" si="50"/>
        <v>12632002.71097157</v>
      </c>
      <c r="H108" s="2">
        <f t="shared" si="50"/>
        <v>0.33424680832245074</v>
      </c>
      <c r="N108" s="3">
        <v>765</v>
      </c>
      <c r="O108" s="1">
        <v>592</v>
      </c>
      <c r="P108" s="1" t="s">
        <v>586</v>
      </c>
      <c r="Q108" s="224">
        <v>3.8</v>
      </c>
      <c r="W108" s="2">
        <f t="shared" si="53"/>
        <v>0.77385620915032682</v>
      </c>
      <c r="X108" s="2">
        <f t="shared" si="52"/>
        <v>0.79840061848222865</v>
      </c>
      <c r="Y108" s="2">
        <f t="shared" si="54"/>
        <v>6.0242802945194957E-4</v>
      </c>
    </row>
    <row r="109" spans="1:25" x14ac:dyDescent="0.25">
      <c r="A109" s="42" t="s">
        <v>8</v>
      </c>
      <c r="B109" s="223">
        <v>184</v>
      </c>
      <c r="C109" s="221" t="s">
        <v>811</v>
      </c>
      <c r="E109" s="2">
        <f t="shared" si="50"/>
        <v>9.1561831730064629</v>
      </c>
      <c r="F109" s="2">
        <f t="shared" si="51"/>
        <v>7.8040400000000005</v>
      </c>
      <c r="G109" s="16">
        <f t="shared" si="50"/>
        <v>6301001.593298153</v>
      </c>
      <c r="H109" s="2">
        <f t="shared" si="50"/>
        <v>0.33424680832245074</v>
      </c>
      <c r="N109" s="3">
        <v>709.66666666666663</v>
      </c>
      <c r="O109" s="1">
        <v>479</v>
      </c>
      <c r="P109" s="1" t="s">
        <v>585</v>
      </c>
      <c r="Q109" s="224">
        <v>2.87</v>
      </c>
      <c r="W109" s="2">
        <f t="shared" si="53"/>
        <v>0.67496477219351814</v>
      </c>
      <c r="X109" s="2">
        <f t="shared" si="52"/>
        <v>0.70573544203981364</v>
      </c>
      <c r="Y109" s="2">
        <f t="shared" si="54"/>
        <v>9.4683412278971949E-4</v>
      </c>
    </row>
    <row r="110" spans="1:25" x14ac:dyDescent="0.25">
      <c r="A110" s="42" t="s">
        <v>9</v>
      </c>
      <c r="B110" s="223">
        <v>204</v>
      </c>
      <c r="C110" s="221" t="s">
        <v>812</v>
      </c>
      <c r="E110" s="2">
        <f t="shared" si="50"/>
        <v>10.527742948190678</v>
      </c>
      <c r="F110" s="2">
        <f t="shared" si="51"/>
        <v>8.4681959999999989</v>
      </c>
      <c r="G110" s="16">
        <f t="shared" si="50"/>
        <v>19747514.291125294</v>
      </c>
      <c r="H110" s="2">
        <f t="shared" si="50"/>
        <v>0.31499856731758102</v>
      </c>
      <c r="N110" s="3">
        <v>1186.6666666666667</v>
      </c>
      <c r="O110" s="1">
        <v>907</v>
      </c>
      <c r="P110" s="1" t="s">
        <v>585</v>
      </c>
      <c r="Q110" s="224">
        <v>3.22</v>
      </c>
      <c r="W110" s="2">
        <f t="shared" si="53"/>
        <v>0.76432584269662918</v>
      </c>
      <c r="X110" s="2">
        <f t="shared" si="52"/>
        <v>0.777718283316986</v>
      </c>
      <c r="Y110" s="2">
        <f t="shared" si="54"/>
        <v>1.7935746576978355E-4</v>
      </c>
    </row>
    <row r="111" spans="1:25" ht="14.45" customHeight="1" x14ac:dyDescent="0.25">
      <c r="O111" s="339" t="s">
        <v>822</v>
      </c>
      <c r="P111" s="339"/>
      <c r="Q111" s="339"/>
      <c r="R111" s="324" t="s">
        <v>834</v>
      </c>
      <c r="S111" s="335"/>
      <c r="T111" s="335"/>
      <c r="U111" s="335"/>
      <c r="V111" s="348"/>
    </row>
    <row r="112" spans="1:25" x14ac:dyDescent="0.25">
      <c r="O112" s="251" t="s">
        <v>581</v>
      </c>
      <c r="P112" s="339" t="s">
        <v>582</v>
      </c>
      <c r="Q112" s="252" t="s">
        <v>583</v>
      </c>
      <c r="R112" s="325"/>
      <c r="S112" s="336"/>
      <c r="T112" s="336"/>
      <c r="U112" s="336"/>
      <c r="V112" s="349"/>
    </row>
    <row r="113" spans="1:25" ht="45.95" customHeight="1" x14ac:dyDescent="0.25">
      <c r="O113" s="253" t="s">
        <v>584</v>
      </c>
      <c r="P113" s="339"/>
      <c r="Q113" s="254" t="s">
        <v>584</v>
      </c>
      <c r="R113" s="255" t="s">
        <v>815</v>
      </c>
      <c r="S113" s="256" t="s">
        <v>716</v>
      </c>
      <c r="T113" s="256" t="s">
        <v>711</v>
      </c>
      <c r="U113" s="256" t="s">
        <v>677</v>
      </c>
      <c r="V113" s="257" t="s">
        <v>654</v>
      </c>
    </row>
    <row r="114" spans="1:25" x14ac:dyDescent="0.25">
      <c r="O114" s="1">
        <v>219</v>
      </c>
      <c r="P114" s="1" t="s">
        <v>585</v>
      </c>
      <c r="Q114" s="224">
        <v>0.49</v>
      </c>
    </row>
    <row r="115" spans="1:25" x14ac:dyDescent="0.25">
      <c r="O115" s="1">
        <v>341</v>
      </c>
      <c r="P115" s="1" t="s">
        <v>585</v>
      </c>
      <c r="Q115" s="224">
        <v>0.63900000000000001</v>
      </c>
    </row>
    <row r="116" spans="1:25" x14ac:dyDescent="0.25">
      <c r="O116" s="1">
        <v>327</v>
      </c>
      <c r="P116" s="1" t="s">
        <v>585</v>
      </c>
      <c r="Q116" s="224">
        <v>0.54800000000000004</v>
      </c>
    </row>
    <row r="117" spans="1:25" x14ac:dyDescent="0.25">
      <c r="O117" s="1">
        <v>339</v>
      </c>
      <c r="P117" s="1" t="s">
        <v>585</v>
      </c>
      <c r="Q117" s="224">
        <v>0.67300000000000004</v>
      </c>
    </row>
    <row r="118" spans="1:25" x14ac:dyDescent="0.25">
      <c r="O118" s="1">
        <v>4.63</v>
      </c>
      <c r="P118" s="1" t="s">
        <v>823</v>
      </c>
      <c r="Q118" s="224">
        <v>0.98399999999999999</v>
      </c>
    </row>
    <row r="119" spans="1:25" x14ac:dyDescent="0.25">
      <c r="O119" s="1">
        <v>2.67</v>
      </c>
      <c r="P119" s="1" t="s">
        <v>620</v>
      </c>
      <c r="Q119" s="224">
        <v>1.29</v>
      </c>
    </row>
    <row r="120" spans="1:25" x14ac:dyDescent="0.25">
      <c r="A120" s="42" t="s">
        <v>0</v>
      </c>
      <c r="B120" s="223">
        <v>14</v>
      </c>
      <c r="C120" s="221" t="s">
        <v>806</v>
      </c>
      <c r="E120" s="2">
        <f t="shared" ref="E120:H128" si="55">E102</f>
        <v>3.5993389230776551</v>
      </c>
      <c r="F120" s="2">
        <f t="shared" ref="F120:F128" si="56">F102</f>
        <v>5.1477599999999999</v>
      </c>
      <c r="G120" s="16">
        <f t="shared" si="55"/>
        <v>63919.616214142108</v>
      </c>
      <c r="H120" s="2">
        <f t="shared" si="55"/>
        <v>0.50171447741666797</v>
      </c>
      <c r="N120" s="3">
        <v>1346.6666666666667</v>
      </c>
      <c r="O120" s="1">
        <v>603</v>
      </c>
      <c r="P120" s="1" t="s">
        <v>585</v>
      </c>
      <c r="Q120" s="224">
        <v>1.85</v>
      </c>
      <c r="R120" s="258">
        <f>6100/1000000</f>
        <v>6.1000000000000004E-3</v>
      </c>
      <c r="S120" s="259">
        <f>IF(R120*100&lt;1.2,DOC_avg,IF(R120*100&gt;=1.2,(R120*100)^2*DOC_F1+(R120*100)*DOC_F2+DOC_F3))</f>
        <v>8.4666666666666668</v>
      </c>
      <c r="T120" s="258">
        <v>1.81</v>
      </c>
      <c r="U120" s="260">
        <v>0.38400000000000001</v>
      </c>
      <c r="V120" s="260">
        <v>0.11457546239999999</v>
      </c>
      <c r="W120" s="2">
        <f>O120/N120</f>
        <v>0.44777227722772273</v>
      </c>
      <c r="X120" s="2">
        <f t="shared" ref="X120:X128" si="57">EXP(R$120*10^$E120*T$120*$H120*U$120*T/L^2/($G120^2)/V$120/10^$F120/S$120*1000000)*ERFC(SQRT(R$120*10^$E120*T$120*U$120*$H120*T/V$120/10^$F120/S$120*1000000)/L/$G120)</f>
        <v>0.39654964782406443</v>
      </c>
      <c r="Y120" s="2">
        <f>(X120-W120)^2</f>
        <v>2.623757763024519E-3</v>
      </c>
    </row>
    <row r="121" spans="1:25" x14ac:dyDescent="0.25">
      <c r="A121" s="42" t="s">
        <v>1</v>
      </c>
      <c r="B121" s="223">
        <v>36</v>
      </c>
      <c r="C121" s="221" t="s">
        <v>807</v>
      </c>
      <c r="E121" s="2">
        <f t="shared" si="55"/>
        <v>5.1213079115569577</v>
      </c>
      <c r="F121" s="2">
        <f t="shared" si="56"/>
        <v>5.7470160000000003</v>
      </c>
      <c r="G121" s="16">
        <f t="shared" si="55"/>
        <v>262677.88071364415</v>
      </c>
      <c r="H121" s="2">
        <f t="shared" si="55"/>
        <v>0.45309549993879755</v>
      </c>
      <c r="N121" s="3">
        <v>1530</v>
      </c>
      <c r="O121" s="1">
        <v>800</v>
      </c>
      <c r="P121" s="1" t="s">
        <v>585</v>
      </c>
      <c r="Q121" s="224">
        <v>7.24</v>
      </c>
      <c r="W121" s="2">
        <f t="shared" ref="W121:W128" si="58">O121/N121</f>
        <v>0.52287581699346408</v>
      </c>
      <c r="X121" s="2">
        <f t="shared" si="57"/>
        <v>0.50684582103965858</v>
      </c>
      <c r="Y121" s="2">
        <f t="shared" ref="Y121:Y128" si="59">(X121-W121)^2</f>
        <v>2.5696077027902067E-4</v>
      </c>
    </row>
    <row r="122" spans="1:25" x14ac:dyDescent="0.25">
      <c r="A122" s="42" t="s">
        <v>2</v>
      </c>
      <c r="B122" s="223">
        <v>78</v>
      </c>
      <c r="C122" s="221" t="s">
        <v>808</v>
      </c>
      <c r="E122" s="2">
        <f t="shared" si="55"/>
        <v>6.3885619982004886</v>
      </c>
      <c r="F122" s="2">
        <f t="shared" si="56"/>
        <v>6.3181720000000006</v>
      </c>
      <c r="G122" s="16">
        <f t="shared" si="55"/>
        <v>842807.64446312503</v>
      </c>
      <c r="H122" s="2">
        <f t="shared" si="55"/>
        <v>0.41446452428724656</v>
      </c>
      <c r="N122" s="3">
        <v>687.66666666666663</v>
      </c>
      <c r="O122" s="1">
        <v>442</v>
      </c>
      <c r="P122" s="1" t="s">
        <v>585</v>
      </c>
      <c r="Q122" s="224">
        <v>10.6</v>
      </c>
      <c r="W122" s="2">
        <f t="shared" si="58"/>
        <v>0.64275327193407661</v>
      </c>
      <c r="X122" s="2">
        <f t="shared" si="57"/>
        <v>0.6164994056651516</v>
      </c>
      <c r="Y122" s="2">
        <f t="shared" si="59"/>
        <v>6.8926549406659828E-4</v>
      </c>
    </row>
    <row r="123" spans="1:25" x14ac:dyDescent="0.25">
      <c r="A123" s="42" t="s">
        <v>3</v>
      </c>
      <c r="B123" s="223">
        <v>121</v>
      </c>
      <c r="C123" s="221" t="s">
        <v>809</v>
      </c>
      <c r="E123" s="2">
        <f t="shared" si="55"/>
        <v>7.0923537593378221</v>
      </c>
      <c r="F123" s="2">
        <f t="shared" si="56"/>
        <v>6.7030280000000007</v>
      </c>
      <c r="G123" s="16">
        <f t="shared" si="55"/>
        <v>1777033.55268118</v>
      </c>
      <c r="H123" s="2">
        <f t="shared" si="55"/>
        <v>0.38291771022895116</v>
      </c>
      <c r="N123" s="3">
        <v>720</v>
      </c>
      <c r="O123" s="1">
        <v>522</v>
      </c>
      <c r="P123" s="1" t="s">
        <v>586</v>
      </c>
      <c r="Q123" s="224">
        <v>3.62</v>
      </c>
      <c r="W123" s="2">
        <f t="shared" si="58"/>
        <v>0.72499999999999998</v>
      </c>
      <c r="X123" s="2">
        <f t="shared" si="57"/>
        <v>0.71573536317086661</v>
      </c>
      <c r="Y123" s="2">
        <f t="shared" si="59"/>
        <v>8.5833495575734342E-5</v>
      </c>
    </row>
    <row r="124" spans="1:25" x14ac:dyDescent="0.25">
      <c r="A124" s="42" t="s">
        <v>4</v>
      </c>
      <c r="B124" s="223">
        <v>104</v>
      </c>
      <c r="C124" s="221" t="s">
        <v>809</v>
      </c>
      <c r="E124" s="2">
        <f t="shared" si="55"/>
        <v>6.7714158550120036</v>
      </c>
      <c r="F124" s="2">
        <f t="shared" si="56"/>
        <v>6.6676280000000006</v>
      </c>
      <c r="G124" s="16">
        <f t="shared" si="55"/>
        <v>544238.28532434627</v>
      </c>
      <c r="H124" s="2">
        <f t="shared" si="55"/>
        <v>0.38291771022895116</v>
      </c>
      <c r="N124" s="3">
        <v>1626.6666666666667</v>
      </c>
      <c r="O124" s="1">
        <v>899</v>
      </c>
      <c r="P124" s="1" t="s">
        <v>585</v>
      </c>
      <c r="Q124" s="224">
        <v>3.06</v>
      </c>
      <c r="W124" s="2">
        <f t="shared" si="58"/>
        <v>0.55266393442622952</v>
      </c>
      <c r="X124" s="2">
        <f t="shared" si="57"/>
        <v>0.49931621367084067</v>
      </c>
      <c r="Y124" s="2">
        <f t="shared" si="59"/>
        <v>2.8459793097949464E-3</v>
      </c>
    </row>
    <row r="125" spans="1:25" x14ac:dyDescent="0.25">
      <c r="A125" s="42" t="s">
        <v>6</v>
      </c>
      <c r="B125" s="223">
        <v>155</v>
      </c>
      <c r="C125" s="221" t="s">
        <v>810</v>
      </c>
      <c r="E125" s="2">
        <f t="shared" si="55"/>
        <v>8.3373281465970912</v>
      </c>
      <c r="F125" s="2">
        <f t="shared" si="56"/>
        <v>7.2328840000000003</v>
      </c>
      <c r="G125" s="16">
        <f t="shared" si="55"/>
        <v>3642170.2218736345</v>
      </c>
      <c r="H125" s="2">
        <f t="shared" si="55"/>
        <v>0.35659524089143563</v>
      </c>
      <c r="N125" s="3">
        <v>557</v>
      </c>
      <c r="O125" s="1">
        <v>389</v>
      </c>
      <c r="P125" s="1" t="s">
        <v>585</v>
      </c>
      <c r="Q125" s="224">
        <v>1.37</v>
      </c>
      <c r="W125" s="2">
        <f t="shared" si="58"/>
        <v>0.69838420107719923</v>
      </c>
      <c r="X125" s="2">
        <f t="shared" si="57"/>
        <v>0.7003289474285368</v>
      </c>
      <c r="Y125" s="2">
        <f t="shared" si="59"/>
        <v>3.7820383710407807E-6</v>
      </c>
    </row>
    <row r="126" spans="1:25" x14ac:dyDescent="0.25">
      <c r="A126" s="42" t="s">
        <v>7</v>
      </c>
      <c r="B126" s="223">
        <v>192</v>
      </c>
      <c r="C126" s="221" t="s">
        <v>811</v>
      </c>
      <c r="E126" s="2">
        <f t="shared" si="55"/>
        <v>9.3881859209727931</v>
      </c>
      <c r="F126" s="2">
        <f t="shared" si="56"/>
        <v>7.8453400000000002</v>
      </c>
      <c r="G126" s="16">
        <f t="shared" si="55"/>
        <v>12632002.71097157</v>
      </c>
      <c r="H126" s="2">
        <f t="shared" si="55"/>
        <v>0.33424680832245074</v>
      </c>
      <c r="N126" s="3">
        <v>765</v>
      </c>
      <c r="O126" s="1">
        <v>660</v>
      </c>
      <c r="P126" s="1" t="s">
        <v>586</v>
      </c>
      <c r="Q126" s="224">
        <v>2.2999999999999998</v>
      </c>
      <c r="W126" s="2">
        <f t="shared" si="58"/>
        <v>0.86274509803921573</v>
      </c>
      <c r="X126" s="2">
        <f t="shared" si="57"/>
        <v>0.83996776534332085</v>
      </c>
      <c r="Y126" s="2">
        <f t="shared" si="59"/>
        <v>5.18806884739482E-4</v>
      </c>
    </row>
    <row r="127" spans="1:25" x14ac:dyDescent="0.25">
      <c r="A127" s="42" t="s">
        <v>8</v>
      </c>
      <c r="B127" s="223">
        <v>184</v>
      </c>
      <c r="C127" s="221" t="s">
        <v>811</v>
      </c>
      <c r="E127" s="2">
        <f t="shared" si="55"/>
        <v>9.1561831730064629</v>
      </c>
      <c r="F127" s="2">
        <f t="shared" si="56"/>
        <v>7.8040400000000005</v>
      </c>
      <c r="G127" s="16">
        <f t="shared" si="55"/>
        <v>6301001.593298153</v>
      </c>
      <c r="H127" s="2">
        <f t="shared" si="55"/>
        <v>0.33424680832245074</v>
      </c>
      <c r="N127" s="3">
        <v>709.66666666666663</v>
      </c>
      <c r="O127" s="1">
        <v>575</v>
      </c>
      <c r="P127" s="1" t="s">
        <v>585</v>
      </c>
      <c r="Q127" s="224">
        <v>1.74</v>
      </c>
      <c r="W127" s="2">
        <f t="shared" si="58"/>
        <v>0.81023954908407703</v>
      </c>
      <c r="X127" s="2">
        <f t="shared" si="57"/>
        <v>0.76160712990513457</v>
      </c>
      <c r="Y127" s="2">
        <f t="shared" si="59"/>
        <v>2.3651121951963699E-3</v>
      </c>
    </row>
    <row r="128" spans="1:25" x14ac:dyDescent="0.25">
      <c r="A128" s="42" t="s">
        <v>9</v>
      </c>
      <c r="B128" s="223">
        <v>204</v>
      </c>
      <c r="C128" s="221" t="s">
        <v>812</v>
      </c>
      <c r="E128" s="2">
        <f t="shared" si="55"/>
        <v>10.527742948190678</v>
      </c>
      <c r="F128" s="2">
        <f t="shared" si="56"/>
        <v>8.4681959999999989</v>
      </c>
      <c r="G128" s="16">
        <f t="shared" si="55"/>
        <v>19747514.291125294</v>
      </c>
      <c r="H128" s="2">
        <f t="shared" si="55"/>
        <v>0.31499856731758102</v>
      </c>
      <c r="N128" s="3">
        <v>1186.6666666666667</v>
      </c>
      <c r="O128" s="1">
        <v>979</v>
      </c>
      <c r="P128" s="1" t="s">
        <v>585</v>
      </c>
      <c r="Q128" s="224">
        <v>2.15</v>
      </c>
      <c r="W128" s="2">
        <f t="shared" si="58"/>
        <v>0.82499999999999996</v>
      </c>
      <c r="X128" s="2">
        <f t="shared" si="57"/>
        <v>0.82276719366987883</v>
      </c>
      <c r="Y128" s="2">
        <f t="shared" si="59"/>
        <v>4.9854241078289827E-6</v>
      </c>
    </row>
    <row r="129" spans="1:25" x14ac:dyDescent="0.25">
      <c r="O129" s="339" t="s">
        <v>824</v>
      </c>
      <c r="P129" s="339"/>
      <c r="Q129" s="339"/>
      <c r="R129" s="324" t="s">
        <v>834</v>
      </c>
      <c r="S129" s="335"/>
      <c r="T129" s="335"/>
      <c r="U129" s="335"/>
      <c r="V129" s="348"/>
    </row>
    <row r="130" spans="1:25" x14ac:dyDescent="0.25">
      <c r="O130" s="251" t="s">
        <v>581</v>
      </c>
      <c r="P130" s="339" t="s">
        <v>582</v>
      </c>
      <c r="Q130" s="252" t="s">
        <v>583</v>
      </c>
      <c r="R130" s="325"/>
      <c r="S130" s="336"/>
      <c r="T130" s="336"/>
      <c r="U130" s="336"/>
      <c r="V130" s="349"/>
    </row>
    <row r="131" spans="1:25" ht="45.95" customHeight="1" x14ac:dyDescent="0.25">
      <c r="O131" s="253" t="s">
        <v>584</v>
      </c>
      <c r="P131" s="339"/>
      <c r="Q131" s="254" t="s">
        <v>584</v>
      </c>
      <c r="R131" s="255" t="s">
        <v>815</v>
      </c>
      <c r="S131" s="256" t="s">
        <v>716</v>
      </c>
      <c r="T131" s="256" t="s">
        <v>711</v>
      </c>
      <c r="U131" s="256" t="s">
        <v>677</v>
      </c>
      <c r="V131" s="257" t="s">
        <v>654</v>
      </c>
    </row>
    <row r="132" spans="1:25" x14ac:dyDescent="0.25">
      <c r="O132" s="1">
        <v>1010</v>
      </c>
      <c r="P132" s="1" t="s">
        <v>585</v>
      </c>
      <c r="Q132" s="224">
        <v>2.4700000000000002</v>
      </c>
    </row>
    <row r="133" spans="1:25" x14ac:dyDescent="0.25">
      <c r="O133" s="1">
        <v>1600</v>
      </c>
      <c r="P133" s="1" t="s">
        <v>585</v>
      </c>
      <c r="Q133" s="224">
        <v>3.22</v>
      </c>
    </row>
    <row r="134" spans="1:25" x14ac:dyDescent="0.25">
      <c r="O134" s="1">
        <v>1840</v>
      </c>
      <c r="P134" s="1" t="s">
        <v>585</v>
      </c>
      <c r="Q134" s="224">
        <v>2.33</v>
      </c>
    </row>
    <row r="135" spans="1:25" x14ac:dyDescent="0.25">
      <c r="O135" s="1">
        <v>1390</v>
      </c>
      <c r="P135" s="1" t="s">
        <v>585</v>
      </c>
      <c r="Q135" s="224">
        <v>2.78</v>
      </c>
    </row>
    <row r="136" spans="1:25" x14ac:dyDescent="0.25">
      <c r="O136" s="1">
        <v>35.9</v>
      </c>
      <c r="P136" s="1" t="s">
        <v>585</v>
      </c>
      <c r="Q136" s="224">
        <v>7.08</v>
      </c>
    </row>
    <row r="137" spans="1:25" x14ac:dyDescent="0.25">
      <c r="O137" s="1">
        <v>2030</v>
      </c>
      <c r="P137" s="1" t="s">
        <v>585</v>
      </c>
      <c r="Q137" s="224">
        <v>6.8</v>
      </c>
    </row>
    <row r="138" spans="1:25" x14ac:dyDescent="0.25">
      <c r="A138" s="42" t="s">
        <v>0</v>
      </c>
      <c r="B138" s="223">
        <v>14</v>
      </c>
      <c r="C138" s="221" t="s">
        <v>806</v>
      </c>
      <c r="E138" s="2">
        <f t="shared" ref="E138:H146" si="60">E120</f>
        <v>3.5993389230776551</v>
      </c>
      <c r="F138" s="2">
        <f t="shared" ref="F138:F146" si="61">F120</f>
        <v>5.1477599999999999</v>
      </c>
      <c r="G138" s="16">
        <f t="shared" si="60"/>
        <v>63919.616214142108</v>
      </c>
      <c r="H138" s="2">
        <f t="shared" si="60"/>
        <v>0.50171447741666797</v>
      </c>
      <c r="N138" s="3">
        <v>1346.6666666666667</v>
      </c>
      <c r="O138" s="1">
        <v>887</v>
      </c>
      <c r="P138" s="1" t="s">
        <v>585</v>
      </c>
      <c r="Q138" s="224">
        <v>2.36</v>
      </c>
      <c r="R138" s="258">
        <f>AVERAGE(6400,3400)/1000000</f>
        <v>4.8999999999999998E-3</v>
      </c>
      <c r="S138" s="259">
        <f>IF(R138*100&lt;1.2,DOC_avg,IF(R138*100&gt;=1.2,(R138*100)^2*DOC_F1+(R138*100)*DOC_F2+DOC_F3))</f>
        <v>8.4666666666666668</v>
      </c>
      <c r="T138" s="258">
        <v>1.81</v>
      </c>
      <c r="U138" s="260">
        <v>0.38400000000000001</v>
      </c>
      <c r="V138" s="260">
        <v>0.11457546239999999</v>
      </c>
      <c r="W138" s="2">
        <f>O138/N138</f>
        <v>0.65866336633663358</v>
      </c>
      <c r="X138" s="2">
        <f t="shared" ref="X138:X146" si="62">EXP(R$138*10^$E138*T$138*$H138*U$138*T/L^2/($G138^2)/V$138/10^$F138/S$138*1000000)*ERFC(SQRT(R$138*10^$E138*T$138*U$138*$H138*T/V$138/10^$F138/S$138*1000000)/L/$G138)</f>
        <v>0.426196770051815</v>
      </c>
      <c r="Y138" s="2">
        <f>(X138-W138)^2</f>
        <v>5.404071838824883E-2</v>
      </c>
    </row>
    <row r="139" spans="1:25" x14ac:dyDescent="0.25">
      <c r="A139" s="42" t="s">
        <v>1</v>
      </c>
      <c r="B139" s="223">
        <v>36</v>
      </c>
      <c r="C139" s="221" t="s">
        <v>807</v>
      </c>
      <c r="E139" s="2">
        <f t="shared" si="60"/>
        <v>5.1213079115569577</v>
      </c>
      <c r="F139" s="2">
        <f t="shared" si="61"/>
        <v>5.7470160000000003</v>
      </c>
      <c r="G139" s="16">
        <f t="shared" si="60"/>
        <v>262677.88071364415</v>
      </c>
      <c r="H139" s="2">
        <f t="shared" si="60"/>
        <v>0.45309549993879755</v>
      </c>
      <c r="N139" s="3">
        <v>1530</v>
      </c>
      <c r="O139" s="1">
        <v>985</v>
      </c>
      <c r="P139" s="1" t="s">
        <v>585</v>
      </c>
      <c r="Q139" s="224">
        <v>4.2</v>
      </c>
      <c r="W139" s="2">
        <f t="shared" ref="W139:W146" si="63">O139/N139</f>
        <v>0.64379084967320266</v>
      </c>
      <c r="X139" s="2">
        <f t="shared" si="62"/>
        <v>0.53693925450669999</v>
      </c>
      <c r="Y139" s="2">
        <f t="shared" ref="Y139:Y146" si="64">(X139-W139)^2</f>
        <v>1.1417263389626175E-2</v>
      </c>
    </row>
    <row r="140" spans="1:25" x14ac:dyDescent="0.25">
      <c r="A140" s="42" t="s">
        <v>2</v>
      </c>
      <c r="B140" s="223">
        <v>78</v>
      </c>
      <c r="C140" s="221" t="s">
        <v>808</v>
      </c>
      <c r="E140" s="2">
        <f t="shared" si="60"/>
        <v>6.3885619982004886</v>
      </c>
      <c r="F140" s="2">
        <f t="shared" si="61"/>
        <v>6.3181720000000006</v>
      </c>
      <c r="G140" s="16">
        <f t="shared" si="60"/>
        <v>842807.64446312503</v>
      </c>
      <c r="H140" s="2">
        <f t="shared" si="60"/>
        <v>0.41446452428724656</v>
      </c>
      <c r="N140" s="3">
        <v>687.66666666666663</v>
      </c>
      <c r="O140" s="1">
        <v>470</v>
      </c>
      <c r="P140" s="1" t="s">
        <v>585</v>
      </c>
      <c r="Q140" s="224">
        <v>8.51</v>
      </c>
      <c r="W140" s="2">
        <f t="shared" si="63"/>
        <v>0.6834706737760543</v>
      </c>
      <c r="X140" s="2">
        <f t="shared" si="62"/>
        <v>0.64406316590306001</v>
      </c>
      <c r="Y140" s="2">
        <f t="shared" si="64"/>
        <v>1.5529516767601075E-3</v>
      </c>
    </row>
    <row r="141" spans="1:25" x14ac:dyDescent="0.25">
      <c r="A141" s="42" t="s">
        <v>3</v>
      </c>
      <c r="B141" s="223">
        <v>121</v>
      </c>
      <c r="C141" s="221" t="s">
        <v>809</v>
      </c>
      <c r="E141" s="2">
        <f t="shared" si="60"/>
        <v>7.0923537593378221</v>
      </c>
      <c r="F141" s="2">
        <f t="shared" si="61"/>
        <v>6.7030280000000007</v>
      </c>
      <c r="G141" s="16">
        <f t="shared" si="60"/>
        <v>1777033.55268118</v>
      </c>
      <c r="H141" s="2">
        <f t="shared" si="60"/>
        <v>0.38291771022895116</v>
      </c>
      <c r="N141" s="3">
        <v>720</v>
      </c>
      <c r="O141" s="1">
        <v>544</v>
      </c>
      <c r="P141" s="1" t="s">
        <v>586</v>
      </c>
      <c r="Q141" s="224">
        <v>2.6</v>
      </c>
      <c r="W141" s="2">
        <f t="shared" si="63"/>
        <v>0.75555555555555554</v>
      </c>
      <c r="X141" s="2">
        <f t="shared" si="62"/>
        <v>0.73874686655706856</v>
      </c>
      <c r="Y141" s="2">
        <f t="shared" si="64"/>
        <v>2.8253202584785711E-4</v>
      </c>
    </row>
    <row r="142" spans="1:25" x14ac:dyDescent="0.25">
      <c r="A142" s="42" t="s">
        <v>4</v>
      </c>
      <c r="B142" s="223">
        <v>104</v>
      </c>
      <c r="C142" s="221" t="s">
        <v>809</v>
      </c>
      <c r="E142" s="2">
        <f t="shared" si="60"/>
        <v>6.7714158550120036</v>
      </c>
      <c r="F142" s="2">
        <f t="shared" si="61"/>
        <v>6.6676280000000006</v>
      </c>
      <c r="G142" s="16">
        <f t="shared" si="60"/>
        <v>544238.28532434627</v>
      </c>
      <c r="H142" s="2">
        <f t="shared" si="60"/>
        <v>0.38291771022895116</v>
      </c>
      <c r="N142" s="3">
        <v>1626.6666666666667</v>
      </c>
      <c r="O142" s="1">
        <v>954</v>
      </c>
      <c r="P142" s="1" t="s">
        <v>585</v>
      </c>
      <c r="Q142" s="224">
        <v>2.2000000000000002</v>
      </c>
      <c r="W142" s="2">
        <f t="shared" si="63"/>
        <v>0.5864754098360655</v>
      </c>
      <c r="X142" s="2">
        <f t="shared" si="62"/>
        <v>0.52947881987560808</v>
      </c>
      <c r="Y142" s="2">
        <f t="shared" si="64"/>
        <v>3.248611267120516E-3</v>
      </c>
    </row>
    <row r="143" spans="1:25" x14ac:dyDescent="0.25">
      <c r="A143" s="42" t="s">
        <v>6</v>
      </c>
      <c r="B143" s="223">
        <v>155</v>
      </c>
      <c r="C143" s="221" t="s">
        <v>810</v>
      </c>
      <c r="E143" s="2">
        <f t="shared" si="60"/>
        <v>8.3373281465970912</v>
      </c>
      <c r="F143" s="2">
        <f t="shared" si="61"/>
        <v>7.2328840000000003</v>
      </c>
      <c r="G143" s="16">
        <f t="shared" si="60"/>
        <v>3642170.2218736345</v>
      </c>
      <c r="H143" s="2">
        <f t="shared" si="60"/>
        <v>0.35659524089143563</v>
      </c>
      <c r="N143" s="3">
        <v>557</v>
      </c>
      <c r="O143" s="1">
        <v>399</v>
      </c>
      <c r="P143" s="1" t="s">
        <v>585</v>
      </c>
      <c r="Q143" s="224">
        <v>1.48</v>
      </c>
      <c r="W143" s="2">
        <f t="shared" si="63"/>
        <v>0.71633752244165172</v>
      </c>
      <c r="X143" s="2">
        <f t="shared" si="62"/>
        <v>0.72417815837608601</v>
      </c>
      <c r="Y143" s="2">
        <f t="shared" si="64"/>
        <v>6.1475571856342312E-5</v>
      </c>
    </row>
    <row r="144" spans="1:25" x14ac:dyDescent="0.25">
      <c r="A144" s="42" t="s">
        <v>7</v>
      </c>
      <c r="B144" s="223">
        <v>192</v>
      </c>
      <c r="C144" s="221" t="s">
        <v>811</v>
      </c>
      <c r="E144" s="2">
        <f t="shared" si="60"/>
        <v>9.3881859209727931</v>
      </c>
      <c r="F144" s="2">
        <f t="shared" si="61"/>
        <v>7.8453400000000002</v>
      </c>
      <c r="G144" s="16">
        <f t="shared" si="60"/>
        <v>12632002.71097157</v>
      </c>
      <c r="H144" s="2">
        <f t="shared" si="60"/>
        <v>0.33424680832245074</v>
      </c>
      <c r="N144" s="3">
        <v>765</v>
      </c>
      <c r="O144" s="1">
        <v>643</v>
      </c>
      <c r="P144" s="1" t="s">
        <v>586</v>
      </c>
      <c r="Q144" s="224">
        <v>1.69</v>
      </c>
      <c r="W144" s="2">
        <f t="shared" si="63"/>
        <v>0.84052287581699348</v>
      </c>
      <c r="X144" s="2">
        <f t="shared" si="62"/>
        <v>0.85460176601040005</v>
      </c>
      <c r="Y144" s="2">
        <f t="shared" si="64"/>
        <v>1.9821514907799993E-4</v>
      </c>
    </row>
    <row r="145" spans="1:25" x14ac:dyDescent="0.25">
      <c r="A145" s="42" t="s">
        <v>8</v>
      </c>
      <c r="B145" s="223">
        <v>184</v>
      </c>
      <c r="C145" s="221" t="s">
        <v>811</v>
      </c>
      <c r="E145" s="2">
        <f t="shared" si="60"/>
        <v>9.1561831730064629</v>
      </c>
      <c r="F145" s="2">
        <f t="shared" si="61"/>
        <v>7.8040400000000005</v>
      </c>
      <c r="G145" s="16">
        <f t="shared" si="60"/>
        <v>6301001.593298153</v>
      </c>
      <c r="H145" s="2">
        <f t="shared" si="60"/>
        <v>0.33424680832245074</v>
      </c>
      <c r="N145" s="3">
        <v>709.66666666666663</v>
      </c>
      <c r="O145" s="1">
        <v>552</v>
      </c>
      <c r="P145" s="1" t="s">
        <v>585</v>
      </c>
      <c r="Q145" s="224">
        <v>1.28</v>
      </c>
      <c r="W145" s="2">
        <f t="shared" si="63"/>
        <v>0.77782996712071395</v>
      </c>
      <c r="X145" s="2">
        <f t="shared" si="62"/>
        <v>0.78185418328539458</v>
      </c>
      <c r="Y145" s="2">
        <f t="shared" si="64"/>
        <v>1.619431574007686E-5</v>
      </c>
    </row>
    <row r="146" spans="1:25" x14ac:dyDescent="0.25">
      <c r="A146" s="42" t="s">
        <v>9</v>
      </c>
      <c r="B146" s="223">
        <v>204</v>
      </c>
      <c r="C146" s="221" t="s">
        <v>812</v>
      </c>
      <c r="E146" s="2">
        <f t="shared" si="60"/>
        <v>10.527742948190678</v>
      </c>
      <c r="F146" s="2">
        <f t="shared" si="61"/>
        <v>8.4681959999999989</v>
      </c>
      <c r="G146" s="16">
        <f t="shared" si="60"/>
        <v>19747514.291125294</v>
      </c>
      <c r="H146" s="2">
        <f t="shared" si="60"/>
        <v>0.31499856731758102</v>
      </c>
      <c r="N146" s="3">
        <v>1186.6666666666667</v>
      </c>
      <c r="O146" s="1">
        <v>984</v>
      </c>
      <c r="P146" s="1" t="s">
        <v>585</v>
      </c>
      <c r="Q146" s="224">
        <v>2.71</v>
      </c>
      <c r="W146" s="2">
        <f t="shared" si="63"/>
        <v>0.82921348314606735</v>
      </c>
      <c r="X146" s="2">
        <f t="shared" si="62"/>
        <v>0.83872597853317932</v>
      </c>
      <c r="Y146" s="2">
        <f t="shared" si="64"/>
        <v>9.0487568489826383E-5</v>
      </c>
    </row>
    <row r="147" spans="1:25" x14ac:dyDescent="0.25">
      <c r="O147" s="339" t="s">
        <v>825</v>
      </c>
      <c r="P147" s="339"/>
      <c r="Q147" s="339"/>
      <c r="R147" s="324" t="s">
        <v>834</v>
      </c>
      <c r="S147" s="335"/>
      <c r="T147" s="335"/>
      <c r="U147" s="335"/>
      <c r="V147" s="348"/>
    </row>
    <row r="148" spans="1:25" x14ac:dyDescent="0.25">
      <c r="O148" s="251" t="s">
        <v>581</v>
      </c>
      <c r="P148" s="339" t="s">
        <v>582</v>
      </c>
      <c r="Q148" s="252" t="s">
        <v>583</v>
      </c>
      <c r="R148" s="325"/>
      <c r="S148" s="336"/>
      <c r="T148" s="336"/>
      <c r="U148" s="336"/>
      <c r="V148" s="349"/>
    </row>
    <row r="149" spans="1:25" ht="45.95" customHeight="1" x14ac:dyDescent="0.25">
      <c r="O149" s="253" t="s">
        <v>584</v>
      </c>
      <c r="P149" s="339"/>
      <c r="Q149" s="254" t="s">
        <v>584</v>
      </c>
      <c r="R149" s="255" t="s">
        <v>815</v>
      </c>
      <c r="S149" s="256" t="s">
        <v>716</v>
      </c>
      <c r="T149" s="256" t="s">
        <v>711</v>
      </c>
      <c r="U149" s="256" t="s">
        <v>677</v>
      </c>
      <c r="V149" s="257" t="s">
        <v>654</v>
      </c>
    </row>
    <row r="150" spans="1:25" x14ac:dyDescent="0.25">
      <c r="O150" s="1">
        <v>289</v>
      </c>
      <c r="P150" s="1" t="s">
        <v>585</v>
      </c>
      <c r="Q150" s="224">
        <v>1.0900000000000001</v>
      </c>
    </row>
    <row r="151" spans="1:25" x14ac:dyDescent="0.25">
      <c r="O151" s="1">
        <v>675</v>
      </c>
      <c r="P151" s="1" t="s">
        <v>585</v>
      </c>
      <c r="Q151" s="224">
        <v>1.43</v>
      </c>
    </row>
    <row r="152" spans="1:25" x14ac:dyDescent="0.25">
      <c r="O152" s="1">
        <v>410</v>
      </c>
      <c r="P152" s="1" t="s">
        <v>585</v>
      </c>
      <c r="Q152" s="224">
        <v>0.49099999999999999</v>
      </c>
    </row>
    <row r="153" spans="1:25" x14ac:dyDescent="0.25">
      <c r="O153" s="1">
        <v>468</v>
      </c>
      <c r="P153" s="1" t="s">
        <v>585</v>
      </c>
      <c r="Q153" s="224">
        <v>0.58399999999999996</v>
      </c>
    </row>
    <row r="154" spans="1:25" x14ac:dyDescent="0.25">
      <c r="O154" s="1">
        <v>32.6</v>
      </c>
      <c r="P154" s="1" t="s">
        <v>585</v>
      </c>
      <c r="Q154" s="224">
        <v>2.5099999999999998</v>
      </c>
    </row>
    <row r="155" spans="1:25" x14ac:dyDescent="0.25">
      <c r="O155" s="1">
        <v>287</v>
      </c>
      <c r="P155" s="1" t="s">
        <v>585</v>
      </c>
      <c r="Q155" s="224">
        <v>2.5099999999999998</v>
      </c>
    </row>
    <row r="156" spans="1:25" x14ac:dyDescent="0.25">
      <c r="A156" s="42" t="s">
        <v>0</v>
      </c>
      <c r="B156" s="223">
        <v>14</v>
      </c>
      <c r="C156" s="221" t="s">
        <v>806</v>
      </c>
      <c r="E156" s="2">
        <f t="shared" ref="E156:H164" si="65">E138</f>
        <v>3.5993389230776551</v>
      </c>
      <c r="F156" s="2">
        <f t="shared" ref="F156:F164" si="66">F138</f>
        <v>5.1477599999999999</v>
      </c>
      <c r="G156" s="16">
        <f t="shared" si="65"/>
        <v>63919.616214142108</v>
      </c>
      <c r="H156" s="2">
        <f t="shared" si="65"/>
        <v>0.50171447741666797</v>
      </c>
      <c r="N156" s="3">
        <v>1346.6666666666667</v>
      </c>
      <c r="O156" s="1">
        <v>625</v>
      </c>
      <c r="P156" s="1" t="s">
        <v>585</v>
      </c>
      <c r="Q156" s="224">
        <v>1.9</v>
      </c>
      <c r="R156" s="258">
        <f>1700/1000000</f>
        <v>1.6999999999999999E-3</v>
      </c>
      <c r="S156" s="259">
        <f>IF(R156*100&lt;1.2,DOC_avg,IF(R156*100&gt;=1.2,(R156*100)^2*DOC_F1+(R156*100)*DOC_F2+DOC_F3))</f>
        <v>8.4666666666666668</v>
      </c>
      <c r="T156" s="258">
        <v>1.81</v>
      </c>
      <c r="U156" s="260">
        <v>0.38400000000000001</v>
      </c>
      <c r="V156" s="260">
        <v>0.11457546239999999</v>
      </c>
      <c r="W156" s="2">
        <f>O156/N156</f>
        <v>0.46410891089108908</v>
      </c>
      <c r="X156" s="2">
        <f t="shared" ref="X156:X164" si="67">EXP(R$156*10^$E156*T$156*$H156*U$156*T/L^2/($G156^2)/V$156/10^$F156/S$156*1000000)*ERFC(SQRT(R$156*10^$E156*T$156*U$156*$H156*T/V$156/10^$F156/S$156*1000000)/L/$G156)</f>
        <v>0.57139399470948904</v>
      </c>
      <c r="Y156" s="2">
        <f>(X156-W156)^2</f>
        <v>1.1510089209921106E-2</v>
      </c>
    </row>
    <row r="157" spans="1:25" x14ac:dyDescent="0.25">
      <c r="A157" s="42" t="s">
        <v>1</v>
      </c>
      <c r="B157" s="223">
        <v>36</v>
      </c>
      <c r="C157" s="221" t="s">
        <v>807</v>
      </c>
      <c r="E157" s="2">
        <f t="shared" si="65"/>
        <v>5.1213079115569577</v>
      </c>
      <c r="F157" s="2">
        <f t="shared" si="66"/>
        <v>5.7470160000000003</v>
      </c>
      <c r="G157" s="16">
        <f t="shared" si="65"/>
        <v>262677.88071364415</v>
      </c>
      <c r="H157" s="2">
        <f t="shared" si="65"/>
        <v>0.45309549993879755</v>
      </c>
      <c r="N157" s="3">
        <v>1530</v>
      </c>
      <c r="O157" s="1">
        <v>872</v>
      </c>
      <c r="P157" s="1" t="s">
        <v>585</v>
      </c>
      <c r="Q157" s="224">
        <v>3.33</v>
      </c>
      <c r="W157" s="2">
        <f t="shared" ref="W157:W164" si="68">O157/N157</f>
        <v>0.56993464052287579</v>
      </c>
      <c r="X157" s="2">
        <f t="shared" si="67"/>
        <v>0.67312368214570106</v>
      </c>
      <c r="Y157" s="2">
        <f t="shared" ref="Y157:Y164" si="69">(X157-W157)^2</f>
        <v>1.0647978311037167E-2</v>
      </c>
    </row>
    <row r="158" spans="1:25" x14ac:dyDescent="0.25">
      <c r="A158" s="42" t="s">
        <v>2</v>
      </c>
      <c r="B158" s="223">
        <v>78</v>
      </c>
      <c r="C158" s="221" t="s">
        <v>808</v>
      </c>
      <c r="E158" s="2">
        <f t="shared" si="65"/>
        <v>6.3885619982004886</v>
      </c>
      <c r="F158" s="2">
        <f t="shared" si="66"/>
        <v>6.3181720000000006</v>
      </c>
      <c r="G158" s="16">
        <f t="shared" si="65"/>
        <v>842807.64446312503</v>
      </c>
      <c r="H158" s="2">
        <f t="shared" si="65"/>
        <v>0.41446452428724656</v>
      </c>
      <c r="N158" s="3">
        <v>687.66666666666663</v>
      </c>
      <c r="O158" s="1">
        <v>431</v>
      </c>
      <c r="P158" s="1" t="s">
        <v>585</v>
      </c>
      <c r="Q158" s="224">
        <v>8.4700000000000006</v>
      </c>
      <c r="W158" s="2">
        <f t="shared" si="68"/>
        <v>0.62675714978187114</v>
      </c>
      <c r="X158" s="2">
        <f t="shared" si="67"/>
        <v>0.76069350058863905</v>
      </c>
      <c r="Y158" s="2">
        <f t="shared" si="69"/>
        <v>1.7938946067433601E-2</v>
      </c>
    </row>
    <row r="159" spans="1:25" x14ac:dyDescent="0.25">
      <c r="A159" s="42" t="s">
        <v>3</v>
      </c>
      <c r="B159" s="223">
        <v>121</v>
      </c>
      <c r="C159" s="221" t="s">
        <v>809</v>
      </c>
      <c r="E159" s="2">
        <f t="shared" si="65"/>
        <v>7.0923537593378221</v>
      </c>
      <c r="F159" s="2">
        <f t="shared" si="66"/>
        <v>6.7030280000000007</v>
      </c>
      <c r="G159" s="16">
        <f t="shared" si="65"/>
        <v>1777033.55268118</v>
      </c>
      <c r="H159" s="2">
        <f t="shared" si="65"/>
        <v>0.38291771022895116</v>
      </c>
      <c r="N159" s="3">
        <v>720</v>
      </c>
      <c r="O159" s="1">
        <v>503</v>
      </c>
      <c r="P159" s="1" t="s">
        <v>586</v>
      </c>
      <c r="Q159" s="224">
        <v>3</v>
      </c>
      <c r="W159" s="2">
        <f t="shared" si="68"/>
        <v>0.69861111111111107</v>
      </c>
      <c r="X159" s="2">
        <f t="shared" si="67"/>
        <v>0.83108845734648651</v>
      </c>
      <c r="Y159" s="2">
        <f t="shared" si="69"/>
        <v>1.7550247265567542E-2</v>
      </c>
    </row>
    <row r="160" spans="1:25" x14ac:dyDescent="0.25">
      <c r="A160" s="42" t="s">
        <v>4</v>
      </c>
      <c r="B160" s="223">
        <v>104</v>
      </c>
      <c r="C160" s="221" t="s">
        <v>809</v>
      </c>
      <c r="E160" s="2">
        <f t="shared" si="65"/>
        <v>6.7714158550120036</v>
      </c>
      <c r="F160" s="2">
        <f t="shared" si="66"/>
        <v>6.6676280000000006</v>
      </c>
      <c r="G160" s="16">
        <f t="shared" si="65"/>
        <v>544238.28532434627</v>
      </c>
      <c r="H160" s="2">
        <f t="shared" si="65"/>
        <v>0.38291771022895116</v>
      </c>
      <c r="N160" s="3">
        <v>1626.6666666666667</v>
      </c>
      <c r="O160" s="1">
        <v>803</v>
      </c>
      <c r="P160" s="1" t="s">
        <v>585</v>
      </c>
      <c r="Q160" s="224">
        <v>2.5299999999999998</v>
      </c>
      <c r="W160" s="2">
        <f t="shared" si="68"/>
        <v>0.49364754098360653</v>
      </c>
      <c r="X160" s="2">
        <f t="shared" si="67"/>
        <v>0.66666060257882032</v>
      </c>
      <c r="Y160" s="2">
        <f t="shared" si="69"/>
        <v>2.9933519482549242E-2</v>
      </c>
    </row>
    <row r="161" spans="1:25" x14ac:dyDescent="0.25">
      <c r="A161" s="42" t="s">
        <v>6</v>
      </c>
      <c r="B161" s="223">
        <v>155</v>
      </c>
      <c r="C161" s="221" t="s">
        <v>810</v>
      </c>
      <c r="E161" s="2">
        <f t="shared" si="65"/>
        <v>8.3373281465970912</v>
      </c>
      <c r="F161" s="2">
        <f t="shared" si="66"/>
        <v>7.2328840000000003</v>
      </c>
      <c r="G161" s="16">
        <f t="shared" si="65"/>
        <v>3642170.2218736345</v>
      </c>
      <c r="H161" s="2">
        <f t="shared" si="65"/>
        <v>0.35659524089143563</v>
      </c>
      <c r="N161" s="3">
        <v>557</v>
      </c>
      <c r="O161" s="1">
        <v>379</v>
      </c>
      <c r="P161" s="1" t="s">
        <v>585</v>
      </c>
      <c r="Q161" s="224">
        <v>0.89600000000000002</v>
      </c>
      <c r="W161" s="2">
        <f t="shared" si="68"/>
        <v>0.68043087971274685</v>
      </c>
      <c r="X161" s="2">
        <f t="shared" si="67"/>
        <v>0.8206314237258624</v>
      </c>
      <c r="Y161" s="2">
        <f t="shared" si="69"/>
        <v>1.9656192541573549E-2</v>
      </c>
    </row>
    <row r="162" spans="1:25" x14ac:dyDescent="0.25">
      <c r="A162" s="42" t="s">
        <v>7</v>
      </c>
      <c r="B162" s="223">
        <v>192</v>
      </c>
      <c r="C162" s="221" t="s">
        <v>811</v>
      </c>
      <c r="E162" s="2">
        <f t="shared" si="65"/>
        <v>9.3881859209727931</v>
      </c>
      <c r="F162" s="2">
        <f t="shared" si="66"/>
        <v>7.8453400000000002</v>
      </c>
      <c r="G162" s="16">
        <f t="shared" si="65"/>
        <v>12632002.71097157</v>
      </c>
      <c r="H162" s="2">
        <f t="shared" si="65"/>
        <v>0.33424680832245074</v>
      </c>
      <c r="N162" s="3">
        <v>765</v>
      </c>
      <c r="O162" s="1">
        <v>615</v>
      </c>
      <c r="P162" s="1" t="s">
        <v>586</v>
      </c>
      <c r="Q162" s="224">
        <v>1.44</v>
      </c>
      <c r="W162" s="2">
        <f t="shared" si="68"/>
        <v>0.80392156862745101</v>
      </c>
      <c r="X162" s="2">
        <f t="shared" si="67"/>
        <v>0.91001179961592527</v>
      </c>
      <c r="Y162" s="2">
        <f t="shared" si="69"/>
        <v>1.1255137111187823E-2</v>
      </c>
    </row>
    <row r="163" spans="1:25" x14ac:dyDescent="0.25">
      <c r="A163" s="42" t="s">
        <v>8</v>
      </c>
      <c r="B163" s="223">
        <v>184</v>
      </c>
      <c r="C163" s="221" t="s">
        <v>811</v>
      </c>
      <c r="E163" s="2">
        <f t="shared" si="65"/>
        <v>9.1561831730064629</v>
      </c>
      <c r="F163" s="2">
        <f t="shared" si="66"/>
        <v>7.8040400000000005</v>
      </c>
      <c r="G163" s="16">
        <f t="shared" si="65"/>
        <v>6301001.593298153</v>
      </c>
      <c r="H163" s="2">
        <f t="shared" si="65"/>
        <v>0.33424680832245074</v>
      </c>
      <c r="N163" s="3">
        <v>709.66666666666663</v>
      </c>
      <c r="O163" s="1">
        <v>492</v>
      </c>
      <c r="P163" s="1" t="s">
        <v>585</v>
      </c>
      <c r="Q163" s="224">
        <v>1.0900000000000001</v>
      </c>
      <c r="W163" s="2">
        <f t="shared" si="68"/>
        <v>0.69328323156411464</v>
      </c>
      <c r="X163" s="2">
        <f t="shared" si="67"/>
        <v>0.86130154732668518</v>
      </c>
      <c r="Y163" s="2">
        <f t="shared" si="69"/>
        <v>2.8230154431690857E-2</v>
      </c>
    </row>
    <row r="164" spans="1:25" x14ac:dyDescent="0.25">
      <c r="A164" s="42" t="s">
        <v>9</v>
      </c>
      <c r="B164" s="223">
        <v>204</v>
      </c>
      <c r="C164" s="221" t="s">
        <v>812</v>
      </c>
      <c r="E164" s="2">
        <f t="shared" si="65"/>
        <v>10.527742948190678</v>
      </c>
      <c r="F164" s="2">
        <f t="shared" si="66"/>
        <v>8.4681959999999989</v>
      </c>
      <c r="G164" s="16">
        <f t="shared" si="65"/>
        <v>19747514.291125294</v>
      </c>
      <c r="H164" s="2">
        <f t="shared" si="65"/>
        <v>0.31499856731758102</v>
      </c>
      <c r="N164" s="3">
        <v>1186.6666666666667</v>
      </c>
      <c r="O164" s="1">
        <v>960</v>
      </c>
      <c r="P164" s="1" t="s">
        <v>585</v>
      </c>
      <c r="Q164" s="224">
        <v>2.65</v>
      </c>
      <c r="W164" s="2">
        <f t="shared" si="68"/>
        <v>0.8089887640449438</v>
      </c>
      <c r="X164" s="2">
        <f t="shared" si="67"/>
        <v>0.89961114081196958</v>
      </c>
      <c r="Y164" s="2">
        <f t="shared" si="69"/>
        <v>8.2124151709047737E-3</v>
      </c>
    </row>
    <row r="165" spans="1:25" x14ac:dyDescent="0.25">
      <c r="O165" s="339" t="s">
        <v>826</v>
      </c>
      <c r="P165" s="339"/>
      <c r="Q165" s="339"/>
      <c r="R165" s="324" t="s">
        <v>834</v>
      </c>
      <c r="S165" s="335"/>
      <c r="T165" s="335"/>
      <c r="U165" s="335"/>
      <c r="V165" s="348"/>
    </row>
    <row r="166" spans="1:25" x14ac:dyDescent="0.25">
      <c r="O166" s="251" t="s">
        <v>581</v>
      </c>
      <c r="P166" s="339" t="s">
        <v>582</v>
      </c>
      <c r="Q166" s="252" t="s">
        <v>583</v>
      </c>
      <c r="R166" s="325"/>
      <c r="S166" s="336"/>
      <c r="T166" s="336"/>
      <c r="U166" s="336"/>
      <c r="V166" s="349"/>
    </row>
    <row r="167" spans="1:25" ht="45.95" customHeight="1" x14ac:dyDescent="0.25">
      <c r="O167" s="253" t="s">
        <v>584</v>
      </c>
      <c r="P167" s="339"/>
      <c r="Q167" s="254" t="s">
        <v>584</v>
      </c>
      <c r="R167" s="255" t="s">
        <v>815</v>
      </c>
      <c r="S167" s="256" t="s">
        <v>716</v>
      </c>
      <c r="T167" s="256" t="s">
        <v>711</v>
      </c>
      <c r="U167" s="256" t="s">
        <v>677</v>
      </c>
      <c r="V167" s="257" t="s">
        <v>654</v>
      </c>
    </row>
    <row r="168" spans="1:25" x14ac:dyDescent="0.25">
      <c r="O168" s="1">
        <v>426</v>
      </c>
      <c r="P168" s="1" t="s">
        <v>585</v>
      </c>
      <c r="Q168" s="224">
        <v>1.08</v>
      </c>
    </row>
    <row r="169" spans="1:25" x14ac:dyDescent="0.25">
      <c r="O169" s="1">
        <v>1400</v>
      </c>
      <c r="P169" s="1" t="s">
        <v>585</v>
      </c>
      <c r="Q169" s="224">
        <v>1.41</v>
      </c>
    </row>
    <row r="170" spans="1:25" x14ac:dyDescent="0.25">
      <c r="O170" s="1">
        <v>780</v>
      </c>
      <c r="P170" s="1" t="s">
        <v>585</v>
      </c>
      <c r="Q170" s="224">
        <v>1.32</v>
      </c>
    </row>
    <row r="171" spans="1:25" x14ac:dyDescent="0.25">
      <c r="O171" s="1">
        <v>1050</v>
      </c>
      <c r="P171" s="1" t="s">
        <v>585</v>
      </c>
      <c r="Q171" s="224">
        <v>1.52</v>
      </c>
    </row>
    <row r="172" spans="1:25" x14ac:dyDescent="0.25">
      <c r="O172" s="1">
        <v>34.9</v>
      </c>
      <c r="P172" s="1" t="s">
        <v>585</v>
      </c>
      <c r="Q172" s="224">
        <v>2.94</v>
      </c>
    </row>
    <row r="173" spans="1:25" x14ac:dyDescent="0.25">
      <c r="O173" s="1">
        <v>84.2</v>
      </c>
      <c r="P173" s="1" t="s">
        <v>585</v>
      </c>
      <c r="Q173" s="224">
        <v>3.58</v>
      </c>
    </row>
    <row r="174" spans="1:25" x14ac:dyDescent="0.25">
      <c r="A174" s="42" t="s">
        <v>0</v>
      </c>
      <c r="B174" s="223">
        <v>14</v>
      </c>
      <c r="C174" s="221" t="s">
        <v>806</v>
      </c>
      <c r="E174" s="2">
        <f t="shared" ref="E174:H182" si="70">E156</f>
        <v>3.5993389230776551</v>
      </c>
      <c r="F174" s="2">
        <f t="shared" ref="F174:F182" si="71">F156</f>
        <v>5.1477599999999999</v>
      </c>
      <c r="G174" s="16">
        <f t="shared" si="70"/>
        <v>63919.616214142108</v>
      </c>
      <c r="H174" s="2">
        <f t="shared" si="70"/>
        <v>0.50171447741666797</v>
      </c>
      <c r="N174" s="3">
        <v>1346.6666666666667</v>
      </c>
      <c r="O174" s="1">
        <v>315</v>
      </c>
      <c r="P174" s="1" t="s">
        <v>585</v>
      </c>
      <c r="Q174" s="224">
        <v>2.33</v>
      </c>
      <c r="R174" s="258">
        <f>11000/1000000</f>
        <v>1.0999999999999999E-2</v>
      </c>
      <c r="S174" s="259">
        <f>IF(R174*100&lt;1.2,DOC_avg,IF(R174*100&gt;=1.2,(R174*100)^2*DOC_F1+(R174*100)*DOC_F2+DOC_F3))</f>
        <v>8.4666666666666668</v>
      </c>
      <c r="T174" s="258">
        <v>1.81</v>
      </c>
      <c r="U174" s="260">
        <v>0.38400000000000001</v>
      </c>
      <c r="V174" s="260">
        <v>0.11457546239999999</v>
      </c>
      <c r="W174" s="2">
        <f>O174/N174</f>
        <v>0.2339108910891089</v>
      </c>
      <c r="X174" s="2">
        <f t="shared" ref="X174:X182" si="72">EXP(R$174*10^$E174*T$174*$H174*U$174*T/L^2/($G174^2)/V$174/10^$F174/S$174*1000000)*ERFC(SQRT(R$174*10^$E174*T$174*U$174*$H174*T/V$174/10^$F174/S$174*1000000)/L/$G174)</f>
        <v>0.32061853605642104</v>
      </c>
      <c r="Y174" s="2">
        <f>(X174-W174)^2</f>
        <v>7.5182156957774512E-3</v>
      </c>
    </row>
    <row r="175" spans="1:25" x14ac:dyDescent="0.25">
      <c r="A175" s="42" t="s">
        <v>1</v>
      </c>
      <c r="B175" s="223">
        <v>36</v>
      </c>
      <c r="C175" s="221" t="s">
        <v>807</v>
      </c>
      <c r="E175" s="2">
        <f t="shared" si="70"/>
        <v>5.1213079115569577</v>
      </c>
      <c r="F175" s="2">
        <f t="shared" si="71"/>
        <v>5.7470160000000003</v>
      </c>
      <c r="G175" s="16">
        <f t="shared" si="70"/>
        <v>262677.88071364415</v>
      </c>
      <c r="H175" s="2">
        <f t="shared" si="70"/>
        <v>0.45309549993879755</v>
      </c>
      <c r="N175" s="3">
        <v>1530</v>
      </c>
      <c r="O175" s="1">
        <v>707</v>
      </c>
      <c r="P175" s="1" t="s">
        <v>585</v>
      </c>
      <c r="Q175" s="224">
        <v>6.66</v>
      </c>
      <c r="W175" s="2">
        <f t="shared" ref="W175:W182" si="73">O175/N175</f>
        <v>0.46209150326797388</v>
      </c>
      <c r="X175" s="2">
        <f t="shared" si="72"/>
        <v>0.42554807648072152</v>
      </c>
      <c r="Y175" s="2">
        <f t="shared" ref="Y175:Y182" si="74">(X175-W175)^2</f>
        <v>1.3354220413552738E-3</v>
      </c>
    </row>
    <row r="176" spans="1:25" x14ac:dyDescent="0.25">
      <c r="A176" s="42" t="s">
        <v>2</v>
      </c>
      <c r="B176" s="223">
        <v>78</v>
      </c>
      <c r="C176" s="221" t="s">
        <v>808</v>
      </c>
      <c r="E176" s="2">
        <f t="shared" si="70"/>
        <v>6.3885619982004886</v>
      </c>
      <c r="F176" s="2">
        <f t="shared" si="71"/>
        <v>6.3181720000000006</v>
      </c>
      <c r="G176" s="16">
        <f t="shared" si="70"/>
        <v>842807.64446312503</v>
      </c>
      <c r="H176" s="2">
        <f t="shared" si="70"/>
        <v>0.41446452428724656</v>
      </c>
      <c r="N176" s="3">
        <v>687.66666666666663</v>
      </c>
      <c r="O176" s="1">
        <v>444</v>
      </c>
      <c r="P176" s="1" t="s">
        <v>585</v>
      </c>
      <c r="Q176" s="224">
        <v>8.1199999999999992</v>
      </c>
      <c r="W176" s="2">
        <f t="shared" si="73"/>
        <v>0.64566165777993212</v>
      </c>
      <c r="X176" s="2">
        <f t="shared" si="72"/>
        <v>0.53820252166557359</v>
      </c>
      <c r="Y176" s="2">
        <f t="shared" si="74"/>
        <v>1.1547465934444234E-2</v>
      </c>
    </row>
    <row r="177" spans="1:25" x14ac:dyDescent="0.25">
      <c r="A177" s="42" t="s">
        <v>3</v>
      </c>
      <c r="B177" s="223">
        <v>121</v>
      </c>
      <c r="C177" s="221" t="s">
        <v>809</v>
      </c>
      <c r="E177" s="2">
        <f t="shared" si="70"/>
        <v>7.0923537593378221</v>
      </c>
      <c r="F177" s="2">
        <f t="shared" si="71"/>
        <v>6.7030280000000007</v>
      </c>
      <c r="G177" s="16">
        <f t="shared" si="70"/>
        <v>1777033.55268118</v>
      </c>
      <c r="H177" s="2">
        <f t="shared" si="70"/>
        <v>0.38291771022895116</v>
      </c>
      <c r="N177" s="3">
        <v>720</v>
      </c>
      <c r="O177" s="1">
        <v>530</v>
      </c>
      <c r="P177" s="1" t="s">
        <v>586</v>
      </c>
      <c r="Q177" s="224">
        <v>3.02</v>
      </c>
      <c r="W177" s="2">
        <f t="shared" si="73"/>
        <v>0.73611111111111116</v>
      </c>
      <c r="X177" s="2">
        <f t="shared" si="72"/>
        <v>0.64751930755399045</v>
      </c>
      <c r="Y177" s="2">
        <f t="shared" si="74"/>
        <v>7.848507657503466E-3</v>
      </c>
    </row>
    <row r="178" spans="1:25" x14ac:dyDescent="0.25">
      <c r="A178" s="42" t="s">
        <v>4</v>
      </c>
      <c r="B178" s="223">
        <v>104</v>
      </c>
      <c r="C178" s="221" t="s">
        <v>809</v>
      </c>
      <c r="E178" s="2">
        <f t="shared" si="70"/>
        <v>6.7714158550120036</v>
      </c>
      <c r="F178" s="2">
        <f t="shared" si="71"/>
        <v>6.6676280000000006</v>
      </c>
      <c r="G178" s="16">
        <f t="shared" si="70"/>
        <v>544238.28532434627</v>
      </c>
      <c r="H178" s="2">
        <f t="shared" si="70"/>
        <v>0.38291771022895116</v>
      </c>
      <c r="N178" s="3">
        <v>1626.6666666666667</v>
      </c>
      <c r="O178" s="1">
        <v>830</v>
      </c>
      <c r="P178" s="1" t="s">
        <v>585</v>
      </c>
      <c r="Q178" s="224">
        <v>2.5499999999999998</v>
      </c>
      <c r="W178" s="2">
        <f t="shared" si="73"/>
        <v>0.51024590163934425</v>
      </c>
      <c r="X178" s="2">
        <f t="shared" si="72"/>
        <v>0.41812110285594489</v>
      </c>
      <c r="Y178" s="2">
        <f t="shared" si="74"/>
        <v>8.4869785508818185E-3</v>
      </c>
    </row>
    <row r="179" spans="1:25" x14ac:dyDescent="0.25">
      <c r="A179" s="42" t="s">
        <v>6</v>
      </c>
      <c r="B179" s="223">
        <v>155</v>
      </c>
      <c r="C179" s="221" t="s">
        <v>810</v>
      </c>
      <c r="E179" s="2">
        <f t="shared" si="70"/>
        <v>8.3373281465970912</v>
      </c>
      <c r="F179" s="2">
        <f t="shared" si="71"/>
        <v>7.2328840000000003</v>
      </c>
      <c r="G179" s="16">
        <f t="shared" si="70"/>
        <v>3642170.2218736345</v>
      </c>
      <c r="H179" s="2">
        <f t="shared" si="70"/>
        <v>0.35659524089143563</v>
      </c>
      <c r="N179" s="3">
        <v>557</v>
      </c>
      <c r="O179" s="1">
        <v>419</v>
      </c>
      <c r="P179" s="1" t="s">
        <v>585</v>
      </c>
      <c r="Q179" s="224">
        <v>0.97699999999999998</v>
      </c>
      <c r="W179" s="2">
        <f t="shared" si="73"/>
        <v>0.75224416517055659</v>
      </c>
      <c r="X179" s="2">
        <f t="shared" si="72"/>
        <v>0.6300844835426751</v>
      </c>
      <c r="Y179" s="2">
        <f t="shared" si="74"/>
        <v>1.4922987815425367E-2</v>
      </c>
    </row>
    <row r="180" spans="1:25" x14ac:dyDescent="0.25">
      <c r="A180" s="42" t="s">
        <v>7</v>
      </c>
      <c r="B180" s="223">
        <v>192</v>
      </c>
      <c r="C180" s="221" t="s">
        <v>811</v>
      </c>
      <c r="E180" s="2">
        <f t="shared" si="70"/>
        <v>9.3881859209727931</v>
      </c>
      <c r="F180" s="2">
        <f t="shared" si="71"/>
        <v>7.8453400000000002</v>
      </c>
      <c r="G180" s="16">
        <f t="shared" si="70"/>
        <v>12632002.71097157</v>
      </c>
      <c r="H180" s="2">
        <f t="shared" si="70"/>
        <v>0.33424680832245074</v>
      </c>
      <c r="N180" s="3">
        <v>765</v>
      </c>
      <c r="O180" s="1">
        <v>659</v>
      </c>
      <c r="P180" s="1" t="s">
        <v>586</v>
      </c>
      <c r="Q180" s="224">
        <v>1.35</v>
      </c>
      <c r="W180" s="2">
        <f t="shared" si="73"/>
        <v>0.86143790849673207</v>
      </c>
      <c r="X180" s="2">
        <f t="shared" si="72"/>
        <v>0.79436877990626198</v>
      </c>
      <c r="Y180" s="2">
        <f t="shared" si="74"/>
        <v>4.4982680098850135E-3</v>
      </c>
    </row>
    <row r="181" spans="1:25" x14ac:dyDescent="0.25">
      <c r="A181" s="42" t="s">
        <v>8</v>
      </c>
      <c r="B181" s="223">
        <v>184</v>
      </c>
      <c r="C181" s="221" t="s">
        <v>811</v>
      </c>
      <c r="E181" s="2">
        <f t="shared" si="70"/>
        <v>9.1561831730064629</v>
      </c>
      <c r="F181" s="2">
        <f t="shared" si="71"/>
        <v>7.8040400000000005</v>
      </c>
      <c r="G181" s="16">
        <f t="shared" si="70"/>
        <v>6301001.593298153</v>
      </c>
      <c r="H181" s="2">
        <f t="shared" si="70"/>
        <v>0.33424680832245074</v>
      </c>
      <c r="N181" s="3">
        <v>709.66666666666663</v>
      </c>
      <c r="O181" s="1">
        <v>551</v>
      </c>
      <c r="P181" s="1" t="s">
        <v>585</v>
      </c>
      <c r="Q181" s="224">
        <v>1.02</v>
      </c>
      <c r="W181" s="2">
        <f t="shared" si="73"/>
        <v>0.7764208548614373</v>
      </c>
      <c r="X181" s="2">
        <f t="shared" si="72"/>
        <v>0.70044352418874178</v>
      </c>
      <c r="Y181" s="2">
        <f t="shared" si="74"/>
        <v>5.7725547761481198E-3</v>
      </c>
    </row>
    <row r="182" spans="1:25" x14ac:dyDescent="0.25">
      <c r="A182" s="42" t="s">
        <v>9</v>
      </c>
      <c r="B182" s="223">
        <v>204</v>
      </c>
      <c r="C182" s="221" t="s">
        <v>812</v>
      </c>
      <c r="E182" s="2">
        <f t="shared" si="70"/>
        <v>10.527742948190678</v>
      </c>
      <c r="F182" s="2">
        <f t="shared" si="71"/>
        <v>8.4681959999999989</v>
      </c>
      <c r="G182" s="16">
        <f t="shared" si="70"/>
        <v>19747514.291125294</v>
      </c>
      <c r="H182" s="2">
        <f t="shared" si="70"/>
        <v>0.31499856731758102</v>
      </c>
      <c r="N182" s="3">
        <v>1186.6666666666667</v>
      </c>
      <c r="O182" s="1">
        <v>998</v>
      </c>
      <c r="P182" s="1" t="s">
        <v>585</v>
      </c>
      <c r="Q182" s="224">
        <v>1.47</v>
      </c>
      <c r="W182" s="2">
        <f t="shared" si="73"/>
        <v>0.84101123595505611</v>
      </c>
      <c r="X182" s="2">
        <f t="shared" si="72"/>
        <v>0.77337107357996038</v>
      </c>
      <c r="Y182" s="2">
        <f t="shared" si="74"/>
        <v>4.5751915661293172E-3</v>
      </c>
    </row>
    <row r="183" spans="1:25" x14ac:dyDescent="0.25">
      <c r="O183" s="339" t="s">
        <v>827</v>
      </c>
      <c r="P183" s="339"/>
      <c r="Q183" s="339"/>
      <c r="R183" s="324" t="s">
        <v>834</v>
      </c>
      <c r="S183" s="335"/>
      <c r="T183" s="335"/>
      <c r="U183" s="335"/>
      <c r="V183" s="348"/>
    </row>
    <row r="184" spans="1:25" x14ac:dyDescent="0.25">
      <c r="O184" s="251" t="s">
        <v>581</v>
      </c>
      <c r="P184" s="339" t="s">
        <v>582</v>
      </c>
      <c r="Q184" s="252" t="s">
        <v>583</v>
      </c>
      <c r="R184" s="325"/>
      <c r="S184" s="336"/>
      <c r="T184" s="336"/>
      <c r="U184" s="336"/>
      <c r="V184" s="349"/>
    </row>
    <row r="185" spans="1:25" ht="45.95" customHeight="1" x14ac:dyDescent="0.25">
      <c r="O185" s="253" t="s">
        <v>584</v>
      </c>
      <c r="P185" s="339"/>
      <c r="Q185" s="254" t="s">
        <v>584</v>
      </c>
      <c r="R185" s="255" t="s">
        <v>815</v>
      </c>
      <c r="S185" s="256" t="s">
        <v>716</v>
      </c>
      <c r="T185" s="256" t="s">
        <v>711</v>
      </c>
      <c r="U185" s="256" t="s">
        <v>677</v>
      </c>
      <c r="V185" s="257" t="s">
        <v>654</v>
      </c>
    </row>
    <row r="186" spans="1:25" x14ac:dyDescent="0.25">
      <c r="O186" s="1">
        <v>98.2</v>
      </c>
      <c r="P186" s="1" t="s">
        <v>585</v>
      </c>
      <c r="Q186" s="224">
        <v>0.67800000000000005</v>
      </c>
    </row>
    <row r="187" spans="1:25" x14ac:dyDescent="0.25">
      <c r="O187" s="1">
        <v>162</v>
      </c>
      <c r="P187" s="1" t="s">
        <v>585</v>
      </c>
      <c r="Q187" s="224">
        <v>0.88400000000000001</v>
      </c>
    </row>
    <row r="188" spans="1:25" x14ac:dyDescent="0.25">
      <c r="O188" s="1">
        <v>202</v>
      </c>
      <c r="P188" s="1" t="s">
        <v>585</v>
      </c>
      <c r="Q188" s="224">
        <v>0.36199999999999999</v>
      </c>
    </row>
    <row r="189" spans="1:25" x14ac:dyDescent="0.25">
      <c r="O189" s="1">
        <v>275</v>
      </c>
      <c r="P189" s="1" t="s">
        <v>585</v>
      </c>
      <c r="Q189" s="224">
        <v>0.46100000000000002</v>
      </c>
    </row>
    <row r="190" spans="1:25" x14ac:dyDescent="0.25">
      <c r="O190" s="1">
        <v>18.600000000000001</v>
      </c>
      <c r="P190" s="1" t="s">
        <v>585</v>
      </c>
      <c r="Q190" s="224">
        <v>1.24</v>
      </c>
    </row>
    <row r="191" spans="1:25" x14ac:dyDescent="0.25">
      <c r="O191" s="1">
        <v>34.700000000000003</v>
      </c>
      <c r="P191" s="1" t="s">
        <v>585</v>
      </c>
      <c r="Q191" s="224">
        <v>1.57</v>
      </c>
    </row>
    <row r="192" spans="1:25" x14ac:dyDescent="0.25">
      <c r="A192" s="42" t="s">
        <v>0</v>
      </c>
      <c r="B192" s="223">
        <v>14</v>
      </c>
      <c r="C192" s="221" t="s">
        <v>806</v>
      </c>
      <c r="E192" s="2">
        <f t="shared" ref="E192:H200" si="75">E174</f>
        <v>3.5993389230776551</v>
      </c>
      <c r="F192" s="2">
        <f t="shared" ref="F192:F200" si="76">F174</f>
        <v>5.1477599999999999</v>
      </c>
      <c r="G192" s="16">
        <f t="shared" si="75"/>
        <v>63919.616214142108</v>
      </c>
      <c r="H192" s="2">
        <f t="shared" si="75"/>
        <v>0.50171447741666797</v>
      </c>
      <c r="N192" s="3">
        <v>1346.6666666666667</v>
      </c>
      <c r="O192" s="1">
        <v>136</v>
      </c>
      <c r="P192" s="1" t="s">
        <v>585</v>
      </c>
      <c r="Q192" s="224">
        <v>1.51</v>
      </c>
      <c r="R192" s="258">
        <f>11000/1000000</f>
        <v>1.0999999999999999E-2</v>
      </c>
      <c r="S192" s="259">
        <f>IF(R192*100&lt;1.2,DOC_avg,IF(R192*100&gt;=1.2,(R192*100)^2*DOC_F1+(R192*100)*DOC_F2+DOC_F3))</f>
        <v>8.4666666666666668</v>
      </c>
      <c r="T192" s="258">
        <v>1.81</v>
      </c>
      <c r="U192" s="260">
        <v>0.38400000000000001</v>
      </c>
      <c r="V192" s="260">
        <v>0.11457546239999999</v>
      </c>
      <c r="W192" s="2">
        <f>O192/N192</f>
        <v>0.10099009900990098</v>
      </c>
      <c r="X192" s="2">
        <f t="shared" ref="X192:X200" si="77">EXP(R$192*10^$E192*T$192*$H192*U$192*T/L^2/($G192^2)/V$192/10^$F192/S$192*1000000)*ERFC(SQRT(R$192*10^$E192*T$192*U$192*$H192*T/V$192/10^$F192/S$192*1000000)/L/$G192)</f>
        <v>0.32061853605642104</v>
      </c>
      <c r="Y192" s="2">
        <f>(X192-W192)^2</f>
        <v>4.823665035949723E-2</v>
      </c>
    </row>
    <row r="193" spans="1:25" x14ac:dyDescent="0.25">
      <c r="A193" s="42" t="s">
        <v>1</v>
      </c>
      <c r="B193" s="223">
        <v>36</v>
      </c>
      <c r="C193" s="221" t="s">
        <v>807</v>
      </c>
      <c r="E193" s="2">
        <f t="shared" si="75"/>
        <v>5.1213079115569577</v>
      </c>
      <c r="F193" s="2">
        <f t="shared" si="76"/>
        <v>5.7470160000000003</v>
      </c>
      <c r="G193" s="16">
        <f t="shared" si="75"/>
        <v>262677.88071364415</v>
      </c>
      <c r="H193" s="2">
        <f t="shared" si="75"/>
        <v>0.45309549993879755</v>
      </c>
      <c r="N193" s="3">
        <v>1530</v>
      </c>
      <c r="O193" s="1">
        <v>564</v>
      </c>
      <c r="P193" s="1" t="s">
        <v>585</v>
      </c>
      <c r="Q193" s="224">
        <v>4.0199999999999996</v>
      </c>
      <c r="W193" s="2">
        <f t="shared" ref="W193:W200" si="78">O193/N193</f>
        <v>0.36862745098039218</v>
      </c>
      <c r="X193" s="2">
        <f t="shared" si="77"/>
        <v>0.42554807648072152</v>
      </c>
      <c r="Y193" s="2">
        <f t="shared" ref="Y193:Y200" si="79">(X193-W193)^2</f>
        <v>3.2399576073487424E-3</v>
      </c>
    </row>
    <row r="194" spans="1:25" x14ac:dyDescent="0.25">
      <c r="A194" s="42" t="s">
        <v>2</v>
      </c>
      <c r="B194" s="223">
        <v>78</v>
      </c>
      <c r="C194" s="221" t="s">
        <v>808</v>
      </c>
      <c r="E194" s="2">
        <f t="shared" si="75"/>
        <v>6.3885619982004886</v>
      </c>
      <c r="F194" s="2">
        <f t="shared" si="76"/>
        <v>6.3181720000000006</v>
      </c>
      <c r="G194" s="16">
        <f t="shared" si="75"/>
        <v>842807.64446312503</v>
      </c>
      <c r="H194" s="2">
        <f t="shared" si="75"/>
        <v>0.41446452428724656</v>
      </c>
      <c r="N194" s="3">
        <v>687.66666666666663</v>
      </c>
      <c r="O194" s="1">
        <v>409</v>
      </c>
      <c r="P194" s="1" t="s">
        <v>585</v>
      </c>
      <c r="Q194" s="224">
        <v>5.71</v>
      </c>
      <c r="W194" s="2">
        <f t="shared" si="78"/>
        <v>0.59476490547746008</v>
      </c>
      <c r="X194" s="2">
        <f t="shared" si="77"/>
        <v>0.53820252166557359</v>
      </c>
      <c r="Y194" s="2">
        <f t="shared" si="79"/>
        <v>3.1993032624831595E-3</v>
      </c>
    </row>
    <row r="195" spans="1:25" x14ac:dyDescent="0.25">
      <c r="A195" s="42" t="s">
        <v>3</v>
      </c>
      <c r="B195" s="223">
        <v>121</v>
      </c>
      <c r="C195" s="221" t="s">
        <v>809</v>
      </c>
      <c r="E195" s="2">
        <f t="shared" si="75"/>
        <v>7.0923537593378221</v>
      </c>
      <c r="F195" s="2">
        <f t="shared" si="76"/>
        <v>6.7030280000000007</v>
      </c>
      <c r="G195" s="16">
        <f t="shared" si="75"/>
        <v>1777033.55268118</v>
      </c>
      <c r="H195" s="2">
        <f t="shared" si="75"/>
        <v>0.38291771022895116</v>
      </c>
      <c r="N195" s="3">
        <v>720</v>
      </c>
      <c r="O195" s="1">
        <v>515</v>
      </c>
      <c r="P195" s="1" t="s">
        <v>586</v>
      </c>
      <c r="Q195" s="224">
        <v>1.06</v>
      </c>
      <c r="W195" s="2">
        <f t="shared" si="78"/>
        <v>0.71527777777777779</v>
      </c>
      <c r="X195" s="2">
        <f t="shared" si="77"/>
        <v>0.64751930755399045</v>
      </c>
      <c r="Y195" s="2">
        <f t="shared" si="79"/>
        <v>4.5912102870678748E-3</v>
      </c>
    </row>
    <row r="196" spans="1:25" x14ac:dyDescent="0.25">
      <c r="A196" s="42" t="s">
        <v>4</v>
      </c>
      <c r="B196" s="223">
        <v>104</v>
      </c>
      <c r="C196" s="221" t="s">
        <v>809</v>
      </c>
      <c r="E196" s="2">
        <f t="shared" si="75"/>
        <v>6.7714158550120036</v>
      </c>
      <c r="F196" s="2">
        <f t="shared" si="76"/>
        <v>6.6676280000000006</v>
      </c>
      <c r="G196" s="16">
        <f t="shared" si="75"/>
        <v>544238.28532434627</v>
      </c>
      <c r="H196" s="2">
        <f t="shared" si="75"/>
        <v>0.38291771022895116</v>
      </c>
      <c r="N196" s="3">
        <v>1626.6666666666667</v>
      </c>
      <c r="O196" s="1">
        <v>803</v>
      </c>
      <c r="P196" s="1" t="s">
        <v>585</v>
      </c>
      <c r="Q196" s="224">
        <v>0.89500000000000002</v>
      </c>
      <c r="W196" s="2">
        <f t="shared" si="78"/>
        <v>0.49364754098360653</v>
      </c>
      <c r="X196" s="2">
        <f t="shared" si="77"/>
        <v>0.41812110285594489</v>
      </c>
      <c r="Y196" s="2">
        <f t="shared" si="79"/>
        <v>5.7042428562515011E-3</v>
      </c>
    </row>
    <row r="197" spans="1:25" x14ac:dyDescent="0.25">
      <c r="A197" s="42" t="s">
        <v>6</v>
      </c>
      <c r="B197" s="223">
        <v>155</v>
      </c>
      <c r="C197" s="221" t="s">
        <v>810</v>
      </c>
      <c r="E197" s="2">
        <f t="shared" si="75"/>
        <v>8.3373281465970912</v>
      </c>
      <c r="F197" s="2">
        <f t="shared" si="76"/>
        <v>7.2328840000000003</v>
      </c>
      <c r="G197" s="16">
        <f t="shared" si="75"/>
        <v>3642170.2218736345</v>
      </c>
      <c r="H197" s="2">
        <f t="shared" si="75"/>
        <v>0.35659524089143563</v>
      </c>
      <c r="N197" s="3">
        <v>557</v>
      </c>
      <c r="O197" s="1">
        <v>411</v>
      </c>
      <c r="P197" s="1" t="s">
        <v>585</v>
      </c>
      <c r="Q197" s="224">
        <v>0.70299999999999996</v>
      </c>
      <c r="W197" s="2">
        <f t="shared" si="78"/>
        <v>0.73788150807899466</v>
      </c>
      <c r="X197" s="2">
        <f t="shared" si="77"/>
        <v>0.6300844835426751</v>
      </c>
      <c r="Y197" s="2">
        <f t="shared" si="79"/>
        <v>1.1620198498883882E-2</v>
      </c>
    </row>
    <row r="198" spans="1:25" x14ac:dyDescent="0.25">
      <c r="A198" s="42" t="s">
        <v>7</v>
      </c>
      <c r="B198" s="223">
        <v>192</v>
      </c>
      <c r="C198" s="221" t="s">
        <v>811</v>
      </c>
      <c r="E198" s="2">
        <f t="shared" si="75"/>
        <v>9.3881859209727931</v>
      </c>
      <c r="F198" s="2">
        <f t="shared" si="76"/>
        <v>7.8453400000000002</v>
      </c>
      <c r="G198" s="16">
        <f t="shared" si="75"/>
        <v>12632002.71097157</v>
      </c>
      <c r="H198" s="2">
        <f t="shared" si="75"/>
        <v>0.33424680832245074</v>
      </c>
      <c r="N198" s="3">
        <v>765</v>
      </c>
      <c r="O198" s="1">
        <v>639</v>
      </c>
      <c r="P198" s="1" t="s">
        <v>586</v>
      </c>
      <c r="Q198" s="224">
        <v>1.0900000000000001</v>
      </c>
      <c r="W198" s="2">
        <f t="shared" si="78"/>
        <v>0.83529411764705885</v>
      </c>
      <c r="X198" s="2">
        <f t="shared" si="77"/>
        <v>0.79436877990626198</v>
      </c>
      <c r="Y198" s="2">
        <f t="shared" si="79"/>
        <v>1.6748832691982931E-3</v>
      </c>
    </row>
    <row r="199" spans="1:25" x14ac:dyDescent="0.25">
      <c r="A199" s="42" t="s">
        <v>8</v>
      </c>
      <c r="B199" s="223">
        <v>184</v>
      </c>
      <c r="C199" s="221" t="s">
        <v>811</v>
      </c>
      <c r="E199" s="2">
        <f t="shared" si="75"/>
        <v>9.1561831730064629</v>
      </c>
      <c r="F199" s="2">
        <f t="shared" si="76"/>
        <v>7.8040400000000005</v>
      </c>
      <c r="G199" s="16">
        <f t="shared" si="75"/>
        <v>6301001.593298153</v>
      </c>
      <c r="H199" s="2">
        <f t="shared" si="75"/>
        <v>0.33424680832245074</v>
      </c>
      <c r="N199" s="3">
        <v>709.66666666666663</v>
      </c>
      <c r="O199" s="1">
        <v>546</v>
      </c>
      <c r="P199" s="1" t="s">
        <v>585</v>
      </c>
      <c r="Q199" s="224">
        <v>0.82399999999999995</v>
      </c>
      <c r="W199" s="2">
        <f t="shared" si="78"/>
        <v>0.76937529356505407</v>
      </c>
      <c r="X199" s="2">
        <f t="shared" si="77"/>
        <v>0.70044352418874178</v>
      </c>
      <c r="Y199" s="2">
        <f t="shared" si="79"/>
        <v>4.7515888293491052E-3</v>
      </c>
    </row>
    <row r="200" spans="1:25" x14ac:dyDescent="0.25">
      <c r="A200" s="42" t="s">
        <v>9</v>
      </c>
      <c r="B200" s="223">
        <v>204</v>
      </c>
      <c r="C200" s="221" t="s">
        <v>812</v>
      </c>
      <c r="E200" s="2">
        <f t="shared" si="75"/>
        <v>10.527742948190678</v>
      </c>
      <c r="F200" s="2">
        <f t="shared" si="76"/>
        <v>8.4681959999999989</v>
      </c>
      <c r="G200" s="16">
        <f t="shared" si="75"/>
        <v>19747514.291125294</v>
      </c>
      <c r="H200" s="2">
        <f t="shared" si="75"/>
        <v>0.31499856731758102</v>
      </c>
      <c r="N200" s="3">
        <v>1186.6666666666667</v>
      </c>
      <c r="O200" s="1">
        <v>964</v>
      </c>
      <c r="P200" s="1" t="s">
        <v>585</v>
      </c>
      <c r="Q200" s="224">
        <v>3.14</v>
      </c>
      <c r="W200" s="2">
        <f t="shared" si="78"/>
        <v>0.81235955056179765</v>
      </c>
      <c r="X200" s="2">
        <f t="shared" si="77"/>
        <v>0.77337107357996038</v>
      </c>
      <c r="Y200" s="2">
        <f t="shared" si="79"/>
        <v>1.5201013373632548E-3</v>
      </c>
    </row>
    <row r="201" spans="1:25" x14ac:dyDescent="0.25">
      <c r="O201" s="339" t="s">
        <v>828</v>
      </c>
      <c r="P201" s="339"/>
      <c r="Q201" s="339"/>
      <c r="R201" s="324" t="s">
        <v>834</v>
      </c>
      <c r="S201" s="335"/>
      <c r="T201" s="335"/>
      <c r="U201" s="335"/>
      <c r="V201" s="348"/>
    </row>
    <row r="202" spans="1:25" x14ac:dyDescent="0.25">
      <c r="O202" s="251" t="s">
        <v>581</v>
      </c>
      <c r="P202" s="339" t="s">
        <v>582</v>
      </c>
      <c r="Q202" s="252" t="s">
        <v>583</v>
      </c>
      <c r="R202" s="325"/>
      <c r="S202" s="336"/>
      <c r="T202" s="336"/>
      <c r="U202" s="336"/>
      <c r="V202" s="349"/>
    </row>
    <row r="203" spans="1:25" ht="45.95" customHeight="1" x14ac:dyDescent="0.25">
      <c r="O203" s="253" t="s">
        <v>584</v>
      </c>
      <c r="P203" s="339"/>
      <c r="Q203" s="254" t="s">
        <v>584</v>
      </c>
      <c r="R203" s="255" t="s">
        <v>815</v>
      </c>
      <c r="S203" s="256" t="s">
        <v>716</v>
      </c>
      <c r="T203" s="256" t="s">
        <v>711</v>
      </c>
      <c r="U203" s="256" t="s">
        <v>677</v>
      </c>
      <c r="V203" s="257" t="s">
        <v>654</v>
      </c>
    </row>
    <row r="204" spans="1:25" x14ac:dyDescent="0.25">
      <c r="O204" s="1">
        <v>130</v>
      </c>
      <c r="P204" s="1" t="s">
        <v>585</v>
      </c>
      <c r="Q204" s="224">
        <v>0.54500000000000004</v>
      </c>
    </row>
    <row r="205" spans="1:25" x14ac:dyDescent="0.25">
      <c r="O205" s="1">
        <v>317</v>
      </c>
      <c r="P205" s="1" t="s">
        <v>585</v>
      </c>
      <c r="Q205" s="224">
        <v>0.71</v>
      </c>
    </row>
    <row r="206" spans="1:25" x14ac:dyDescent="0.25">
      <c r="O206" s="1">
        <v>522</v>
      </c>
      <c r="P206" s="1" t="s">
        <v>585</v>
      </c>
      <c r="Q206" s="224">
        <v>0.71599999999999997</v>
      </c>
    </row>
    <row r="207" spans="1:25" x14ac:dyDescent="0.25">
      <c r="O207" s="1">
        <v>728</v>
      </c>
      <c r="P207" s="1" t="s">
        <v>585</v>
      </c>
      <c r="Q207" s="224">
        <v>0.84099999999999997</v>
      </c>
    </row>
    <row r="208" spans="1:25" x14ac:dyDescent="0.25">
      <c r="O208" s="1" t="s">
        <v>820</v>
      </c>
      <c r="P208" s="1" t="s">
        <v>709</v>
      </c>
      <c r="Q208" s="224">
        <v>1.1200000000000001</v>
      </c>
    </row>
    <row r="209" spans="1:25" x14ac:dyDescent="0.25">
      <c r="O209" s="1">
        <v>4.9800000000000004</v>
      </c>
      <c r="P209" s="1" t="s">
        <v>620</v>
      </c>
      <c r="Q209" s="224">
        <v>1.28</v>
      </c>
    </row>
    <row r="210" spans="1:25" x14ac:dyDescent="0.25">
      <c r="A210" s="42" t="s">
        <v>0</v>
      </c>
      <c r="B210" s="223">
        <v>14</v>
      </c>
      <c r="C210" s="221" t="s">
        <v>806</v>
      </c>
      <c r="E210" s="2">
        <f t="shared" ref="E210:H214" si="80">E192</f>
        <v>3.5993389230776551</v>
      </c>
      <c r="F210" s="2">
        <f t="shared" ref="F210:F218" si="81">F192</f>
        <v>5.1477599999999999</v>
      </c>
      <c r="G210" s="16">
        <f t="shared" si="80"/>
        <v>63919.616214142108</v>
      </c>
      <c r="H210" s="2">
        <f t="shared" si="80"/>
        <v>0.50171447741666797</v>
      </c>
      <c r="N210" s="3">
        <v>1346.6666666666667</v>
      </c>
      <c r="O210" s="1">
        <v>548</v>
      </c>
      <c r="P210" s="1" t="s">
        <v>585</v>
      </c>
      <c r="Q210" s="224">
        <v>3.05</v>
      </c>
      <c r="R210" s="258">
        <f>11000/1000000</f>
        <v>1.0999999999999999E-2</v>
      </c>
      <c r="S210" s="259">
        <f>IF(R210*100&lt;1.2,DOC_avg,IF(R210*100&gt;=1.2,(R210*100)^2*DOC_F1+(R210*100)*DOC_F2+DOC_F3))</f>
        <v>8.4666666666666668</v>
      </c>
      <c r="T210" s="258">
        <v>1.81</v>
      </c>
      <c r="U210" s="260">
        <v>0.38400000000000001</v>
      </c>
      <c r="V210" s="260">
        <v>0.11457546239999999</v>
      </c>
      <c r="W210" s="2">
        <f>O210/N210</f>
        <v>0.4069306930693069</v>
      </c>
      <c r="X210" s="2">
        <f t="shared" ref="X210:X218" si="82">EXP(R$210*10^$E210*T$210*$H210*U$210*T/L^2/($G210^2)/V$210/10^$F210/S$210*1000000)*ERFC(SQRT(R$210*10^$E210*T$210*U$210*$H210*T/V$210/10^$F210/S$210*1000000)/L/$G210)</f>
        <v>0.32061853605642104</v>
      </c>
      <c r="Y210" s="2">
        <f>(X210-W210)^2</f>
        <v>7.4497884482170613E-3</v>
      </c>
    </row>
    <row r="211" spans="1:25" x14ac:dyDescent="0.25">
      <c r="A211" s="42" t="s">
        <v>1</v>
      </c>
      <c r="B211" s="223">
        <v>36</v>
      </c>
      <c r="C211" s="221" t="s">
        <v>807</v>
      </c>
      <c r="E211" s="2">
        <f t="shared" si="80"/>
        <v>5.1213079115569577</v>
      </c>
      <c r="F211" s="2">
        <f t="shared" si="81"/>
        <v>5.7470160000000003</v>
      </c>
      <c r="G211" s="16">
        <f t="shared" si="80"/>
        <v>262677.88071364415</v>
      </c>
      <c r="H211" s="2">
        <f t="shared" si="80"/>
        <v>0.45309549993879755</v>
      </c>
      <c r="N211" s="3">
        <v>1530</v>
      </c>
      <c r="O211" s="1">
        <v>709</v>
      </c>
      <c r="P211" s="1" t="s">
        <v>585</v>
      </c>
      <c r="Q211" s="224">
        <v>4.16</v>
      </c>
      <c r="W211" s="2">
        <f t="shared" ref="W211:W218" si="83">O211/N211</f>
        <v>0.46339869281045754</v>
      </c>
      <c r="X211" s="2">
        <f t="shared" si="82"/>
        <v>0.42554807648072152</v>
      </c>
      <c r="Y211" s="2">
        <f t="shared" ref="Y211:Y218" si="84">(X211-W211)^2</f>
        <v>1.4326691565408791E-3</v>
      </c>
    </row>
    <row r="212" spans="1:25" x14ac:dyDescent="0.25">
      <c r="A212" s="42" t="s">
        <v>2</v>
      </c>
      <c r="B212" s="223">
        <v>78</v>
      </c>
      <c r="C212" s="221" t="s">
        <v>808</v>
      </c>
      <c r="E212" s="2">
        <f t="shared" si="80"/>
        <v>6.3885619982004886</v>
      </c>
      <c r="F212" s="2">
        <f t="shared" si="81"/>
        <v>6.3181720000000006</v>
      </c>
      <c r="G212" s="16">
        <f t="shared" si="80"/>
        <v>842807.64446312503</v>
      </c>
      <c r="H212" s="2">
        <f t="shared" si="80"/>
        <v>0.41446452428724656</v>
      </c>
      <c r="N212" s="3">
        <v>687.66666666666663</v>
      </c>
      <c r="O212" s="1">
        <v>389</v>
      </c>
      <c r="P212" s="1" t="s">
        <v>585</v>
      </c>
      <c r="Q212" s="224">
        <v>4.9400000000000004</v>
      </c>
      <c r="W212" s="2">
        <f t="shared" si="83"/>
        <v>0.56568104701890454</v>
      </c>
      <c r="X212" s="2">
        <f t="shared" si="82"/>
        <v>0.53820252166557359</v>
      </c>
      <c r="Y212" s="2">
        <f t="shared" si="84"/>
        <v>7.5506935559365189E-4</v>
      </c>
    </row>
    <row r="213" spans="1:25" x14ac:dyDescent="0.25">
      <c r="A213" s="42" t="s">
        <v>3</v>
      </c>
      <c r="B213" s="223">
        <v>121</v>
      </c>
      <c r="C213" s="221" t="s">
        <v>809</v>
      </c>
      <c r="E213" s="2">
        <f t="shared" si="80"/>
        <v>7.0923537593378221</v>
      </c>
      <c r="F213" s="2">
        <f t="shared" si="81"/>
        <v>6.7030280000000007</v>
      </c>
      <c r="G213" s="16">
        <f t="shared" si="80"/>
        <v>1777033.55268118</v>
      </c>
      <c r="H213" s="2">
        <f t="shared" si="80"/>
        <v>0.38291771022895116</v>
      </c>
      <c r="N213" s="3">
        <v>720</v>
      </c>
      <c r="O213" s="1">
        <v>496</v>
      </c>
      <c r="P213" s="1" t="s">
        <v>586</v>
      </c>
      <c r="Q213" s="224">
        <v>2.54</v>
      </c>
      <c r="W213" s="2">
        <f t="shared" si="83"/>
        <v>0.68888888888888888</v>
      </c>
      <c r="X213" s="2">
        <f t="shared" si="82"/>
        <v>0.64751930755399045</v>
      </c>
      <c r="Y213" s="2">
        <f t="shared" si="84"/>
        <v>1.7114422598247766E-3</v>
      </c>
    </row>
    <row r="214" spans="1:25" x14ac:dyDescent="0.25">
      <c r="A214" s="42" t="s">
        <v>4</v>
      </c>
      <c r="B214" s="223">
        <v>104</v>
      </c>
      <c r="C214" s="221" t="s">
        <v>809</v>
      </c>
      <c r="E214" s="2">
        <f t="shared" si="80"/>
        <v>6.7714158550120036</v>
      </c>
      <c r="F214" s="2">
        <f t="shared" si="81"/>
        <v>6.6676280000000006</v>
      </c>
      <c r="G214" s="16">
        <f t="shared" si="80"/>
        <v>544238.28532434627</v>
      </c>
      <c r="H214" s="2">
        <f t="shared" si="80"/>
        <v>0.38291771022895116</v>
      </c>
      <c r="N214" s="3">
        <v>1626.6666666666667</v>
      </c>
      <c r="O214" s="1">
        <v>771</v>
      </c>
      <c r="P214" s="1" t="s">
        <v>585</v>
      </c>
      <c r="Q214" s="224">
        <v>2.15</v>
      </c>
      <c r="W214" s="2">
        <f t="shared" si="83"/>
        <v>0.47397540983606556</v>
      </c>
      <c r="X214" s="2">
        <f t="shared" si="82"/>
        <v>0.41812110285594489</v>
      </c>
      <c r="Y214" s="2">
        <f t="shared" si="84"/>
        <v>3.1197036082295567E-3</v>
      </c>
    </row>
    <row r="215" spans="1:25" x14ac:dyDescent="0.25">
      <c r="A215" s="42" t="s">
        <v>6</v>
      </c>
      <c r="B215" s="223">
        <v>155</v>
      </c>
      <c r="C215" s="221" t="s">
        <v>810</v>
      </c>
      <c r="E215" s="2">
        <f>E197</f>
        <v>8.3373281465970912</v>
      </c>
      <c r="F215" s="2">
        <f t="shared" si="81"/>
        <v>7.2328840000000003</v>
      </c>
      <c r="G215" s="16">
        <f t="shared" ref="G215:H218" si="85">G197</f>
        <v>3642170.2218736345</v>
      </c>
      <c r="H215" s="2">
        <f t="shared" si="85"/>
        <v>0.35659524089143563</v>
      </c>
      <c r="N215" s="3">
        <v>557</v>
      </c>
      <c r="O215" s="1">
        <v>401</v>
      </c>
      <c r="P215" s="1" t="s">
        <v>585</v>
      </c>
      <c r="Q215" s="224">
        <v>0.55600000000000005</v>
      </c>
      <c r="W215" s="2">
        <f t="shared" si="83"/>
        <v>0.71992818671454217</v>
      </c>
      <c r="X215" s="2">
        <f t="shared" si="82"/>
        <v>0.6300844835426751</v>
      </c>
      <c r="Y215" s="2">
        <f t="shared" si="84"/>
        <v>8.0718909996345574E-3</v>
      </c>
    </row>
    <row r="216" spans="1:25" x14ac:dyDescent="0.25">
      <c r="A216" s="42" t="s">
        <v>7</v>
      </c>
      <c r="B216" s="223">
        <v>192</v>
      </c>
      <c r="C216" s="221" t="s">
        <v>811</v>
      </c>
      <c r="E216" s="2">
        <f>E198</f>
        <v>9.3881859209727931</v>
      </c>
      <c r="F216" s="2">
        <f t="shared" si="81"/>
        <v>7.8453400000000002</v>
      </c>
      <c r="G216" s="16">
        <f t="shared" si="85"/>
        <v>12632002.71097157</v>
      </c>
      <c r="H216" s="2">
        <f t="shared" si="85"/>
        <v>0.33424680832245074</v>
      </c>
      <c r="N216" s="3">
        <v>765</v>
      </c>
      <c r="O216" s="1">
        <v>633</v>
      </c>
      <c r="P216" s="1" t="s">
        <v>586</v>
      </c>
      <c r="Q216" s="224">
        <v>1.53</v>
      </c>
      <c r="W216" s="2">
        <f t="shared" si="83"/>
        <v>0.82745098039215681</v>
      </c>
      <c r="X216" s="2">
        <f t="shared" si="82"/>
        <v>0.79436877990626198</v>
      </c>
      <c r="Y216" s="2">
        <f t="shared" si="84"/>
        <v>1.0944319889889401E-3</v>
      </c>
    </row>
    <row r="217" spans="1:25" x14ac:dyDescent="0.25">
      <c r="A217" s="42" t="s">
        <v>8</v>
      </c>
      <c r="B217" s="223">
        <v>184</v>
      </c>
      <c r="C217" s="221" t="s">
        <v>811</v>
      </c>
      <c r="E217" s="2">
        <f>E199</f>
        <v>9.1561831730064629</v>
      </c>
      <c r="F217" s="2">
        <f t="shared" si="81"/>
        <v>7.8040400000000005</v>
      </c>
      <c r="G217" s="16">
        <f t="shared" si="85"/>
        <v>6301001.593298153</v>
      </c>
      <c r="H217" s="2">
        <f t="shared" si="85"/>
        <v>0.33424680832245074</v>
      </c>
      <c r="N217" s="3">
        <v>709.66666666666663</v>
      </c>
      <c r="O217" s="1">
        <v>547</v>
      </c>
      <c r="P217" s="1" t="s">
        <v>585</v>
      </c>
      <c r="Q217" s="224">
        <v>1.1499999999999999</v>
      </c>
      <c r="W217" s="2">
        <f t="shared" si="83"/>
        <v>0.77078440582433072</v>
      </c>
      <c r="X217" s="2">
        <f t="shared" si="82"/>
        <v>0.70044352418874178</v>
      </c>
      <c r="Y217" s="2">
        <f t="shared" si="84"/>
        <v>4.9478396292719331E-3</v>
      </c>
    </row>
    <row r="218" spans="1:25" x14ac:dyDescent="0.25">
      <c r="A218" s="42" t="s">
        <v>9</v>
      </c>
      <c r="B218" s="223">
        <v>204</v>
      </c>
      <c r="C218" s="221" t="s">
        <v>812</v>
      </c>
      <c r="E218" s="2">
        <f>E200</f>
        <v>10.527742948190678</v>
      </c>
      <c r="F218" s="2">
        <f t="shared" si="81"/>
        <v>8.4681959999999989</v>
      </c>
      <c r="G218" s="16">
        <f t="shared" si="85"/>
        <v>19747514.291125294</v>
      </c>
      <c r="H218" s="2">
        <f t="shared" si="85"/>
        <v>0.31499856731758102</v>
      </c>
      <c r="N218" s="3">
        <v>1186.6666666666667</v>
      </c>
      <c r="O218" s="1">
        <v>978</v>
      </c>
      <c r="P218" s="1" t="s">
        <v>585</v>
      </c>
      <c r="Q218" s="224">
        <v>1.43</v>
      </c>
      <c r="W218" s="2">
        <f t="shared" si="83"/>
        <v>0.82415730337078641</v>
      </c>
      <c r="X218" s="2">
        <f t="shared" si="82"/>
        <v>0.77337107357996038</v>
      </c>
      <c r="Y218" s="2">
        <f t="shared" si="84"/>
        <v>2.5792411363665855E-3</v>
      </c>
    </row>
    <row r="220" spans="1:25" x14ac:dyDescent="0.25">
      <c r="Y220" s="2">
        <f>SUM(Y12:Y218)</f>
        <v>0.70351458356443508</v>
      </c>
    </row>
  </sheetData>
  <mergeCells count="49">
    <mergeCell ref="A3:D3"/>
    <mergeCell ref="A4:A5"/>
    <mergeCell ref="C4:C5"/>
    <mergeCell ref="D4:D5"/>
    <mergeCell ref="B4:B5"/>
    <mergeCell ref="N4:N5"/>
    <mergeCell ref="F4:F5"/>
    <mergeCell ref="O3:Q3"/>
    <mergeCell ref="P4:P5"/>
    <mergeCell ref="W3:Y3"/>
    <mergeCell ref="W4:W5"/>
    <mergeCell ref="X4:X5"/>
    <mergeCell ref="Y4:Y5"/>
    <mergeCell ref="E3:N3"/>
    <mergeCell ref="R3:V4"/>
    <mergeCell ref="P112:P113"/>
    <mergeCell ref="O21:Q21"/>
    <mergeCell ref="P22:P23"/>
    <mergeCell ref="O39:Q39"/>
    <mergeCell ref="P40:P41"/>
    <mergeCell ref="O57:Q57"/>
    <mergeCell ref="P58:P59"/>
    <mergeCell ref="O75:Q75"/>
    <mergeCell ref="P76:P77"/>
    <mergeCell ref="O93:Q93"/>
    <mergeCell ref="P94:P95"/>
    <mergeCell ref="O111:Q111"/>
    <mergeCell ref="O183:Q183"/>
    <mergeCell ref="P184:P185"/>
    <mergeCell ref="O201:Q201"/>
    <mergeCell ref="P202:P203"/>
    <mergeCell ref="O129:Q129"/>
    <mergeCell ref="P130:P131"/>
    <mergeCell ref="O147:Q147"/>
    <mergeCell ref="P148:P149"/>
    <mergeCell ref="O165:Q165"/>
    <mergeCell ref="P166:P167"/>
    <mergeCell ref="O1:Q2"/>
    <mergeCell ref="R21:V22"/>
    <mergeCell ref="R39:V40"/>
    <mergeCell ref="R57:V58"/>
    <mergeCell ref="R75:V76"/>
    <mergeCell ref="R183:V184"/>
    <mergeCell ref="R201:V202"/>
    <mergeCell ref="R93:V94"/>
    <mergeCell ref="R111:V112"/>
    <mergeCell ref="R129:V130"/>
    <mergeCell ref="R147:V148"/>
    <mergeCell ref="R165:V1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7865-3F1F-4F34-B116-E3194C1DE8E7}">
  <sheetPr>
    <tabColor rgb="FFCCFFCC"/>
  </sheetPr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4C08-9858-4942-BD71-8910E8A53A92}">
  <dimension ref="A1:T115"/>
  <sheetViews>
    <sheetView zoomScaleNormal="100" workbookViewId="0">
      <selection activeCell="G19" sqref="G19"/>
    </sheetView>
  </sheetViews>
  <sheetFormatPr defaultRowHeight="15" x14ac:dyDescent="0.25"/>
  <cols>
    <col min="1" max="1" width="15.140625" customWidth="1"/>
    <col min="2" max="2" width="14.140625" customWidth="1"/>
  </cols>
  <sheetData>
    <row r="1" spans="1:13" ht="18" x14ac:dyDescent="0.3">
      <c r="A1" t="s">
        <v>779</v>
      </c>
      <c r="D1">
        <v>19</v>
      </c>
      <c r="E1" s="5" t="s">
        <v>780</v>
      </c>
    </row>
    <row r="2" spans="1:13" x14ac:dyDescent="0.25">
      <c r="A2" t="s">
        <v>15</v>
      </c>
      <c r="M2" t="s">
        <v>802</v>
      </c>
    </row>
    <row r="6" spans="1:13" x14ac:dyDescent="0.25">
      <c r="A6" s="4">
        <v>43752</v>
      </c>
      <c r="B6" s="4">
        <v>43787</v>
      </c>
      <c r="C6">
        <f>B6-A6</f>
        <v>35</v>
      </c>
      <c r="D6" t="s">
        <v>16</v>
      </c>
    </row>
    <row r="8" spans="1:13" x14ac:dyDescent="0.25">
      <c r="A8" t="s">
        <v>17</v>
      </c>
      <c r="B8">
        <v>13</v>
      </c>
      <c r="C8">
        <v>25</v>
      </c>
      <c r="D8">
        <v>50</v>
      </c>
      <c r="E8">
        <v>75</v>
      </c>
      <c r="F8" s="5" t="s">
        <v>18</v>
      </c>
    </row>
    <row r="11" spans="1:13" ht="18" x14ac:dyDescent="0.35">
      <c r="A11" s="158" t="s">
        <v>784</v>
      </c>
      <c r="B11" s="159" t="s">
        <v>21</v>
      </c>
      <c r="C11" s="158" t="s">
        <v>22</v>
      </c>
      <c r="D11" s="158"/>
    </row>
    <row r="12" spans="1:13" ht="18" x14ac:dyDescent="0.35">
      <c r="A12" s="158" t="s">
        <v>23</v>
      </c>
      <c r="B12" s="159" t="s">
        <v>21</v>
      </c>
      <c r="C12" s="158" t="s">
        <v>24</v>
      </c>
      <c r="D12" s="158"/>
    </row>
    <row r="13" spans="1:13" ht="18" x14ac:dyDescent="0.35">
      <c r="A13" s="158" t="s">
        <v>25</v>
      </c>
      <c r="B13" s="159" t="s">
        <v>21</v>
      </c>
      <c r="C13" s="158" t="s">
        <v>26</v>
      </c>
      <c r="D13" s="158"/>
    </row>
    <row r="14" spans="1:13" ht="18" x14ac:dyDescent="0.35">
      <c r="A14" s="158" t="s">
        <v>785</v>
      </c>
      <c r="B14" s="159" t="s">
        <v>21</v>
      </c>
      <c r="C14" s="158" t="s">
        <v>27</v>
      </c>
      <c r="D14" s="158"/>
    </row>
    <row r="15" spans="1:13" ht="18.75" x14ac:dyDescent="0.35">
      <c r="A15" s="158" t="s">
        <v>786</v>
      </c>
      <c r="B15" s="159" t="s">
        <v>21</v>
      </c>
      <c r="C15" s="158" t="s">
        <v>787</v>
      </c>
      <c r="D15" s="158"/>
    </row>
    <row r="16" spans="1:13" ht="18.75" x14ac:dyDescent="0.35">
      <c r="A16" s="158" t="s">
        <v>788</v>
      </c>
      <c r="B16" s="159" t="s">
        <v>21</v>
      </c>
      <c r="C16" s="158" t="s">
        <v>789</v>
      </c>
      <c r="D16" s="158"/>
    </row>
    <row r="17" spans="1:9" ht="18" x14ac:dyDescent="0.35">
      <c r="A17" s="158" t="s">
        <v>568</v>
      </c>
      <c r="B17" s="159" t="s">
        <v>21</v>
      </c>
      <c r="C17" s="158" t="s">
        <v>790</v>
      </c>
      <c r="D17" s="158"/>
    </row>
    <row r="18" spans="1:9" x14ac:dyDescent="0.25">
      <c r="A18" t="s">
        <v>17</v>
      </c>
      <c r="B18" s="153">
        <v>13</v>
      </c>
      <c r="C18">
        <v>25</v>
      </c>
      <c r="D18">
        <v>50</v>
      </c>
      <c r="E18">
        <v>75</v>
      </c>
      <c r="F18" s="5" t="s">
        <v>18</v>
      </c>
    </row>
    <row r="19" spans="1:9" ht="18" x14ac:dyDescent="0.35">
      <c r="A19" s="5" t="s">
        <v>568</v>
      </c>
      <c r="B19" s="160">
        <f>B18*0.0001/2</f>
        <v>6.5000000000000008E-4</v>
      </c>
      <c r="C19">
        <f>C18*0.0001/2</f>
        <v>1.25E-3</v>
      </c>
      <c r="D19">
        <f>D18*0.0001/2</f>
        <v>2.5000000000000001E-3</v>
      </c>
      <c r="E19">
        <f>E18*0.0001/2</f>
        <v>3.7500000000000003E-3</v>
      </c>
      <c r="F19" s="5" t="s">
        <v>569</v>
      </c>
      <c r="G19" t="s">
        <v>570</v>
      </c>
    </row>
    <row r="20" spans="1:9" x14ac:dyDescent="0.25">
      <c r="F20" s="5"/>
    </row>
    <row r="21" spans="1:9" x14ac:dyDescent="0.25">
      <c r="G21" t="s">
        <v>533</v>
      </c>
      <c r="H21" t="s">
        <v>529</v>
      </c>
      <c r="I21" t="s">
        <v>531</v>
      </c>
    </row>
    <row r="22" spans="1:9" x14ac:dyDescent="0.25">
      <c r="G22">
        <v>3.6909999999999998</v>
      </c>
      <c r="H22">
        <v>0.53300000000000003</v>
      </c>
      <c r="I22">
        <v>-0.18099999999999999</v>
      </c>
    </row>
    <row r="24" spans="1:9" x14ac:dyDescent="0.25">
      <c r="A24" t="s">
        <v>529</v>
      </c>
      <c r="B24" s="6" t="s">
        <v>21</v>
      </c>
      <c r="C24" t="s">
        <v>530</v>
      </c>
    </row>
    <row r="25" spans="1:9" x14ac:dyDescent="0.25">
      <c r="A25" t="s">
        <v>531</v>
      </c>
      <c r="B25" s="6" t="s">
        <v>21</v>
      </c>
      <c r="C25" t="s">
        <v>532</v>
      </c>
    </row>
    <row r="27" spans="1:9" ht="18" x14ac:dyDescent="0.35">
      <c r="A27" t="s">
        <v>536</v>
      </c>
      <c r="B27" t="s">
        <v>541</v>
      </c>
      <c r="C27" t="s">
        <v>21</v>
      </c>
      <c r="D27">
        <v>1.02</v>
      </c>
      <c r="E27" t="s">
        <v>536</v>
      </c>
      <c r="F27" t="s">
        <v>542</v>
      </c>
      <c r="G27" t="s">
        <v>540</v>
      </c>
      <c r="H27">
        <v>0.45100000000000001</v>
      </c>
      <c r="I27" t="s">
        <v>539</v>
      </c>
    </row>
    <row r="29" spans="1:9" ht="18" x14ac:dyDescent="0.35">
      <c r="A29" t="s">
        <v>548</v>
      </c>
      <c r="B29">
        <f>-(0.0145)</f>
        <v>-1.4500000000000001E-2</v>
      </c>
      <c r="C29" s="6" t="s">
        <v>538</v>
      </c>
      <c r="D29" t="s">
        <v>547</v>
      </c>
      <c r="E29" s="6" t="s">
        <v>537</v>
      </c>
      <c r="F29">
        <v>-6.1</v>
      </c>
    </row>
    <row r="31" spans="1:9" ht="17.25" x14ac:dyDescent="0.25">
      <c r="A31" t="s">
        <v>547</v>
      </c>
      <c r="B31" s="6" t="s">
        <v>21</v>
      </c>
      <c r="C31" t="s">
        <v>550</v>
      </c>
    </row>
    <row r="32" spans="1:9" x14ac:dyDescent="0.25">
      <c r="A32" t="s">
        <v>557</v>
      </c>
      <c r="G32" s="11" t="s">
        <v>556</v>
      </c>
    </row>
    <row r="33" spans="1:17" ht="18" x14ac:dyDescent="0.35">
      <c r="A33" t="s">
        <v>558</v>
      </c>
    </row>
    <row r="35" spans="1:17" ht="18" x14ac:dyDescent="0.35">
      <c r="A35" t="s">
        <v>547</v>
      </c>
      <c r="B35" s="6" t="s">
        <v>21</v>
      </c>
      <c r="C35">
        <v>25.779</v>
      </c>
      <c r="D35" s="6" t="s">
        <v>538</v>
      </c>
      <c r="E35" t="s">
        <v>559</v>
      </c>
      <c r="F35" s="6" t="s">
        <v>537</v>
      </c>
      <c r="G35">
        <v>59.378999999999998</v>
      </c>
    </row>
    <row r="37" spans="1:17" ht="18" x14ac:dyDescent="0.35">
      <c r="A37" t="s">
        <v>563</v>
      </c>
      <c r="B37" s="6" t="s">
        <v>21</v>
      </c>
      <c r="C37" s="6" t="s">
        <v>564</v>
      </c>
    </row>
    <row r="39" spans="1:17" x14ac:dyDescent="0.25">
      <c r="E39" s="14">
        <v>2.7E-4</v>
      </c>
      <c r="G39">
        <v>0.71</v>
      </c>
    </row>
    <row r="40" spans="1:17" x14ac:dyDescent="0.25">
      <c r="A40" t="s">
        <v>77</v>
      </c>
      <c r="B40" s="6" t="s">
        <v>21</v>
      </c>
      <c r="C40" t="s">
        <v>565</v>
      </c>
    </row>
    <row r="42" spans="1:17" ht="18" x14ac:dyDescent="0.35">
      <c r="A42" t="s">
        <v>595</v>
      </c>
    </row>
    <row r="44" spans="1:17" ht="18" x14ac:dyDescent="0.35">
      <c r="A44" s="5" t="s">
        <v>23</v>
      </c>
      <c r="B44" s="6" t="s">
        <v>21</v>
      </c>
      <c r="C44">
        <v>721.67</v>
      </c>
      <c r="D44" s="6" t="s">
        <v>538</v>
      </c>
      <c r="E44" t="s">
        <v>541</v>
      </c>
      <c r="F44" s="6" t="s">
        <v>596</v>
      </c>
      <c r="G44">
        <v>-0.80700000000000005</v>
      </c>
      <c r="I44" t="s">
        <v>597</v>
      </c>
    </row>
    <row r="45" spans="1:17" ht="18" x14ac:dyDescent="0.35">
      <c r="A45" t="s">
        <v>758</v>
      </c>
      <c r="B45" s="6" t="s">
        <v>21</v>
      </c>
      <c r="C45" s="6" t="s">
        <v>759</v>
      </c>
      <c r="G45" t="s">
        <v>760</v>
      </c>
    </row>
    <row r="46" spans="1:17" x14ac:dyDescent="0.25">
      <c r="Q46" t="s">
        <v>658</v>
      </c>
    </row>
    <row r="47" spans="1:17" x14ac:dyDescent="0.25">
      <c r="Q47" t="s">
        <v>659</v>
      </c>
    </row>
    <row r="49" spans="1:20" x14ac:dyDescent="0.25">
      <c r="Q49" t="s">
        <v>660</v>
      </c>
      <c r="R49" t="s">
        <v>661</v>
      </c>
      <c r="S49" t="s">
        <v>662</v>
      </c>
      <c r="T49" t="s">
        <v>663</v>
      </c>
    </row>
    <row r="50" spans="1:20" x14ac:dyDescent="0.25">
      <c r="Q50" t="s">
        <v>664</v>
      </c>
      <c r="R50">
        <v>0.215</v>
      </c>
      <c r="S50">
        <v>0.24400000000000002</v>
      </c>
      <c r="T50">
        <v>1.43</v>
      </c>
    </row>
    <row r="51" spans="1:20" x14ac:dyDescent="0.25">
      <c r="A51" t="s">
        <v>841</v>
      </c>
    </row>
    <row r="52" spans="1:20" ht="18" x14ac:dyDescent="0.35">
      <c r="A52" t="s">
        <v>773</v>
      </c>
      <c r="C52" s="26" t="s">
        <v>630</v>
      </c>
      <c r="D52" s="26" t="s">
        <v>631</v>
      </c>
      <c r="E52" s="26" t="s">
        <v>632</v>
      </c>
      <c r="F52" s="26" t="s">
        <v>633</v>
      </c>
      <c r="G52" s="26" t="s">
        <v>634</v>
      </c>
      <c r="H52" s="26" t="s">
        <v>635</v>
      </c>
    </row>
    <row r="53" spans="1:20" x14ac:dyDescent="0.25">
      <c r="A53" t="s">
        <v>772</v>
      </c>
      <c r="C53">
        <v>0.56000000000000005</v>
      </c>
      <c r="D53">
        <v>-1.05</v>
      </c>
      <c r="E53">
        <v>0.03</v>
      </c>
      <c r="F53">
        <v>-3.46</v>
      </c>
      <c r="G53">
        <v>3.81</v>
      </c>
      <c r="H53">
        <v>0.09</v>
      </c>
    </row>
    <row r="54" spans="1:20" x14ac:dyDescent="0.25">
      <c r="A54" t="s">
        <v>777</v>
      </c>
    </row>
    <row r="55" spans="1:20" ht="18" x14ac:dyDescent="0.35">
      <c r="A55" s="26" t="s">
        <v>837</v>
      </c>
      <c r="B55" s="26"/>
      <c r="C55" s="26" t="s">
        <v>630</v>
      </c>
      <c r="D55" s="26" t="s">
        <v>631</v>
      </c>
      <c r="E55" s="26" t="s">
        <v>632</v>
      </c>
      <c r="F55" s="26" t="s">
        <v>633</v>
      </c>
      <c r="G55" s="26" t="s">
        <v>634</v>
      </c>
      <c r="H55" s="26" t="s">
        <v>635</v>
      </c>
      <c r="Q55" t="s">
        <v>665</v>
      </c>
      <c r="R55">
        <v>0.16800000000000001</v>
      </c>
      <c r="S55">
        <v>0.27400000000000002</v>
      </c>
      <c r="T55">
        <v>1.48</v>
      </c>
    </row>
    <row r="56" spans="1:20" x14ac:dyDescent="0.25">
      <c r="A56" s="26" t="s">
        <v>636</v>
      </c>
      <c r="B56" s="26"/>
      <c r="C56" s="26">
        <v>1.1000000000000001</v>
      </c>
      <c r="D56" s="26">
        <v>-0.72</v>
      </c>
      <c r="E56" s="26">
        <v>0.15</v>
      </c>
      <c r="F56" s="26">
        <v>-1.98</v>
      </c>
      <c r="G56" s="26">
        <v>2.2799999999999998</v>
      </c>
      <c r="H56" s="26">
        <v>0.14000000000000001</v>
      </c>
      <c r="Q56" t="s">
        <v>666</v>
      </c>
      <c r="R56">
        <v>0.14799999999999999</v>
      </c>
      <c r="S56">
        <v>0.251</v>
      </c>
      <c r="T56">
        <v>1.59</v>
      </c>
    </row>
    <row r="57" spans="1:20" x14ac:dyDescent="0.25">
      <c r="A57" s="131" t="s">
        <v>838</v>
      </c>
      <c r="B57" s="26"/>
      <c r="C57" s="26">
        <v>0.95</v>
      </c>
      <c r="D57" s="26">
        <v>-0.39</v>
      </c>
      <c r="E57" s="26">
        <v>-0.39</v>
      </c>
      <c r="F57" s="131">
        <v>-1.1499999999999999</v>
      </c>
      <c r="G57" s="131">
        <v>1.76</v>
      </c>
      <c r="H57" s="131">
        <v>0.55000000000000004</v>
      </c>
    </row>
    <row r="58" spans="1:20" x14ac:dyDescent="0.25">
      <c r="A58" s="131" t="s">
        <v>839</v>
      </c>
      <c r="B58" s="26"/>
      <c r="C58" s="131">
        <v>0.81</v>
      </c>
      <c r="D58" s="131">
        <v>-0.61</v>
      </c>
      <c r="E58" s="131">
        <v>-0.21</v>
      </c>
      <c r="F58" s="131">
        <v>-3.44</v>
      </c>
      <c r="G58" s="131">
        <v>2.99</v>
      </c>
      <c r="H58" s="131">
        <v>-0.28999999999999998</v>
      </c>
    </row>
    <row r="59" spans="1:20" x14ac:dyDescent="0.25">
      <c r="A59" s="131" t="s">
        <v>840</v>
      </c>
      <c r="B59" s="26"/>
      <c r="C59" s="131">
        <v>0.31</v>
      </c>
      <c r="D59" s="131">
        <v>1.27</v>
      </c>
      <c r="E59" s="131">
        <v>-0.1</v>
      </c>
      <c r="F59" s="131">
        <v>-3.94</v>
      </c>
      <c r="G59" s="131">
        <v>3.71</v>
      </c>
      <c r="H59" s="131">
        <v>-1.04</v>
      </c>
    </row>
    <row r="60" spans="1:20" x14ac:dyDescent="0.25">
      <c r="A60" s="131" t="s">
        <v>846</v>
      </c>
      <c r="B60" s="26"/>
      <c r="C60" s="131">
        <v>0.5</v>
      </c>
      <c r="D60" s="131">
        <v>-0.35</v>
      </c>
      <c r="E60" s="131">
        <v>-1.1599999999999999</v>
      </c>
      <c r="F60" s="131">
        <v>-4.46</v>
      </c>
      <c r="G60" s="131">
        <v>3.86</v>
      </c>
      <c r="H60" s="131">
        <v>0.16</v>
      </c>
    </row>
    <row r="61" spans="1:20" x14ac:dyDescent="0.25">
      <c r="A61" s="279" t="s">
        <v>851</v>
      </c>
      <c r="B61" s="26"/>
      <c r="C61" s="131">
        <v>0.43</v>
      </c>
      <c r="D61" s="131">
        <v>0.19</v>
      </c>
      <c r="E61" s="131">
        <v>0.02</v>
      </c>
      <c r="F61" s="131">
        <v>-3.83</v>
      </c>
      <c r="G61" s="131">
        <v>3.51</v>
      </c>
      <c r="H61" s="131">
        <v>-0.82</v>
      </c>
    </row>
    <row r="62" spans="1:20" ht="18" x14ac:dyDescent="0.35">
      <c r="A62" s="26" t="s">
        <v>754</v>
      </c>
      <c r="B62" s="26"/>
      <c r="C62" s="26" t="s">
        <v>630</v>
      </c>
      <c r="D62" s="26" t="s">
        <v>631</v>
      </c>
      <c r="E62" s="26" t="s">
        <v>632</v>
      </c>
      <c r="F62" s="26" t="s">
        <v>633</v>
      </c>
      <c r="G62" s="26" t="s">
        <v>634</v>
      </c>
      <c r="H62" s="26" t="s">
        <v>635</v>
      </c>
    </row>
    <row r="63" spans="1:20" x14ac:dyDescent="0.25">
      <c r="A63" s="131" t="s">
        <v>755</v>
      </c>
      <c r="B63" s="26"/>
      <c r="C63" s="26">
        <v>0.89400000000000002</v>
      </c>
      <c r="D63" s="26">
        <v>-0.5827</v>
      </c>
      <c r="E63" s="26">
        <v>0</v>
      </c>
      <c r="F63" s="26">
        <v>-1.994</v>
      </c>
      <c r="G63" s="26">
        <v>1.2898000000000001</v>
      </c>
      <c r="H63" s="26">
        <v>1.8660000000000001</v>
      </c>
    </row>
    <row r="64" spans="1:20" x14ac:dyDescent="0.25">
      <c r="A64" s="131" t="s">
        <v>762</v>
      </c>
      <c r="B64" s="26"/>
      <c r="C64" s="26">
        <v>0.59</v>
      </c>
      <c r="D64" s="26">
        <v>-0.52</v>
      </c>
      <c r="E64" s="26">
        <v>0.63</v>
      </c>
      <c r="F64" s="26">
        <v>-3.4</v>
      </c>
      <c r="G64" s="26">
        <v>3.94</v>
      </c>
      <c r="H64" s="26">
        <v>-0.85</v>
      </c>
    </row>
    <row r="65" spans="1:20" x14ac:dyDescent="0.25">
      <c r="A65" s="131"/>
      <c r="B65" s="26"/>
      <c r="C65" s="26"/>
      <c r="D65" s="26"/>
      <c r="E65" s="26"/>
      <c r="F65" s="26"/>
      <c r="G65" s="26"/>
      <c r="H65" s="26"/>
    </row>
    <row r="66" spans="1:20" x14ac:dyDescent="0.25">
      <c r="A66" s="157" t="s">
        <v>763</v>
      </c>
      <c r="B66" s="26"/>
      <c r="C66" s="26">
        <v>0.63</v>
      </c>
      <c r="D66" s="26">
        <v>-0.63</v>
      </c>
      <c r="E66" s="26">
        <v>0.05</v>
      </c>
      <c r="F66" s="26">
        <v>-2.48</v>
      </c>
      <c r="G66" s="26">
        <v>2.86</v>
      </c>
      <c r="H66" s="26">
        <v>-1.21</v>
      </c>
      <c r="Q66" t="s">
        <v>667</v>
      </c>
      <c r="R66">
        <v>7.5999999999999998E-2</v>
      </c>
      <c r="S66">
        <v>0.314</v>
      </c>
      <c r="T66">
        <v>1.62</v>
      </c>
    </row>
    <row r="67" spans="1:20" x14ac:dyDescent="0.25">
      <c r="A67" t="s">
        <v>638</v>
      </c>
      <c r="Q67" t="s">
        <v>668</v>
      </c>
      <c r="R67">
        <v>5.3999999999999999E-2</v>
      </c>
      <c r="S67">
        <v>0.32100000000000001</v>
      </c>
      <c r="T67">
        <v>1.66</v>
      </c>
    </row>
    <row r="68" spans="1:20" x14ac:dyDescent="0.25">
      <c r="A68" t="s">
        <v>639</v>
      </c>
      <c r="B68" s="6" t="s">
        <v>21</v>
      </c>
      <c r="C68" s="39">
        <v>0.02</v>
      </c>
      <c r="Q68" t="s">
        <v>669</v>
      </c>
      <c r="R68">
        <v>0.19700000000000001</v>
      </c>
      <c r="S68">
        <v>0.188</v>
      </c>
      <c r="T68">
        <v>1.63</v>
      </c>
    </row>
    <row r="69" spans="1:20" x14ac:dyDescent="0.25">
      <c r="A69" s="5" t="s">
        <v>677</v>
      </c>
      <c r="B69" s="6" t="s">
        <v>21</v>
      </c>
      <c r="C69">
        <f>R69+S69</f>
        <v>0.38400000000000001</v>
      </c>
      <c r="D69" t="s">
        <v>694</v>
      </c>
      <c r="Q69" t="s">
        <v>670</v>
      </c>
      <c r="R69">
        <v>0.14599999999999999</v>
      </c>
      <c r="S69">
        <v>0.23800000000000002</v>
      </c>
      <c r="T69">
        <v>1.63</v>
      </c>
    </row>
    <row r="70" spans="1:20" x14ac:dyDescent="0.25">
      <c r="A70" s="5" t="s">
        <v>654</v>
      </c>
      <c r="B70" s="6" t="s">
        <v>21</v>
      </c>
      <c r="C70" s="2">
        <f>B106*C69^2+C106*C69</f>
        <v>0.11457546239999999</v>
      </c>
      <c r="D70" t="s">
        <v>695</v>
      </c>
      <c r="Q70" t="s">
        <v>671</v>
      </c>
      <c r="R70">
        <v>0.16700000000000001</v>
      </c>
      <c r="S70">
        <v>0.32199999999999995</v>
      </c>
      <c r="T70">
        <v>1.35</v>
      </c>
    </row>
    <row r="71" spans="1:20" ht="18" x14ac:dyDescent="0.35">
      <c r="A71" s="5" t="s">
        <v>652</v>
      </c>
      <c r="B71" s="6" t="s">
        <v>21</v>
      </c>
      <c r="C71">
        <f>T69</f>
        <v>1.63</v>
      </c>
      <c r="D71" t="s">
        <v>641</v>
      </c>
      <c r="E71" t="s">
        <v>653</v>
      </c>
      <c r="Q71" t="s">
        <v>672</v>
      </c>
      <c r="R71">
        <v>0.216</v>
      </c>
      <c r="S71">
        <v>0.26500000000000001</v>
      </c>
      <c r="T71">
        <v>1.38</v>
      </c>
    </row>
    <row r="72" spans="1:20" x14ac:dyDescent="0.25">
      <c r="Q72" t="s">
        <v>673</v>
      </c>
      <c r="R72">
        <v>0.19800000000000001</v>
      </c>
      <c r="S72">
        <v>0.28399999999999997</v>
      </c>
      <c r="T72">
        <v>1.37</v>
      </c>
    </row>
    <row r="73" spans="1:20" x14ac:dyDescent="0.25">
      <c r="A73" t="s">
        <v>676</v>
      </c>
      <c r="Q73" t="s">
        <v>674</v>
      </c>
      <c r="R73">
        <v>0.18</v>
      </c>
      <c r="S73">
        <v>0.25900000000000001</v>
      </c>
      <c r="T73">
        <v>1.49</v>
      </c>
    </row>
    <row r="74" spans="1:20" x14ac:dyDescent="0.25">
      <c r="Q74" t="s">
        <v>675</v>
      </c>
      <c r="R74">
        <v>0.10299999999999999</v>
      </c>
      <c r="S74">
        <v>0.28400000000000003</v>
      </c>
      <c r="T74">
        <v>1.62</v>
      </c>
    </row>
    <row r="78" spans="1:20" x14ac:dyDescent="0.25">
      <c r="A78" t="s">
        <v>647</v>
      </c>
      <c r="B78" s="6" t="s">
        <v>21</v>
      </c>
      <c r="C78" t="s">
        <v>648</v>
      </c>
    </row>
    <row r="79" spans="1:20" x14ac:dyDescent="0.25">
      <c r="A79" t="s">
        <v>649</v>
      </c>
      <c r="B79" s="6" t="s">
        <v>21</v>
      </c>
      <c r="C79" t="s">
        <v>650</v>
      </c>
    </row>
    <row r="81" spans="1:4" x14ac:dyDescent="0.25">
      <c r="A81" t="s">
        <v>651</v>
      </c>
    </row>
    <row r="85" spans="1:4" x14ac:dyDescent="0.25">
      <c r="A85" t="s">
        <v>655</v>
      </c>
    </row>
    <row r="86" spans="1:4" ht="18" x14ac:dyDescent="0.35">
      <c r="A86" t="s">
        <v>678</v>
      </c>
      <c r="B86" s="6" t="s">
        <v>21</v>
      </c>
      <c r="C86" t="s">
        <v>656</v>
      </c>
    </row>
    <row r="87" spans="1:4" ht="19.5" x14ac:dyDescent="0.35">
      <c r="A87" t="s">
        <v>657</v>
      </c>
    </row>
    <row r="89" spans="1:4" ht="18" x14ac:dyDescent="0.35">
      <c r="A89" t="s">
        <v>678</v>
      </c>
      <c r="B89" s="6" t="s">
        <v>21</v>
      </c>
      <c r="C89" t="s">
        <v>679</v>
      </c>
      <c r="D89" t="s">
        <v>680</v>
      </c>
    </row>
    <row r="90" spans="1:4" ht="18" x14ac:dyDescent="0.35">
      <c r="A90" t="s">
        <v>682</v>
      </c>
      <c r="B90" s="6" t="s">
        <v>21</v>
      </c>
      <c r="C90" t="s">
        <v>681</v>
      </c>
    </row>
    <row r="91" spans="1:4" ht="18" x14ac:dyDescent="0.35">
      <c r="A91" t="s">
        <v>683</v>
      </c>
    </row>
    <row r="92" spans="1:4" ht="18" x14ac:dyDescent="0.35">
      <c r="A92" t="s">
        <v>686</v>
      </c>
      <c r="B92" s="6" t="s">
        <v>21</v>
      </c>
      <c r="C92" t="s">
        <v>685</v>
      </c>
    </row>
    <row r="93" spans="1:4" x14ac:dyDescent="0.25">
      <c r="A93" s="5" t="s">
        <v>677</v>
      </c>
      <c r="B93" s="6" t="s">
        <v>21</v>
      </c>
      <c r="C93" t="s">
        <v>684</v>
      </c>
    </row>
    <row r="94" spans="1:4" x14ac:dyDescent="0.25">
      <c r="A94" s="5" t="s">
        <v>654</v>
      </c>
      <c r="B94" s="6" t="s">
        <v>21</v>
      </c>
      <c r="C94" t="s">
        <v>687</v>
      </c>
    </row>
    <row r="95" spans="1:4" ht="18" x14ac:dyDescent="0.35">
      <c r="A95" s="5" t="s">
        <v>715</v>
      </c>
      <c r="B95" s="6" t="s">
        <v>21</v>
      </c>
      <c r="C95" t="s">
        <v>714</v>
      </c>
    </row>
    <row r="96" spans="1:4" x14ac:dyDescent="0.25">
      <c r="A96" s="5" t="s">
        <v>716</v>
      </c>
      <c r="B96" s="6" t="s">
        <v>21</v>
      </c>
      <c r="C96" t="s">
        <v>717</v>
      </c>
    </row>
    <row r="97" spans="1:8" x14ac:dyDescent="0.25">
      <c r="A97" s="5"/>
      <c r="B97" s="6"/>
    </row>
    <row r="98" spans="1:8" x14ac:dyDescent="0.25">
      <c r="A98" s="5" t="s">
        <v>688</v>
      </c>
    </row>
    <row r="100" spans="1:8" ht="18" x14ac:dyDescent="0.3">
      <c r="A100" t="s">
        <v>718</v>
      </c>
    </row>
    <row r="103" spans="1:8" x14ac:dyDescent="0.25">
      <c r="A103" s="5" t="s">
        <v>692</v>
      </c>
    </row>
    <row r="104" spans="1:8" x14ac:dyDescent="0.25">
      <c r="A104" s="100" t="s">
        <v>689</v>
      </c>
      <c r="B104" s="101" t="s">
        <v>693</v>
      </c>
      <c r="C104" s="101" t="s">
        <v>690</v>
      </c>
      <c r="D104" s="101" t="s">
        <v>677</v>
      </c>
      <c r="E104" s="101" t="s">
        <v>654</v>
      </c>
      <c r="F104" s="102" t="s">
        <v>640</v>
      </c>
      <c r="H104" s="93" t="s">
        <v>691</v>
      </c>
    </row>
    <row r="105" spans="1:8" x14ac:dyDescent="0.25">
      <c r="A105" s="91" t="s">
        <v>668</v>
      </c>
      <c r="B105" s="94">
        <v>0.20380000000000001</v>
      </c>
      <c r="C105" s="94">
        <v>-2.4400000000000002E-2</v>
      </c>
      <c r="D105" s="94">
        <f>S67+R67</f>
        <v>0.375</v>
      </c>
      <c r="E105" s="94">
        <f>B105*D105^2+C105*D105</f>
        <v>1.9509375000000002E-2</v>
      </c>
      <c r="F105" s="95">
        <v>2</v>
      </c>
      <c r="G105" s="80"/>
      <c r="H105" s="96">
        <v>1.8E-3</v>
      </c>
    </row>
    <row r="106" spans="1:8" x14ac:dyDescent="0.25">
      <c r="A106" s="91" t="s">
        <v>670</v>
      </c>
      <c r="B106" s="94">
        <v>2.1678999999999999</v>
      </c>
      <c r="C106" s="94">
        <v>-0.53410000000000002</v>
      </c>
      <c r="D106" s="94">
        <f>S69+R69</f>
        <v>0.38400000000000001</v>
      </c>
      <c r="E106" s="94">
        <f>B106*D106^2+C106*D106</f>
        <v>0.11457546239999999</v>
      </c>
      <c r="F106" s="95">
        <v>1.81</v>
      </c>
      <c r="G106" s="80"/>
      <c r="H106" s="96">
        <v>6.3E-3</v>
      </c>
    </row>
    <row r="107" spans="1:8" x14ac:dyDescent="0.25">
      <c r="A107" s="92" t="s">
        <v>664</v>
      </c>
      <c r="B107" s="97">
        <v>8.3699999999999997E-2</v>
      </c>
      <c r="C107" s="97">
        <v>1.2699999999999999E-2</v>
      </c>
      <c r="D107" s="97">
        <f>S50+R50</f>
        <v>0.45900000000000002</v>
      </c>
      <c r="E107" s="97">
        <f>B107*D107^2+C107*D107</f>
        <v>2.3463299699999999E-2</v>
      </c>
      <c r="F107" s="98">
        <v>1.92</v>
      </c>
      <c r="G107" s="80"/>
      <c r="H107" s="99">
        <v>1.6000000000000001E-3</v>
      </c>
    </row>
    <row r="109" spans="1:8" x14ac:dyDescent="0.25">
      <c r="A109" t="s">
        <v>743</v>
      </c>
    </row>
    <row r="111" spans="1:8" x14ac:dyDescent="0.25">
      <c r="A111" t="s">
        <v>744</v>
      </c>
    </row>
    <row r="112" spans="1:8" x14ac:dyDescent="0.25">
      <c r="A112" t="s">
        <v>745</v>
      </c>
      <c r="B112" s="2">
        <f>AVERAGE(DOC!B3,DOC!B5,DOC!B7)</f>
        <v>8.4666666666666668</v>
      </c>
      <c r="C112" t="s">
        <v>746</v>
      </c>
      <c r="D112" t="s">
        <v>747</v>
      </c>
    </row>
    <row r="113" spans="1:12" x14ac:dyDescent="0.25">
      <c r="A113" t="s">
        <v>748</v>
      </c>
    </row>
    <row r="115" spans="1:12" x14ac:dyDescent="0.25">
      <c r="A115" t="s">
        <v>716</v>
      </c>
      <c r="B115" s="6" t="s">
        <v>21</v>
      </c>
      <c r="C115">
        <v>13.21</v>
      </c>
      <c r="D115" s="6" t="s">
        <v>538</v>
      </c>
      <c r="E115" t="s">
        <v>752</v>
      </c>
      <c r="F115" t="s">
        <v>753</v>
      </c>
      <c r="G115" s="6" t="s">
        <v>537</v>
      </c>
      <c r="H115">
        <v>-21.286000000000001</v>
      </c>
      <c r="I115" s="6" t="s">
        <v>538</v>
      </c>
      <c r="J115" t="s">
        <v>752</v>
      </c>
      <c r="K115" s="6" t="s">
        <v>537</v>
      </c>
      <c r="L115">
        <v>15.21</v>
      </c>
    </row>
  </sheetData>
  <hyperlinks>
    <hyperlink ref="G32" r:id="rId1" xr:uid="{64A8B929-BB17-45D2-9CF4-5A3CE347EB64}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0E74-821B-4960-A8D3-E82E40FB90D3}">
  <dimension ref="A1:O13"/>
  <sheetViews>
    <sheetView topLeftCell="I1" zoomScale="110" zoomScaleNormal="110" workbookViewId="0">
      <selection activeCell="G3" sqref="G3"/>
    </sheetView>
  </sheetViews>
  <sheetFormatPr defaultRowHeight="15" x14ac:dyDescent="0.25"/>
  <cols>
    <col min="1" max="1" width="22.5703125" customWidth="1"/>
    <col min="14" max="14" width="0" hidden="1" customWidth="1"/>
  </cols>
  <sheetData>
    <row r="1" spans="1:15" x14ac:dyDescent="0.25">
      <c r="G1" t="s">
        <v>708</v>
      </c>
    </row>
    <row r="2" spans="1:15" x14ac:dyDescent="0.25">
      <c r="A2" t="s">
        <v>727</v>
      </c>
      <c r="B2" t="s">
        <v>728</v>
      </c>
      <c r="C2" t="s">
        <v>729</v>
      </c>
      <c r="D2" t="s">
        <v>730</v>
      </c>
      <c r="E2" t="s">
        <v>731</v>
      </c>
      <c r="F2" t="s">
        <v>732</v>
      </c>
      <c r="G2" s="129" t="s">
        <v>733</v>
      </c>
      <c r="H2" s="129" t="s">
        <v>734</v>
      </c>
      <c r="I2" s="129" t="s">
        <v>735</v>
      </c>
      <c r="J2" s="129" t="s">
        <v>736</v>
      </c>
      <c r="K2" s="129" t="s">
        <v>737</v>
      </c>
      <c r="L2" s="129" t="s">
        <v>738</v>
      </c>
      <c r="M2" s="129" t="s">
        <v>739</v>
      </c>
      <c r="N2" s="130" t="s">
        <v>740</v>
      </c>
      <c r="O2" s="130" t="s">
        <v>749</v>
      </c>
    </row>
    <row r="3" spans="1:15" x14ac:dyDescent="0.25">
      <c r="A3" t="s">
        <v>719</v>
      </c>
      <c r="B3">
        <v>9.4</v>
      </c>
      <c r="C3" t="s">
        <v>720</v>
      </c>
      <c r="E3">
        <v>0.51</v>
      </c>
      <c r="F3" t="s">
        <v>721</v>
      </c>
      <c r="G3">
        <v>14000</v>
      </c>
      <c r="H3">
        <v>950</v>
      </c>
      <c r="N3">
        <f>AVERAGE(G3:H3)</f>
        <v>7475</v>
      </c>
      <c r="O3">
        <f t="shared" ref="O3:O8" si="0">N3/10000</f>
        <v>0.74750000000000005</v>
      </c>
    </row>
    <row r="4" spans="1:15" x14ac:dyDescent="0.25">
      <c r="A4" t="s">
        <v>722</v>
      </c>
      <c r="B4">
        <v>19</v>
      </c>
      <c r="C4" t="s">
        <v>720</v>
      </c>
      <c r="E4">
        <v>0.51</v>
      </c>
      <c r="F4" t="s">
        <v>721</v>
      </c>
      <c r="J4">
        <v>19000</v>
      </c>
      <c r="N4">
        <f>J4</f>
        <v>19000</v>
      </c>
      <c r="O4">
        <f t="shared" si="0"/>
        <v>1.9</v>
      </c>
    </row>
    <row r="5" spans="1:15" x14ac:dyDescent="0.25">
      <c r="A5" t="s">
        <v>723</v>
      </c>
      <c r="B5">
        <v>8.8000000000000007</v>
      </c>
      <c r="C5" t="s">
        <v>720</v>
      </c>
      <c r="E5">
        <v>0.51</v>
      </c>
      <c r="F5" t="s">
        <v>721</v>
      </c>
      <c r="G5">
        <v>6100</v>
      </c>
      <c r="I5">
        <v>990</v>
      </c>
      <c r="N5">
        <f>AVERAGE(G5,I5)</f>
        <v>3545</v>
      </c>
      <c r="O5">
        <f t="shared" si="0"/>
        <v>0.35449999999999998</v>
      </c>
    </row>
    <row r="6" spans="1:15" x14ac:dyDescent="0.25">
      <c r="A6" t="s">
        <v>724</v>
      </c>
      <c r="B6">
        <v>38</v>
      </c>
      <c r="C6" t="s">
        <v>720</v>
      </c>
      <c r="E6">
        <v>0.51</v>
      </c>
      <c r="F6" t="s">
        <v>721</v>
      </c>
      <c r="K6">
        <v>28000</v>
      </c>
      <c r="L6">
        <v>18000</v>
      </c>
      <c r="N6">
        <f>AVERAGE(K6:L6)</f>
        <v>23000</v>
      </c>
      <c r="O6">
        <f t="shared" si="0"/>
        <v>2.2999999999999998</v>
      </c>
    </row>
    <row r="7" spans="1:15" x14ac:dyDescent="0.25">
      <c r="A7" t="s">
        <v>725</v>
      </c>
      <c r="B7">
        <v>7.2</v>
      </c>
      <c r="C7" t="s">
        <v>720</v>
      </c>
      <c r="E7">
        <v>0.51</v>
      </c>
      <c r="F7" t="s">
        <v>721</v>
      </c>
      <c r="G7">
        <v>11000</v>
      </c>
      <c r="H7">
        <v>920</v>
      </c>
      <c r="I7">
        <v>950</v>
      </c>
      <c r="N7">
        <f>AVERAGE(G7:I7)</f>
        <v>4290</v>
      </c>
      <c r="O7">
        <f t="shared" si="0"/>
        <v>0.42899999999999999</v>
      </c>
    </row>
    <row r="8" spans="1:15" x14ac:dyDescent="0.25">
      <c r="A8" t="s">
        <v>726</v>
      </c>
      <c r="B8">
        <v>12</v>
      </c>
      <c r="C8" t="s">
        <v>720</v>
      </c>
      <c r="E8">
        <v>0.51</v>
      </c>
      <c r="F8" t="s">
        <v>721</v>
      </c>
      <c r="M8">
        <v>14000</v>
      </c>
      <c r="N8">
        <f>M8</f>
        <v>14000</v>
      </c>
      <c r="O8">
        <f t="shared" si="0"/>
        <v>1.4</v>
      </c>
    </row>
    <row r="10" spans="1:15" x14ac:dyDescent="0.25">
      <c r="B10" t="s">
        <v>750</v>
      </c>
    </row>
    <row r="11" spans="1:15" x14ac:dyDescent="0.25">
      <c r="B11" t="s">
        <v>741</v>
      </c>
      <c r="M11" s="2">
        <f>AVERAGE(B3,B5,B7)</f>
        <v>8.4666666666666668</v>
      </c>
    </row>
    <row r="12" spans="1:15" x14ac:dyDescent="0.25">
      <c r="B12" t="s">
        <v>751</v>
      </c>
    </row>
    <row r="13" spans="1:15" x14ac:dyDescent="0.25">
      <c r="B13" t="s">
        <v>742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49AA-EB69-4A27-9D84-536949FB2136}">
  <dimension ref="A1:Z52"/>
  <sheetViews>
    <sheetView workbookViewId="0">
      <selection activeCell="A4" sqref="A4:Z37"/>
    </sheetView>
  </sheetViews>
  <sheetFormatPr defaultRowHeight="15" x14ac:dyDescent="0.25"/>
  <cols>
    <col min="1" max="2" width="14.5703125" customWidth="1"/>
    <col min="3" max="3" width="31.5703125" customWidth="1"/>
    <col min="4" max="6" width="22.7109375" customWidth="1"/>
    <col min="7" max="16" width="9.140625" customWidth="1"/>
    <col min="18" max="18" width="9.140625" customWidth="1"/>
    <col min="24" max="24" width="10.85546875" customWidth="1"/>
  </cols>
  <sheetData>
    <row r="1" spans="1:26" x14ac:dyDescent="0.25">
      <c r="B1">
        <v>1</v>
      </c>
      <c r="C1">
        <f>B1+1</f>
        <v>2</v>
      </c>
      <c r="D1">
        <f t="shared" ref="D1:I1" si="0">C1+1</f>
        <v>3</v>
      </c>
      <c r="E1">
        <f t="shared" si="0"/>
        <v>4</v>
      </c>
      <c r="G1">
        <f>E1+1</f>
        <v>5</v>
      </c>
      <c r="H1">
        <f t="shared" si="0"/>
        <v>6</v>
      </c>
      <c r="I1">
        <f t="shared" si="0"/>
        <v>7</v>
      </c>
      <c r="J1">
        <f t="shared" ref="J1:X1" si="1">I1+1</f>
        <v>8</v>
      </c>
      <c r="K1">
        <f t="shared" si="1"/>
        <v>9</v>
      </c>
      <c r="L1">
        <f t="shared" si="1"/>
        <v>10</v>
      </c>
      <c r="M1">
        <f t="shared" si="1"/>
        <v>11</v>
      </c>
      <c r="N1">
        <f t="shared" si="1"/>
        <v>12</v>
      </c>
      <c r="O1">
        <f t="shared" si="1"/>
        <v>13</v>
      </c>
      <c r="P1">
        <f t="shared" si="1"/>
        <v>14</v>
      </c>
      <c r="Q1">
        <f t="shared" si="1"/>
        <v>15</v>
      </c>
      <c r="R1">
        <f t="shared" si="1"/>
        <v>16</v>
      </c>
      <c r="S1">
        <f t="shared" si="1"/>
        <v>17</v>
      </c>
      <c r="T1">
        <f t="shared" si="1"/>
        <v>18</v>
      </c>
      <c r="U1">
        <f t="shared" si="1"/>
        <v>19</v>
      </c>
      <c r="V1">
        <f t="shared" si="1"/>
        <v>20</v>
      </c>
      <c r="W1">
        <f t="shared" si="1"/>
        <v>21</v>
      </c>
      <c r="X1">
        <f t="shared" si="1"/>
        <v>22</v>
      </c>
      <c r="Y1">
        <v>23</v>
      </c>
      <c r="Z1">
        <v>24</v>
      </c>
    </row>
    <row r="2" spans="1:26" ht="18" x14ac:dyDescent="0.35">
      <c r="F2" s="5" t="s">
        <v>783</v>
      </c>
    </row>
    <row r="3" spans="1:26" ht="18" x14ac:dyDescent="0.35">
      <c r="A3" t="s">
        <v>28</v>
      </c>
      <c r="D3" t="s">
        <v>534</v>
      </c>
      <c r="F3">
        <v>-25</v>
      </c>
      <c r="M3" t="s">
        <v>576</v>
      </c>
    </row>
    <row r="4" spans="1:26" ht="153.75" x14ac:dyDescent="0.35">
      <c r="B4" t="s">
        <v>65</v>
      </c>
      <c r="C4" t="s">
        <v>70</v>
      </c>
      <c r="D4" s="13" t="s">
        <v>781</v>
      </c>
      <c r="E4" t="s">
        <v>544</v>
      </c>
      <c r="F4" s="13" t="s">
        <v>782</v>
      </c>
      <c r="I4" s="13" t="s">
        <v>774</v>
      </c>
      <c r="J4" s="13" t="s">
        <v>775</v>
      </c>
      <c r="K4" s="13" t="s">
        <v>64</v>
      </c>
      <c r="L4" s="13" t="s">
        <v>67</v>
      </c>
      <c r="M4" s="156" t="s">
        <v>770</v>
      </c>
      <c r="N4" s="13" t="s">
        <v>543</v>
      </c>
      <c r="O4" s="13" t="s">
        <v>535</v>
      </c>
      <c r="P4" s="13" t="s">
        <v>776</v>
      </c>
      <c r="Q4" s="13" t="s">
        <v>552</v>
      </c>
      <c r="R4" s="13" t="s">
        <v>554</v>
      </c>
      <c r="S4" s="13" t="s">
        <v>555</v>
      </c>
      <c r="T4" s="13" t="s">
        <v>561</v>
      </c>
      <c r="U4" s="13" t="s">
        <v>577</v>
      </c>
      <c r="V4" s="13" t="s">
        <v>560</v>
      </c>
      <c r="W4" s="13" t="s">
        <v>562</v>
      </c>
      <c r="X4" s="13" t="s">
        <v>566</v>
      </c>
      <c r="Y4" s="13" t="s">
        <v>567</v>
      </c>
      <c r="Z4" s="13" t="s">
        <v>594</v>
      </c>
    </row>
    <row r="5" spans="1:26" x14ac:dyDescent="0.25">
      <c r="A5" t="s">
        <v>33</v>
      </c>
      <c r="B5">
        <v>8</v>
      </c>
      <c r="C5" t="str">
        <f t="shared" ref="C5:C31" si="2">VLOOKUP(B5,PCBs,2,FALSE)</f>
        <v>2,4'-Dichloro</v>
      </c>
      <c r="D5" s="2">
        <v>4.5999999999999996</v>
      </c>
      <c r="E5" t="s">
        <v>545</v>
      </c>
      <c r="F5" s="19">
        <f>D5*EXP(($F$3/8.3143)*(1/298-1/(Model!$D$1+273)))</f>
        <v>4.6009538263298619</v>
      </c>
      <c r="G5">
        <v>-8.64</v>
      </c>
      <c r="H5">
        <v>-5.24</v>
      </c>
      <c r="I5">
        <f>VLOOKUP(B5,PCBs,8,FALSE)</f>
        <v>5.07</v>
      </c>
      <c r="J5" s="2">
        <f t="shared" ref="J5:J31" si="3">VLOOKUP(B5,PCBs,9,FALSE)</f>
        <v>5.0131389999999998</v>
      </c>
      <c r="K5">
        <v>2</v>
      </c>
      <c r="L5">
        <v>1</v>
      </c>
      <c r="N5" s="2">
        <f>AVERAGE(O5,P5)</f>
        <v>4.6482000000000001</v>
      </c>
      <c r="O5" s="2">
        <f>Model!$G$22+ 'Chemical Properties'!K5*Model!$H$22+'Chemical Properties'!L5*Model!$I$22</f>
        <v>4.5759999999999996</v>
      </c>
      <c r="P5" s="2">
        <f>Model!$D$27*'Chemical Properties'!I5-Model!$H$27</f>
        <v>4.7204000000000006</v>
      </c>
      <c r="Q5" s="10"/>
      <c r="R5">
        <f t="shared" ref="R5:R31" si="4">VLOOKUP(B5,PCBs,13,FALSE)</f>
        <v>0.11</v>
      </c>
      <c r="T5">
        <v>-8.64</v>
      </c>
      <c r="V5">
        <v>-5.24</v>
      </c>
      <c r="X5">
        <f t="shared" ref="X5:X31" si="5">VLOOKUP(B5,PCBs,7,FALSE)</f>
        <v>223.09</v>
      </c>
      <c r="Y5" s="2">
        <f>LOG(Model!$E$39/('Chemical Properties'!X5^Model!$G$39))</f>
        <v>-5.2360571093174855</v>
      </c>
      <c r="Z5" s="20" t="e">
        <f t="shared" ref="Z5:Z31" si="6">VLOOKUP(B5,PRC,13,FALSE)</f>
        <v>#N/A</v>
      </c>
    </row>
    <row r="6" spans="1:26" x14ac:dyDescent="0.25">
      <c r="A6" s="7" t="s">
        <v>54</v>
      </c>
      <c r="B6" s="7">
        <v>14</v>
      </c>
      <c r="C6" t="str">
        <f t="shared" si="2"/>
        <v>3,5-Dichloro</v>
      </c>
      <c r="D6" s="154">
        <f>N6</f>
        <v>4.8046378999999995</v>
      </c>
      <c r="E6" t="s">
        <v>545</v>
      </c>
      <c r="F6" s="19">
        <f>D6*EXP(($F$3/8.3143)*(1/298-1/(Model!$D$1+273)))</f>
        <v>4.8056341587248852</v>
      </c>
      <c r="I6">
        <f t="shared" ref="I6:I31" si="7">VLOOKUP(B6,PCBs,8,FALSE)</f>
        <v>5.28</v>
      </c>
      <c r="J6" s="2">
        <f t="shared" si="3"/>
        <v>5.1992899999999995</v>
      </c>
      <c r="K6">
        <v>2</v>
      </c>
      <c r="L6">
        <v>0</v>
      </c>
      <c r="N6" s="2">
        <f>AVERAGE(O6,P6)</f>
        <v>4.8046378999999995</v>
      </c>
      <c r="O6" s="2">
        <f>Model!$G$22+ 'Chemical Properties'!K6*Model!$H$22+'Chemical Properties'!L6*Model!$I$22</f>
        <v>4.7569999999999997</v>
      </c>
      <c r="P6" s="2">
        <f>Model!$D$27*'Chemical Properties'!J6-Model!$H$27</f>
        <v>4.8522758000000001</v>
      </c>
      <c r="Q6" s="10">
        <v>179</v>
      </c>
      <c r="R6">
        <f t="shared" si="4"/>
        <v>0.16</v>
      </c>
      <c r="U6" s="2">
        <f>Q6*Model!$B$29+Model!$F$29</f>
        <v>-8.6954999999999991</v>
      </c>
      <c r="W6" s="2">
        <f>Q6*Model!$B$29+Model!$F$29</f>
        <v>-8.6954999999999991</v>
      </c>
      <c r="X6">
        <f t="shared" si="5"/>
        <v>223.09</v>
      </c>
      <c r="Y6" s="2">
        <f>LOG(Model!$E$39/('Chemical Properties'!X6^Model!$G$39))</f>
        <v>-5.2360571093174855</v>
      </c>
      <c r="Z6" s="20">
        <f t="shared" si="6"/>
        <v>0.10305063722649081</v>
      </c>
    </row>
    <row r="7" spans="1:26" x14ac:dyDescent="0.25">
      <c r="A7" t="s">
        <v>34</v>
      </c>
      <c r="B7">
        <v>18</v>
      </c>
      <c r="C7" t="str">
        <f t="shared" si="2"/>
        <v>2,2',5-Trichloro</v>
      </c>
      <c r="D7">
        <v>4.84</v>
      </c>
      <c r="E7" t="s">
        <v>546</v>
      </c>
      <c r="F7" s="19">
        <f>D7*EXP(($F$3/8.3143)*(1/298-1/(Model!$D$1+273)))</f>
        <v>4.8410035911818552</v>
      </c>
      <c r="G7">
        <v>-8.81</v>
      </c>
      <c r="H7">
        <v>-5.28</v>
      </c>
      <c r="I7">
        <f t="shared" si="7"/>
        <v>5.24</v>
      </c>
      <c r="J7" s="2">
        <f t="shared" si="3"/>
        <v>5.4282940000000011</v>
      </c>
      <c r="K7">
        <v>3</v>
      </c>
      <c r="L7">
        <v>2</v>
      </c>
      <c r="M7">
        <v>4.84</v>
      </c>
      <c r="N7" s="2"/>
      <c r="O7" s="2"/>
      <c r="P7" s="2">
        <f>Model!$D$27*'Chemical Properties'!I7-Model!$H$27</f>
        <v>4.8938000000000006</v>
      </c>
      <c r="Q7" s="10">
        <v>188.1</v>
      </c>
      <c r="R7">
        <f t="shared" si="4"/>
        <v>5.5E-2</v>
      </c>
      <c r="T7">
        <v>-8.81</v>
      </c>
      <c r="V7">
        <v>-5.28</v>
      </c>
      <c r="X7">
        <f t="shared" si="5"/>
        <v>257.53000000000003</v>
      </c>
      <c r="Y7" s="2">
        <f>LOG(Model!$E$39/('Chemical Properties'!X7^Model!$G$39))</f>
        <v>-5.2803239936112352</v>
      </c>
      <c r="Z7" s="20" t="e">
        <f t="shared" si="6"/>
        <v>#N/A</v>
      </c>
    </row>
    <row r="8" spans="1:26" x14ac:dyDescent="0.25">
      <c r="A8" t="s">
        <v>35</v>
      </c>
      <c r="B8">
        <v>28</v>
      </c>
      <c r="C8" t="str">
        <f t="shared" si="2"/>
        <v>2,4,4'-Trichloro</v>
      </c>
      <c r="D8">
        <v>5.26</v>
      </c>
      <c r="E8" t="s">
        <v>545</v>
      </c>
      <c r="F8" s="19">
        <f>D8*EXP(($F$3/8.3143)*(1/298-1/(Model!$D$1+273)))</f>
        <v>5.2610906796728418</v>
      </c>
      <c r="G8">
        <v>-8.81</v>
      </c>
      <c r="H8">
        <v>-5.28</v>
      </c>
      <c r="I8">
        <f t="shared" si="7"/>
        <v>5.67</v>
      </c>
      <c r="J8" s="2">
        <f t="shared" si="3"/>
        <v>5.5745830000000005</v>
      </c>
      <c r="K8">
        <v>3</v>
      </c>
      <c r="L8">
        <v>1</v>
      </c>
      <c r="N8" s="2">
        <f>AVERAGE(O8,P8)</f>
        <v>5.2207000000000008</v>
      </c>
      <c r="O8" s="2">
        <f>Model!$G$22+ 'Chemical Properties'!K8*Model!$H$22+'Chemical Properties'!L8*Model!$I$22</f>
        <v>5.109</v>
      </c>
      <c r="P8" s="2">
        <f>Model!$D$27*'Chemical Properties'!I8-Model!$H$27</f>
        <v>5.3324000000000007</v>
      </c>
      <c r="Q8" s="10"/>
      <c r="R8">
        <f t="shared" si="4"/>
        <v>5.5E-2</v>
      </c>
      <c r="T8">
        <v>-8.81</v>
      </c>
      <c r="V8">
        <v>-5.28</v>
      </c>
      <c r="X8">
        <f t="shared" si="5"/>
        <v>257.53000000000003</v>
      </c>
      <c r="Y8" s="2">
        <f>LOG(Model!$E$39/('Chemical Properties'!X8^Model!$G$39))</f>
        <v>-5.2803239936112352</v>
      </c>
      <c r="Z8" s="20" t="e">
        <f t="shared" si="6"/>
        <v>#N/A</v>
      </c>
    </row>
    <row r="9" spans="1:26" x14ac:dyDescent="0.25">
      <c r="A9" s="7" t="s">
        <v>55</v>
      </c>
      <c r="B9" s="7">
        <v>36</v>
      </c>
      <c r="C9" t="str">
        <f t="shared" si="2"/>
        <v>3,3',5-Trichloro</v>
      </c>
      <c r="D9" s="154">
        <f>N9</f>
        <v>5.4183000000000003</v>
      </c>
      <c r="E9" t="s">
        <v>545</v>
      </c>
      <c r="F9" s="19">
        <f>D9*EXP(($F$3/8.3143)*(1/298-1/(Model!$D$1+273)))</f>
        <v>5.4194235037398029</v>
      </c>
      <c r="I9">
        <f t="shared" si="7"/>
        <v>5.88</v>
      </c>
      <c r="J9" s="2">
        <f t="shared" si="3"/>
        <v>5.7113339999999999</v>
      </c>
      <c r="K9">
        <v>3</v>
      </c>
      <c r="L9">
        <v>0</v>
      </c>
      <c r="N9" s="2">
        <f>AVERAGE(O9,P9)</f>
        <v>5.4183000000000003</v>
      </c>
      <c r="O9" s="2">
        <f>Model!$G$22+ 'Chemical Properties'!K9*Model!$H$22+'Chemical Properties'!L9*Model!$I$22</f>
        <v>5.29</v>
      </c>
      <c r="P9" s="2">
        <f>Model!$D$27*'Chemical Properties'!I9-Model!$H$27</f>
        <v>5.5466000000000006</v>
      </c>
      <c r="Q9" s="10" t="s">
        <v>66</v>
      </c>
      <c r="R9">
        <f t="shared" si="4"/>
        <v>0.13</v>
      </c>
      <c r="S9" s="12">
        <f>D9*Model!$C$35+Model!$G$35</f>
        <v>199.05735569999999</v>
      </c>
      <c r="U9" s="2">
        <f>S9*Model!$B$29+Model!$F$29</f>
        <v>-8.9863316576500001</v>
      </c>
      <c r="W9" s="2">
        <f>S9*Model!$B$29+Model!$F$29</f>
        <v>-8.9863316576500001</v>
      </c>
      <c r="X9">
        <f t="shared" si="5"/>
        <v>257.53000000000003</v>
      </c>
      <c r="Y9" s="2">
        <f>LOG(Model!$E$39/('Chemical Properties'!X9^Model!$G$39))</f>
        <v>-5.2803239936112352</v>
      </c>
      <c r="Z9" s="20">
        <f t="shared" si="6"/>
        <v>3.289249642120657E-2</v>
      </c>
    </row>
    <row r="10" spans="1:26" x14ac:dyDescent="0.25">
      <c r="A10" t="s">
        <v>36</v>
      </c>
      <c r="B10">
        <v>44</v>
      </c>
      <c r="C10" t="str">
        <f t="shared" si="2"/>
        <v>2,2',3,5'-Tetrachloro</v>
      </c>
      <c r="D10">
        <v>5.37</v>
      </c>
      <c r="E10" t="s">
        <v>546</v>
      </c>
      <c r="F10" s="19">
        <f>D10*EXP(($F$3/8.3143)*(1/298-1/(Model!$D$1+273)))</f>
        <v>5.3711134885633394</v>
      </c>
      <c r="G10">
        <v>-8.98</v>
      </c>
      <c r="H10">
        <v>-5.32</v>
      </c>
      <c r="I10">
        <f t="shared" si="7"/>
        <v>5.75</v>
      </c>
      <c r="J10" s="2">
        <f t="shared" si="3"/>
        <v>6.0163379999999993</v>
      </c>
      <c r="K10">
        <v>4</v>
      </c>
      <c r="L10">
        <v>2</v>
      </c>
      <c r="M10">
        <v>5.37</v>
      </c>
      <c r="N10" s="2"/>
      <c r="O10" s="2"/>
      <c r="P10" s="2">
        <f>Model!$D$27*'Chemical Properties'!I10-Model!$H$27</f>
        <v>5.4140000000000006</v>
      </c>
      <c r="Q10" s="10">
        <v>199.7</v>
      </c>
      <c r="R10">
        <f t="shared" si="4"/>
        <v>0</v>
      </c>
      <c r="T10">
        <v>-8.98</v>
      </c>
      <c r="U10" s="2">
        <f>Q10*Model!$B$29+Model!$F$29</f>
        <v>-8.9956499999999995</v>
      </c>
      <c r="V10">
        <v>-5.32</v>
      </c>
      <c r="W10" s="2">
        <f>Q10*Model!$B$29+Model!$F$29</f>
        <v>-8.9956499999999995</v>
      </c>
      <c r="X10">
        <f t="shared" si="5"/>
        <v>291.96999999999997</v>
      </c>
      <c r="Y10" s="2">
        <f>LOG(Model!$E$39/('Chemical Properties'!X10^Model!$G$39))</f>
        <v>-5.3190263790416754</v>
      </c>
      <c r="Z10" s="20" t="e">
        <f t="shared" si="6"/>
        <v>#N/A</v>
      </c>
    </row>
    <row r="11" spans="1:26" x14ac:dyDescent="0.25">
      <c r="A11" t="s">
        <v>37</v>
      </c>
      <c r="B11">
        <v>52</v>
      </c>
      <c r="C11" t="str">
        <f t="shared" si="2"/>
        <v>2,2',5,5'-Tetrachloro</v>
      </c>
      <c r="D11">
        <v>5.43</v>
      </c>
      <c r="E11" t="s">
        <v>545</v>
      </c>
      <c r="F11" s="19">
        <f>D11*EXP(($F$3/8.3143)*(1/298-1/(Model!$D$1+273)))</f>
        <v>5.4311259297763366</v>
      </c>
      <c r="G11">
        <v>-8.98</v>
      </c>
      <c r="H11">
        <v>-5.32</v>
      </c>
      <c r="I11">
        <f t="shared" si="7"/>
        <v>5.84</v>
      </c>
      <c r="J11" s="2">
        <f t="shared" si="3"/>
        <v>6.0163379999999993</v>
      </c>
      <c r="K11">
        <v>4</v>
      </c>
      <c r="L11">
        <v>2</v>
      </c>
      <c r="N11" s="2">
        <f>AVERAGE(O11,P11)</f>
        <v>5.4834000000000005</v>
      </c>
      <c r="O11" s="2">
        <f>Model!$G$22+ 'Chemical Properties'!K11*Model!$H$22+'Chemical Properties'!L11*Model!$I$22</f>
        <v>5.4610000000000003</v>
      </c>
      <c r="P11" s="2">
        <f>Model!$D$27*'Chemical Properties'!I11-Model!$H$27</f>
        <v>5.5058000000000007</v>
      </c>
      <c r="Q11" s="10"/>
      <c r="R11">
        <f t="shared" si="4"/>
        <v>0</v>
      </c>
      <c r="T11">
        <v>-8.98</v>
      </c>
      <c r="V11">
        <v>-5.32</v>
      </c>
      <c r="X11">
        <f t="shared" si="5"/>
        <v>291.96999999999997</v>
      </c>
      <c r="Y11" s="2">
        <f>LOG(Model!$E$39/('Chemical Properties'!X11^Model!$G$39))</f>
        <v>-5.3190263790416754</v>
      </c>
      <c r="Z11" s="20" t="e">
        <f t="shared" si="6"/>
        <v>#N/A</v>
      </c>
    </row>
    <row r="12" spans="1:26" x14ac:dyDescent="0.25">
      <c r="A12" t="s">
        <v>38</v>
      </c>
      <c r="B12">
        <v>66</v>
      </c>
      <c r="C12" t="str">
        <f t="shared" si="2"/>
        <v>2,3',4,4'-Tetrachloro</v>
      </c>
      <c r="D12">
        <v>5.94</v>
      </c>
      <c r="E12" t="s">
        <v>545</v>
      </c>
      <c r="F12" s="19">
        <f>D12*EXP(($F$3/8.3143)*(1/298-1/(Model!$D$1+273)))</f>
        <v>5.9412316800868226</v>
      </c>
      <c r="G12">
        <v>-8.98</v>
      </c>
      <c r="H12">
        <v>-5.32</v>
      </c>
      <c r="I12">
        <f t="shared" si="7"/>
        <v>6.2</v>
      </c>
      <c r="J12" s="2">
        <f t="shared" si="3"/>
        <v>6.1360269999999995</v>
      </c>
      <c r="K12">
        <v>4</v>
      </c>
      <c r="L12">
        <v>1</v>
      </c>
      <c r="N12" s="2">
        <f>AVERAGE(O12,P12)</f>
        <v>5.7575000000000003</v>
      </c>
      <c r="O12" s="2">
        <f>Model!$G$22+ 'Chemical Properties'!K12*Model!$H$22+'Chemical Properties'!L12*Model!$I$22</f>
        <v>5.6420000000000003</v>
      </c>
      <c r="P12" s="2">
        <f>Model!$D$27*'Chemical Properties'!I12-Model!$H$27</f>
        <v>5.8730000000000011</v>
      </c>
      <c r="Q12" s="10"/>
      <c r="R12">
        <f t="shared" si="4"/>
        <v>0</v>
      </c>
      <c r="T12">
        <v>-8.98</v>
      </c>
      <c r="V12">
        <v>-5.32</v>
      </c>
      <c r="X12">
        <f t="shared" si="5"/>
        <v>291.96999999999997</v>
      </c>
      <c r="Y12" s="2">
        <f>LOG(Model!$E$39/('Chemical Properties'!X12^Model!$G$39))</f>
        <v>-5.3190263790416754</v>
      </c>
      <c r="Z12" s="20" t="e">
        <f t="shared" si="6"/>
        <v>#N/A</v>
      </c>
    </row>
    <row r="13" spans="1:26" x14ac:dyDescent="0.25">
      <c r="A13" t="s">
        <v>39</v>
      </c>
      <c r="B13">
        <v>77</v>
      </c>
      <c r="C13" t="str">
        <f t="shared" si="2"/>
        <v>3,3',4,4'-Tetrachloro</v>
      </c>
      <c r="D13">
        <v>5.79</v>
      </c>
      <c r="E13" t="s">
        <v>546</v>
      </c>
      <c r="F13" s="19">
        <f>D13*EXP(($F$3/8.3143)*(1/298-1/(Model!$D$1+273)))</f>
        <v>5.7912005770543269</v>
      </c>
      <c r="G13">
        <v>-8.98</v>
      </c>
      <c r="H13">
        <v>-5.32</v>
      </c>
      <c r="I13">
        <f t="shared" si="7"/>
        <v>6.36</v>
      </c>
      <c r="J13" s="2">
        <f t="shared" si="3"/>
        <v>6.2557160000000005</v>
      </c>
      <c r="K13">
        <v>4</v>
      </c>
      <c r="L13">
        <v>0</v>
      </c>
      <c r="M13">
        <v>5.79</v>
      </c>
      <c r="N13" s="2"/>
      <c r="O13" s="2"/>
      <c r="P13" s="2">
        <f>Model!$D$27*'Chemical Properties'!I13-Model!$H$27</f>
        <v>6.0362000000000009</v>
      </c>
      <c r="Q13" s="10"/>
      <c r="R13">
        <f t="shared" si="4"/>
        <v>0</v>
      </c>
      <c r="T13">
        <v>-8.98</v>
      </c>
      <c r="V13">
        <v>-5.32</v>
      </c>
      <c r="X13">
        <f t="shared" si="5"/>
        <v>291.96999999999997</v>
      </c>
      <c r="Y13" s="2">
        <f>LOG(Model!$E$39/('Chemical Properties'!X13^Model!$G$39))</f>
        <v>-5.3190263790416754</v>
      </c>
      <c r="Z13" s="20" t="e">
        <f t="shared" si="6"/>
        <v>#N/A</v>
      </c>
    </row>
    <row r="14" spans="1:26" x14ac:dyDescent="0.25">
      <c r="A14" s="7" t="s">
        <v>56</v>
      </c>
      <c r="B14" s="7">
        <v>78</v>
      </c>
      <c r="C14" t="str">
        <f t="shared" si="2"/>
        <v>3,3',4,5-Tetrachloro</v>
      </c>
      <c r="D14" s="155">
        <f>N14</f>
        <v>5.9245000000000001</v>
      </c>
      <c r="E14" t="s">
        <v>545</v>
      </c>
      <c r="F14" s="19">
        <f>D14*EXP(($F$3/8.3143)*(1/298-1/(Model!$D$1+273)))</f>
        <v>5.9257284661067979</v>
      </c>
      <c r="I14">
        <f t="shared" si="7"/>
        <v>6.35</v>
      </c>
      <c r="J14" s="2">
        <f t="shared" si="3"/>
        <v>6.1943780000000004</v>
      </c>
      <c r="K14">
        <v>4</v>
      </c>
      <c r="L14">
        <v>0</v>
      </c>
      <c r="N14" s="2">
        <f>AVERAGE(O14,P14)</f>
        <v>5.9245000000000001</v>
      </c>
      <c r="O14" s="2">
        <f>Model!$G$22+ 'Chemical Properties'!K14*Model!$H$22+'Chemical Properties'!L14*Model!$I$22</f>
        <v>5.8230000000000004</v>
      </c>
      <c r="P14" s="2">
        <f>Model!$D$27*'Chemical Properties'!I14-Model!$H$27</f>
        <v>6.0259999999999998</v>
      </c>
      <c r="Q14" s="10">
        <v>203</v>
      </c>
      <c r="R14">
        <f t="shared" si="4"/>
        <v>0.11</v>
      </c>
      <c r="U14" s="2">
        <f>Q14*Model!$B$29+Model!$F$29</f>
        <v>-9.0434999999999999</v>
      </c>
      <c r="W14" s="2">
        <f>Q14*Model!$B$29+Model!$F$29</f>
        <v>-9.0434999999999999</v>
      </c>
      <c r="X14">
        <f t="shared" si="5"/>
        <v>291.96999999999997</v>
      </c>
      <c r="Y14" s="2">
        <f>LOG(Model!$E$39/('Chemical Properties'!X14^Model!$G$39))</f>
        <v>-5.3190263790416754</v>
      </c>
      <c r="Z14" s="20">
        <f t="shared" si="6"/>
        <v>1.355938300769672E-2</v>
      </c>
    </row>
    <row r="15" spans="1:26" x14ac:dyDescent="0.25">
      <c r="A15" t="s">
        <v>40</v>
      </c>
      <c r="B15">
        <v>101</v>
      </c>
      <c r="C15" t="str">
        <f t="shared" si="2"/>
        <v>2,2',4,5,5'-Pentachloro</v>
      </c>
      <c r="D15">
        <v>6.19</v>
      </c>
      <c r="E15" t="s">
        <v>546</v>
      </c>
      <c r="F15" s="19">
        <f>D15*EXP(($F$3/8.3143)*(1/298-1/(Model!$D$1+273)))</f>
        <v>6.1912835184743154</v>
      </c>
      <c r="G15">
        <v>-9.16</v>
      </c>
      <c r="H15">
        <v>-5.36</v>
      </c>
      <c r="I15">
        <f t="shared" si="7"/>
        <v>6.38</v>
      </c>
      <c r="J15" s="2">
        <f t="shared" si="3"/>
        <v>6.4140819999999996</v>
      </c>
      <c r="K15">
        <v>5</v>
      </c>
      <c r="L15">
        <v>2</v>
      </c>
      <c r="M15">
        <v>6.19</v>
      </c>
      <c r="N15" s="2"/>
      <c r="O15" s="2"/>
      <c r="P15" s="2">
        <f>Model!$D$27*'Chemical Properties'!I15-Model!$H$27</f>
        <v>6.0566000000000004</v>
      </c>
      <c r="Q15" s="10"/>
      <c r="R15">
        <f t="shared" si="4"/>
        <v>0</v>
      </c>
      <c r="T15">
        <v>-9.16</v>
      </c>
      <c r="V15">
        <v>-5.36</v>
      </c>
      <c r="X15">
        <f t="shared" si="5"/>
        <v>326.41000000000003</v>
      </c>
      <c r="Y15" s="2">
        <f>LOG(Model!$E$39/('Chemical Properties'!X15^Model!$G$39))</f>
        <v>-5.3534082892238244</v>
      </c>
      <c r="Z15" s="20" t="e">
        <f t="shared" si="6"/>
        <v>#N/A</v>
      </c>
    </row>
    <row r="16" spans="1:26" x14ac:dyDescent="0.25">
      <c r="A16" s="7" t="s">
        <v>57</v>
      </c>
      <c r="B16" s="7">
        <v>104</v>
      </c>
      <c r="C16" t="str">
        <f t="shared" si="2"/>
        <v>2,2’,4,6,6’-Pentachloro</v>
      </c>
      <c r="D16" s="155">
        <f>N16</f>
        <v>5.7346000000000004</v>
      </c>
      <c r="E16" t="s">
        <v>545</v>
      </c>
      <c r="F16" s="19">
        <f>D16*EXP(($F$3/8.3143)*(1/298-1/(Model!$D$1+273)))</f>
        <v>5.7357890896676587</v>
      </c>
      <c r="I16">
        <f t="shared" si="7"/>
        <v>5.81</v>
      </c>
      <c r="J16" s="2">
        <f t="shared" si="3"/>
        <v>6.4354219999999991</v>
      </c>
      <c r="K16">
        <v>5</v>
      </c>
      <c r="L16">
        <v>2</v>
      </c>
      <c r="N16" s="2">
        <f>AVERAGE(O16,P16)</f>
        <v>5.7346000000000004</v>
      </c>
      <c r="O16" s="2">
        <f>Model!$G$22+ 'Chemical Properties'!K16*Model!$H$22+'Chemical Properties'!L16*Model!$I$22</f>
        <v>5.9939999999999998</v>
      </c>
      <c r="P16" s="2">
        <f>Model!$D$27*'Chemical Properties'!I16-Model!$H$27</f>
        <v>5.4752000000000001</v>
      </c>
      <c r="Q16" s="10">
        <v>214</v>
      </c>
      <c r="R16">
        <f t="shared" si="4"/>
        <v>0.13</v>
      </c>
      <c r="U16" s="2">
        <f>Q16*Model!$B$29+Model!$F$29</f>
        <v>-9.2029999999999994</v>
      </c>
      <c r="W16" s="2">
        <f>Q16*Model!$B$29+Model!$F$29</f>
        <v>-9.2029999999999994</v>
      </c>
      <c r="X16">
        <f t="shared" si="5"/>
        <v>326.41000000000003</v>
      </c>
      <c r="Y16" s="2">
        <f>LOG(Model!$E$39/('Chemical Properties'!X16^Model!$G$39))</f>
        <v>-5.3534082892238244</v>
      </c>
      <c r="Z16" s="20">
        <f t="shared" si="6"/>
        <v>1.3332888245386712E-2</v>
      </c>
    </row>
    <row r="17" spans="1:26" x14ac:dyDescent="0.25">
      <c r="A17" t="s">
        <v>41</v>
      </c>
      <c r="B17">
        <v>105</v>
      </c>
      <c r="C17" t="str">
        <f t="shared" si="2"/>
        <v>2,3,3’,4,4’-Pentachloro</v>
      </c>
      <c r="D17">
        <v>6.36</v>
      </c>
      <c r="E17" t="s">
        <v>546</v>
      </c>
      <c r="F17" s="19">
        <f>D17*EXP(($F$3/8.3143)*(1/298-1/(Model!$D$1+273)))</f>
        <v>6.3613187685778101</v>
      </c>
      <c r="G17">
        <v>-9.16</v>
      </c>
      <c r="H17">
        <v>-5.36</v>
      </c>
      <c r="I17">
        <f t="shared" si="7"/>
        <v>6.65</v>
      </c>
      <c r="J17" s="2">
        <f t="shared" si="3"/>
        <v>6.5071709999999996</v>
      </c>
      <c r="K17">
        <v>5</v>
      </c>
      <c r="L17">
        <v>1</v>
      </c>
      <c r="M17">
        <v>6.44</v>
      </c>
      <c r="N17" s="2"/>
      <c r="O17" s="2"/>
      <c r="P17" s="2">
        <f>Model!$D$27*'Chemical Properties'!I17-Model!$H$27</f>
        <v>6.3320000000000007</v>
      </c>
      <c r="Q17" s="10"/>
      <c r="R17">
        <f t="shared" si="4"/>
        <v>0</v>
      </c>
      <c r="T17">
        <v>-9.16</v>
      </c>
      <c r="V17">
        <v>-5.36</v>
      </c>
      <c r="X17">
        <f t="shared" si="5"/>
        <v>326.41000000000003</v>
      </c>
      <c r="Y17" s="2">
        <f>LOG(Model!$E$39/('Chemical Properties'!X17^Model!$G$39))</f>
        <v>-5.3534082892238244</v>
      </c>
      <c r="Z17" s="20" t="e">
        <f t="shared" si="6"/>
        <v>#N/A</v>
      </c>
    </row>
    <row r="18" spans="1:26" x14ac:dyDescent="0.25">
      <c r="A18" t="s">
        <v>42</v>
      </c>
      <c r="B18" s="8">
        <v>118</v>
      </c>
      <c r="C18" t="str">
        <f t="shared" si="2"/>
        <v>2,3',4,4',5-Pentachloro</v>
      </c>
      <c r="D18">
        <v>6.42</v>
      </c>
      <c r="E18" t="s">
        <v>546</v>
      </c>
      <c r="F18" s="19">
        <f>D18*EXP(($F$3/8.3143)*(1/298-1/(Model!$D$1+273)))</f>
        <v>6.4213312097908073</v>
      </c>
      <c r="G18">
        <v>-9.16</v>
      </c>
      <c r="H18">
        <v>-5.36</v>
      </c>
      <c r="I18">
        <f t="shared" si="7"/>
        <v>6.74</v>
      </c>
      <c r="J18" s="2">
        <f t="shared" si="3"/>
        <v>6.5071709999999996</v>
      </c>
      <c r="K18">
        <v>5</v>
      </c>
      <c r="L18">
        <v>1</v>
      </c>
      <c r="M18">
        <v>6.42</v>
      </c>
      <c r="N18" s="2"/>
      <c r="O18" s="2"/>
      <c r="P18" s="2">
        <f>Model!$D$27*'Chemical Properties'!I18-Model!$H$27</f>
        <v>6.4238000000000008</v>
      </c>
      <c r="Q18" s="10"/>
      <c r="R18">
        <f t="shared" si="4"/>
        <v>0</v>
      </c>
      <c r="T18">
        <v>-9.16</v>
      </c>
      <c r="V18">
        <v>-5.36</v>
      </c>
      <c r="X18">
        <f t="shared" si="5"/>
        <v>326.41000000000003</v>
      </c>
      <c r="Y18" s="2">
        <f>LOG(Model!$E$39/('Chemical Properties'!X18^Model!$G$39))</f>
        <v>-5.3534082892238244</v>
      </c>
      <c r="Z18" s="20" t="e">
        <f t="shared" si="6"/>
        <v>#N/A</v>
      </c>
    </row>
    <row r="19" spans="1:26" x14ac:dyDescent="0.25">
      <c r="A19" s="7" t="s">
        <v>58</v>
      </c>
      <c r="B19" s="7">
        <v>121</v>
      </c>
      <c r="C19" t="str">
        <f t="shared" si="2"/>
        <v>2,3',4,5',6-Pentachloro</v>
      </c>
      <c r="D19" s="155">
        <f>N19</f>
        <v>6.2484000000000002</v>
      </c>
      <c r="E19" t="s">
        <v>545</v>
      </c>
      <c r="F19" s="19">
        <f>D19*EXP(($F$3/8.3143)*(1/298-1/(Model!$D$1+273)))</f>
        <v>6.2496956279216329</v>
      </c>
      <c r="I19">
        <f t="shared" si="7"/>
        <v>6.64</v>
      </c>
      <c r="J19" s="2">
        <f t="shared" si="3"/>
        <v>6.4690219999999989</v>
      </c>
      <c r="K19">
        <v>5</v>
      </c>
      <c r="L19">
        <v>1</v>
      </c>
      <c r="N19" s="2">
        <f>AVERAGE(O19,P19)</f>
        <v>6.2484000000000002</v>
      </c>
      <c r="O19" s="2">
        <f>Model!$G$22+ 'Chemical Properties'!K19*Model!$H$22+'Chemical Properties'!L19*Model!$I$22</f>
        <v>6.1749999999999998</v>
      </c>
      <c r="P19" s="2">
        <f>Model!$D$27*'Chemical Properties'!I19-Model!$H$27</f>
        <v>6.3218000000000005</v>
      </c>
      <c r="Q19" s="10" t="s">
        <v>66</v>
      </c>
      <c r="R19">
        <f t="shared" si="4"/>
        <v>0.13</v>
      </c>
      <c r="S19" s="12">
        <f>D19*Model!$C$35+Model!$G$35</f>
        <v>220.45650359999999</v>
      </c>
      <c r="U19" s="2">
        <f>S19*Model!$B$29+Model!$F$29</f>
        <v>-9.2966193021999999</v>
      </c>
      <c r="W19" s="2">
        <f>S19*Model!$B$29+Model!$F$29</f>
        <v>-9.2966193021999999</v>
      </c>
      <c r="X19">
        <f t="shared" si="5"/>
        <v>326.41000000000003</v>
      </c>
      <c r="Y19" s="2">
        <f>LOG(Model!$E$39/('Chemical Properties'!X19^Model!$G$39))</f>
        <v>-5.3534082892238244</v>
      </c>
      <c r="Z19" s="20">
        <f t="shared" si="6"/>
        <v>7.4884275147062826E-3</v>
      </c>
    </row>
    <row r="20" spans="1:26" x14ac:dyDescent="0.25">
      <c r="A20" t="s">
        <v>43</v>
      </c>
      <c r="B20" s="8">
        <v>126</v>
      </c>
      <c r="C20" t="str">
        <f t="shared" si="2"/>
        <v>3,3',4,4',5-Pentachloro</v>
      </c>
      <c r="D20">
        <v>6.6</v>
      </c>
      <c r="E20" t="s">
        <v>545</v>
      </c>
      <c r="F20" s="19">
        <f>D20*EXP(($F$3/8.3143)*(1/298-1/(Model!$D$1+273)))</f>
        <v>6.6013685334298016</v>
      </c>
      <c r="G20">
        <v>-9.16</v>
      </c>
      <c r="H20">
        <v>-5.36</v>
      </c>
      <c r="I20">
        <f t="shared" si="7"/>
        <v>6.89</v>
      </c>
      <c r="J20" s="2">
        <f t="shared" si="3"/>
        <v>6.6163599999999994</v>
      </c>
      <c r="K20">
        <v>5</v>
      </c>
      <c r="L20">
        <v>0</v>
      </c>
      <c r="N20" s="2">
        <f>AVERAGE(O20,P20)</f>
        <v>6.4664000000000001</v>
      </c>
      <c r="O20" s="2">
        <f>Model!$G$22+ 'Chemical Properties'!K20*Model!$H$22+'Chemical Properties'!L20*Model!$I$22</f>
        <v>6.3559999999999999</v>
      </c>
      <c r="P20" s="2">
        <f>Model!$D$27*'Chemical Properties'!I20-Model!$H$27</f>
        <v>6.5768000000000004</v>
      </c>
      <c r="Q20" s="10"/>
      <c r="R20">
        <f t="shared" si="4"/>
        <v>0</v>
      </c>
      <c r="T20">
        <v>-9.16</v>
      </c>
      <c r="V20">
        <v>-5.36</v>
      </c>
      <c r="X20">
        <f t="shared" si="5"/>
        <v>326.41000000000003</v>
      </c>
      <c r="Y20" s="2">
        <f>LOG(Model!$E$39/('Chemical Properties'!X20^Model!$G$39))</f>
        <v>-5.3534082892238244</v>
      </c>
      <c r="Z20" s="20" t="e">
        <f t="shared" si="6"/>
        <v>#N/A</v>
      </c>
    </row>
    <row r="21" spans="1:26" x14ac:dyDescent="0.25">
      <c r="A21" t="s">
        <v>44</v>
      </c>
      <c r="B21" s="8">
        <v>128</v>
      </c>
      <c r="C21" t="str">
        <f t="shared" si="2"/>
        <v>2,2',3,3',4,4'-Hexachloro</v>
      </c>
      <c r="D21">
        <v>6.52</v>
      </c>
      <c r="E21" t="s">
        <v>546</v>
      </c>
      <c r="F21" s="19">
        <f>D21*EXP(($F$3/8.3143)*(1/298-1/(Model!$D$1+273)))</f>
        <v>6.5213519451458044</v>
      </c>
      <c r="G21">
        <v>-9.33</v>
      </c>
      <c r="H21">
        <v>-5.39</v>
      </c>
      <c r="I21">
        <f t="shared" si="7"/>
        <v>6.74</v>
      </c>
      <c r="J21" s="2">
        <f t="shared" si="3"/>
        <v>6.8118259999999999</v>
      </c>
      <c r="K21">
        <v>6</v>
      </c>
      <c r="L21">
        <v>2</v>
      </c>
      <c r="M21">
        <v>6.52</v>
      </c>
      <c r="N21" s="2"/>
      <c r="O21" s="2"/>
      <c r="P21" s="2">
        <f>Model!$D$27*'Chemical Properties'!I21-Model!$H$27</f>
        <v>6.4238000000000008</v>
      </c>
      <c r="Q21" s="10"/>
      <c r="R21">
        <f t="shared" si="4"/>
        <v>0</v>
      </c>
      <c r="T21">
        <v>-9.33</v>
      </c>
      <c r="V21">
        <v>-5.39</v>
      </c>
      <c r="X21">
        <f t="shared" si="5"/>
        <v>360.85</v>
      </c>
      <c r="Y21" s="2">
        <f>LOG(Model!$E$39/('Chemical Properties'!X21^Model!$G$39))</f>
        <v>-5.3843381996810047</v>
      </c>
      <c r="Z21" s="20" t="e">
        <f t="shared" si="6"/>
        <v>#N/A</v>
      </c>
    </row>
    <row r="22" spans="1:26" x14ac:dyDescent="0.25">
      <c r="A22" t="s">
        <v>45</v>
      </c>
      <c r="B22" s="8">
        <v>138</v>
      </c>
      <c r="C22" t="str">
        <f t="shared" si="2"/>
        <v>2,2',3,4,4',5'-Hexachloro</v>
      </c>
      <c r="D22">
        <v>6.66</v>
      </c>
      <c r="E22" t="s">
        <v>546</v>
      </c>
      <c r="F22" s="19">
        <f>D22*EXP(($F$3/8.3143)*(1/298-1/(Model!$D$1+273)))</f>
        <v>6.6613809746428005</v>
      </c>
      <c r="G22">
        <v>-9.33</v>
      </c>
      <c r="H22">
        <v>-5.39</v>
      </c>
      <c r="I22">
        <f t="shared" si="7"/>
        <v>6.83</v>
      </c>
      <c r="J22" s="2">
        <f t="shared" si="3"/>
        <v>6.8118259999999999</v>
      </c>
      <c r="K22">
        <v>6</v>
      </c>
      <c r="L22">
        <v>2</v>
      </c>
      <c r="M22">
        <v>6.66</v>
      </c>
      <c r="N22" s="2"/>
      <c r="O22" s="2"/>
      <c r="P22" s="2">
        <f>Model!$D$27*'Chemical Properties'!I22-Model!$H$27</f>
        <v>6.5156000000000009</v>
      </c>
      <c r="Q22" s="10"/>
      <c r="R22">
        <f t="shared" si="4"/>
        <v>0</v>
      </c>
      <c r="T22">
        <v>-9.33</v>
      </c>
      <c r="V22">
        <v>-5.39</v>
      </c>
      <c r="X22">
        <f t="shared" si="5"/>
        <v>360.85</v>
      </c>
      <c r="Y22" s="2">
        <f>LOG(Model!$E$39/('Chemical Properties'!X22^Model!$G$39))</f>
        <v>-5.3843381996810047</v>
      </c>
      <c r="Z22" s="20" t="e">
        <f t="shared" si="6"/>
        <v>#N/A</v>
      </c>
    </row>
    <row r="23" spans="1:26" x14ac:dyDescent="0.25">
      <c r="A23" s="7" t="s">
        <v>59</v>
      </c>
      <c r="B23" s="7">
        <v>142</v>
      </c>
      <c r="C23" t="str">
        <f t="shared" si="2"/>
        <v>2,2',3,4,5,6-Hexachloro</v>
      </c>
      <c r="D23" s="155">
        <f>N23</f>
        <v>6.3581000000000003</v>
      </c>
      <c r="E23" t="s">
        <v>545</v>
      </c>
      <c r="F23" s="19">
        <f>D23*EXP(($F$3/8.3143)*(1/298-1/(Model!$D$1+273)))</f>
        <v>6.3594183746060651</v>
      </c>
      <c r="I23">
        <f t="shared" si="7"/>
        <v>6.51</v>
      </c>
      <c r="J23" s="2">
        <f t="shared" si="3"/>
        <v>6.9352660000000004</v>
      </c>
      <c r="K23">
        <v>6</v>
      </c>
      <c r="L23">
        <v>2</v>
      </c>
      <c r="N23" s="2">
        <f>AVERAGE(O23,P23)</f>
        <v>6.3581000000000003</v>
      </c>
      <c r="O23" s="2">
        <f>Model!$G$22+ 'Chemical Properties'!K23*Model!$H$22+'Chemical Properties'!L23*Model!$I$22</f>
        <v>6.5270000000000001</v>
      </c>
      <c r="P23" s="2">
        <f>Model!$D$27*'Chemical Properties'!I23-Model!$H$27</f>
        <v>6.1892000000000005</v>
      </c>
      <c r="Q23" s="10">
        <v>226</v>
      </c>
      <c r="R23">
        <f t="shared" si="4"/>
        <v>0.11</v>
      </c>
      <c r="U23" s="2">
        <f>Q23*Model!$B$29+Model!$F$29</f>
        <v>-9.3769999999999989</v>
      </c>
      <c r="W23" s="2">
        <f>Q23*Model!$B$29+Model!$F$29</f>
        <v>-9.3769999999999989</v>
      </c>
      <c r="X23">
        <f t="shared" si="5"/>
        <v>360.85</v>
      </c>
      <c r="Y23" s="2">
        <f>LOG(Model!$E$39/('Chemical Properties'!X23^Model!$G$39))</f>
        <v>-5.3843381996810047</v>
      </c>
      <c r="Z23" s="20">
        <f t="shared" si="6"/>
        <v>3.8312780774620368E-3</v>
      </c>
    </row>
    <row r="24" spans="1:26" x14ac:dyDescent="0.25">
      <c r="A24" t="s">
        <v>46</v>
      </c>
      <c r="B24" s="8">
        <v>153</v>
      </c>
      <c r="C24" t="str">
        <f t="shared" si="2"/>
        <v>2,2',4,4',5,5'-Hexachloro</v>
      </c>
      <c r="D24">
        <v>6.81</v>
      </c>
      <c r="E24" t="s">
        <v>546</v>
      </c>
      <c r="F24" s="19">
        <f>D24*EXP(($F$3/8.3143)*(1/298-1/(Model!$D$1+273)))</f>
        <v>6.8114120776752953</v>
      </c>
      <c r="G24">
        <v>-9.33</v>
      </c>
      <c r="H24">
        <v>-5.39</v>
      </c>
      <c r="I24">
        <f t="shared" si="7"/>
        <v>6.92</v>
      </c>
      <c r="J24" s="2">
        <f t="shared" si="3"/>
        <v>6.8118259999999999</v>
      </c>
      <c r="K24">
        <v>6</v>
      </c>
      <c r="L24">
        <v>2</v>
      </c>
      <c r="M24">
        <v>6.81</v>
      </c>
      <c r="N24" s="2"/>
      <c r="O24" s="2"/>
      <c r="P24" s="2">
        <f>Model!$D$27*'Chemical Properties'!I24-Model!$H$27</f>
        <v>6.6074000000000002</v>
      </c>
      <c r="Q24" s="10"/>
      <c r="R24">
        <f t="shared" si="4"/>
        <v>0</v>
      </c>
      <c r="T24">
        <v>-9.33</v>
      </c>
      <c r="V24">
        <v>-5.39</v>
      </c>
      <c r="X24">
        <f t="shared" si="5"/>
        <v>360.85</v>
      </c>
      <c r="Y24" s="2">
        <f>LOG(Model!$E$39/('Chemical Properties'!X24^Model!$G$39))</f>
        <v>-5.3843381996810047</v>
      </c>
      <c r="Z24" s="20" t="e">
        <f t="shared" si="6"/>
        <v>#N/A</v>
      </c>
    </row>
    <row r="25" spans="1:26" x14ac:dyDescent="0.25">
      <c r="A25" s="7" t="s">
        <v>60</v>
      </c>
      <c r="B25" s="7">
        <v>155</v>
      </c>
      <c r="C25" t="str">
        <f t="shared" si="2"/>
        <v>2,2',4,4',6,6'-Hexachloro</v>
      </c>
      <c r="D25" s="7">
        <v>6.56</v>
      </c>
      <c r="E25" t="s">
        <v>546</v>
      </c>
      <c r="F25" s="19">
        <f>D25*EXP(($F$3/8.3143)*(1/298-1/(Model!$D$1+273)))</f>
        <v>6.5613602392878034</v>
      </c>
      <c r="I25">
        <f t="shared" si="7"/>
        <v>6.41</v>
      </c>
      <c r="J25" s="2">
        <f t="shared" si="3"/>
        <v>6.9128660000000011</v>
      </c>
      <c r="K25">
        <v>6</v>
      </c>
      <c r="L25">
        <v>2</v>
      </c>
      <c r="M25">
        <v>6.56</v>
      </c>
      <c r="N25" s="2"/>
      <c r="O25" s="2"/>
      <c r="P25" s="2">
        <f>Model!$D$27*'Chemical Properties'!I25-Model!$H$27</f>
        <v>6.0872000000000011</v>
      </c>
      <c r="Q25" s="10">
        <v>226</v>
      </c>
      <c r="R25">
        <f t="shared" si="4"/>
        <v>0.11</v>
      </c>
      <c r="U25" s="2">
        <f>Q25*Model!$B$29+Model!$F$29</f>
        <v>-9.3769999999999989</v>
      </c>
      <c r="W25" s="2">
        <f>Q25*Model!$B$29+Model!$F$29</f>
        <v>-9.3769999999999989</v>
      </c>
      <c r="X25">
        <f t="shared" si="5"/>
        <v>360.85</v>
      </c>
      <c r="Y25" s="2">
        <f>LOG(Model!$E$39/('Chemical Properties'!X25^Model!$G$39))</f>
        <v>-5.3843381996810047</v>
      </c>
      <c r="Z25" s="20">
        <f t="shared" si="6"/>
        <v>3.1769733707551415E-3</v>
      </c>
    </row>
    <row r="26" spans="1:26" x14ac:dyDescent="0.25">
      <c r="A26" t="s">
        <v>47</v>
      </c>
      <c r="B26" s="8">
        <v>170</v>
      </c>
      <c r="C26" t="str">
        <f t="shared" si="2"/>
        <v>2,2',3,3',4,4',5-Heptachloro</v>
      </c>
      <c r="D26">
        <v>7.05</v>
      </c>
      <c r="E26" t="s">
        <v>545</v>
      </c>
      <c r="F26" s="19">
        <f>D26*EXP(($F$3/8.3143)*(1/298-1/(Model!$D$1+273)))</f>
        <v>7.0514618425272886</v>
      </c>
      <c r="G26">
        <v>-9.5</v>
      </c>
      <c r="H26">
        <v>-5.41</v>
      </c>
      <c r="I26">
        <f t="shared" si="7"/>
        <v>7.27</v>
      </c>
      <c r="J26" s="2">
        <f t="shared" si="3"/>
        <v>7.2095700000000003</v>
      </c>
      <c r="K26">
        <v>7</v>
      </c>
      <c r="L26">
        <v>2</v>
      </c>
      <c r="N26" s="2">
        <f>AVERAGE(O26,P26)</f>
        <v>7.0122</v>
      </c>
      <c r="O26" s="2">
        <f>Model!$G$22+ 'Chemical Properties'!K26*Model!$H$22+'Chemical Properties'!L26*Model!$I$22</f>
        <v>7.0600000000000005</v>
      </c>
      <c r="P26" s="2">
        <f>Model!$D$27*'Chemical Properties'!I26-Model!$H$27</f>
        <v>6.9644000000000004</v>
      </c>
      <c r="Q26" s="10"/>
      <c r="R26">
        <f t="shared" si="4"/>
        <v>0</v>
      </c>
      <c r="T26">
        <v>-9.5</v>
      </c>
      <c r="V26">
        <v>-5.41</v>
      </c>
      <c r="X26">
        <f t="shared" si="5"/>
        <v>395.29</v>
      </c>
      <c r="Y26" s="2">
        <f>LOG(Model!$E$39/('Chemical Properties'!X26^Model!$G$39))</f>
        <v>-5.4124464735443194</v>
      </c>
      <c r="Z26" s="20" t="e">
        <f t="shared" si="6"/>
        <v>#N/A</v>
      </c>
    </row>
    <row r="27" spans="1:26" x14ac:dyDescent="0.25">
      <c r="A27" t="s">
        <v>48</v>
      </c>
      <c r="B27" s="8">
        <v>180</v>
      </c>
      <c r="C27" t="str">
        <f t="shared" si="2"/>
        <v>2,2',3,4,4',5,5'-Heptachloro</v>
      </c>
      <c r="D27">
        <v>7.2</v>
      </c>
      <c r="E27" t="s">
        <v>546</v>
      </c>
      <c r="F27" s="19">
        <f>D27*EXP(($F$3/8.3143)*(1/298-1/(Model!$D$1+273)))</f>
        <v>7.2014929455597843</v>
      </c>
      <c r="G27">
        <v>-9.5</v>
      </c>
      <c r="H27">
        <v>-5.41</v>
      </c>
      <c r="I27">
        <f t="shared" si="7"/>
        <v>7.36</v>
      </c>
      <c r="J27" s="2">
        <f t="shared" si="3"/>
        <v>7.2095700000000003</v>
      </c>
      <c r="K27">
        <v>7</v>
      </c>
      <c r="L27">
        <v>2</v>
      </c>
      <c r="M27">
        <v>7.2</v>
      </c>
      <c r="N27" s="2"/>
      <c r="O27" s="2"/>
      <c r="P27" s="2">
        <f>Model!$D$27*'Chemical Properties'!I27-Model!$H$27</f>
        <v>7.0562000000000005</v>
      </c>
      <c r="Q27" s="10"/>
      <c r="R27">
        <f t="shared" si="4"/>
        <v>0</v>
      </c>
      <c r="T27">
        <v>-9.5</v>
      </c>
      <c r="V27">
        <v>-5.41</v>
      </c>
      <c r="X27">
        <f t="shared" si="5"/>
        <v>395.29</v>
      </c>
      <c r="Y27" s="2">
        <f>LOG(Model!$E$39/('Chemical Properties'!X27^Model!$G$39))</f>
        <v>-5.4124464735443194</v>
      </c>
      <c r="Z27" s="20" t="e">
        <f t="shared" si="6"/>
        <v>#N/A</v>
      </c>
    </row>
    <row r="28" spans="1:26" x14ac:dyDescent="0.25">
      <c r="A28" s="7" t="s">
        <v>61</v>
      </c>
      <c r="B28" s="7">
        <v>184</v>
      </c>
      <c r="C28" t="str">
        <f t="shared" si="2"/>
        <v>2,2',3,4,4',6,6'-Heptachloro</v>
      </c>
      <c r="D28" s="9">
        <f>N28</f>
        <v>6.798</v>
      </c>
      <c r="E28" t="s">
        <v>545</v>
      </c>
      <c r="F28" s="19">
        <f>D28*EXP(($F$3/8.3143)*(1/298-1/(Model!$D$1+273)))</f>
        <v>6.7994095894326962</v>
      </c>
      <c r="I28">
        <f t="shared" si="7"/>
        <v>6.85</v>
      </c>
      <c r="J28" s="2">
        <f t="shared" si="3"/>
        <v>7.3959100000000007</v>
      </c>
      <c r="K28">
        <v>7</v>
      </c>
      <c r="L28">
        <v>2</v>
      </c>
      <c r="N28" s="2">
        <f>AVERAGE(O28,P28)</f>
        <v>6.798</v>
      </c>
      <c r="O28" s="2">
        <f>Model!$G$22+ 'Chemical Properties'!K28*Model!$H$22+'Chemical Properties'!L28*Model!$I$22</f>
        <v>7.0600000000000005</v>
      </c>
      <c r="P28" s="2">
        <f>Model!$D$27*'Chemical Properties'!I28-Model!$H$27</f>
        <v>6.5360000000000005</v>
      </c>
      <c r="Q28" s="10">
        <v>238</v>
      </c>
      <c r="R28">
        <f t="shared" si="4"/>
        <v>0.09</v>
      </c>
      <c r="U28" s="2">
        <f>Q28*Model!$B$29+Model!$F$29</f>
        <v>-9.5510000000000002</v>
      </c>
      <c r="W28" s="2">
        <f>Q28*Model!$B$29+Model!$F$29</f>
        <v>-9.5510000000000002</v>
      </c>
      <c r="X28">
        <f t="shared" si="5"/>
        <v>395.29</v>
      </c>
      <c r="Y28" s="2">
        <f>LOG(Model!$E$39/('Chemical Properties'!X28^Model!$G$39))</f>
        <v>-5.4124464735443194</v>
      </c>
      <c r="Z28" s="20">
        <f t="shared" si="6"/>
        <v>2.3554793199487721E-3</v>
      </c>
    </row>
    <row r="29" spans="1:26" x14ac:dyDescent="0.25">
      <c r="A29" t="s">
        <v>49</v>
      </c>
      <c r="B29" s="8">
        <v>187</v>
      </c>
      <c r="C29" t="str">
        <f t="shared" si="2"/>
        <v>2,2',3,4',5,5',6-Heptachloro</v>
      </c>
      <c r="D29">
        <v>7.12</v>
      </c>
      <c r="E29" t="s">
        <v>545</v>
      </c>
      <c r="F29" s="19">
        <f>D29*EXP(($F$3/8.3143)*(1/298-1/(Model!$D$1+273)))</f>
        <v>7.1214763572757871</v>
      </c>
      <c r="G29">
        <v>-9.5</v>
      </c>
      <c r="H29">
        <v>-5.41</v>
      </c>
      <c r="I29">
        <f t="shared" si="7"/>
        <v>7.17</v>
      </c>
      <c r="J29" s="2">
        <f t="shared" si="3"/>
        <v>7.0702809999999996</v>
      </c>
      <c r="K29">
        <v>7</v>
      </c>
      <c r="L29">
        <v>2</v>
      </c>
      <c r="N29" s="2">
        <f>AVERAGE(O29,P29)</f>
        <v>6.9611999999999998</v>
      </c>
      <c r="O29" s="2">
        <f>Model!$G$22+ 'Chemical Properties'!K29*Model!$H$22+'Chemical Properties'!L29*Model!$I$22</f>
        <v>7.0600000000000005</v>
      </c>
      <c r="P29" s="2">
        <f>Model!$D$27*'Chemical Properties'!I29-Model!$H$27</f>
        <v>6.8624000000000001</v>
      </c>
      <c r="Q29" s="10"/>
      <c r="R29">
        <f t="shared" si="4"/>
        <v>0</v>
      </c>
      <c r="T29">
        <v>-9.5</v>
      </c>
      <c r="V29">
        <v>-5.41</v>
      </c>
      <c r="X29">
        <f t="shared" si="5"/>
        <v>395.29</v>
      </c>
      <c r="Y29" s="2">
        <f>LOG(Model!$E$39/('Chemical Properties'!X29^Model!$G$39))</f>
        <v>-5.4124464735443194</v>
      </c>
      <c r="Z29" s="20" t="e">
        <f t="shared" si="6"/>
        <v>#N/A</v>
      </c>
    </row>
    <row r="30" spans="1:26" x14ac:dyDescent="0.25">
      <c r="A30" s="7" t="s">
        <v>62</v>
      </c>
      <c r="B30" s="7">
        <v>192</v>
      </c>
      <c r="C30" t="str">
        <f t="shared" si="2"/>
        <v>2,3,3',4,5,5',6-Heptachloro</v>
      </c>
      <c r="D30" s="7">
        <v>7.1</v>
      </c>
      <c r="E30" t="s">
        <v>546</v>
      </c>
      <c r="F30" s="19">
        <f>D30*EXP(($F$3/8.3143)*(1/298-1/(Model!$D$1+273)))</f>
        <v>7.1014722102047871</v>
      </c>
      <c r="I30">
        <f t="shared" si="7"/>
        <v>7.52</v>
      </c>
      <c r="J30" s="2">
        <f t="shared" si="3"/>
        <v>7.4351100000000008</v>
      </c>
      <c r="K30">
        <v>7</v>
      </c>
      <c r="L30">
        <v>1</v>
      </c>
      <c r="M30">
        <v>7.1</v>
      </c>
      <c r="N30" s="2"/>
      <c r="O30" s="2"/>
      <c r="P30" s="2">
        <f>Model!$D$27*'Chemical Properties'!I30-Model!$H$27</f>
        <v>7.2194000000000003</v>
      </c>
      <c r="Q30" s="10">
        <v>238</v>
      </c>
      <c r="R30">
        <f t="shared" si="4"/>
        <v>0.09</v>
      </c>
      <c r="U30" s="2">
        <f>Q30*Model!$B$29+Model!$F$29</f>
        <v>-9.5510000000000002</v>
      </c>
      <c r="W30" s="2">
        <f>Q30*Model!$B$29+Model!$F$29</f>
        <v>-9.5510000000000002</v>
      </c>
      <c r="X30">
        <f t="shared" si="5"/>
        <v>395.29</v>
      </c>
      <c r="Y30" s="2">
        <f>LOG(Model!$E$39/('Chemical Properties'!X30^Model!$G$39))</f>
        <v>-5.4124464735443194</v>
      </c>
      <c r="Z30" s="20">
        <f t="shared" si="6"/>
        <v>1.6808095931995443E-3</v>
      </c>
    </row>
    <row r="31" spans="1:26" x14ac:dyDescent="0.25">
      <c r="A31" s="7" t="s">
        <v>63</v>
      </c>
      <c r="B31" s="7">
        <v>204</v>
      </c>
      <c r="C31" t="str">
        <f t="shared" si="2"/>
        <v>2,2',3,4,4',5,6,6'-Octachloro</v>
      </c>
      <c r="D31" s="9">
        <f>N31</f>
        <v>7.2940000000000005</v>
      </c>
      <c r="E31" t="s">
        <v>545</v>
      </c>
      <c r="F31" s="19">
        <f>D31*EXP(($F$3/8.3143)*(1/298-1/(Model!$D$1+273)))</f>
        <v>7.2955124367934818</v>
      </c>
      <c r="I31">
        <f t="shared" si="7"/>
        <v>7.3</v>
      </c>
      <c r="J31" s="2">
        <f t="shared" si="3"/>
        <v>7.9695540000000005</v>
      </c>
      <c r="K31">
        <v>8</v>
      </c>
      <c r="L31">
        <v>2</v>
      </c>
      <c r="N31" s="2">
        <f>AVERAGE(O31,P31)</f>
        <v>7.2940000000000005</v>
      </c>
      <c r="O31" s="2">
        <f>Model!$G$22+ 'Chemical Properties'!K31*Model!$H$22+'Chemical Properties'!L31*Model!$I$22</f>
        <v>7.593</v>
      </c>
      <c r="P31" s="2">
        <f>Model!$D$27*'Chemical Properties'!I31-Model!$H$27</f>
        <v>6.9950000000000001</v>
      </c>
      <c r="Q31" s="10">
        <v>250</v>
      </c>
      <c r="R31">
        <f t="shared" si="4"/>
        <v>0.06</v>
      </c>
      <c r="U31" s="2">
        <f>Q31*Model!$B$29+Model!$F$29</f>
        <v>-9.7249999999999996</v>
      </c>
      <c r="W31" s="2">
        <f>Q31*Model!$B$29+Model!$F$29</f>
        <v>-9.7249999999999996</v>
      </c>
      <c r="X31">
        <f t="shared" si="5"/>
        <v>429.73000000000008</v>
      </c>
      <c r="Y31" s="2">
        <f>LOG(Model!$E$39/('Chemical Properties'!X31^Model!$G$39))</f>
        <v>-5.4382051639511459</v>
      </c>
      <c r="Z31" s="20">
        <f t="shared" si="6"/>
        <v>1.0147845007872009E-3</v>
      </c>
    </row>
    <row r="32" spans="1:26" x14ac:dyDescent="0.25">
      <c r="A32" t="s">
        <v>29</v>
      </c>
      <c r="B32" t="s">
        <v>29</v>
      </c>
      <c r="D32">
        <v>5.83</v>
      </c>
      <c r="E32" s="16">
        <f t="shared" ref="E32:E37" si="8">10^D32</f>
        <v>676082.97539198259</v>
      </c>
      <c r="F32" s="19">
        <f>D32*EXP(($F$3/8.3143)*(1/298-1/(Model!$D$1+273)))</f>
        <v>5.831208871196325</v>
      </c>
      <c r="G32">
        <v>-9.31</v>
      </c>
      <c r="H32">
        <v>-5.32</v>
      </c>
      <c r="Q32" s="10"/>
      <c r="T32" s="152">
        <f>-13.19+4</f>
        <v>-9.19</v>
      </c>
      <c r="V32">
        <v>-5.32</v>
      </c>
      <c r="Z32" s="20">
        <f>Model!$C$44*(10^('Chemical Properties'!D32))^Model!$G$44</f>
        <v>1.4240611939048249E-2</v>
      </c>
    </row>
    <row r="33" spans="1:26" x14ac:dyDescent="0.25">
      <c r="A33" t="s">
        <v>30</v>
      </c>
      <c r="B33" t="s">
        <v>30</v>
      </c>
      <c r="D33">
        <v>5.88</v>
      </c>
      <c r="E33" s="16">
        <f t="shared" si="8"/>
        <v>758577.57502918423</v>
      </c>
      <c r="F33" s="19">
        <f>D33*EXP(($F$3/8.3143)*(1/298-1/(Model!$D$1+273)))</f>
        <v>5.8812192388738236</v>
      </c>
      <c r="G33">
        <v>-9.33</v>
      </c>
      <c r="H33">
        <v>-5.32</v>
      </c>
      <c r="Q33" s="10"/>
      <c r="T33">
        <f>-13.32+4</f>
        <v>-9.32</v>
      </c>
      <c r="V33">
        <v>-5.32</v>
      </c>
      <c r="Z33" s="20">
        <f>Model!$C$44*(10^('Chemical Properties'!D33))^Model!$G$44</f>
        <v>1.2977129901080353E-2</v>
      </c>
    </row>
    <row r="34" spans="1:26" x14ac:dyDescent="0.25">
      <c r="A34" t="s">
        <v>31</v>
      </c>
      <c r="B34" t="s">
        <v>31</v>
      </c>
      <c r="D34">
        <v>4.7699999999999996</v>
      </c>
      <c r="E34" s="16">
        <f t="shared" si="8"/>
        <v>58884.365535558936</v>
      </c>
      <c r="F34" s="19">
        <f>D34*EXP(($F$3/8.3143)*(1/298-1/(Model!$D$1+273)))</f>
        <v>4.7709890764333567</v>
      </c>
      <c r="G34">
        <v>-9.36</v>
      </c>
      <c r="H34">
        <v>-5.35</v>
      </c>
      <c r="Q34" s="10"/>
      <c r="T34">
        <f>-13.34+4</f>
        <v>-9.34</v>
      </c>
      <c r="V34">
        <v>-5.35</v>
      </c>
      <c r="Z34" s="20">
        <f>Model!$C$44*(10^('Chemical Properties'!D34))^Model!$G$44</f>
        <v>0.10208187818319307</v>
      </c>
    </row>
    <row r="35" spans="1:26" x14ac:dyDescent="0.25">
      <c r="A35" t="s">
        <v>32</v>
      </c>
      <c r="B35" t="s">
        <v>32</v>
      </c>
      <c r="D35">
        <v>4.84</v>
      </c>
      <c r="E35" s="16">
        <f t="shared" si="8"/>
        <v>69183.097091893651</v>
      </c>
      <c r="F35" s="19">
        <f>D35*EXP(($F$3/8.3143)*(1/298-1/(Model!$D$1+273)))</f>
        <v>4.8410035911818552</v>
      </c>
      <c r="G35">
        <v>-9.39</v>
      </c>
      <c r="H35">
        <v>-5.35</v>
      </c>
      <c r="Q35" s="10"/>
      <c r="T35">
        <f>-13.41+4</f>
        <v>-9.41</v>
      </c>
      <c r="V35">
        <v>-5.35</v>
      </c>
      <c r="Z35" s="20">
        <f>Model!$C$44*(10^('Chemical Properties'!D35))^Model!$G$44</f>
        <v>8.9631084644714074E-2</v>
      </c>
    </row>
    <row r="36" spans="1:26" x14ac:dyDescent="0.25">
      <c r="A36" t="s">
        <v>50</v>
      </c>
      <c r="B36" t="s">
        <v>50</v>
      </c>
      <c r="D36">
        <v>5.86</v>
      </c>
      <c r="E36" s="16">
        <f t="shared" si="8"/>
        <v>724435.96007499192</v>
      </c>
      <c r="F36" s="19">
        <f>D36*EXP(($F$3/8.3143)*(1/298-1/(Model!$D$1+273)))</f>
        <v>5.8612150918028245</v>
      </c>
      <c r="G36">
        <v>-9.59</v>
      </c>
      <c r="H36">
        <v>-5.38</v>
      </c>
      <c r="Q36" s="10"/>
      <c r="T36">
        <f>-13.47+4</f>
        <v>-9.4700000000000006</v>
      </c>
      <c r="V36">
        <v>-5.38</v>
      </c>
      <c r="Z36" s="20">
        <f>Model!$C$44*(10^('Chemical Properties'!D36))^Model!$G$44</f>
        <v>1.3468482054044552E-2</v>
      </c>
    </row>
    <row r="37" spans="1:26" x14ac:dyDescent="0.25">
      <c r="A37" t="s">
        <v>51</v>
      </c>
      <c r="B37" t="s">
        <v>51</v>
      </c>
      <c r="D37">
        <v>5.6</v>
      </c>
      <c r="E37" s="16">
        <f t="shared" si="8"/>
        <v>398107.17055349716</v>
      </c>
      <c r="F37" s="19">
        <f>D37*EXP(($F$3/8.3143)*(1/298-1/(Model!$D$1+273)))</f>
        <v>5.6011611798798322</v>
      </c>
      <c r="G37">
        <v>-9.59</v>
      </c>
      <c r="H37">
        <v>-5.38</v>
      </c>
      <c r="Q37" s="10"/>
      <c r="T37">
        <f>-13.58+4</f>
        <v>-9.58</v>
      </c>
      <c r="V37">
        <v>-5.38</v>
      </c>
      <c r="Z37" s="20">
        <f>Model!$C$44*(10^('Chemical Properties'!D37))^Model!$G$44</f>
        <v>2.183426876860526E-2</v>
      </c>
    </row>
    <row r="39" spans="1:26" x14ac:dyDescent="0.25">
      <c r="A39" t="s">
        <v>52</v>
      </c>
    </row>
    <row r="40" spans="1:26" x14ac:dyDescent="0.25">
      <c r="A40" t="s">
        <v>53</v>
      </c>
    </row>
    <row r="41" spans="1:26" x14ac:dyDescent="0.25">
      <c r="A41" t="s">
        <v>68</v>
      </c>
    </row>
    <row r="42" spans="1:26" x14ac:dyDescent="0.25">
      <c r="A42" t="s">
        <v>69</v>
      </c>
    </row>
    <row r="43" spans="1:26" x14ac:dyDescent="0.25">
      <c r="A43" t="s">
        <v>528</v>
      </c>
    </row>
    <row r="44" spans="1:26" x14ac:dyDescent="0.25">
      <c r="A44" t="s">
        <v>551</v>
      </c>
    </row>
    <row r="45" spans="1:26" x14ac:dyDescent="0.25">
      <c r="A45" t="s">
        <v>553</v>
      </c>
    </row>
    <row r="50" spans="1:8" ht="18" x14ac:dyDescent="0.35">
      <c r="A50" t="s">
        <v>548</v>
      </c>
      <c r="B50">
        <f>-(0.0145)</f>
        <v>-1.4500000000000001E-2</v>
      </c>
      <c r="C50" s="6" t="s">
        <v>538</v>
      </c>
      <c r="D50" t="s">
        <v>547</v>
      </c>
      <c r="E50" s="6" t="s">
        <v>537</v>
      </c>
      <c r="F50" s="6"/>
      <c r="G50">
        <v>-6.1</v>
      </c>
      <c r="H50" s="6"/>
    </row>
    <row r="52" spans="1:8" ht="17.25" x14ac:dyDescent="0.25">
      <c r="A52" t="s">
        <v>547</v>
      </c>
      <c r="B52" s="6" t="s">
        <v>21</v>
      </c>
      <c r="C52" t="s">
        <v>549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71</vt:i4>
      </vt:variant>
    </vt:vector>
  </HeadingPairs>
  <TitlesOfParts>
    <vt:vector size="83" baseType="lpstr">
      <vt:lpstr>Trip Blanks</vt:lpstr>
      <vt:lpstr>Surface Water SPME</vt:lpstr>
      <vt:lpstr>Sediment SPME</vt:lpstr>
      <vt:lpstr>Sed SPME KOC</vt:lpstr>
      <vt:lpstr>Deposits</vt:lpstr>
      <vt:lpstr>References</vt:lpstr>
      <vt:lpstr>Model</vt:lpstr>
      <vt:lpstr>DOC</vt:lpstr>
      <vt:lpstr>Chemical Properties</vt:lpstr>
      <vt:lpstr>DDTs</vt:lpstr>
      <vt:lpstr>Plots</vt:lpstr>
      <vt:lpstr>PCB Properties</vt:lpstr>
      <vt:lpstr>a_Abraham</vt:lpstr>
      <vt:lpstr>a_Bronner</vt:lpstr>
      <vt:lpstr>a_CoalTar</vt:lpstr>
      <vt:lpstr>a_Endo</vt:lpstr>
      <vt:lpstr>a_Endo430</vt:lpstr>
      <vt:lpstr>a_Kipka</vt:lpstr>
      <vt:lpstr>a_Neal_ha</vt:lpstr>
      <vt:lpstr>a_Neal_SRFA</vt:lpstr>
      <vt:lpstr>a_Nguyen</vt:lpstr>
      <vt:lpstr>a_Poole</vt:lpstr>
      <vt:lpstr>b_Abraham</vt:lpstr>
      <vt:lpstr>b_Bronner</vt:lpstr>
      <vt:lpstr>b_CoalTar</vt:lpstr>
      <vt:lpstr>b_Endo</vt:lpstr>
      <vt:lpstr>b_Endo430</vt:lpstr>
      <vt:lpstr>b_Kipka</vt:lpstr>
      <vt:lpstr>b_Neal_ha</vt:lpstr>
      <vt:lpstr>b_Neal_SRFA</vt:lpstr>
      <vt:lpstr>b_Nguyen</vt:lpstr>
      <vt:lpstr>b_Poole</vt:lpstr>
      <vt:lpstr>c_Abraham</vt:lpstr>
      <vt:lpstr>c_Bronner</vt:lpstr>
      <vt:lpstr>c_CoalTar</vt:lpstr>
      <vt:lpstr>c_Endo</vt:lpstr>
      <vt:lpstr>c_Endo430</vt:lpstr>
      <vt:lpstr>c_Kipka</vt:lpstr>
      <vt:lpstr>c_Neal_ha</vt:lpstr>
      <vt:lpstr>c_Neal_SRFA</vt:lpstr>
      <vt:lpstr>c_Nguyen</vt:lpstr>
      <vt:lpstr>c_Poole</vt:lpstr>
      <vt:lpstr>Chem_Prop</vt:lpstr>
      <vt:lpstr>DDT_Prop</vt:lpstr>
      <vt:lpstr>DOC_avg</vt:lpstr>
      <vt:lpstr>DOC_F1</vt:lpstr>
      <vt:lpstr>DOC_F2</vt:lpstr>
      <vt:lpstr>DOC_F3</vt:lpstr>
      <vt:lpstr>e_Abraham</vt:lpstr>
      <vt:lpstr>e_Bronner</vt:lpstr>
      <vt:lpstr>e_CoalTar</vt:lpstr>
      <vt:lpstr>e_Endo</vt:lpstr>
      <vt:lpstr>e_Endo430</vt:lpstr>
      <vt:lpstr>e_Kipka</vt:lpstr>
      <vt:lpstr>e_Neal_ha</vt:lpstr>
      <vt:lpstr>e_Neal_SRFA</vt:lpstr>
      <vt:lpstr>e_Nguyen</vt:lpstr>
      <vt:lpstr>e_Poole</vt:lpstr>
      <vt:lpstr>L</vt:lpstr>
      <vt:lpstr>PCBs</vt:lpstr>
      <vt:lpstr>PRC</vt:lpstr>
      <vt:lpstr>s_Abraham</vt:lpstr>
      <vt:lpstr>s_Bronner</vt:lpstr>
      <vt:lpstr>s_CoalTar</vt:lpstr>
      <vt:lpstr>s_Endo</vt:lpstr>
      <vt:lpstr>s_Endo430</vt:lpstr>
      <vt:lpstr>s_Kipka</vt:lpstr>
      <vt:lpstr>s_Neal_ha</vt:lpstr>
      <vt:lpstr>s_Neal_SRFA</vt:lpstr>
      <vt:lpstr>s_Nguyen</vt:lpstr>
      <vt:lpstr>s_Poole</vt:lpstr>
      <vt:lpstr>Sed_Prop</vt:lpstr>
      <vt:lpstr>T</vt:lpstr>
      <vt:lpstr>v_Abraham</vt:lpstr>
      <vt:lpstr>v_Bronner</vt:lpstr>
      <vt:lpstr>v_CoalTar</vt:lpstr>
      <vt:lpstr>v_Endo</vt:lpstr>
      <vt:lpstr>v_Endo430</vt:lpstr>
      <vt:lpstr>v_Kipka</vt:lpstr>
      <vt:lpstr>v_Neal_ha</vt:lpstr>
      <vt:lpstr>v_Neal_SRFA</vt:lpstr>
      <vt:lpstr>v_Nguyen</vt:lpstr>
      <vt:lpstr>v_Poole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Thoms, Sharon</dc:creator>
  <cp:lastModifiedBy>Stults, John F.</cp:lastModifiedBy>
  <dcterms:created xsi:type="dcterms:W3CDTF">2020-04-24T21:11:24Z</dcterms:created>
  <dcterms:modified xsi:type="dcterms:W3CDTF">2022-11-03T20:10:45Z</dcterms:modified>
</cp:coreProperties>
</file>