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7232AD9F-730C-4A92-B5F2-BBA7BD9C3596}" xr6:coauthVersionLast="47" xr6:coauthVersionMax="47" xr10:uidLastSave="{00000000-0000-0000-0000-000000000000}"/>
  <bookViews>
    <workbookView xWindow="-108" yWindow="-108" windowWidth="23256" windowHeight="12456" tabRatio="899" activeTab="9" xr2:uid="{237949DD-86ED-4837-BFB0-873A1F9330BE}"/>
  </bookViews>
  <sheets>
    <sheet name="References" sheetId="2" r:id="rId1"/>
    <sheet name="Libraries" sheetId="3" r:id="rId2"/>
    <sheet name="Datasets" sheetId="13" r:id="rId3"/>
    <sheet name="MA" sheetId="4" r:id="rId4"/>
    <sheet name="SES" sheetId="1" r:id="rId5"/>
    <sheet name="Holt" sheetId="5" r:id="rId6"/>
    <sheet name="HW" sheetId="6" r:id="rId7"/>
    <sheet name="ETS" sheetId="7" r:id="rId8"/>
    <sheet name="Forecast" sheetId="10" r:id="rId9"/>
    <sheet name="ARIMA" sheetId="9" r:id="rId10"/>
    <sheet name="ARIMA (2)" sheetId="19" r:id="rId11"/>
    <sheet name="Auto ARIMA" sheetId="11" r:id="rId12"/>
    <sheet name="meanf" sheetId="12" r:id="rId13"/>
    <sheet name="rwf" sheetId="14" r:id="rId14"/>
    <sheet name="splinef" sheetId="15" r:id="rId15"/>
    <sheet name="thetaf" sheetId="16" r:id="rId16"/>
    <sheet name="Linear Regression" sheetId="17" r:id="rId17"/>
    <sheet name="Logistic Regression" sheetId="20" r:id="rId18"/>
    <sheet name="Function Params" sheetId="18" r:id="rId19"/>
  </sheets>
  <definedNames>
    <definedName name="X">'Linear Regression'!$D$5:$H$34</definedName>
    <definedName name="y">'Linear Regression'!$C$5:$C$20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7" l="1" a="1"/>
  <c r="L43" i="17" a="1"/>
  <c r="M43" i="17" a="1"/>
  <c r="N43" i="17" a="1"/>
  <c r="O43" i="17" a="1"/>
  <c r="P43" i="17" a="1"/>
  <c r="K43" i="17" a="1"/>
  <c r="K42" i="17" a="1"/>
  <c r="K41" i="17" a="1"/>
  <c r="L53" i="17" a="1"/>
  <c r="L50" i="17" a="1"/>
  <c r="L51" i="17" a="1"/>
  <c r="L52" i="17" a="1"/>
  <c r="L54" i="17" a="1"/>
  <c r="L49" i="17" a="1"/>
  <c r="K49" i="17" a="1"/>
  <c r="K48" i="17" a="1"/>
  <c r="D10" i="4" a="1"/>
  <c r="B24" i="11" a="1"/>
  <c r="B25" i="20" a="1"/>
  <c r="D55" i="20" a="1"/>
  <c r="B20" i="9" a="1"/>
  <c r="C9" i="20" a="1"/>
  <c r="C6" i="20" a="1"/>
  <c r="C8" i="17" a="1"/>
  <c r="C6" i="17" a="1"/>
  <c r="C9" i="16" a="1"/>
  <c r="C9" i="15" a="1"/>
  <c r="C4" i="15" a="1"/>
  <c r="C9" i="14" a="1"/>
  <c r="C4" i="14" a="1"/>
  <c r="C9" i="12" a="1"/>
  <c r="F5" i="10" a="1"/>
  <c r="F4" i="10" a="1"/>
  <c r="J18" i="11" a="1"/>
  <c r="F3" i="11" a="1"/>
  <c r="C4" i="11" a="1"/>
  <c r="C23" i="19" a="1"/>
  <c r="C16" i="19" a="1"/>
  <c r="C4" i="19" a="1"/>
  <c r="C22" i="7" a="1"/>
  <c r="C4" i="7" a="1"/>
  <c r="F20" i="6" a="1"/>
  <c r="C20" i="6" a="1"/>
  <c r="D4" i="6" a="1"/>
  <c r="C4" i="6" a="1"/>
  <c r="D3" i="6" a="1"/>
  <c r="C3" i="6" a="1"/>
  <c r="K19" i="5" a="1"/>
  <c r="G3" i="5" a="1"/>
  <c r="C14" i="5" a="1"/>
  <c r="C4" i="5" a="1"/>
  <c r="C9" i="1" a="1"/>
  <c r="C4" i="1" a="1"/>
  <c r="E3" i="3" a="1"/>
  <c r="E4" i="3" a="1"/>
  <c r="C16" i="9" a="1"/>
  <c r="C4" i="9" a="1"/>
  <c r="P4" i="4" a="1"/>
  <c r="E4" i="4" a="1"/>
  <c r="C16" i="9" l="1"/>
  <c r="C4" i="9"/>
  <c r="P4" i="4"/>
  <c r="E4" i="4"/>
  <c r="C9" i="20"/>
  <c r="C6" i="20"/>
  <c r="C8" i="17"/>
  <c r="C6" i="17"/>
  <c r="C9" i="16"/>
  <c r="C9" i="15"/>
  <c r="C4" i="15"/>
  <c r="C9" i="14"/>
  <c r="C4" i="14"/>
  <c r="C9" i="12"/>
  <c r="F5" i="10"/>
  <c r="F4" i="10"/>
  <c r="J18" i="11"/>
  <c r="F3" i="11"/>
  <c r="C4" i="11"/>
  <c r="C23" i="19"/>
  <c r="C16" i="19"/>
  <c r="C4" i="19"/>
  <c r="C22" i="7"/>
  <c r="C4" i="7"/>
  <c r="F20" i="6"/>
  <c r="C20" i="6"/>
  <c r="D4" i="6"/>
  <c r="C4" i="6"/>
  <c r="D3" i="6"/>
  <c r="C3" i="6"/>
  <c r="K19" i="5"/>
  <c r="G3" i="5"/>
  <c r="C14" i="5"/>
  <c r="C4" i="5"/>
  <c r="C9" i="1"/>
  <c r="C4" i="1"/>
  <c r="B25" i="20"/>
  <c r="D55" i="20"/>
  <c r="B20" i="9"/>
  <c r="B24" i="11"/>
  <c r="E4" i="3"/>
  <c r="E3" i="3"/>
  <c r="D10" i="4"/>
  <c r="L54" i="17"/>
  <c r="L52" i="17"/>
  <c r="L51" i="17"/>
  <c r="L50" i="17"/>
  <c r="L53" i="17"/>
  <c r="L49" i="17"/>
  <c r="K49" i="17"/>
  <c r="K48" i="17"/>
  <c r="P43" i="17"/>
  <c r="O43" i="17"/>
  <c r="N43" i="17"/>
  <c r="M43" i="17"/>
  <c r="L43" i="17"/>
  <c r="K43" i="17"/>
  <c r="K42" i="17"/>
  <c r="K41" i="17"/>
  <c r="K21" i="17"/>
  <c r="E2" i="12" a="1"/>
  <c r="C50" i="20" l="1"/>
  <c r="E2" i="12"/>
  <c r="C20" i="19"/>
  <c r="F55" i="17"/>
  <c r="C41" i="17" a="1"/>
  <c r="C16" i="18" a="1"/>
  <c r="F21" i="18" a="1"/>
  <c r="C108" i="18" a="1"/>
  <c r="B83" i="18" a="1"/>
  <c r="B21" i="18" a="1"/>
  <c r="C2" i="18" a="1"/>
  <c r="C69" i="18" a="1"/>
  <c r="B68" i="18" a="1"/>
  <c r="E44" i="18" a="1"/>
  <c r="C44" i="18" a="1"/>
  <c r="B44" i="18" a="1"/>
  <c r="G21" i="18" a="1"/>
  <c r="F82" i="5" a="1"/>
  <c r="D82" i="5" a="1"/>
  <c r="B82" i="5" a="1"/>
  <c r="C67" i="5" a="1"/>
  <c r="B67" i="5" a="1"/>
  <c r="E27" i="19" a="1"/>
  <c r="C52" i="20" a="1"/>
  <c r="F48" i="20" a="1"/>
  <c r="F4" i="20" a="1"/>
  <c r="G5" i="20" a="1"/>
  <c r="G31" i="20" a="1"/>
  <c r="G25" i="20" a="1"/>
  <c r="G7" i="20" a="1"/>
  <c r="G9" i="20" a="1"/>
  <c r="G23" i="20" a="1"/>
  <c r="G18" i="20" a="1"/>
  <c r="G10" i="20" a="1"/>
  <c r="G17" i="20" a="1"/>
  <c r="G19" i="20" a="1"/>
  <c r="G32" i="20" a="1"/>
  <c r="G22" i="20" a="1"/>
  <c r="G6" i="20" a="1"/>
  <c r="G15" i="20" a="1"/>
  <c r="G13" i="20" a="1"/>
  <c r="G16" i="20" a="1"/>
  <c r="G29" i="20" a="1"/>
  <c r="G12" i="20" a="1"/>
  <c r="G14" i="20" a="1"/>
  <c r="K7" i="17" a="1"/>
  <c r="B23" i="19" a="1"/>
  <c r="G30" i="20" a="1"/>
  <c r="G27" i="20" a="1"/>
  <c r="G21" i="20" a="1"/>
  <c r="G26" i="20" a="1"/>
  <c r="M13" i="20" a="1"/>
  <c r="G20" i="20" a="1"/>
  <c r="G33" i="20" a="1"/>
  <c r="G35" i="20" a="1"/>
  <c r="H36" i="20" a="1"/>
  <c r="P36" i="20" a="1"/>
  <c r="M36" i="20" a="1"/>
  <c r="O36" i="20" a="1"/>
  <c r="Q36" i="20" a="1"/>
  <c r="R36" i="20" a="1"/>
  <c r="I36" i="20" a="1"/>
  <c r="K36" i="20" a="1"/>
  <c r="J36" i="20" a="1"/>
  <c r="S36" i="20" a="1"/>
  <c r="N36" i="20" a="1"/>
  <c r="L36" i="20" a="1"/>
  <c r="C52" i="20" l="1"/>
  <c r="F48" i="20"/>
  <c r="S36" i="20"/>
  <c r="J36" i="20"/>
  <c r="I36" i="20"/>
  <c r="K36" i="20"/>
  <c r="R36" i="20"/>
  <c r="Q36" i="20"/>
  <c r="P36" i="20"/>
  <c r="O36" i="20"/>
  <c r="N36" i="20"/>
  <c r="M36" i="20"/>
  <c r="L36" i="20"/>
  <c r="H36" i="20"/>
  <c r="G35" i="20"/>
  <c r="G22" i="20"/>
  <c r="G32" i="20"/>
  <c r="G17" i="20"/>
  <c r="G18" i="20"/>
  <c r="G23" i="20"/>
  <c r="G25" i="20"/>
  <c r="G5" i="20"/>
  <c r="G26" i="20"/>
  <c r="G10" i="20"/>
  <c r="G12" i="20"/>
  <c r="G14" i="20"/>
  <c r="G16" i="20"/>
  <c r="G20" i="20"/>
  <c r="G21" i="20"/>
  <c r="G27" i="20"/>
  <c r="G7" i="20"/>
  <c r="M13" i="20"/>
  <c r="G30" i="20"/>
  <c r="G33" i="20"/>
  <c r="G13" i="20"/>
  <c r="G15" i="20"/>
  <c r="G19" i="20"/>
  <c r="G6" i="20"/>
  <c r="G29" i="20"/>
  <c r="G9" i="20"/>
  <c r="G31" i="20"/>
  <c r="K7" i="17"/>
  <c r="F4" i="20"/>
  <c r="B23" i="19"/>
  <c r="E27" i="19"/>
  <c r="C69" i="18"/>
  <c r="B68" i="18"/>
  <c r="E44" i="18"/>
  <c r="C44" i="18"/>
  <c r="B44" i="18"/>
  <c r="G21" i="18"/>
  <c r="F82" i="5"/>
  <c r="D82" i="5"/>
  <c r="B82" i="5"/>
  <c r="C67" i="5"/>
  <c r="B67" i="5"/>
  <c r="B21" i="18"/>
  <c r="C2" i="18"/>
  <c r="B83" i="18"/>
  <c r="C108" i="18"/>
  <c r="F21" i="18"/>
  <c r="C16" i="18"/>
  <c r="C41" i="17"/>
  <c r="D108" i="18" a="1"/>
  <c r="D16" i="18" a="1"/>
  <c r="D2" i="18" a="1"/>
  <c r="G68" i="18" a="1"/>
  <c r="F27" i="19" a="1"/>
  <c r="G36" i="20" a="1"/>
  <c r="G4" i="20" a="1"/>
  <c r="G4" i="20" l="1"/>
  <c r="G36" i="20"/>
  <c r="F27" i="19"/>
  <c r="G68" i="18"/>
  <c r="D16" i="18"/>
  <c r="E109" i="18"/>
  <c r="E110" i="18"/>
  <c r="E111" i="18"/>
  <c r="E112" i="18"/>
  <c r="E114" i="18"/>
  <c r="E115" i="18"/>
  <c r="E116" i="18"/>
  <c r="E121" i="18"/>
  <c r="E108" i="18"/>
  <c r="E113" i="18"/>
  <c r="E117" i="18"/>
  <c r="E118" i="18"/>
  <c r="E119" i="18"/>
  <c r="E120" i="18"/>
  <c r="D2" i="18"/>
  <c r="E2" i="18" s="1"/>
  <c r="E17" i="18"/>
  <c r="E16" i="18"/>
  <c r="D108" i="18"/>
  <c r="E12" i="18"/>
  <c r="F12" i="18" s="1"/>
  <c r="E7" i="18"/>
  <c r="F7" i="18" s="1"/>
  <c r="E9" i="18"/>
  <c r="F9" i="18" s="1"/>
  <c r="E10" i="18"/>
  <c r="F10" i="18" s="1"/>
  <c r="E11" i="18"/>
  <c r="F11" i="18" s="1"/>
  <c r="E4" i="18"/>
  <c r="F4" i="18" s="1"/>
  <c r="E5" i="18"/>
  <c r="F5" i="18" s="1"/>
  <c r="E6" i="18"/>
  <c r="F6" i="18" s="1"/>
  <c r="E8" i="18"/>
  <c r="F8" i="18" s="1"/>
  <c r="E3" i="18"/>
  <c r="F3" i="18" s="1"/>
  <c r="C3" i="16"/>
  <c r="C3" i="15"/>
  <c r="C3" i="14"/>
  <c r="C3" i="12"/>
  <c r="P3" i="4"/>
  <c r="E3" i="4"/>
  <c r="F8" i="6"/>
  <c r="C8" i="6"/>
  <c r="C3" i="5"/>
  <c r="H113" i="18" a="1"/>
  <c r="H115" i="18" a="1"/>
  <c r="H114" i="18" a="1"/>
  <c r="H117" i="18" a="1"/>
  <c r="H110" i="18" a="1"/>
  <c r="H116" i="18" a="1"/>
  <c r="H109" i="18" a="1"/>
  <c r="H118" i="18" a="1"/>
  <c r="H108" i="18" a="1"/>
  <c r="H111" i="18" a="1"/>
  <c r="H112" i="18" a="1"/>
  <c r="H17" i="18" a="1"/>
  <c r="H7" i="18" a="1"/>
  <c r="G7" i="18" a="1"/>
  <c r="G5" i="18" a="1"/>
  <c r="G10" i="18" a="1"/>
  <c r="H9" i="18" a="1"/>
  <c r="H2" i="18" a="1"/>
  <c r="G4" i="18" a="1"/>
  <c r="H12" i="18" a="1"/>
  <c r="H4" i="18" a="1"/>
  <c r="G12" i="18" a="1"/>
  <c r="H6" i="18" a="1"/>
  <c r="H5" i="18" a="1"/>
  <c r="G3" i="18" a="1"/>
  <c r="G11" i="18" a="1"/>
  <c r="G9" i="18" a="1"/>
  <c r="H8" i="18" a="1"/>
  <c r="H16" i="18" a="1"/>
  <c r="H11" i="18" a="1"/>
  <c r="H10" i="18" a="1"/>
  <c r="H3" i="18" a="1"/>
  <c r="G6" i="18" a="1"/>
  <c r="G8" i="18" a="1"/>
  <c r="G27" i="19" a="1"/>
  <c r="F3" i="10" a="1"/>
  <c r="J3" i="19" a="1"/>
  <c r="K4" i="19" a="1"/>
  <c r="K6" i="19" a="1"/>
  <c r="K18" i="19" a="1"/>
  <c r="K15" i="19" a="1"/>
  <c r="K11" i="19" a="1"/>
  <c r="J23" i="19" a="1"/>
  <c r="K7" i="19" a="1"/>
  <c r="K9" i="19" a="1"/>
  <c r="D23" i="19" a="1"/>
  <c r="K19" i="19" a="1"/>
  <c r="F5" i="19" a="1"/>
  <c r="K8" i="19" a="1"/>
  <c r="K14" i="19" a="1"/>
  <c r="K17" i="19" a="1"/>
  <c r="K13" i="19" a="1"/>
  <c r="O10" i="4" a="1"/>
  <c r="D23" i="19" l="1"/>
  <c r="K22" i="19"/>
  <c r="G27" i="19"/>
  <c r="K9" i="19"/>
  <c r="J23" i="19"/>
  <c r="K8" i="19"/>
  <c r="F5" i="19"/>
  <c r="K14" i="19"/>
  <c r="K13" i="19"/>
  <c r="K11" i="19"/>
  <c r="K19" i="19"/>
  <c r="K7" i="19"/>
  <c r="K18" i="19"/>
  <c r="K6" i="19"/>
  <c r="K17" i="19"/>
  <c r="K4" i="19"/>
  <c r="K15" i="19"/>
  <c r="J3" i="19"/>
  <c r="H16" i="18"/>
  <c r="H17" i="18"/>
  <c r="F16" i="18"/>
  <c r="F17" i="18"/>
  <c r="H111" i="18"/>
  <c r="H108" i="18"/>
  <c r="H118" i="18"/>
  <c r="H112" i="18"/>
  <c r="H109" i="18"/>
  <c r="H116" i="18"/>
  <c r="H110" i="18"/>
  <c r="H117" i="18"/>
  <c r="H114" i="18"/>
  <c r="H115" i="18"/>
  <c r="H113" i="18"/>
  <c r="F111" i="18"/>
  <c r="F108" i="18"/>
  <c r="F118" i="18"/>
  <c r="F112" i="18"/>
  <c r="F109" i="18"/>
  <c r="F116" i="18"/>
  <c r="F110" i="18"/>
  <c r="F117" i="18"/>
  <c r="F114" i="18"/>
  <c r="F115" i="18"/>
  <c r="F113" i="18"/>
  <c r="G8" i="18"/>
  <c r="G4" i="18"/>
  <c r="G5" i="18"/>
  <c r="G11" i="18"/>
  <c r="G10" i="18"/>
  <c r="G9" i="18"/>
  <c r="G7" i="18"/>
  <c r="G12" i="18"/>
  <c r="G3" i="18"/>
  <c r="G6" i="18"/>
  <c r="H2" i="18"/>
  <c r="F2" i="18"/>
  <c r="H3" i="18"/>
  <c r="H8" i="18"/>
  <c r="H6" i="18"/>
  <c r="H5" i="18"/>
  <c r="H11" i="18"/>
  <c r="H4" i="18"/>
  <c r="H10" i="18"/>
  <c r="H9" i="18"/>
  <c r="H12" i="18"/>
  <c r="H7" i="18"/>
  <c r="F3" i="10"/>
  <c r="O10" i="4"/>
  <c r="C9" i="6"/>
  <c r="G110" i="18" a="1"/>
  <c r="G115" i="18" a="1"/>
  <c r="G112" i="18" a="1"/>
  <c r="G117" i="18" a="1"/>
  <c r="G114" i="18" a="1"/>
  <c r="G113" i="18" a="1"/>
  <c r="G118" i="18" a="1"/>
  <c r="G111" i="18" a="1"/>
  <c r="G116" i="18" a="1"/>
  <c r="G108" i="18" a="1"/>
  <c r="G109" i="18" a="1"/>
  <c r="G17" i="18" a="1"/>
  <c r="G16" i="18" a="1"/>
  <c r="G2" i="18" a="1"/>
  <c r="G3" i="12" a="1"/>
  <c r="N3" i="12" a="1"/>
  <c r="M3" i="12" a="1"/>
  <c r="O3" i="12" a="1"/>
  <c r="H3" i="12" a="1"/>
  <c r="F3" i="12" a="1"/>
  <c r="I3" i="12" a="1"/>
  <c r="Q2" i="12" a="1"/>
  <c r="R3" i="12" a="1"/>
  <c r="F8" i="10" a="1"/>
  <c r="G11" i="10" a="1"/>
  <c r="G10" i="10" a="1"/>
  <c r="G9" i="10" a="1"/>
  <c r="G13" i="10" a="1"/>
  <c r="G12" i="10" a="1"/>
  <c r="J18" i="10" a="1"/>
  <c r="N3" i="19" a="1"/>
  <c r="R5" i="12" a="1"/>
  <c r="R4" i="12" a="1"/>
  <c r="R6" i="12" a="1"/>
  <c r="J18" i="10" l="1"/>
  <c r="G12" i="10"/>
  <c r="G13" i="10"/>
  <c r="G9" i="10"/>
  <c r="G10" i="10"/>
  <c r="G11" i="10"/>
  <c r="F8" i="10"/>
  <c r="N3" i="19"/>
  <c r="G109" i="18"/>
  <c r="G108" i="18"/>
  <c r="G111" i="18"/>
  <c r="G110" i="18"/>
  <c r="G17" i="18"/>
  <c r="G16" i="18"/>
  <c r="G116" i="18"/>
  <c r="G118" i="18"/>
  <c r="G113" i="18"/>
  <c r="G114" i="18"/>
  <c r="G117" i="18"/>
  <c r="G112" i="18"/>
  <c r="G115" i="18"/>
  <c r="G2" i="18"/>
  <c r="R5" i="12"/>
  <c r="R4" i="12"/>
  <c r="R3" i="12"/>
  <c r="R6" i="12"/>
  <c r="M3" i="12"/>
  <c r="O3" i="12"/>
  <c r="Q2" i="12"/>
  <c r="N3" i="12"/>
  <c r="F9" i="6"/>
  <c r="I3" i="12"/>
  <c r="H3" i="12"/>
  <c r="G3" i="12"/>
  <c r="F3" i="12"/>
  <c r="C3" i="1"/>
  <c r="K10" i="17" a="1"/>
  <c r="B24" i="17" a="1"/>
  <c r="B11" i="17" a="1"/>
  <c r="E2" i="16" a="1"/>
  <c r="H3" i="16" s="1" a="1"/>
  <c r="M15" i="16" a="1"/>
  <c r="I3" i="16" a="1"/>
  <c r="G3" i="16" a="1"/>
  <c r="M15" i="15" a="1"/>
  <c r="E2" i="15" a="1"/>
  <c r="G3" i="15" s="1" a="1"/>
  <c r="Q2" i="15" a="1"/>
  <c r="I3" i="15" a="1"/>
  <c r="H3" i="15" a="1"/>
  <c r="M15" i="14" a="1"/>
  <c r="E2" i="14" a="1"/>
  <c r="K3" i="14" a="1"/>
  <c r="I3" i="14" a="1"/>
  <c r="Q2" i="14" a="1"/>
  <c r="R3" i="14" a="1"/>
  <c r="R7" i="14" a="1"/>
  <c r="R6" i="14" a="1"/>
  <c r="R11" i="14" a="1"/>
  <c r="R10" i="14" a="1"/>
  <c r="R4" i="14" a="1"/>
  <c r="E3" i="12" a="1"/>
  <c r="R2" i="12" a="1"/>
  <c r="G8" i="10" a="1"/>
  <c r="J7" i="11" a="1"/>
  <c r="J29" i="11" a="1"/>
  <c r="J35" i="11" a="1"/>
  <c r="J21" i="11" a="1"/>
  <c r="J41" i="11" a="1"/>
  <c r="J43" i="11" a="1"/>
  <c r="J33" i="11" a="1"/>
  <c r="J17" i="11" a="1"/>
  <c r="J25" i="11" a="1"/>
  <c r="J23" i="11" a="1"/>
  <c r="J27" i="11" a="1"/>
  <c r="J3" i="11" a="1"/>
  <c r="J31" i="11" a="1"/>
  <c r="J37" i="11" a="1"/>
  <c r="J9" i="11" a="1"/>
  <c r="J39" i="11" a="1"/>
  <c r="J13" i="11" a="1"/>
  <c r="E3" i="7" a="1"/>
  <c r="J7" i="7" a="1"/>
  <c r="M5" i="7" a="1"/>
  <c r="S5" i="7" a="1"/>
  <c r="G5" i="7" a="1"/>
  <c r="O5" i="7" a="1"/>
  <c r="H5" i="7" a="1"/>
  <c r="I5" i="7" a="1"/>
  <c r="F5" i="7" a="1"/>
  <c r="Q5" i="7" a="1"/>
  <c r="U5" i="7" a="1"/>
  <c r="T10" i="7" a="1"/>
  <c r="J5" i="7" a="1"/>
  <c r="L5" i="7" a="1"/>
  <c r="B34" i="6" a="1"/>
  <c r="B23" i="6" a="1"/>
  <c r="J27" i="5" a="1"/>
  <c r="E3" i="5" a="1"/>
  <c r="F18" i="5" a="1"/>
  <c r="B53" i="5" a="1"/>
  <c r="E18" i="5" a="1"/>
  <c r="R5" i="14" a="1"/>
  <c r="H3" i="14" a="1"/>
  <c r="L3" i="14" a="1"/>
  <c r="J3" i="14" a="1"/>
  <c r="U9" i="14" a="1"/>
  <c r="G3" i="14" a="1"/>
  <c r="M3" i="14" a="1"/>
  <c r="R8" i="14" a="1"/>
  <c r="J3" i="9" a="1"/>
  <c r="K13" i="9" a="1"/>
  <c r="K14" i="9" a="1"/>
  <c r="K17" i="9" a="1"/>
  <c r="J23" i="9" a="1"/>
  <c r="K11" i="9" a="1"/>
  <c r="K18" i="9" a="1"/>
  <c r="K15" i="9" a="1"/>
  <c r="K7" i="9" a="1"/>
  <c r="K8" i="9" a="1"/>
  <c r="K6" i="9" a="1"/>
  <c r="K4" i="9" a="1"/>
  <c r="K9" i="9" a="1"/>
  <c r="G8" i="10" l="1"/>
  <c r="K10" i="17"/>
  <c r="B24" i="17"/>
  <c r="B11" i="17"/>
  <c r="R2" i="12"/>
  <c r="B34" i="6"/>
  <c r="B23" i="6"/>
  <c r="R3" i="14"/>
  <c r="R4" i="14"/>
  <c r="R5" i="14"/>
  <c r="R6" i="14"/>
  <c r="R7" i="14"/>
  <c r="R8" i="14"/>
  <c r="R10" i="14"/>
  <c r="R11" i="14"/>
  <c r="U9" i="14"/>
  <c r="Q2" i="15"/>
  <c r="J43" i="11"/>
  <c r="J41" i="11"/>
  <c r="J39" i="11"/>
  <c r="J27" i="11"/>
  <c r="J23" i="11"/>
  <c r="J9" i="11"/>
  <c r="J3" i="11"/>
  <c r="J37" i="11"/>
  <c r="J35" i="11"/>
  <c r="J33" i="11"/>
  <c r="J31" i="11"/>
  <c r="J29" i="11"/>
  <c r="J25" i="11"/>
  <c r="J21" i="11"/>
  <c r="J17" i="11"/>
  <c r="J13" i="11"/>
  <c r="J7" i="11"/>
  <c r="G3" i="16"/>
  <c r="H3" i="16"/>
  <c r="I3" i="16"/>
  <c r="M15" i="16"/>
  <c r="E2" i="16"/>
  <c r="G3" i="15"/>
  <c r="H3" i="15"/>
  <c r="I3" i="15"/>
  <c r="E2" i="15"/>
  <c r="M15" i="15"/>
  <c r="Q2" i="14"/>
  <c r="G3" i="14"/>
  <c r="H3" i="14"/>
  <c r="I3" i="14"/>
  <c r="J3" i="14"/>
  <c r="K3" i="14"/>
  <c r="L3" i="14"/>
  <c r="M3" i="14"/>
  <c r="M15" i="14"/>
  <c r="E2" i="14"/>
  <c r="E3" i="12"/>
  <c r="B53" i="5"/>
  <c r="F18" i="5"/>
  <c r="J27" i="5"/>
  <c r="E18" i="5"/>
  <c r="J23" i="9"/>
  <c r="K18" i="9"/>
  <c r="K17" i="9"/>
  <c r="K15" i="9"/>
  <c r="K14" i="9"/>
  <c r="K13" i="9"/>
  <c r="K11" i="9"/>
  <c r="K9" i="9"/>
  <c r="K8" i="9"/>
  <c r="K7" i="9"/>
  <c r="K6" i="9"/>
  <c r="K4" i="9"/>
  <c r="J3" i="9"/>
  <c r="E3" i="5"/>
  <c r="S5" i="7"/>
  <c r="J7" i="7"/>
  <c r="F5" i="7"/>
  <c r="L5" i="7"/>
  <c r="M5" i="7"/>
  <c r="Q5" i="7"/>
  <c r="U5" i="7"/>
  <c r="G5" i="7"/>
  <c r="O5" i="7"/>
  <c r="H5" i="7"/>
  <c r="I5" i="7"/>
  <c r="J5" i="7"/>
  <c r="T10" i="7"/>
  <c r="E3" i="7"/>
  <c r="C18" i="17" a="1"/>
  <c r="C38" i="17" a="1"/>
  <c r="B25" i="17" a="1"/>
  <c r="C31" i="17" a="1"/>
  <c r="C33" i="17" a="1"/>
  <c r="C30" i="17" a="1"/>
  <c r="P2" i="16" a="1"/>
  <c r="Q5" i="16" a="1"/>
  <c r="Q4" i="16" a="1"/>
  <c r="Q3" i="16" a="1"/>
  <c r="E3" i="15" a="1"/>
  <c r="R2" i="15" a="1"/>
  <c r="R3" i="15" a="1"/>
  <c r="R2" i="14" a="1"/>
  <c r="E3" i="14" a="1"/>
  <c r="E5" i="7" a="1"/>
  <c r="K10" i="7" a="1"/>
  <c r="V5" i="7" a="1"/>
  <c r="K9" i="7" a="1"/>
  <c r="K7" i="7" a="1"/>
  <c r="I34" i="6" a="1"/>
  <c r="E23" i="6" a="1"/>
  <c r="K18" i="5" a="1"/>
  <c r="K20" i="5" a="1"/>
  <c r="E3" i="1" a="1"/>
  <c r="F19" i="1" a="1"/>
  <c r="H24" i="1" a="1"/>
  <c r="K2" i="1" a="1"/>
  <c r="E19" i="1" a="1"/>
  <c r="K25" i="5" a="1"/>
  <c r="C32" i="17" a="1"/>
  <c r="C26" i="17" a="1"/>
  <c r="C34" i="17" a="1"/>
  <c r="F5" i="9" a="1"/>
  <c r="N3" i="9" a="1"/>
  <c r="K19" i="9" a="1"/>
  <c r="K25" i="5" l="1"/>
  <c r="C18" i="17"/>
  <c r="E19" i="1"/>
  <c r="F5" i="9"/>
  <c r="C38" i="17"/>
  <c r="C34" i="17"/>
  <c r="C33" i="17"/>
  <c r="F54" i="17" s="1"/>
  <c r="C32" i="17"/>
  <c r="C54" i="17" s="1"/>
  <c r="C31" i="17"/>
  <c r="C30" i="17"/>
  <c r="C26" i="17"/>
  <c r="B25" i="17"/>
  <c r="R3" i="15"/>
  <c r="Q3" i="16"/>
  <c r="Q5" i="16"/>
  <c r="Q4" i="16"/>
  <c r="K10" i="7"/>
  <c r="E23" i="6"/>
  <c r="I34" i="6"/>
  <c r="R2" i="14"/>
  <c r="R2" i="15"/>
  <c r="P2" i="16"/>
  <c r="E3" i="15"/>
  <c r="E3" i="14"/>
  <c r="E5" i="7"/>
  <c r="K19" i="9"/>
  <c r="K9" i="7"/>
  <c r="K18" i="5"/>
  <c r="F19" i="1"/>
  <c r="H24" i="1"/>
  <c r="K2" i="1"/>
  <c r="E3" i="1"/>
  <c r="N3" i="9"/>
  <c r="K20" i="5"/>
  <c r="V5" i="7"/>
  <c r="K7" i="7"/>
  <c r="C45" i="17" a="1"/>
  <c r="C25" i="17" a="1"/>
  <c r="Q2" i="16" a="1"/>
  <c r="I3" i="1" a="1"/>
  <c r="C53" i="17" l="1"/>
  <c r="C55" i="17"/>
  <c r="G55" i="17"/>
  <c r="C45" i="17"/>
  <c r="C25" i="17"/>
  <c r="Q2" i="16"/>
  <c r="I3" i="1"/>
  <c r="K11" i="1" a="1"/>
  <c r="K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9" authorId="0" shapeId="0" xr:uid="{F53A101C-656E-4604-B539-5C4DCDE730C4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hw(...) expects a numeric vector or a time series. However, when giving it a numeric vector (using CreateVector()) it fails because there is no frequency information. The numeric vector needs to be converted into a time series with a frequency component using ts().
The ts() function will convert a numeric vector into an R time series object. The format is ts(vector, start=, end=, frequency=) where start and end are the times of the first and last observation and frequency is the number of observations per unit time (1=annual, 4=quartly, 12=monthly, etc.).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1B01243B-4ADA-4A6A-8B64-D82A1FD83B7F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03CE19DB-EE7B-44BD-9423-8521BC2DF837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Gladstone</author>
  </authors>
  <commentList>
    <comment ref="C5" authorId="0" shapeId="0" xr:uid="{E24EBF75-C64E-4C45-A6FF-16FC49C24EEB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vector</t>
        </r>
      </text>
    </comment>
    <comment ref="C6" authorId="0" shapeId="0" xr:uid="{2BE7C664-AA1B-4028-B875-7D139FFE73C2}">
      <text>
        <r>
          <rPr>
            <b/>
            <sz val="9"/>
            <color indexed="81"/>
            <rFont val="Tahoma"/>
            <family val="2"/>
          </rPr>
          <t>Adam Gladstone:</t>
        </r>
        <r>
          <rPr>
            <sz val="9"/>
            <color indexed="81"/>
            <rFont val="Tahoma"/>
            <family val="2"/>
          </rPr>
          <t xml:space="preserve">
preface script with ^ script character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<sst xmlns="http://schemas.openxmlformats.org/spreadsheetml/2006/main" count="362" uniqueCount="195">
  <si>
    <t>Day</t>
  </si>
  <si>
    <t>Gallons</t>
  </si>
  <si>
    <t>library(tidyverse)</t>
  </si>
  <si>
    <t>library(fpp2)</t>
  </si>
  <si>
    <t>simple</t>
  </si>
  <si>
    <t>Packages</t>
  </si>
  <si>
    <t>forecast: Forecasting Functions for Time Series and Linear Models (r-project.org)</t>
  </si>
  <si>
    <t>lm function - RDocumentation</t>
  </si>
  <si>
    <t>Sales</t>
  </si>
  <si>
    <t>Model Parameters</t>
  </si>
  <si>
    <t>Series</t>
  </si>
  <si>
    <t>Name</t>
  </si>
  <si>
    <t>Results 1</t>
  </si>
  <si>
    <t>Results 2</t>
  </si>
  <si>
    <t>input series</t>
  </si>
  <si>
    <t>information about the fitted model</t>
  </si>
  <si>
    <t>point forecasts as a time series</t>
  </si>
  <si>
    <t>lower limits for prediction intervals</t>
  </si>
  <si>
    <t>upper limits for prediction intervals</t>
  </si>
  <si>
    <t>confidence levels associated with the prediction intervals (80, 95)</t>
  </si>
  <si>
    <t>fitted values (one-step forecasts)</t>
  </si>
  <si>
    <t>residuals from the fitted model</t>
  </si>
  <si>
    <t>the name of the forecasting method</t>
  </si>
  <si>
    <t>the name of the series</t>
  </si>
  <si>
    <t>Model</t>
  </si>
  <si>
    <t>fitted</t>
  </si>
  <si>
    <t>residuals</t>
  </si>
  <si>
    <t>Customers</t>
  </si>
  <si>
    <t>Results</t>
  </si>
  <si>
    <t>Model Results</t>
  </si>
  <si>
    <t>Forecast method:</t>
  </si>
  <si>
    <t>Call:</t>
  </si>
  <si>
    <t>Parameters:</t>
  </si>
  <si>
    <t>sigma</t>
  </si>
  <si>
    <t>Forecasts</t>
  </si>
  <si>
    <t>Mean Error</t>
  </si>
  <si>
    <t>Root Mean Squared Error</t>
  </si>
  <si>
    <t>Mean Absolute Error</t>
  </si>
  <si>
    <t>Mean Percentage Error</t>
  </si>
  <si>
    <t>Mean Absolute Percentage Error</t>
  </si>
  <si>
    <t>Mean Absolute Scaled Error</t>
  </si>
  <si>
    <t>Autocorrelation of errors at lag 1.</t>
  </si>
  <si>
    <t>additive</t>
  </si>
  <si>
    <t>Model1</t>
  </si>
  <si>
    <t>Model2</t>
  </si>
  <si>
    <t>Forecasting: Principles and Practice (2nd ed) (otexts.com)</t>
  </si>
  <si>
    <t>Step</t>
  </si>
  <si>
    <t>damped</t>
  </si>
  <si>
    <t>alpha</t>
  </si>
  <si>
    <t>beta</t>
  </si>
  <si>
    <t>gamma</t>
  </si>
  <si>
    <t>phi</t>
  </si>
  <si>
    <t>additive.only</t>
  </si>
  <si>
    <t>lambda</t>
  </si>
  <si>
    <t>biasadj</t>
  </si>
  <si>
    <t>opt.crit</t>
  </si>
  <si>
    <t>nmse</t>
  </si>
  <si>
    <t>bounds</t>
  </si>
  <si>
    <t>ic</t>
  </si>
  <si>
    <t>restrict</t>
  </si>
  <si>
    <t>allow.multiplicative.trend</t>
  </si>
  <si>
    <t>use.initial.values</t>
  </si>
  <si>
    <t>na.action</t>
  </si>
  <si>
    <t>ETS1</t>
  </si>
  <si>
    <t>WWWusage</t>
  </si>
  <si>
    <t>h</t>
  </si>
  <si>
    <t>initial</t>
  </si>
  <si>
    <t>exponential</t>
  </si>
  <si>
    <t>seasonal</t>
  </si>
  <si>
    <t>level</t>
  </si>
  <si>
    <t>order</t>
  </si>
  <si>
    <t>xreg</t>
  </si>
  <si>
    <t>include.mean</t>
  </si>
  <si>
    <t>include.drift</t>
  </si>
  <si>
    <t>include.constant</t>
  </si>
  <si>
    <t>method</t>
  </si>
  <si>
    <t>AirPassengers</t>
  </si>
  <si>
    <t>air.model</t>
  </si>
  <si>
    <t>centre</t>
  </si>
  <si>
    <t>c(0, 1, 1)</t>
  </si>
  <si>
    <t>fit &lt;- ets(window(WWWusage, end=60))</t>
  </si>
  <si>
    <t>fc &lt;- forecast(WWWusage, model = fit)</t>
  </si>
  <si>
    <t>AutoARIMA</t>
  </si>
  <si>
    <t>coef</t>
  </si>
  <si>
    <t>sigma2</t>
  </si>
  <si>
    <t>var.coef</t>
  </si>
  <si>
    <t>mask</t>
  </si>
  <si>
    <t>loglik</t>
  </si>
  <si>
    <t>aic</t>
  </si>
  <si>
    <t>arma</t>
  </si>
  <si>
    <t>call</t>
  </si>
  <si>
    <t>series</t>
  </si>
  <si>
    <t>code</t>
  </si>
  <si>
    <t>n.cond</t>
  </si>
  <si>
    <t>nobs</t>
  </si>
  <si>
    <t>model</t>
  </si>
  <si>
    <t>bic</t>
  </si>
  <si>
    <t>aicc</t>
  </si>
  <si>
    <t>x</t>
  </si>
  <si>
    <t>AR</t>
  </si>
  <si>
    <t>MA</t>
  </si>
  <si>
    <t>wineind</t>
  </si>
  <si>
    <t>Nile</t>
  </si>
  <si>
    <t>Gold</t>
  </si>
  <si>
    <t/>
  </si>
  <si>
    <t>uspop</t>
  </si>
  <si>
    <t>aust</t>
  </si>
  <si>
    <t>multiplicative</t>
  </si>
  <si>
    <t>Vector</t>
  </si>
  <si>
    <t>Time series</t>
  </si>
  <si>
    <t>Frequency</t>
  </si>
  <si>
    <t>fc &lt;- forecast(WWWusage)</t>
  </si>
  <si>
    <t>Island</t>
  </si>
  <si>
    <t>Species</t>
  </si>
  <si>
    <t>Endemics</t>
  </si>
  <si>
    <t>Area</t>
  </si>
  <si>
    <t>Elevation</t>
  </si>
  <si>
    <t>Nearest</t>
  </si>
  <si>
    <t>Scruz</t>
  </si>
  <si>
    <t>Adjacent</t>
  </si>
  <si>
    <t>Baltra</t>
  </si>
  <si>
    <t>Bartolome</t>
  </si>
  <si>
    <t>Caldwell</t>
  </si>
  <si>
    <t>Champion</t>
  </si>
  <si>
    <t>Coamano</t>
  </si>
  <si>
    <t>Daphne.Major</t>
  </si>
  <si>
    <t>Daphne.Minor</t>
  </si>
  <si>
    <t>Darwin</t>
  </si>
  <si>
    <t>Eden</t>
  </si>
  <si>
    <t>Enderby</t>
  </si>
  <si>
    <t>Espanola</t>
  </si>
  <si>
    <t>Fernandina</t>
  </si>
  <si>
    <t>Gardner1</t>
  </si>
  <si>
    <t>Gardner2</t>
  </si>
  <si>
    <t>Genovesa</t>
  </si>
  <si>
    <t>Isabela</t>
  </si>
  <si>
    <t>Marchena</t>
  </si>
  <si>
    <t>Onslow</t>
  </si>
  <si>
    <t>Pinta</t>
  </si>
  <si>
    <t>Pinzon</t>
  </si>
  <si>
    <t>Las.Plazas</t>
  </si>
  <si>
    <t>Rabida</t>
  </si>
  <si>
    <t>SanCristobal</t>
  </si>
  <si>
    <t>SanSalvador</t>
  </si>
  <si>
    <t>SantaCruz</t>
  </si>
  <si>
    <t>SantaFe</t>
  </si>
  <si>
    <t>SantaMaria</t>
  </si>
  <si>
    <t>Seymour</t>
  </si>
  <si>
    <t>Tortuga</t>
  </si>
  <si>
    <t>Wolf</t>
  </si>
  <si>
    <t>formula</t>
  </si>
  <si>
    <t>data</t>
  </si>
  <si>
    <t>Species ~ Area + Elevation + Nearest + Scruz + Adjacent</t>
  </si>
  <si>
    <t>^list(order=c(0,1,1),period=12)</t>
  </si>
  <si>
    <t>baseModel</t>
  </si>
  <si>
    <t>as.data.frame(as.array(summary(baseModel$residuals)))</t>
  </si>
  <si>
    <t>Residuals:</t>
  </si>
  <si>
    <t>Coefficients:</t>
  </si>
  <si>
    <t>Summary:</t>
  </si>
  <si>
    <t>Accuracy</t>
  </si>
  <si>
    <t>window_args = as.list(args(window))</t>
  </si>
  <si>
    <t>ets_args = as.list(args(forecast.ets))</t>
  </si>
  <si>
    <t>lm_args = as.list(args(lm))</t>
  </si>
  <si>
    <t>Function</t>
  </si>
  <si>
    <t>holt</t>
  </si>
  <si>
    <t>AvgHits</t>
  </si>
  <si>
    <t>avg_hits.model</t>
  </si>
  <si>
    <t>c(1, 0, 0)</t>
  </si>
  <si>
    <t>CSS</t>
  </si>
  <si>
    <t>function</t>
  </si>
  <si>
    <t>predict</t>
  </si>
  <si>
    <t>object</t>
  </si>
  <si>
    <t>n.ahead</t>
  </si>
  <si>
    <t xml:space="preserve">prediction = predict(avg_hits.model,n.ahead=4) </t>
  </si>
  <si>
    <t>Purchase</t>
  </si>
  <si>
    <t>Income</t>
  </si>
  <si>
    <t>Age</t>
  </si>
  <si>
    <t>ZipCode</t>
  </si>
  <si>
    <t>logModel</t>
  </si>
  <si>
    <t>Purchase~Income+Age+ZipCode</t>
  </si>
  <si>
    <t>family</t>
  </si>
  <si>
    <t>^binomial(link='logit')</t>
  </si>
  <si>
    <t>glm</t>
  </si>
  <si>
    <t>LM Parameters</t>
  </si>
  <si>
    <t>logModel2</t>
  </si>
  <si>
    <t xml:space="preserve">pred = predict(logModel2,n.ahead=2) </t>
  </si>
  <si>
    <t>l =as.list(summary(baseModel$residuals))</t>
  </si>
  <si>
    <t>c = as.list(baseModel$coefficients)</t>
  </si>
  <si>
    <t>auto.arima</t>
  </si>
  <si>
    <t>Arima</t>
  </si>
  <si>
    <t>Type</t>
  </si>
  <si>
    <t>Default</t>
  </si>
  <si>
    <t>Default libraries can now be specified in Settings</t>
  </si>
  <si>
    <t># Forecast using a script</t>
  </si>
  <si>
    <t># Unpack model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</si>
</sst>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"/>
    <numFmt numFmtId="167" formatCode="0.000"/>
    <numFmt numFmtId="168" formatCode="0.000000000000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2" fontId="0" fillId="0" borderId="0" xfId="0" applyNumberFormat="1"/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0" fontId="0" fillId="0" borderId="0" xfId="0" quotePrefix="1"/>
    <xf numFmtId="0" fontId="0" fillId="6" borderId="0" xfId="0" applyFill="1"/>
    <xf numFmtId="2" fontId="0" fillId="0" borderId="0" xfId="0" applyNumberForma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left"/>
    </xf>
    <xf numFmtId="167" fontId="0" fillId="0" borderId="0" xfId="0" applyNumberFormat="1"/>
    <xf numFmtId="168" fontId="0" fillId="0" borderId="0" xfId="0" applyNumberFormat="1"/>
    <xf numFmtId="0" fontId="0" fillId="4" borderId="0" xfId="0" quotePrefix="1" applyFill="1"/>
    <xf numFmtId="2" fontId="0" fillId="4" borderId="0" xfId="0" applyNumberFormat="1" applyFill="1"/>
    <xf numFmtId="164" fontId="0" fillId="4" borderId="0" xfId="0" applyNumberFormat="1" applyFill="1"/>
    <xf numFmtId="0" fontId="2" fillId="5" borderId="0" xfId="0" applyFont="1" applyFill="1" applyAlignment="1">
      <alignment horizontal="center"/>
    </xf>
    <xf numFmtId="166" fontId="2" fillId="5" borderId="0" xfId="0" applyNumberFormat="1" applyFont="1" applyFill="1"/>
    <xf numFmtId="166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2" fontId="0" fillId="6" borderId="0" xfId="0" applyNumberFormat="1" applyFill="1"/>
    <xf numFmtId="166" fontId="2" fillId="6" borderId="0" xfId="0" applyNumberFormat="1" applyFont="1" applyFill="1"/>
    <xf numFmtId="164" fontId="2" fillId="6" borderId="0" xfId="0" applyNumberFormat="1" applyFont="1" applyFill="1"/>
    <xf numFmtId="166" fontId="0" fillId="6" borderId="0" xfId="0" applyNumberFormat="1" applyFill="1"/>
    <xf numFmtId="164" fontId="0" fillId="6" borderId="0" xfId="0" applyNumberFormat="1" applyFill="1"/>
    <xf numFmtId="0" fontId="2" fillId="6" borderId="0" xfId="0" applyFont="1" applyFill="1"/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numFmt numFmtId="168" formatCode="0.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MA!$B$9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MA!$B$10:$B$36</c:f>
              <c:numCache>
                <c:formatCode>General</c:formatCode>
                <c:ptCount val="27"/>
                <c:pt idx="0">
                  <c:v>855</c:v>
                </c:pt>
                <c:pt idx="1">
                  <c:v>847</c:v>
                </c:pt>
                <c:pt idx="2">
                  <c:v>1000</c:v>
                </c:pt>
                <c:pt idx="3">
                  <c:v>635</c:v>
                </c:pt>
                <c:pt idx="4">
                  <c:v>346</c:v>
                </c:pt>
                <c:pt idx="5">
                  <c:v>2146</c:v>
                </c:pt>
                <c:pt idx="6">
                  <c:v>1328</c:v>
                </c:pt>
                <c:pt idx="7">
                  <c:v>1322</c:v>
                </c:pt>
                <c:pt idx="8">
                  <c:v>3124</c:v>
                </c:pt>
                <c:pt idx="9">
                  <c:v>1012</c:v>
                </c:pt>
                <c:pt idx="10">
                  <c:v>1280</c:v>
                </c:pt>
                <c:pt idx="11">
                  <c:v>2435</c:v>
                </c:pt>
                <c:pt idx="12">
                  <c:v>1016</c:v>
                </c:pt>
                <c:pt idx="13">
                  <c:v>3465</c:v>
                </c:pt>
                <c:pt idx="14">
                  <c:v>1107</c:v>
                </c:pt>
                <c:pt idx="15">
                  <c:v>1172</c:v>
                </c:pt>
                <c:pt idx="16">
                  <c:v>3432</c:v>
                </c:pt>
                <c:pt idx="17">
                  <c:v>836</c:v>
                </c:pt>
                <c:pt idx="18">
                  <c:v>142</c:v>
                </c:pt>
                <c:pt idx="19">
                  <c:v>345</c:v>
                </c:pt>
                <c:pt idx="20">
                  <c:v>2603</c:v>
                </c:pt>
                <c:pt idx="21">
                  <c:v>739</c:v>
                </c:pt>
                <c:pt idx="22">
                  <c:v>716</c:v>
                </c:pt>
                <c:pt idx="23">
                  <c:v>880</c:v>
                </c:pt>
                <c:pt idx="24">
                  <c:v>1008</c:v>
                </c:pt>
                <c:pt idx="25">
                  <c:v>112</c:v>
                </c:pt>
                <c:pt idx="26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642-890E-3C690B1E9C75}"/>
            </c:ext>
          </c:extLst>
        </c:ser>
        <c:ser>
          <c:idx val="1"/>
          <c:order val="1"/>
          <c:tx>
            <c:v>"Smoothed"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MA!$D$11:$D$35</c:f>
              <c:numCache>
                <c:formatCode>General</c:formatCode>
                <c:ptCount val="25"/>
                <c:pt idx="0">
                  <c:v>900.66666666666663</c:v>
                </c:pt>
                <c:pt idx="1">
                  <c:v>827.33333333333326</c:v>
                </c:pt>
                <c:pt idx="2">
                  <c:v>660.33333333333326</c:v>
                </c:pt>
                <c:pt idx="3">
                  <c:v>1042.3333333333333</c:v>
                </c:pt>
                <c:pt idx="4">
                  <c:v>1273.3333333333333</c:v>
                </c:pt>
                <c:pt idx="5">
                  <c:v>1598.6666666666665</c:v>
                </c:pt>
                <c:pt idx="6">
                  <c:v>1924.6666666666665</c:v>
                </c:pt>
                <c:pt idx="7">
                  <c:v>1819.333333333333</c:v>
                </c:pt>
                <c:pt idx="8">
                  <c:v>1805.3333333333333</c:v>
                </c:pt>
                <c:pt idx="9">
                  <c:v>1575.6666666666665</c:v>
                </c:pt>
                <c:pt idx="10">
                  <c:v>1577</c:v>
                </c:pt>
                <c:pt idx="11">
                  <c:v>2305.333333333333</c:v>
                </c:pt>
                <c:pt idx="12">
                  <c:v>1862.6666666666665</c:v>
                </c:pt>
                <c:pt idx="13">
                  <c:v>1914.6666666666665</c:v>
                </c:pt>
                <c:pt idx="14">
                  <c:v>1903.6666666666665</c:v>
                </c:pt>
                <c:pt idx="15">
                  <c:v>1813.333333333333</c:v>
                </c:pt>
                <c:pt idx="16">
                  <c:v>1470</c:v>
                </c:pt>
                <c:pt idx="17">
                  <c:v>440.99999999999994</c:v>
                </c:pt>
                <c:pt idx="18">
                  <c:v>1030</c:v>
                </c:pt>
                <c:pt idx="19">
                  <c:v>1229</c:v>
                </c:pt>
                <c:pt idx="20">
                  <c:v>1352.6666666666665</c:v>
                </c:pt>
                <c:pt idx="21">
                  <c:v>778.33333333333326</c:v>
                </c:pt>
                <c:pt idx="22">
                  <c:v>867.99999999999989</c:v>
                </c:pt>
                <c:pt idx="23">
                  <c:v>666.66666666666663</c:v>
                </c:pt>
                <c:pt idx="24">
                  <c:v>493.66666666666663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642-890E-3C690B1E9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MA!$M$9</c:f>
              <c:strCache>
                <c:ptCount val="1"/>
                <c:pt idx="0">
                  <c:v>wineind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MA!$M$10:$M$185</c:f>
              <c:numCache>
                <c:formatCode>General</c:formatCode>
                <c:ptCount val="176"/>
                <c:pt idx="0">
                  <c:v>15136</c:v>
                </c:pt>
                <c:pt idx="1">
                  <c:v>16733</c:v>
                </c:pt>
                <c:pt idx="2">
                  <c:v>20016</c:v>
                </c:pt>
                <c:pt idx="3">
                  <c:v>17708</c:v>
                </c:pt>
                <c:pt idx="4">
                  <c:v>18019</c:v>
                </c:pt>
                <c:pt idx="5">
                  <c:v>19227</c:v>
                </c:pt>
                <c:pt idx="6">
                  <c:v>22893</c:v>
                </c:pt>
                <c:pt idx="7">
                  <c:v>23739</c:v>
                </c:pt>
                <c:pt idx="8">
                  <c:v>21133</c:v>
                </c:pt>
                <c:pt idx="9">
                  <c:v>22591</c:v>
                </c:pt>
                <c:pt idx="10">
                  <c:v>26786</c:v>
                </c:pt>
                <c:pt idx="11">
                  <c:v>29740</c:v>
                </c:pt>
                <c:pt idx="12">
                  <c:v>15028</c:v>
                </c:pt>
                <c:pt idx="13">
                  <c:v>17977</c:v>
                </c:pt>
                <c:pt idx="14">
                  <c:v>20008</c:v>
                </c:pt>
                <c:pt idx="15">
                  <c:v>21354</c:v>
                </c:pt>
                <c:pt idx="16">
                  <c:v>19498</c:v>
                </c:pt>
                <c:pt idx="17">
                  <c:v>22125</c:v>
                </c:pt>
                <c:pt idx="18">
                  <c:v>25817</c:v>
                </c:pt>
                <c:pt idx="19">
                  <c:v>28779</c:v>
                </c:pt>
                <c:pt idx="20">
                  <c:v>20960</c:v>
                </c:pt>
                <c:pt idx="21">
                  <c:v>22254</c:v>
                </c:pt>
                <c:pt idx="22">
                  <c:v>27392</c:v>
                </c:pt>
                <c:pt idx="23">
                  <c:v>29945</c:v>
                </c:pt>
                <c:pt idx="24">
                  <c:v>16933</c:v>
                </c:pt>
                <c:pt idx="25">
                  <c:v>17892</c:v>
                </c:pt>
                <c:pt idx="26">
                  <c:v>20533</c:v>
                </c:pt>
                <c:pt idx="27">
                  <c:v>23569</c:v>
                </c:pt>
                <c:pt idx="28">
                  <c:v>22417</c:v>
                </c:pt>
                <c:pt idx="29">
                  <c:v>22084</c:v>
                </c:pt>
                <c:pt idx="30">
                  <c:v>26580</c:v>
                </c:pt>
                <c:pt idx="31">
                  <c:v>27454</c:v>
                </c:pt>
                <c:pt idx="32">
                  <c:v>24081</c:v>
                </c:pt>
                <c:pt idx="33">
                  <c:v>23451</c:v>
                </c:pt>
                <c:pt idx="34">
                  <c:v>28991</c:v>
                </c:pt>
                <c:pt idx="35">
                  <c:v>31386</c:v>
                </c:pt>
                <c:pt idx="36">
                  <c:v>16896</c:v>
                </c:pt>
                <c:pt idx="37">
                  <c:v>20045</c:v>
                </c:pt>
                <c:pt idx="38">
                  <c:v>23471</c:v>
                </c:pt>
                <c:pt idx="39">
                  <c:v>21747</c:v>
                </c:pt>
                <c:pt idx="40">
                  <c:v>25621</c:v>
                </c:pt>
                <c:pt idx="41">
                  <c:v>23859</c:v>
                </c:pt>
                <c:pt idx="42">
                  <c:v>25500</c:v>
                </c:pt>
                <c:pt idx="43">
                  <c:v>30998</c:v>
                </c:pt>
                <c:pt idx="44">
                  <c:v>24475</c:v>
                </c:pt>
                <c:pt idx="45">
                  <c:v>23145</c:v>
                </c:pt>
                <c:pt idx="46">
                  <c:v>29701</c:v>
                </c:pt>
                <c:pt idx="47">
                  <c:v>34365</c:v>
                </c:pt>
                <c:pt idx="48">
                  <c:v>17556</c:v>
                </c:pt>
                <c:pt idx="49">
                  <c:v>22077</c:v>
                </c:pt>
                <c:pt idx="50">
                  <c:v>25702</c:v>
                </c:pt>
                <c:pt idx="51">
                  <c:v>22214</c:v>
                </c:pt>
                <c:pt idx="52">
                  <c:v>26886</c:v>
                </c:pt>
                <c:pt idx="53">
                  <c:v>23191</c:v>
                </c:pt>
                <c:pt idx="54">
                  <c:v>27831</c:v>
                </c:pt>
                <c:pt idx="55">
                  <c:v>35406</c:v>
                </c:pt>
                <c:pt idx="56">
                  <c:v>23195</c:v>
                </c:pt>
                <c:pt idx="57">
                  <c:v>25110</c:v>
                </c:pt>
                <c:pt idx="58">
                  <c:v>30009</c:v>
                </c:pt>
                <c:pt idx="59">
                  <c:v>36242</c:v>
                </c:pt>
                <c:pt idx="60">
                  <c:v>18450</c:v>
                </c:pt>
                <c:pt idx="61">
                  <c:v>21845</c:v>
                </c:pt>
                <c:pt idx="62">
                  <c:v>26488</c:v>
                </c:pt>
                <c:pt idx="63">
                  <c:v>22394</c:v>
                </c:pt>
                <c:pt idx="64">
                  <c:v>28057</c:v>
                </c:pt>
                <c:pt idx="65">
                  <c:v>25451</c:v>
                </c:pt>
                <c:pt idx="66">
                  <c:v>24872</c:v>
                </c:pt>
                <c:pt idx="67">
                  <c:v>33424</c:v>
                </c:pt>
                <c:pt idx="68">
                  <c:v>24052</c:v>
                </c:pt>
                <c:pt idx="69">
                  <c:v>28449</c:v>
                </c:pt>
                <c:pt idx="70">
                  <c:v>33533</c:v>
                </c:pt>
                <c:pt idx="71">
                  <c:v>37351</c:v>
                </c:pt>
                <c:pt idx="72">
                  <c:v>19969</c:v>
                </c:pt>
                <c:pt idx="73">
                  <c:v>21701</c:v>
                </c:pt>
                <c:pt idx="74">
                  <c:v>26249</c:v>
                </c:pt>
                <c:pt idx="75">
                  <c:v>24493</c:v>
                </c:pt>
                <c:pt idx="76">
                  <c:v>24603</c:v>
                </c:pt>
                <c:pt idx="77">
                  <c:v>26485</c:v>
                </c:pt>
                <c:pt idx="78">
                  <c:v>30723</c:v>
                </c:pt>
                <c:pt idx="79">
                  <c:v>34569</c:v>
                </c:pt>
                <c:pt idx="80">
                  <c:v>26689</c:v>
                </c:pt>
                <c:pt idx="81">
                  <c:v>26157</c:v>
                </c:pt>
                <c:pt idx="82">
                  <c:v>32064</c:v>
                </c:pt>
                <c:pt idx="83">
                  <c:v>38870</c:v>
                </c:pt>
                <c:pt idx="84">
                  <c:v>21337</c:v>
                </c:pt>
                <c:pt idx="85">
                  <c:v>19419</c:v>
                </c:pt>
                <c:pt idx="86">
                  <c:v>23166</c:v>
                </c:pt>
                <c:pt idx="87">
                  <c:v>28286</c:v>
                </c:pt>
                <c:pt idx="88">
                  <c:v>24570</c:v>
                </c:pt>
                <c:pt idx="89">
                  <c:v>24001</c:v>
                </c:pt>
                <c:pt idx="90">
                  <c:v>33151</c:v>
                </c:pt>
                <c:pt idx="91">
                  <c:v>24878</c:v>
                </c:pt>
                <c:pt idx="92">
                  <c:v>26804</c:v>
                </c:pt>
                <c:pt idx="93">
                  <c:v>28967</c:v>
                </c:pt>
                <c:pt idx="94">
                  <c:v>33311</c:v>
                </c:pt>
                <c:pt idx="95">
                  <c:v>40226</c:v>
                </c:pt>
                <c:pt idx="96">
                  <c:v>20504</c:v>
                </c:pt>
                <c:pt idx="97">
                  <c:v>23060</c:v>
                </c:pt>
                <c:pt idx="98">
                  <c:v>23562</c:v>
                </c:pt>
                <c:pt idx="99">
                  <c:v>27562</c:v>
                </c:pt>
                <c:pt idx="100">
                  <c:v>23940</c:v>
                </c:pt>
                <c:pt idx="101">
                  <c:v>24584</c:v>
                </c:pt>
                <c:pt idx="102">
                  <c:v>34303</c:v>
                </c:pt>
                <c:pt idx="103">
                  <c:v>25517</c:v>
                </c:pt>
                <c:pt idx="104">
                  <c:v>23494</c:v>
                </c:pt>
                <c:pt idx="105">
                  <c:v>29095</c:v>
                </c:pt>
                <c:pt idx="106">
                  <c:v>32903</c:v>
                </c:pt>
                <c:pt idx="107">
                  <c:v>34379</c:v>
                </c:pt>
                <c:pt idx="108">
                  <c:v>16991</c:v>
                </c:pt>
                <c:pt idx="109">
                  <c:v>21109</c:v>
                </c:pt>
                <c:pt idx="110">
                  <c:v>23740</c:v>
                </c:pt>
                <c:pt idx="111">
                  <c:v>25552</c:v>
                </c:pt>
                <c:pt idx="112">
                  <c:v>21752</c:v>
                </c:pt>
                <c:pt idx="113">
                  <c:v>20294</c:v>
                </c:pt>
                <c:pt idx="114">
                  <c:v>29009</c:v>
                </c:pt>
                <c:pt idx="115">
                  <c:v>25500</c:v>
                </c:pt>
                <c:pt idx="116">
                  <c:v>24166</c:v>
                </c:pt>
                <c:pt idx="117">
                  <c:v>26960</c:v>
                </c:pt>
                <c:pt idx="118">
                  <c:v>31222</c:v>
                </c:pt>
                <c:pt idx="119">
                  <c:v>38641</c:v>
                </c:pt>
                <c:pt idx="120">
                  <c:v>14672</c:v>
                </c:pt>
                <c:pt idx="121">
                  <c:v>17543</c:v>
                </c:pt>
                <c:pt idx="122">
                  <c:v>25453</c:v>
                </c:pt>
                <c:pt idx="123">
                  <c:v>32683</c:v>
                </c:pt>
                <c:pt idx="124">
                  <c:v>22449</c:v>
                </c:pt>
                <c:pt idx="125">
                  <c:v>22316</c:v>
                </c:pt>
                <c:pt idx="126">
                  <c:v>27595</c:v>
                </c:pt>
                <c:pt idx="127">
                  <c:v>25451</c:v>
                </c:pt>
                <c:pt idx="128">
                  <c:v>25421</c:v>
                </c:pt>
                <c:pt idx="129">
                  <c:v>25288</c:v>
                </c:pt>
                <c:pt idx="130">
                  <c:v>32568</c:v>
                </c:pt>
                <c:pt idx="131">
                  <c:v>35110</c:v>
                </c:pt>
                <c:pt idx="132">
                  <c:v>16052</c:v>
                </c:pt>
                <c:pt idx="133">
                  <c:v>22146</c:v>
                </c:pt>
                <c:pt idx="134">
                  <c:v>21198</c:v>
                </c:pt>
                <c:pt idx="135">
                  <c:v>19543</c:v>
                </c:pt>
                <c:pt idx="136">
                  <c:v>22084</c:v>
                </c:pt>
                <c:pt idx="137">
                  <c:v>23816</c:v>
                </c:pt>
                <c:pt idx="138">
                  <c:v>29961</c:v>
                </c:pt>
                <c:pt idx="139">
                  <c:v>26773</c:v>
                </c:pt>
                <c:pt idx="140">
                  <c:v>26635</c:v>
                </c:pt>
                <c:pt idx="141">
                  <c:v>26972</c:v>
                </c:pt>
                <c:pt idx="142">
                  <c:v>30207</c:v>
                </c:pt>
                <c:pt idx="143">
                  <c:v>38687</c:v>
                </c:pt>
                <c:pt idx="144">
                  <c:v>16974</c:v>
                </c:pt>
                <c:pt idx="145">
                  <c:v>21697</c:v>
                </c:pt>
                <c:pt idx="146">
                  <c:v>24179</c:v>
                </c:pt>
                <c:pt idx="147">
                  <c:v>23757</c:v>
                </c:pt>
                <c:pt idx="148">
                  <c:v>25013</c:v>
                </c:pt>
                <c:pt idx="149">
                  <c:v>24019</c:v>
                </c:pt>
                <c:pt idx="150">
                  <c:v>30345</c:v>
                </c:pt>
                <c:pt idx="151">
                  <c:v>24488</c:v>
                </c:pt>
                <c:pt idx="152">
                  <c:v>25156</c:v>
                </c:pt>
                <c:pt idx="153">
                  <c:v>25650</c:v>
                </c:pt>
                <c:pt idx="154">
                  <c:v>30923</c:v>
                </c:pt>
                <c:pt idx="155">
                  <c:v>37240</c:v>
                </c:pt>
                <c:pt idx="156">
                  <c:v>17466</c:v>
                </c:pt>
                <c:pt idx="157">
                  <c:v>19463</c:v>
                </c:pt>
                <c:pt idx="158">
                  <c:v>24352</c:v>
                </c:pt>
                <c:pt idx="159">
                  <c:v>26805</c:v>
                </c:pt>
                <c:pt idx="160">
                  <c:v>25236</c:v>
                </c:pt>
                <c:pt idx="161">
                  <c:v>24735</c:v>
                </c:pt>
                <c:pt idx="162">
                  <c:v>29356</c:v>
                </c:pt>
                <c:pt idx="163">
                  <c:v>31234</c:v>
                </c:pt>
                <c:pt idx="164">
                  <c:v>22724</c:v>
                </c:pt>
                <c:pt idx="165">
                  <c:v>28496</c:v>
                </c:pt>
                <c:pt idx="166">
                  <c:v>32857</c:v>
                </c:pt>
                <c:pt idx="167">
                  <c:v>37198</c:v>
                </c:pt>
                <c:pt idx="168">
                  <c:v>13652</c:v>
                </c:pt>
                <c:pt idx="169">
                  <c:v>22784</c:v>
                </c:pt>
                <c:pt idx="170">
                  <c:v>23565</c:v>
                </c:pt>
                <c:pt idx="171">
                  <c:v>26323</c:v>
                </c:pt>
                <c:pt idx="172">
                  <c:v>23779</c:v>
                </c:pt>
                <c:pt idx="173">
                  <c:v>27549</c:v>
                </c:pt>
                <c:pt idx="174">
                  <c:v>29660</c:v>
                </c:pt>
                <c:pt idx="175">
                  <c:v>23356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9-46D2-99A1-7CEE7D70B9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MA!$O$16:$O$179</c:f>
              <c:numCache>
                <c:formatCode>General</c:formatCode>
                <c:ptCount val="164"/>
                <c:pt idx="0">
                  <c:v>21138.916666666668</c:v>
                </c:pt>
                <c:pt idx="1">
                  <c:v>21186.25</c:v>
                </c:pt>
                <c:pt idx="2">
                  <c:v>21237.75</c:v>
                </c:pt>
                <c:pt idx="3">
                  <c:v>21389.333333333328</c:v>
                </c:pt>
                <c:pt idx="4">
                  <c:v>21602.875000000004</c:v>
                </c:pt>
                <c:pt idx="5">
                  <c:v>21785.249999999996</c:v>
                </c:pt>
                <c:pt idx="6">
                  <c:v>22027.833333333332</c:v>
                </c:pt>
                <c:pt idx="7">
                  <c:v>22359.666666666668</c:v>
                </c:pt>
                <c:pt idx="8">
                  <c:v>22562.458333333336</c:v>
                </c:pt>
                <c:pt idx="9">
                  <c:v>22541.208333333336</c:v>
                </c:pt>
                <c:pt idx="10">
                  <c:v>22552.416666666664</c:v>
                </c:pt>
                <c:pt idx="11">
                  <c:v>22586.208333333328</c:v>
                </c:pt>
                <c:pt idx="12">
                  <c:v>22674.124999999996</c:v>
                </c:pt>
                <c:pt idx="13">
                  <c:v>22749.958333333332</c:v>
                </c:pt>
                <c:pt idx="14">
                  <c:v>22768.291666666664</c:v>
                </c:pt>
                <c:pt idx="15">
                  <c:v>22882.458333333332</c:v>
                </c:pt>
                <c:pt idx="16">
                  <c:v>23096.375</c:v>
                </c:pt>
                <c:pt idx="17">
                  <c:v>23216.291666666668</c:v>
                </c:pt>
                <c:pt idx="18">
                  <c:v>23246.375</c:v>
                </c:pt>
                <c:pt idx="19">
                  <c:v>23222.958333333336</c:v>
                </c:pt>
                <c:pt idx="20">
                  <c:v>23297.791666666668</c:v>
                </c:pt>
                <c:pt idx="21">
                  <c:v>23477.708333333336</c:v>
                </c:pt>
                <c:pt idx="22">
                  <c:v>23594.208333333332</c:v>
                </c:pt>
                <c:pt idx="23">
                  <c:v>23720.874999999996</c:v>
                </c:pt>
                <c:pt idx="24">
                  <c:v>23779.375</c:v>
                </c:pt>
                <c:pt idx="25">
                  <c:v>23867.541666666661</c:v>
                </c:pt>
                <c:pt idx="26">
                  <c:v>24079.666666666664</c:v>
                </c:pt>
                <c:pt idx="27">
                  <c:v>24126.166666666664</c:v>
                </c:pt>
                <c:pt idx="28">
                  <c:v>24183.749999999996</c:v>
                </c:pt>
                <c:pt idx="29">
                  <c:v>24391.208333333332</c:v>
                </c:pt>
                <c:pt idx="30">
                  <c:v>24420.166666666664</c:v>
                </c:pt>
                <c:pt idx="31">
                  <c:v>24522.833333333336</c:v>
                </c:pt>
                <c:pt idx="32">
                  <c:v>24686.916666666668</c:v>
                </c:pt>
                <c:pt idx="33">
                  <c:v>24690.583333333332</c:v>
                </c:pt>
                <c:pt idx="34">
                  <c:v>24707.416666666668</c:v>
                </c:pt>
                <c:pt idx="35">
                  <c:v>24861.125</c:v>
                </c:pt>
                <c:pt idx="36">
                  <c:v>25012.75</c:v>
                </c:pt>
                <c:pt idx="37">
                  <c:v>25124.916666666664</c:v>
                </c:pt>
                <c:pt idx="38">
                  <c:v>25302.541666666664</c:v>
                </c:pt>
                <c:pt idx="39">
                  <c:v>25414.958333333332</c:v>
                </c:pt>
                <c:pt idx="40">
                  <c:v>25487.125</c:v>
                </c:pt>
                <c:pt idx="41">
                  <c:v>25512</c:v>
                </c:pt>
                <c:pt idx="42">
                  <c:v>25581.291666666664</c:v>
                </c:pt>
                <c:pt idx="43">
                  <c:v>25862.083333333328</c:v>
                </c:pt>
                <c:pt idx="44">
                  <c:v>25992.416666666664</c:v>
                </c:pt>
                <c:pt idx="45">
                  <c:v>26020.958333333332</c:v>
                </c:pt>
                <c:pt idx="46">
                  <c:v>26115.666666666668</c:v>
                </c:pt>
                <c:pt idx="47">
                  <c:v>26206.708333333336</c:v>
                </c:pt>
                <c:pt idx="48">
                  <c:v>26322.166666666664</c:v>
                </c:pt>
                <c:pt idx="49">
                  <c:v>26349.749999999996</c:v>
                </c:pt>
                <c:pt idx="50">
                  <c:v>26372.833333333332</c:v>
                </c:pt>
                <c:pt idx="51">
                  <c:v>26413.083333333328</c:v>
                </c:pt>
                <c:pt idx="52">
                  <c:v>26469.374999999996</c:v>
                </c:pt>
                <c:pt idx="53">
                  <c:v>26612.333333333336</c:v>
                </c:pt>
                <c:pt idx="54">
                  <c:v>26583.208333333332</c:v>
                </c:pt>
                <c:pt idx="55">
                  <c:v>26377.333333333332</c:v>
                </c:pt>
                <c:pt idx="56">
                  <c:v>26330.458333333328</c:v>
                </c:pt>
                <c:pt idx="57">
                  <c:v>26505.291666666668</c:v>
                </c:pt>
                <c:pt idx="58">
                  <c:v>26791.25</c:v>
                </c:pt>
                <c:pt idx="59">
                  <c:v>26984.291666666664</c:v>
                </c:pt>
                <c:pt idx="60">
                  <c:v>27093.791666666664</c:v>
                </c:pt>
                <c:pt idx="61">
                  <c:v>27151.083333333332</c:v>
                </c:pt>
                <c:pt idx="62">
                  <c:v>27135.125000000004</c:v>
                </c:pt>
                <c:pt idx="63">
                  <c:v>27212.624999999996</c:v>
                </c:pt>
                <c:pt idx="64">
                  <c:v>27156.166666666668</c:v>
                </c:pt>
                <c:pt idx="65">
                  <c:v>27055.333333333332</c:v>
                </c:pt>
                <c:pt idx="66">
                  <c:v>27342.208333333328</c:v>
                </c:pt>
                <c:pt idx="67">
                  <c:v>27633.708333333332</c:v>
                </c:pt>
                <c:pt idx="68">
                  <c:v>27791.291666666668</c:v>
                </c:pt>
                <c:pt idx="69">
                  <c:v>27805.666666666664</c:v>
                </c:pt>
                <c:pt idx="70">
                  <c:v>27648.958333333328</c:v>
                </c:pt>
                <c:pt idx="71">
                  <c:v>27651.041666666668</c:v>
                </c:pt>
                <c:pt idx="72">
                  <c:v>27771.333333333332</c:v>
                </c:pt>
                <c:pt idx="73">
                  <c:v>27733.249999999996</c:v>
                </c:pt>
                <c:pt idx="74">
                  <c:v>27509.708333333328</c:v>
                </c:pt>
                <c:pt idx="75">
                  <c:v>27539.291666666664</c:v>
                </c:pt>
                <c:pt idx="76">
                  <c:v>27695.958333333328</c:v>
                </c:pt>
                <c:pt idx="77">
                  <c:v>27591.083333333332</c:v>
                </c:pt>
                <c:pt idx="78">
                  <c:v>27588.749999999996</c:v>
                </c:pt>
                <c:pt idx="79">
                  <c:v>27286.125</c:v>
                </c:pt>
                <c:pt idx="80">
                  <c:v>26887.125</c:v>
                </c:pt>
                <c:pt idx="81">
                  <c:v>27009</c:v>
                </c:pt>
                <c:pt idx="82">
                  <c:v>27178.041666666664</c:v>
                </c:pt>
                <c:pt idx="83">
                  <c:v>27286.499999999996</c:v>
                </c:pt>
                <c:pt idx="84">
                  <c:v>27308.291666666664</c:v>
                </c:pt>
                <c:pt idx="85">
                  <c:v>27425.291666666664</c:v>
                </c:pt>
                <c:pt idx="86">
                  <c:v>27593.499999999996</c:v>
                </c:pt>
                <c:pt idx="87">
                  <c:v>27579.833333333328</c:v>
                </c:pt>
                <c:pt idx="88">
                  <c:v>27523.416666666664</c:v>
                </c:pt>
                <c:pt idx="89">
                  <c:v>27521.458333333336</c:v>
                </c:pt>
                <c:pt idx="90">
                  <c:v>27593.750000000004</c:v>
                </c:pt>
                <c:pt idx="91">
                  <c:v>27668.375</c:v>
                </c:pt>
                <c:pt idx="92">
                  <c:v>27557.083333333332</c:v>
                </c:pt>
                <c:pt idx="93">
                  <c:v>27424.500000000004</c:v>
                </c:pt>
                <c:pt idx="94">
                  <c:v>27412.833333333336</c:v>
                </c:pt>
                <c:pt idx="95">
                  <c:v>27152.208333333328</c:v>
                </c:pt>
                <c:pt idx="96">
                  <c:v>26762.208333333332</c:v>
                </c:pt>
                <c:pt idx="97">
                  <c:v>26534.541666666664</c:v>
                </c:pt>
                <c:pt idx="98">
                  <c:v>26460.666666666664</c:v>
                </c:pt>
                <c:pt idx="99">
                  <c:v>26384.333333333332</c:v>
                </c:pt>
                <c:pt idx="100">
                  <c:v>26209.416666666664</c:v>
                </c:pt>
                <c:pt idx="101">
                  <c:v>25939.499999999996</c:v>
                </c:pt>
                <c:pt idx="102">
                  <c:v>25540.166666666664</c:v>
                </c:pt>
                <c:pt idx="103">
                  <c:v>25318.874999999996</c:v>
                </c:pt>
                <c:pt idx="104">
                  <c:v>25346.166666666668</c:v>
                </c:pt>
                <c:pt idx="105">
                  <c:v>25285.208333333336</c:v>
                </c:pt>
                <c:pt idx="106">
                  <c:v>25126.208333333328</c:v>
                </c:pt>
                <c:pt idx="107">
                  <c:v>25233.749999999996</c:v>
                </c:pt>
                <c:pt idx="108">
                  <c:v>25314.708333333328</c:v>
                </c:pt>
                <c:pt idx="109">
                  <c:v>25069.5</c:v>
                </c:pt>
                <c:pt idx="110">
                  <c:v>24992.291666666668</c:v>
                </c:pt>
                <c:pt idx="111">
                  <c:v>25360.791666666668</c:v>
                </c:pt>
                <c:pt idx="112">
                  <c:v>25686.958333333332</c:v>
                </c:pt>
                <c:pt idx="113">
                  <c:v>25800.249999999996</c:v>
                </c:pt>
                <c:pt idx="114">
                  <c:v>25825.583333333328</c:v>
                </c:pt>
                <c:pt idx="115">
                  <c:v>25764.624999999993</c:v>
                </c:pt>
                <c:pt idx="116">
                  <c:v>25814.874999999996</c:v>
                </c:pt>
                <c:pt idx="117">
                  <c:v>25797.499999999996</c:v>
                </c:pt>
                <c:pt idx="118">
                  <c:v>25783.916666666668</c:v>
                </c:pt>
                <c:pt idx="119">
                  <c:v>25692.874999999996</c:v>
                </c:pt>
                <c:pt idx="120">
                  <c:v>25603.249999999996</c:v>
                </c:pt>
                <c:pt idx="121">
                  <c:v>25852.541666666661</c:v>
                </c:pt>
                <c:pt idx="122">
                  <c:v>25867.041666666664</c:v>
                </c:pt>
                <c:pt idx="123">
                  <c:v>25142.249999999996</c:v>
                </c:pt>
                <c:pt idx="124">
                  <c:v>24579.541666666668</c:v>
                </c:pt>
                <c:pt idx="125">
                  <c:v>24626.833333333332</c:v>
                </c:pt>
                <c:pt idx="126">
                  <c:v>24787.916666666668</c:v>
                </c:pt>
                <c:pt idx="127">
                  <c:v>24941.583333333332</c:v>
                </c:pt>
                <c:pt idx="128">
                  <c:v>25047.249999999996</c:v>
                </c:pt>
                <c:pt idx="129">
                  <c:v>25168.000000000004</c:v>
                </c:pt>
                <c:pt idx="130">
                  <c:v>25139.791666666664</c:v>
                </c:pt>
                <c:pt idx="131">
                  <c:v>25190.458333333332</c:v>
                </c:pt>
                <c:pt idx="132">
                  <c:v>25377.916666666661</c:v>
                </c:pt>
                <c:pt idx="133">
                  <c:v>25397.624999999996</c:v>
                </c:pt>
                <c:pt idx="134">
                  <c:v>25503.124999999996</c:v>
                </c:pt>
                <c:pt idx="135">
                  <c:v>25802.916666666664</c:v>
                </c:pt>
                <c:pt idx="136">
                  <c:v>26100.541666666664</c:v>
                </c:pt>
                <c:pt idx="137">
                  <c:v>26231.041666666664</c:v>
                </c:pt>
                <c:pt idx="138">
                  <c:v>26255.499999999996</c:v>
                </c:pt>
                <c:pt idx="139">
                  <c:v>26176.291666666668</c:v>
                </c:pt>
                <c:pt idx="140">
                  <c:v>26019.458333333336</c:v>
                </c:pt>
                <c:pt idx="141">
                  <c:v>25902.75</c:v>
                </c:pt>
                <c:pt idx="142">
                  <c:v>25877.5</c:v>
                </c:pt>
                <c:pt idx="143">
                  <c:v>25847.041666666664</c:v>
                </c:pt>
                <c:pt idx="144">
                  <c:v>25807.25</c:v>
                </c:pt>
                <c:pt idx="145">
                  <c:v>25734.666666666664</c:v>
                </c:pt>
                <c:pt idx="146">
                  <c:v>25648.791666666661</c:v>
                </c:pt>
                <c:pt idx="147">
                  <c:v>25783</c:v>
                </c:pt>
                <c:pt idx="148">
                  <c:v>25919.291666666664</c:v>
                </c:pt>
                <c:pt idx="149">
                  <c:v>25958.416666666668</c:v>
                </c:pt>
                <c:pt idx="150">
                  <c:v>25947.041666666668</c:v>
                </c:pt>
                <c:pt idx="151">
                  <c:v>26186.916666666664</c:v>
                </c:pt>
                <c:pt idx="152">
                  <c:v>26366.666666666668</c:v>
                </c:pt>
                <c:pt idx="153">
                  <c:v>26383.916666666668</c:v>
                </c:pt>
                <c:pt idx="154">
                  <c:v>26583.083333333328</c:v>
                </c:pt>
                <c:pt idx="155">
                  <c:v>26661.916666666664</c:v>
                </c:pt>
                <c:pt idx="156">
                  <c:v>26501.249999999996</c:v>
                </c:pt>
                <c:pt idx="157">
                  <c:v>26480.708333333328</c:v>
                </c:pt>
                <c:pt idx="158">
                  <c:v>26586.291666666664</c:v>
                </c:pt>
                <c:pt idx="159">
                  <c:v>26533.416666666661</c:v>
                </c:pt>
                <c:pt idx="160">
                  <c:v>26452.624999999996</c:v>
                </c:pt>
                <c:pt idx="161">
                  <c:v>26509.166666666664</c:v>
                </c:pt>
                <c:pt idx="162">
                  <c:v>26639.083333333332</c:v>
                </c:pt>
                <c:pt idx="163">
                  <c:v>26323.5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9-46D2-99A1-7CEE7D70B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29071"/>
        <c:axId val="71742031"/>
      </c:lineChart>
      <c:catAx>
        <c:axId val="71729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42031"/>
        <c:crosses val="autoZero"/>
        <c:auto val="1"/>
        <c:lblAlgn val="ctr"/>
        <c:lblOffset val="100"/>
        <c:noMultiLvlLbl val="0"/>
      </c:catAx>
      <c:valAx>
        <c:axId val="7174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9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160020</xdr:colOff>
      <xdr:row>8</xdr:row>
      <xdr:rowOff>11430</xdr:rowOff>
    </xdr:from>
    <xdr:to>
      <xdr:col>10</xdr:col>
      <xdr:colOff>22860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D9BF62-8ED9-5DDB-59B0-700F58FB8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152400</xdr:colOff>
      <xdr:row>8</xdr:row>
      <xdr:rowOff>83820</xdr:rowOff>
    </xdr:from>
    <xdr:to>
      <xdr:col>21</xdr:col>
      <xdr:colOff>15240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2507B-AF62-45C1-AC1D-0487954C0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57DE8A-6427-40D0-BC41-990BAE256642}" name="Table14" displayName="Table14" ref="B2:B5" totalsRowShown="0" dataCellStyle="Hyperlink">
  <autoFilter ref="B2:B5" xr:uid="{1557DE8A-6427-40D0-BC41-990BAE256642}"/>
  <tableColumns count="1">
    <tableColumn id="1" xr3:uid="{A172B45C-439B-4C3D-9BAE-618313F1F983}" name="Packages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30F3E2-40D1-462D-9840-59D182943A66}" name="tNile" displayName="tNile" ref="B2:B102" totalsRowShown="0">
  <autoFilter ref="B2:B102" xr:uid="{3430F3E2-40D1-462D-9840-59D182943A66}"/>
  <tableColumns count="1">
    <tableColumn id="1" xr3:uid="{B454B2CF-5DE9-48A8-86A5-45EDDE684073}" name="Ni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73ACA5E-F983-4F9A-B612-27A29E45AA4A}" name="tGold" displayName="tGold" ref="D2:D1110" totalsRowShown="0">
  <autoFilter ref="D2:D1110" xr:uid="{973ACA5E-F983-4F9A-B612-27A29E45AA4A}"/>
  <tableColumns count="1">
    <tableColumn id="1" xr3:uid="{C645BA4E-8335-4302-A8CC-1BB79D09EDAB}" name="Gol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B207F-609E-492B-A7F0-BD62A3665B2F}" name="tUSPop" displayName="tUSPop" ref="F2:F21" totalsRowShown="0">
  <autoFilter ref="F2:F21" xr:uid="{000B207F-609E-492B-A7F0-BD62A3665B2F}"/>
  <tableColumns count="1">
    <tableColumn id="1" xr3:uid="{7510B537-D850-4EEE-8D3C-A5993751D5A8}" name="uspo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B4D6DA-C704-4205-950D-1A2D057994BA}" name="tWWWusage" displayName="tWWWusage" ref="H2:I102" totalsRowShown="0">
  <autoFilter ref="H2:I102" xr:uid="{CDB4D6DA-C704-4205-950D-1A2D057994BA}"/>
  <tableColumns count="2">
    <tableColumn id="2" xr3:uid="{CB83541C-3DF4-408A-9685-7C1AE57C2DE9}" name="Step"/>
    <tableColumn id="1" xr3:uid="{3AD58789-5A92-4DB3-A958-84EF41E17785}" name="WWWus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59416-49A9-4D98-B921-9AA437214C1A}" name="tGallons" displayName="tGallons" ref="K2:L23" totalsRowShown="0">
  <autoFilter ref="K2:L23" xr:uid="{DA759416-49A9-4D98-B921-9AA437214C1A}"/>
  <tableColumns count="2">
    <tableColumn id="1" xr3:uid="{8BDB41A0-FC7D-401E-86B4-E29C58AF6BD8}" name="Day"/>
    <tableColumn id="2" xr3:uid="{56CE883F-7B89-434B-AAC7-62D8ACD08D19}" name="Gall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693D5-ABE6-45E7-A842-F52F08CEC2E4}" name="tCustomers" displayName="tCustomers" ref="N2:N35" totalsRowShown="0">
  <autoFilter ref="N2:N35" xr:uid="{BE2693D5-ABE6-45E7-A842-F52F08CEC2E4}"/>
  <tableColumns count="1">
    <tableColumn id="1" xr3:uid="{EDC73ED9-A2D0-4002-A283-CAA01BFCC366}" name="Customer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B42545-8C9A-4DFB-AE64-69D8AC2E23B1}" name="tAirPassengers" displayName="tAirPassengers" ref="S2:T146" totalsRowShown="0">
  <autoFilter ref="S2:T146" xr:uid="{94B42545-8C9A-4DFB-AE64-69D8AC2E23B1}"/>
  <tableColumns count="2">
    <tableColumn id="2" xr3:uid="{27D94B9B-46B9-42CD-85C4-55C3A5CAFF80}" name="Step"/>
    <tableColumn id="1" xr3:uid="{F6E8E7E6-921A-47E4-9003-79C34EBF6C54}" name="AirPassenger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285B-CA0B-4D69-8B78-D65978A2852D}" name="tAusTourists" displayName="tAusTourists" ref="P2:Q70" totalsRowShown="0">
  <autoFilter ref="P2:Q70" xr:uid="{10C9285B-CA0B-4D69-8B78-D65978A2852D}"/>
  <tableColumns count="2">
    <tableColumn id="1" xr3:uid="{DC27B4D6-33BF-4790-82E6-B374A5D168DF}" name="Step"/>
    <tableColumn id="2" xr3:uid="{ED1D1E0E-C28B-45FF-91D9-BC1F75FCCE0F}" name="aus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FBF39D-AC4A-4A0D-BFA0-1BE8FAC81DA2}" name="tGalapagosData" displayName="tGalapagosData" ref="V2:AC32" totalsRowShown="0">
  <autoFilter ref="V2:AC32" xr:uid="{D811A101-F50B-43D1-8DC5-4767B7FB9A71}"/>
  <tableColumns count="8">
    <tableColumn id="1" xr3:uid="{8129F513-68FC-4A4F-AE91-83AA69B2879B}" name="Island"/>
    <tableColumn id="2" xr3:uid="{96D1F02A-8933-4A3D-97F8-07949BA7EF41}" name="Species"/>
    <tableColumn id="3" xr3:uid="{1AD8412C-96A4-460D-9FC0-78E051A4DAE4}" name="Endemics"/>
    <tableColumn id="4" xr3:uid="{5FA86958-3B86-4D32-87A8-118DA9CDA5CF}" name="Area"/>
    <tableColumn id="5" xr3:uid="{8E108619-58DF-494F-B6BD-A6E36933A917}" name="Elevation"/>
    <tableColumn id="6" xr3:uid="{D1C403EA-15A5-4849-A356-9D9ABE2A6EFE}" name="Nearest"/>
    <tableColumn id="7" xr3:uid="{80E5EAC5-3583-4C6C-A2BA-12A0D9D2C6A3}" name="Scruz"/>
    <tableColumn id="8" xr3:uid="{19DFE473-4731-4FFD-8D5D-724DC2A68A88}" name="Adja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8635AAD-5A44-483B-A430-4DDC32A72EE8}" name="tAvgHits" displayName="tAvgHits" ref="AE2:AE79" totalsRowShown="0">
  <autoFilter ref="AE2:AE79" xr:uid="{18635AAD-5A44-483B-A430-4DDC32A72EE8}"/>
  <tableColumns count="1">
    <tableColumn id="1" xr3:uid="{2C289603-6154-4398-9E60-7601EE3B4FC8}" name="AvgHit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5D738A-59E1-47B6-91DF-4E14D7AED326}" name="tPurchaseData" displayName="tPurchaseData" ref="AG2:AJ38" totalsRowShown="0">
  <autoFilter ref="AG2:AJ38" xr:uid="{9F5D738A-59E1-47B6-91DF-4E14D7AED326}"/>
  <tableColumns count="4">
    <tableColumn id="1" xr3:uid="{AFFDFBAE-953B-4453-BE17-8B136595702F}" name="Purchase"/>
    <tableColumn id="2" xr3:uid="{5DF0C060-7E90-49EA-A705-724C0449D042}" name="Income"/>
    <tableColumn id="3" xr3:uid="{C24E1361-6F62-4BF6-A1AF-E68C00A4F281}" name="Age"/>
    <tableColumn id="4" xr3:uid="{6F4CB2AE-8B38-44A4-A8BF-4B25288A657C}" name="ZipCo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AE08C-E517-4FA3-971C-7AF08A6005CF}" name="TableSales" displayName="TableSales" ref="B9:B36" totalsRowShown="0">
  <autoFilter ref="B9:B36" xr:uid="{140AE08C-E517-4FA3-971C-7AF08A6005CF}"/>
  <tableColumns count="1">
    <tableColumn id="1" xr3:uid="{DA7CCEA1-5E5E-47E6-A12E-33FF88EFFB4C}" name="Sal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E32FB-A156-4349-ACB2-27F06B8FF1CA}" name="Table6" displayName="Table6" ref="M9:M185" totalsRowShown="0">
  <autoFilter ref="M9:M185" xr:uid="{1BAE32FB-A156-4349-ACB2-27F06B8FF1CA}"/>
  <tableColumns count="1">
    <tableColumn id="1" xr3:uid="{1F06DCB4-F764-46B1-A5BB-FE60CA6EF286}" name="wine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texts.com/fpp2/" TargetMode="External"/><Relationship Id="rId2" Type="http://schemas.openxmlformats.org/officeDocument/2006/relationships/hyperlink" Target="https://www.rdocumentation.org/packages/stats/versions/3.6.2/topics/lm" TargetMode="External"/><Relationship Id="rId1" Type="http://schemas.openxmlformats.org/officeDocument/2006/relationships/hyperlink" Target="https://cran.r-project.org/web/packages/forecast/forecast.pdf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427E-1E6E-40C5-AB8D-48157BECEE90}">
  <dimension ref="B2:B5"/>
  <sheetViews>
    <sheetView workbookViewId="0">
      <selection activeCell="B5" sqref="B5"/>
    </sheetView>
  </sheetViews>
  <sheetFormatPr defaultRowHeight="14.4" x14ac:dyDescent="0.3"/>
  <cols>
    <col min="2" max="2" width="65.6640625" customWidth="1"/>
  </cols>
  <sheetData>
    <row r="2" spans="2:2" x14ac:dyDescent="0.3">
      <c r="B2" t="s">
        <v>5</v>
      </c>
    </row>
    <row r="3" spans="2:2" x14ac:dyDescent="0.3">
      <c r="B3" s="2" t="s">
        <v>6</v>
      </c>
    </row>
    <row r="4" spans="2:2" x14ac:dyDescent="0.3">
      <c r="B4" s="2" t="s">
        <v>7</v>
      </c>
    </row>
    <row r="5" spans="2:2" x14ac:dyDescent="0.3">
      <c r="B5" s="2" t="s">
        <v>45</v>
      </c>
    </row>
  </sheetData>
  <hyperlinks>
    <hyperlink ref="B3" r:id="rId1" display="https://cran.r-project.org/web/packages/forecast/forecast.pdf" xr:uid="{3BB66AF7-1524-48BD-898E-C15A735C8720}"/>
    <hyperlink ref="B4" r:id="rId2" display="https://www.rdocumentation.org/packages/stats/versions/3.6.2/topics/lm" xr:uid="{3545F3A1-C56F-4124-84A3-016B5BD57DC3}"/>
    <hyperlink ref="B5" r:id="rId3" display="https://otexts.com/fpp2/" xr:uid="{3FAAB27B-F8C5-497A-A89F-E85ECC6BA0AA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CB6E-EEA6-410B-8C3F-D152623D3978}">
  <dimension ref="C2:F4"/>
  <sheetViews>
    <sheetView workbookViewId="0">
      <selection activeCell="C3" sqref="C3"/>
    </sheetView>
  </sheetViews>
  <sheetFormatPr defaultRowHeight="14.4" x14ac:dyDescent="0.3"/>
  <cols>
    <col min="3" max="3" width="14.33203125" bestFit="1" customWidth="1"/>
  </cols>
  <sheetData>
    <row r="2" spans="3:6" x14ac:dyDescent="0.3">
      <c r="C2" s="9" t="s">
        <v>192</v>
      </c>
      <c r="D2" s="6"/>
      <c r="E2" s="6"/>
      <c r="F2" s="6"/>
    </row>
    <row r="3" spans="3:6" x14ac:dyDescent="0.3">
      <c r="C3" t="s">
        <v>2</v>
      </c>
      <c r="E3" t="str" cm="1">
        <f t="array" ref="E3">_xll.RScript.Evaluate(C3, TRUE)</f>
        <v>OK</v>
      </c>
    </row>
    <row r="4" spans="3:6" x14ac:dyDescent="0.3">
      <c r="C4" t="s">
        <v>3</v>
      </c>
      <c r="E4" t="str" cm="1">
        <f t="array" ref="E4">_xll.RScript.Evaluate(C4,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5A11-FD74-4F49-8237-7EB8CA3CF65D}">
  <dimension ref="B2:AJ1110"/>
  <sheetViews>
    <sheetView workbookViewId="0"/>
  </sheetViews>
  <sheetFormatPr defaultRowHeight="14.4" x14ac:dyDescent="0.3"/>
  <cols>
    <col min="17" max="17" width="12.109375" customWidth="1"/>
    <col min="31" max="31" width="16.6640625" bestFit="1" customWidth="1"/>
    <col min="33" max="33" width="10.5546875" customWidth="1"/>
    <col min="34" max="34" width="9.109375" customWidth="1"/>
    <col min="36" max="36" width="9.88671875" customWidth="1"/>
  </cols>
  <sheetData>
    <row r="2" spans="2:36" x14ac:dyDescent="0.3">
      <c r="B2" t="s">
        <v>102</v>
      </c>
      <c r="D2" t="s">
        <v>103</v>
      </c>
      <c r="F2" t="s">
        <v>105</v>
      </c>
      <c r="H2" t="s">
        <v>46</v>
      </c>
      <c r="I2" t="s">
        <v>64</v>
      </c>
      <c r="K2" t="s">
        <v>0</v>
      </c>
      <c r="L2" t="s">
        <v>1</v>
      </c>
      <c r="N2" t="s">
        <v>27</v>
      </c>
      <c r="P2" t="s">
        <v>46</v>
      </c>
      <c r="Q2" t="s">
        <v>106</v>
      </c>
      <c r="S2" t="s">
        <v>46</v>
      </c>
      <c r="T2" t="s">
        <v>76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E2" t="s">
        <v>165</v>
      </c>
      <c r="AG2" t="s">
        <v>174</v>
      </c>
      <c r="AH2" t="s">
        <v>175</v>
      </c>
      <c r="AI2" t="s">
        <v>176</v>
      </c>
      <c r="AJ2" t="s">
        <v>177</v>
      </c>
    </row>
    <row r="3" spans="2:36" x14ac:dyDescent="0.3">
      <c r="B3">
        <v>1120</v>
      </c>
      <c r="D3">
        <v>306.25</v>
      </c>
      <c r="F3">
        <v>3.93</v>
      </c>
      <c r="H3">
        <v>1</v>
      </c>
      <c r="I3">
        <v>88</v>
      </c>
      <c r="K3">
        <v>1</v>
      </c>
      <c r="L3">
        <v>113</v>
      </c>
      <c r="N3">
        <v>802.89</v>
      </c>
      <c r="P3">
        <v>1</v>
      </c>
      <c r="Q3">
        <v>30.052513000000001</v>
      </c>
      <c r="S3">
        <v>1</v>
      </c>
      <c r="T3">
        <v>112</v>
      </c>
      <c r="V3" t="s">
        <v>120</v>
      </c>
      <c r="W3">
        <v>58</v>
      </c>
      <c r="X3">
        <v>23</v>
      </c>
      <c r="Y3">
        <v>29</v>
      </c>
      <c r="Z3">
        <v>346</v>
      </c>
      <c r="AA3">
        <v>0.6</v>
      </c>
      <c r="AB3">
        <v>0.6</v>
      </c>
      <c r="AC3">
        <v>1.84</v>
      </c>
      <c r="AE3" s="21">
        <v>105.33376112622406</v>
      </c>
      <c r="AG3">
        <v>0</v>
      </c>
      <c r="AH3">
        <v>79.015000000000001</v>
      </c>
      <c r="AI3">
        <v>50</v>
      </c>
      <c r="AJ3">
        <v>1</v>
      </c>
    </row>
    <row r="4" spans="2:36" x14ac:dyDescent="0.3">
      <c r="B4">
        <v>1160</v>
      </c>
      <c r="D4">
        <v>299.5</v>
      </c>
      <c r="F4">
        <v>5.31</v>
      </c>
      <c r="H4">
        <v>2</v>
      </c>
      <c r="I4">
        <v>84</v>
      </c>
      <c r="K4">
        <v>2</v>
      </c>
      <c r="L4">
        <v>50</v>
      </c>
      <c r="N4">
        <v>975.2</v>
      </c>
      <c r="P4">
        <v>2</v>
      </c>
      <c r="Q4">
        <v>19.148496000000002</v>
      </c>
      <c r="S4">
        <v>2</v>
      </c>
      <c r="T4">
        <v>118</v>
      </c>
      <c r="V4" t="s">
        <v>121</v>
      </c>
      <c r="W4">
        <v>31</v>
      </c>
      <c r="X4">
        <v>21</v>
      </c>
      <c r="Y4">
        <v>1.24</v>
      </c>
      <c r="Z4">
        <v>109</v>
      </c>
      <c r="AA4">
        <v>0.6</v>
      </c>
      <c r="AB4">
        <v>26.3</v>
      </c>
      <c r="AC4">
        <v>572.33000000000004</v>
      </c>
      <c r="AE4" s="21">
        <v>111.79410633687822</v>
      </c>
      <c r="AG4">
        <v>0</v>
      </c>
      <c r="AH4">
        <v>79.897000000000006</v>
      </c>
      <c r="AI4">
        <v>50</v>
      </c>
      <c r="AJ4">
        <v>1</v>
      </c>
    </row>
    <row r="5" spans="2:36" x14ac:dyDescent="0.3">
      <c r="B5">
        <v>963</v>
      </c>
      <c r="D5">
        <v>303.45</v>
      </c>
      <c r="F5">
        <v>7.24</v>
      </c>
      <c r="H5">
        <v>3</v>
      </c>
      <c r="I5">
        <v>85</v>
      </c>
      <c r="K5">
        <v>3</v>
      </c>
      <c r="L5">
        <v>67</v>
      </c>
      <c r="N5">
        <v>894.33</v>
      </c>
      <c r="P5">
        <v>3</v>
      </c>
      <c r="Q5">
        <v>25.317692000000001</v>
      </c>
      <c r="S5">
        <v>3</v>
      </c>
      <c r="T5">
        <v>132</v>
      </c>
      <c r="V5" t="s">
        <v>122</v>
      </c>
      <c r="W5">
        <v>3</v>
      </c>
      <c r="X5">
        <v>3</v>
      </c>
      <c r="Y5">
        <v>0.21</v>
      </c>
      <c r="Z5">
        <v>114</v>
      </c>
      <c r="AA5">
        <v>2.8</v>
      </c>
      <c r="AB5">
        <v>58.7</v>
      </c>
      <c r="AC5">
        <v>0.78</v>
      </c>
      <c r="AE5" s="21">
        <v>95.197645971547047</v>
      </c>
      <c r="AG5">
        <v>0</v>
      </c>
      <c r="AH5">
        <v>82.817999999999998</v>
      </c>
      <c r="AI5">
        <v>47</v>
      </c>
      <c r="AJ5">
        <v>1</v>
      </c>
    </row>
    <row r="6" spans="2:36" x14ac:dyDescent="0.3">
      <c r="B6">
        <v>1210</v>
      </c>
      <c r="D6">
        <v>296.75</v>
      </c>
      <c r="F6">
        <v>9.64</v>
      </c>
      <c r="H6">
        <v>4</v>
      </c>
      <c r="I6">
        <v>85</v>
      </c>
      <c r="K6">
        <v>4</v>
      </c>
      <c r="L6">
        <v>98</v>
      </c>
      <c r="N6">
        <v>821.13</v>
      </c>
      <c r="P6">
        <v>4</v>
      </c>
      <c r="Q6">
        <v>27.591436999999999</v>
      </c>
      <c r="S6">
        <v>4</v>
      </c>
      <c r="T6">
        <v>129</v>
      </c>
      <c r="V6" t="s">
        <v>123</v>
      </c>
      <c r="W6">
        <v>25</v>
      </c>
      <c r="X6">
        <v>9</v>
      </c>
      <c r="Y6">
        <v>0.1</v>
      </c>
      <c r="Z6">
        <v>46</v>
      </c>
      <c r="AA6">
        <v>1.9</v>
      </c>
      <c r="AB6">
        <v>47.4</v>
      </c>
      <c r="AC6">
        <v>0.18</v>
      </c>
      <c r="AE6" s="21">
        <v>89.47529059071762</v>
      </c>
      <c r="AG6">
        <v>0</v>
      </c>
      <c r="AH6">
        <v>82.21</v>
      </c>
      <c r="AI6">
        <v>49</v>
      </c>
      <c r="AJ6">
        <v>1</v>
      </c>
    </row>
    <row r="7" spans="2:36" x14ac:dyDescent="0.3">
      <c r="B7">
        <v>1160</v>
      </c>
      <c r="D7">
        <v>304.39999999999998</v>
      </c>
      <c r="F7">
        <v>12.9</v>
      </c>
      <c r="H7">
        <v>5</v>
      </c>
      <c r="I7">
        <v>84</v>
      </c>
      <c r="K7">
        <v>5</v>
      </c>
      <c r="L7">
        <v>160</v>
      </c>
      <c r="N7">
        <v>844.4</v>
      </c>
      <c r="P7">
        <v>5</v>
      </c>
      <c r="Q7">
        <v>32.076456</v>
      </c>
      <c r="S7">
        <v>5</v>
      </c>
      <c r="T7">
        <v>121</v>
      </c>
      <c r="V7" t="s">
        <v>124</v>
      </c>
      <c r="W7">
        <v>2</v>
      </c>
      <c r="X7">
        <v>1</v>
      </c>
      <c r="Y7">
        <v>0.05</v>
      </c>
      <c r="Z7">
        <v>77</v>
      </c>
      <c r="AA7">
        <v>1.9</v>
      </c>
      <c r="AB7">
        <v>1.9</v>
      </c>
      <c r="AC7">
        <v>903.82</v>
      </c>
      <c r="AE7" s="21">
        <v>85.572647131307875</v>
      </c>
      <c r="AG7">
        <v>0</v>
      </c>
      <c r="AH7">
        <v>87.656000000000006</v>
      </c>
      <c r="AI7">
        <v>42</v>
      </c>
      <c r="AJ7">
        <v>1</v>
      </c>
    </row>
    <row r="8" spans="2:36" x14ac:dyDescent="0.3">
      <c r="B8">
        <v>1160</v>
      </c>
      <c r="D8">
        <v>298.35000000000002</v>
      </c>
      <c r="F8">
        <v>17.100000000000001</v>
      </c>
      <c r="H8">
        <v>6</v>
      </c>
      <c r="I8">
        <v>85</v>
      </c>
      <c r="K8">
        <v>6</v>
      </c>
      <c r="L8">
        <v>112</v>
      </c>
      <c r="N8">
        <v>891.14</v>
      </c>
      <c r="P8">
        <v>6</v>
      </c>
      <c r="Q8">
        <v>23.487960999999999</v>
      </c>
      <c r="S8">
        <v>6</v>
      </c>
      <c r="T8">
        <v>135</v>
      </c>
      <c r="V8" t="s">
        <v>125</v>
      </c>
      <c r="W8">
        <v>18</v>
      </c>
      <c r="X8">
        <v>11</v>
      </c>
      <c r="Y8">
        <v>0.34</v>
      </c>
      <c r="Z8">
        <v>119</v>
      </c>
      <c r="AA8">
        <v>8</v>
      </c>
      <c r="AB8">
        <v>8</v>
      </c>
      <c r="AC8">
        <v>1.84</v>
      </c>
      <c r="AE8" s="21">
        <v>102.83015305596356</v>
      </c>
      <c r="AG8">
        <v>0</v>
      </c>
      <c r="AH8">
        <v>86.013000000000005</v>
      </c>
      <c r="AI8">
        <v>47</v>
      </c>
      <c r="AJ8">
        <v>1</v>
      </c>
    </row>
    <row r="9" spans="2:36" x14ac:dyDescent="0.3">
      <c r="B9">
        <v>813</v>
      </c>
      <c r="D9">
        <v>304</v>
      </c>
      <c r="F9">
        <v>23.2</v>
      </c>
      <c r="H9">
        <v>7</v>
      </c>
      <c r="I9">
        <v>83</v>
      </c>
      <c r="K9">
        <v>7</v>
      </c>
      <c r="L9">
        <v>14</v>
      </c>
      <c r="N9">
        <v>932.95</v>
      </c>
      <c r="P9">
        <v>7</v>
      </c>
      <c r="Q9">
        <v>28.475940000000001</v>
      </c>
      <c r="S9">
        <v>7</v>
      </c>
      <c r="T9">
        <v>148</v>
      </c>
      <c r="V9" t="s">
        <v>126</v>
      </c>
      <c r="W9">
        <v>24</v>
      </c>
      <c r="X9">
        <v>0</v>
      </c>
      <c r="Y9">
        <v>0.08</v>
      </c>
      <c r="Z9">
        <v>93</v>
      </c>
      <c r="AA9">
        <v>6</v>
      </c>
      <c r="AB9">
        <v>12</v>
      </c>
      <c r="AC9">
        <v>0.34</v>
      </c>
      <c r="AE9" s="21">
        <v>106.80684414070258</v>
      </c>
      <c r="AG9">
        <v>0</v>
      </c>
      <c r="AH9">
        <v>85.031999999999996</v>
      </c>
      <c r="AI9">
        <v>49</v>
      </c>
      <c r="AJ9">
        <v>1</v>
      </c>
    </row>
    <row r="10" spans="2:36" x14ac:dyDescent="0.3">
      <c r="B10">
        <v>1230</v>
      </c>
      <c r="D10">
        <v>304</v>
      </c>
      <c r="F10">
        <v>31.4</v>
      </c>
      <c r="H10">
        <v>8</v>
      </c>
      <c r="I10">
        <v>85</v>
      </c>
      <c r="K10">
        <v>8</v>
      </c>
      <c r="L10">
        <v>10</v>
      </c>
      <c r="N10">
        <v>884.53</v>
      </c>
      <c r="P10">
        <v>8</v>
      </c>
      <c r="Q10">
        <v>35.123753000000001</v>
      </c>
      <c r="S10">
        <v>8</v>
      </c>
      <c r="T10">
        <v>148</v>
      </c>
      <c r="V10" t="s">
        <v>127</v>
      </c>
      <c r="W10">
        <v>10</v>
      </c>
      <c r="X10">
        <v>7</v>
      </c>
      <c r="Y10">
        <v>2.33</v>
      </c>
      <c r="Z10">
        <v>168</v>
      </c>
      <c r="AA10">
        <v>34.1</v>
      </c>
      <c r="AB10">
        <v>290.2</v>
      </c>
      <c r="AC10">
        <v>2.85</v>
      </c>
      <c r="AE10" s="21">
        <v>113.72246749485991</v>
      </c>
      <c r="AG10">
        <v>0</v>
      </c>
      <c r="AH10">
        <v>82.914000000000001</v>
      </c>
      <c r="AI10">
        <v>55</v>
      </c>
      <c r="AJ10">
        <v>1</v>
      </c>
    </row>
    <row r="11" spans="2:36" x14ac:dyDescent="0.3">
      <c r="B11">
        <v>1370</v>
      </c>
      <c r="D11">
        <v>301.25</v>
      </c>
      <c r="F11">
        <v>39.799999999999997</v>
      </c>
      <c r="H11">
        <v>9</v>
      </c>
      <c r="I11">
        <v>88</v>
      </c>
      <c r="K11">
        <v>9</v>
      </c>
      <c r="L11">
        <v>63</v>
      </c>
      <c r="N11">
        <v>1190.78</v>
      </c>
      <c r="P11">
        <v>9</v>
      </c>
      <c r="Q11">
        <v>36.838484999999999</v>
      </c>
      <c r="S11">
        <v>9</v>
      </c>
      <c r="T11">
        <v>136</v>
      </c>
      <c r="V11" t="s">
        <v>128</v>
      </c>
      <c r="W11">
        <v>8</v>
      </c>
      <c r="X11">
        <v>4</v>
      </c>
      <c r="Y11">
        <v>0.03</v>
      </c>
      <c r="Z11">
        <v>71</v>
      </c>
      <c r="AA11">
        <v>0.4</v>
      </c>
      <c r="AB11">
        <v>0.4</v>
      </c>
      <c r="AC11">
        <v>17.95</v>
      </c>
      <c r="AE11" s="21">
        <v>119.60061562918311</v>
      </c>
      <c r="AG11">
        <v>0</v>
      </c>
      <c r="AH11">
        <v>86.11</v>
      </c>
      <c r="AI11">
        <v>51</v>
      </c>
      <c r="AJ11">
        <v>1</v>
      </c>
    </row>
    <row r="12" spans="2:36" x14ac:dyDescent="0.3">
      <c r="B12">
        <v>1140</v>
      </c>
      <c r="D12">
        <v>302.5</v>
      </c>
      <c r="F12">
        <v>50.2</v>
      </c>
      <c r="H12">
        <v>10</v>
      </c>
      <c r="I12">
        <v>89</v>
      </c>
      <c r="K12">
        <v>10</v>
      </c>
      <c r="L12">
        <v>33</v>
      </c>
      <c r="N12">
        <v>1178.55</v>
      </c>
      <c r="P12">
        <v>10</v>
      </c>
      <c r="Q12">
        <v>25.007017000000001</v>
      </c>
      <c r="S12">
        <v>10</v>
      </c>
      <c r="T12">
        <v>119</v>
      </c>
      <c r="V12" t="s">
        <v>129</v>
      </c>
      <c r="W12">
        <v>2</v>
      </c>
      <c r="X12">
        <v>2</v>
      </c>
      <c r="Y12">
        <v>0.18</v>
      </c>
      <c r="Z12">
        <v>112</v>
      </c>
      <c r="AA12">
        <v>2.6</v>
      </c>
      <c r="AB12">
        <v>50.2</v>
      </c>
      <c r="AC12">
        <v>0.1</v>
      </c>
      <c r="AE12" s="21">
        <v>115.75388729149387</v>
      </c>
      <c r="AG12">
        <v>0</v>
      </c>
      <c r="AH12">
        <v>62.223999999999997</v>
      </c>
      <c r="AI12">
        <v>52</v>
      </c>
      <c r="AJ12">
        <v>2</v>
      </c>
    </row>
    <row r="13" spans="2:36" x14ac:dyDescent="0.3">
      <c r="B13">
        <v>995</v>
      </c>
      <c r="D13">
        <v>302.45</v>
      </c>
      <c r="F13">
        <v>62.9</v>
      </c>
      <c r="H13">
        <v>11</v>
      </c>
      <c r="I13">
        <v>91</v>
      </c>
      <c r="K13">
        <v>11</v>
      </c>
      <c r="L13">
        <v>99</v>
      </c>
      <c r="N13">
        <v>1327.99</v>
      </c>
      <c r="P13">
        <v>11</v>
      </c>
      <c r="Q13">
        <v>30.72223</v>
      </c>
      <c r="S13">
        <v>11</v>
      </c>
      <c r="T13">
        <v>104</v>
      </c>
      <c r="V13" t="s">
        <v>130</v>
      </c>
      <c r="W13">
        <v>97</v>
      </c>
      <c r="X13">
        <v>26</v>
      </c>
      <c r="Y13">
        <v>58.27</v>
      </c>
      <c r="Z13">
        <v>198</v>
      </c>
      <c r="AA13">
        <v>1.1000000000000001</v>
      </c>
      <c r="AB13">
        <v>88.3</v>
      </c>
      <c r="AC13">
        <v>0.56999999999999995</v>
      </c>
      <c r="AE13" s="21">
        <v>108.1459323527514</v>
      </c>
      <c r="AG13">
        <v>0</v>
      </c>
      <c r="AH13">
        <v>86.864000000000004</v>
      </c>
      <c r="AI13">
        <v>52</v>
      </c>
      <c r="AJ13">
        <v>1</v>
      </c>
    </row>
    <row r="14" spans="2:36" x14ac:dyDescent="0.3">
      <c r="B14">
        <v>935</v>
      </c>
      <c r="D14">
        <v>305.8</v>
      </c>
      <c r="F14">
        <v>76</v>
      </c>
      <c r="H14">
        <v>12</v>
      </c>
      <c r="I14">
        <v>99</v>
      </c>
      <c r="K14">
        <v>12</v>
      </c>
      <c r="L14">
        <v>109</v>
      </c>
      <c r="N14">
        <v>1793.1</v>
      </c>
      <c r="P14">
        <v>12</v>
      </c>
      <c r="Q14">
        <v>28.693759</v>
      </c>
      <c r="S14">
        <v>12</v>
      </c>
      <c r="T14">
        <v>118</v>
      </c>
      <c r="V14" t="s">
        <v>131</v>
      </c>
      <c r="W14">
        <v>93</v>
      </c>
      <c r="X14">
        <v>35</v>
      </c>
      <c r="Y14">
        <v>634.49</v>
      </c>
      <c r="Z14">
        <v>1494</v>
      </c>
      <c r="AA14">
        <v>4.3</v>
      </c>
      <c r="AB14">
        <v>95.3</v>
      </c>
      <c r="AC14">
        <v>4669.32</v>
      </c>
      <c r="AE14" s="21">
        <v>110.96292941434531</v>
      </c>
      <c r="AG14">
        <v>0</v>
      </c>
      <c r="AH14">
        <v>91.352999999999994</v>
      </c>
      <c r="AI14">
        <v>55</v>
      </c>
      <c r="AJ14">
        <v>1</v>
      </c>
    </row>
    <row r="15" spans="2:36" x14ac:dyDescent="0.3">
      <c r="B15">
        <v>1110</v>
      </c>
      <c r="D15">
        <v>306.89999999999998</v>
      </c>
      <c r="F15">
        <v>92</v>
      </c>
      <c r="H15">
        <v>13</v>
      </c>
      <c r="I15">
        <v>104</v>
      </c>
      <c r="K15">
        <v>13</v>
      </c>
      <c r="L15">
        <v>140</v>
      </c>
      <c r="N15">
        <v>2277.52</v>
      </c>
      <c r="P15">
        <v>13</v>
      </c>
      <c r="Q15">
        <v>36.640985999999998</v>
      </c>
      <c r="S15">
        <v>13</v>
      </c>
      <c r="T15">
        <v>115</v>
      </c>
      <c r="V15" t="s">
        <v>132</v>
      </c>
      <c r="W15">
        <v>58</v>
      </c>
      <c r="X15">
        <v>17</v>
      </c>
      <c r="Y15">
        <v>0.56999999999999995</v>
      </c>
      <c r="Z15">
        <v>49</v>
      </c>
      <c r="AA15">
        <v>1.1000000000000001</v>
      </c>
      <c r="AB15">
        <v>93.1</v>
      </c>
      <c r="AC15">
        <v>58.27</v>
      </c>
      <c r="AE15" s="21">
        <v>113.24495065834257</v>
      </c>
      <c r="AG15">
        <v>1</v>
      </c>
      <c r="AH15">
        <v>71.891000000000005</v>
      </c>
      <c r="AI15">
        <v>49</v>
      </c>
      <c r="AJ15">
        <v>2</v>
      </c>
    </row>
    <row r="16" spans="2:36" x14ac:dyDescent="0.3">
      <c r="B16">
        <v>994</v>
      </c>
      <c r="D16">
        <v>307</v>
      </c>
      <c r="F16">
        <v>105.7</v>
      </c>
      <c r="H16">
        <v>14</v>
      </c>
      <c r="I16">
        <v>112</v>
      </c>
      <c r="K16">
        <v>14</v>
      </c>
      <c r="L16">
        <v>51</v>
      </c>
      <c r="N16">
        <v>2061.4699999999998</v>
      </c>
      <c r="P16">
        <v>14</v>
      </c>
      <c r="Q16">
        <v>23.824608999999999</v>
      </c>
      <c r="S16">
        <v>14</v>
      </c>
      <c r="T16">
        <v>126</v>
      </c>
      <c r="V16" t="s">
        <v>133</v>
      </c>
      <c r="W16">
        <v>5</v>
      </c>
      <c r="X16">
        <v>4</v>
      </c>
      <c r="Y16">
        <v>0.78</v>
      </c>
      <c r="Z16">
        <v>227</v>
      </c>
      <c r="AA16">
        <v>4.5999999999999996</v>
      </c>
      <c r="AB16">
        <v>62.2</v>
      </c>
      <c r="AC16">
        <v>0.21</v>
      </c>
      <c r="AE16" s="21">
        <v>102.10173545572339</v>
      </c>
      <c r="AG16">
        <v>0</v>
      </c>
      <c r="AH16">
        <v>98.811999999999998</v>
      </c>
      <c r="AI16">
        <v>54</v>
      </c>
      <c r="AJ16">
        <v>1</v>
      </c>
    </row>
    <row r="17" spans="2:36" x14ac:dyDescent="0.3">
      <c r="B17">
        <v>1020</v>
      </c>
      <c r="D17">
        <v>306.85000000000002</v>
      </c>
      <c r="F17">
        <v>122.8</v>
      </c>
      <c r="H17">
        <v>15</v>
      </c>
      <c r="I17">
        <v>126</v>
      </c>
      <c r="K17">
        <v>15</v>
      </c>
      <c r="L17">
        <v>200</v>
      </c>
      <c r="N17">
        <v>2510.5700000000002</v>
      </c>
      <c r="P17">
        <v>15</v>
      </c>
      <c r="Q17">
        <v>29.311682999999999</v>
      </c>
      <c r="S17">
        <v>15</v>
      </c>
      <c r="T17">
        <v>141</v>
      </c>
      <c r="V17" t="s">
        <v>134</v>
      </c>
      <c r="W17">
        <v>40</v>
      </c>
      <c r="X17">
        <v>19</v>
      </c>
      <c r="Y17">
        <v>17.350000000000001</v>
      </c>
      <c r="Z17">
        <v>76</v>
      </c>
      <c r="AA17">
        <v>47.4</v>
      </c>
      <c r="AB17">
        <v>92.2</v>
      </c>
      <c r="AC17">
        <v>129.49</v>
      </c>
      <c r="AE17" s="21">
        <v>113.51276258544792</v>
      </c>
      <c r="AG17">
        <v>1</v>
      </c>
      <c r="AH17">
        <v>98.216999999999999</v>
      </c>
      <c r="AI17">
        <v>55</v>
      </c>
      <c r="AJ17">
        <v>1</v>
      </c>
    </row>
    <row r="18" spans="2:36" x14ac:dyDescent="0.3">
      <c r="B18">
        <v>960</v>
      </c>
      <c r="D18">
        <v>302.14999999999998</v>
      </c>
      <c r="F18">
        <v>131.69999999999999</v>
      </c>
      <c r="H18">
        <v>16</v>
      </c>
      <c r="I18">
        <v>138</v>
      </c>
      <c r="K18">
        <v>16</v>
      </c>
      <c r="L18">
        <v>178</v>
      </c>
      <c r="N18">
        <v>2679.46</v>
      </c>
      <c r="P18">
        <v>16</v>
      </c>
      <c r="Q18">
        <v>31.770309000000001</v>
      </c>
      <c r="S18">
        <v>16</v>
      </c>
      <c r="T18">
        <v>135</v>
      </c>
      <c r="V18" t="s">
        <v>135</v>
      </c>
      <c r="W18">
        <v>347</v>
      </c>
      <c r="X18">
        <v>89</v>
      </c>
      <c r="Y18">
        <v>4669.32</v>
      </c>
      <c r="Z18">
        <v>1707</v>
      </c>
      <c r="AA18">
        <v>0.7</v>
      </c>
      <c r="AB18">
        <v>28.1</v>
      </c>
      <c r="AC18">
        <v>634.49</v>
      </c>
      <c r="AE18" s="21">
        <v>117.59963548035714</v>
      </c>
      <c r="AG18">
        <v>0</v>
      </c>
      <c r="AH18">
        <v>99.677999999999997</v>
      </c>
      <c r="AI18">
        <v>53</v>
      </c>
      <c r="AJ18">
        <v>1</v>
      </c>
    </row>
    <row r="19" spans="2:36" x14ac:dyDescent="0.3">
      <c r="B19">
        <v>1180</v>
      </c>
      <c r="D19">
        <v>301.89999999999998</v>
      </c>
      <c r="F19">
        <v>151.30000000000001</v>
      </c>
      <c r="H19">
        <v>17</v>
      </c>
      <c r="I19">
        <v>146</v>
      </c>
      <c r="K19">
        <v>17</v>
      </c>
      <c r="L19">
        <v>138</v>
      </c>
      <c r="N19">
        <v>2928.95</v>
      </c>
      <c r="P19">
        <v>17</v>
      </c>
      <c r="Q19">
        <v>35.177877000000002</v>
      </c>
      <c r="S19">
        <v>17</v>
      </c>
      <c r="T19">
        <v>125</v>
      </c>
      <c r="V19" t="s">
        <v>136</v>
      </c>
      <c r="W19">
        <v>51</v>
      </c>
      <c r="X19">
        <v>23</v>
      </c>
      <c r="Y19">
        <v>129.49</v>
      </c>
      <c r="Z19">
        <v>343</v>
      </c>
      <c r="AA19">
        <v>29.1</v>
      </c>
      <c r="AB19">
        <v>85.9</v>
      </c>
      <c r="AC19">
        <v>59.56</v>
      </c>
      <c r="AE19" s="21">
        <v>101.34340836746375</v>
      </c>
      <c r="AG19">
        <v>0</v>
      </c>
      <c r="AH19">
        <v>86.921999999999997</v>
      </c>
      <c r="AI19">
        <v>44</v>
      </c>
      <c r="AJ19">
        <v>2</v>
      </c>
    </row>
    <row r="20" spans="2:36" x14ac:dyDescent="0.3">
      <c r="B20">
        <v>799</v>
      </c>
      <c r="D20">
        <v>299.25</v>
      </c>
      <c r="F20">
        <v>179.3</v>
      </c>
      <c r="H20">
        <v>18</v>
      </c>
      <c r="I20">
        <v>151</v>
      </c>
      <c r="K20">
        <v>18</v>
      </c>
      <c r="L20">
        <v>134</v>
      </c>
      <c r="N20">
        <v>3284.12</v>
      </c>
      <c r="P20">
        <v>18</v>
      </c>
      <c r="Q20">
        <v>19.775244000000001</v>
      </c>
      <c r="S20">
        <v>18</v>
      </c>
      <c r="T20">
        <v>149</v>
      </c>
      <c r="V20" t="s">
        <v>137</v>
      </c>
      <c r="W20">
        <v>2</v>
      </c>
      <c r="X20">
        <v>2</v>
      </c>
      <c r="Y20">
        <v>0.01</v>
      </c>
      <c r="Z20">
        <v>25</v>
      </c>
      <c r="AA20">
        <v>3.3</v>
      </c>
      <c r="AB20">
        <v>45.9</v>
      </c>
      <c r="AC20">
        <v>0.1</v>
      </c>
      <c r="AE20" s="21">
        <v>94.418734018227198</v>
      </c>
      <c r="AG20">
        <v>0</v>
      </c>
      <c r="AH20">
        <v>80.150999999999996</v>
      </c>
      <c r="AI20">
        <v>54</v>
      </c>
      <c r="AJ20">
        <v>2</v>
      </c>
    </row>
    <row r="21" spans="2:36" x14ac:dyDescent="0.3">
      <c r="B21">
        <v>958</v>
      </c>
      <c r="D21">
        <v>298.60000000000002</v>
      </c>
      <c r="F21">
        <v>203.2</v>
      </c>
      <c r="H21">
        <v>19</v>
      </c>
      <c r="I21">
        <v>150</v>
      </c>
      <c r="K21">
        <v>19</v>
      </c>
      <c r="L21">
        <v>165</v>
      </c>
      <c r="N21">
        <v>3524.85</v>
      </c>
      <c r="P21">
        <v>19</v>
      </c>
      <c r="Q21">
        <v>29.601749999999999</v>
      </c>
      <c r="S21">
        <v>19</v>
      </c>
      <c r="T21">
        <v>170</v>
      </c>
      <c r="V21" t="s">
        <v>138</v>
      </c>
      <c r="W21">
        <v>104</v>
      </c>
      <c r="X21">
        <v>37</v>
      </c>
      <c r="Y21">
        <v>59.56</v>
      </c>
      <c r="Z21">
        <v>777</v>
      </c>
      <c r="AA21">
        <v>29.1</v>
      </c>
      <c r="AB21">
        <v>119.6</v>
      </c>
      <c r="AC21">
        <v>129.49</v>
      </c>
      <c r="AE21" s="21">
        <v>112.22617802852734</v>
      </c>
      <c r="AG21">
        <v>0</v>
      </c>
      <c r="AH21">
        <v>107.13500000000001</v>
      </c>
      <c r="AI21">
        <v>53</v>
      </c>
      <c r="AJ21">
        <v>1</v>
      </c>
    </row>
    <row r="22" spans="2:36" x14ac:dyDescent="0.3">
      <c r="B22">
        <v>1140</v>
      </c>
      <c r="D22">
        <v>303.5</v>
      </c>
      <c r="H22">
        <v>20</v>
      </c>
      <c r="I22">
        <v>148</v>
      </c>
      <c r="K22">
        <v>20</v>
      </c>
      <c r="L22">
        <v>132</v>
      </c>
      <c r="N22">
        <v>3797.93</v>
      </c>
      <c r="P22">
        <v>20</v>
      </c>
      <c r="Q22">
        <v>34.538842000000002</v>
      </c>
      <c r="S22">
        <v>20</v>
      </c>
      <c r="T22">
        <v>170</v>
      </c>
      <c r="V22" t="s">
        <v>139</v>
      </c>
      <c r="W22">
        <v>108</v>
      </c>
      <c r="X22">
        <v>33</v>
      </c>
      <c r="Y22">
        <v>17.95</v>
      </c>
      <c r="Z22">
        <v>458</v>
      </c>
      <c r="AA22">
        <v>10.7</v>
      </c>
      <c r="AB22">
        <v>10.7</v>
      </c>
      <c r="AC22">
        <v>0.03</v>
      </c>
      <c r="AE22" s="21">
        <v>113.36319780653764</v>
      </c>
      <c r="AG22">
        <v>0</v>
      </c>
      <c r="AH22">
        <v>106.304</v>
      </c>
      <c r="AI22">
        <v>56</v>
      </c>
      <c r="AJ22">
        <v>1</v>
      </c>
    </row>
    <row r="23" spans="2:36" x14ac:dyDescent="0.3">
      <c r="B23">
        <v>1100</v>
      </c>
      <c r="D23">
        <v>303</v>
      </c>
      <c r="H23">
        <v>21</v>
      </c>
      <c r="I23">
        <v>147</v>
      </c>
      <c r="K23">
        <v>21</v>
      </c>
      <c r="L23">
        <v>142</v>
      </c>
      <c r="N23">
        <v>4494.2700000000004</v>
      </c>
      <c r="P23">
        <v>21</v>
      </c>
      <c r="Q23">
        <v>41.273598999999997</v>
      </c>
      <c r="S23">
        <v>21</v>
      </c>
      <c r="T23">
        <v>158</v>
      </c>
      <c r="V23" t="s">
        <v>140</v>
      </c>
      <c r="W23">
        <v>12</v>
      </c>
      <c r="X23">
        <v>9</v>
      </c>
      <c r="Y23">
        <v>0.23</v>
      </c>
      <c r="Z23">
        <v>94</v>
      </c>
      <c r="AA23">
        <v>0.5</v>
      </c>
      <c r="AB23">
        <v>0.6</v>
      </c>
      <c r="AC23">
        <v>25.09</v>
      </c>
      <c r="AE23" s="21">
        <v>122.54535551176068</v>
      </c>
      <c r="AG23">
        <v>1</v>
      </c>
      <c r="AH23">
        <v>85.361000000000004</v>
      </c>
      <c r="AI23">
        <v>57</v>
      </c>
      <c r="AJ23">
        <v>2</v>
      </c>
    </row>
    <row r="24" spans="2:36" x14ac:dyDescent="0.3">
      <c r="B24">
        <v>1210</v>
      </c>
      <c r="D24">
        <v>304.89999999999998</v>
      </c>
      <c r="H24">
        <v>22</v>
      </c>
      <c r="I24">
        <v>149</v>
      </c>
      <c r="N24">
        <v>5741.95</v>
      </c>
      <c r="P24">
        <v>22</v>
      </c>
      <c r="Q24">
        <v>26.655861999999999</v>
      </c>
      <c r="S24">
        <v>22</v>
      </c>
      <c r="T24">
        <v>133</v>
      </c>
      <c r="V24" t="s">
        <v>141</v>
      </c>
      <c r="W24">
        <v>70</v>
      </c>
      <c r="X24">
        <v>30</v>
      </c>
      <c r="Y24">
        <v>4.8899999999999997</v>
      </c>
      <c r="Z24">
        <v>367</v>
      </c>
      <c r="AA24">
        <v>4.4000000000000004</v>
      </c>
      <c r="AB24">
        <v>24.4</v>
      </c>
      <c r="AC24">
        <v>572.33000000000004</v>
      </c>
      <c r="AE24" s="21">
        <v>117.66423795893876</v>
      </c>
      <c r="AG24">
        <v>0</v>
      </c>
      <c r="AH24">
        <v>93.09</v>
      </c>
      <c r="AI24">
        <v>51</v>
      </c>
      <c r="AJ24">
        <v>2</v>
      </c>
    </row>
    <row r="25" spans="2:36" x14ac:dyDescent="0.3">
      <c r="B25">
        <v>1150</v>
      </c>
      <c r="D25">
        <v>304.8</v>
      </c>
      <c r="H25">
        <v>23</v>
      </c>
      <c r="I25">
        <v>143</v>
      </c>
      <c r="N25">
        <v>6449.15</v>
      </c>
      <c r="P25">
        <v>23</v>
      </c>
      <c r="Q25">
        <v>28.279858999999998</v>
      </c>
      <c r="S25">
        <v>23</v>
      </c>
      <c r="T25">
        <v>114</v>
      </c>
      <c r="V25" t="s">
        <v>142</v>
      </c>
      <c r="W25">
        <v>280</v>
      </c>
      <c r="X25">
        <v>65</v>
      </c>
      <c r="Y25">
        <v>551.62</v>
      </c>
      <c r="Z25">
        <v>716</v>
      </c>
      <c r="AA25">
        <v>45.2</v>
      </c>
      <c r="AB25">
        <v>66.599999999999994</v>
      </c>
      <c r="AC25">
        <v>0.56999999999999995</v>
      </c>
      <c r="AE25" s="21">
        <v>108.23991357952055</v>
      </c>
      <c r="AG25">
        <v>0</v>
      </c>
      <c r="AH25">
        <v>93.83</v>
      </c>
      <c r="AI25">
        <v>53</v>
      </c>
      <c r="AJ25">
        <v>2</v>
      </c>
    </row>
    <row r="26" spans="2:36" x14ac:dyDescent="0.3">
      <c r="B26">
        <v>1250</v>
      </c>
      <c r="D26">
        <v>301.25</v>
      </c>
      <c r="H26">
        <v>24</v>
      </c>
      <c r="I26">
        <v>132</v>
      </c>
      <c r="N26">
        <v>7638.72</v>
      </c>
      <c r="P26">
        <v>24</v>
      </c>
      <c r="Q26">
        <v>35.191153</v>
      </c>
      <c r="S26">
        <v>24</v>
      </c>
      <c r="T26">
        <v>140</v>
      </c>
      <c r="V26" t="s">
        <v>143</v>
      </c>
      <c r="W26">
        <v>237</v>
      </c>
      <c r="X26">
        <v>81</v>
      </c>
      <c r="Y26">
        <v>572.33000000000004</v>
      </c>
      <c r="Z26">
        <v>906</v>
      </c>
      <c r="AA26">
        <v>0.2</v>
      </c>
      <c r="AB26">
        <v>19.8</v>
      </c>
      <c r="AC26">
        <v>4.8899999999999997</v>
      </c>
      <c r="AE26" s="21">
        <v>108.22563216606954</v>
      </c>
      <c r="AG26">
        <v>1</v>
      </c>
      <c r="AH26">
        <v>120.087</v>
      </c>
      <c r="AI26">
        <v>51</v>
      </c>
      <c r="AJ26">
        <v>1</v>
      </c>
    </row>
    <row r="27" spans="2:36" x14ac:dyDescent="0.3">
      <c r="B27">
        <v>1260</v>
      </c>
      <c r="D27">
        <v>301.75</v>
      </c>
      <c r="H27">
        <v>25</v>
      </c>
      <c r="I27">
        <v>131</v>
      </c>
      <c r="N27">
        <v>7473.46</v>
      </c>
      <c r="P27">
        <v>25</v>
      </c>
      <c r="Q27">
        <v>42.205663860000001</v>
      </c>
      <c r="S27">
        <v>25</v>
      </c>
      <c r="T27">
        <v>145</v>
      </c>
      <c r="V27" t="s">
        <v>144</v>
      </c>
      <c r="W27">
        <v>444</v>
      </c>
      <c r="X27">
        <v>95</v>
      </c>
      <c r="Y27">
        <v>903.82</v>
      </c>
      <c r="Z27">
        <v>864</v>
      </c>
      <c r="AA27">
        <v>0.6</v>
      </c>
      <c r="AB27">
        <v>0</v>
      </c>
      <c r="AC27">
        <v>0.52</v>
      </c>
      <c r="AE27" s="21">
        <v>113.16547821687877</v>
      </c>
      <c r="AG27">
        <v>1</v>
      </c>
      <c r="AH27">
        <v>95.087000000000003</v>
      </c>
      <c r="AI27">
        <v>55</v>
      </c>
      <c r="AJ27">
        <v>2</v>
      </c>
    </row>
    <row r="28" spans="2:36" x14ac:dyDescent="0.3">
      <c r="B28">
        <v>1220</v>
      </c>
      <c r="D28">
        <v>303.45</v>
      </c>
      <c r="H28">
        <v>26</v>
      </c>
      <c r="I28">
        <v>139</v>
      </c>
      <c r="N28">
        <v>7731.15</v>
      </c>
      <c r="P28">
        <v>26</v>
      </c>
      <c r="Q28">
        <v>24.649171330000001</v>
      </c>
      <c r="S28">
        <v>26</v>
      </c>
      <c r="T28">
        <v>150</v>
      </c>
      <c r="V28" t="s">
        <v>145</v>
      </c>
      <c r="W28">
        <v>62</v>
      </c>
      <c r="X28">
        <v>28</v>
      </c>
      <c r="Y28">
        <v>24.08</v>
      </c>
      <c r="Z28">
        <v>259</v>
      </c>
      <c r="AA28">
        <v>16.5</v>
      </c>
      <c r="AB28">
        <v>16.5</v>
      </c>
      <c r="AC28">
        <v>0.52</v>
      </c>
      <c r="AE28" s="21">
        <v>117.44826364930336</v>
      </c>
      <c r="AG28">
        <v>1</v>
      </c>
      <c r="AH28">
        <v>117.836</v>
      </c>
      <c r="AI28">
        <v>59</v>
      </c>
      <c r="AJ28">
        <v>1</v>
      </c>
    </row>
    <row r="29" spans="2:36" x14ac:dyDescent="0.3">
      <c r="B29">
        <v>1030</v>
      </c>
      <c r="D29">
        <v>302.5</v>
      </c>
      <c r="H29">
        <v>27</v>
      </c>
      <c r="I29">
        <v>147</v>
      </c>
      <c r="N29">
        <v>7608.86</v>
      </c>
      <c r="P29">
        <v>27</v>
      </c>
      <c r="Q29">
        <v>32.667335139999999</v>
      </c>
      <c r="S29">
        <v>27</v>
      </c>
      <c r="T29">
        <v>178</v>
      </c>
      <c r="V29" t="s">
        <v>146</v>
      </c>
      <c r="W29">
        <v>285</v>
      </c>
      <c r="X29">
        <v>73</v>
      </c>
      <c r="Y29">
        <v>170.92</v>
      </c>
      <c r="Z29">
        <v>640</v>
      </c>
      <c r="AA29">
        <v>2.6</v>
      </c>
      <c r="AB29">
        <v>49.2</v>
      </c>
      <c r="AC29">
        <v>0.1</v>
      </c>
      <c r="AE29" s="21">
        <v>114.35107161038742</v>
      </c>
      <c r="AG29">
        <v>1</v>
      </c>
      <c r="AH29">
        <v>101.788</v>
      </c>
      <c r="AI29">
        <v>47</v>
      </c>
      <c r="AJ29">
        <v>2</v>
      </c>
    </row>
    <row r="30" spans="2:36" x14ac:dyDescent="0.3">
      <c r="B30">
        <v>1100</v>
      </c>
      <c r="D30">
        <v>300.60000000000002</v>
      </c>
      <c r="H30">
        <v>28</v>
      </c>
      <c r="I30">
        <v>150</v>
      </c>
      <c r="N30">
        <v>8214.85</v>
      </c>
      <c r="P30">
        <v>28</v>
      </c>
      <c r="Q30">
        <v>37.25735401</v>
      </c>
      <c r="S30">
        <v>28</v>
      </c>
      <c r="T30">
        <v>163</v>
      </c>
      <c r="V30" t="s">
        <v>147</v>
      </c>
      <c r="W30">
        <v>44</v>
      </c>
      <c r="X30">
        <v>16</v>
      </c>
      <c r="Y30">
        <v>1.84</v>
      </c>
      <c r="Z30">
        <v>147</v>
      </c>
      <c r="AA30">
        <v>0.6</v>
      </c>
      <c r="AB30">
        <v>9.6</v>
      </c>
      <c r="AC30">
        <v>25.09</v>
      </c>
      <c r="AE30" s="21">
        <v>107.83465340957744</v>
      </c>
      <c r="AG30">
        <v>1</v>
      </c>
      <c r="AH30">
        <v>106.25</v>
      </c>
      <c r="AI30">
        <v>54</v>
      </c>
      <c r="AJ30">
        <v>2</v>
      </c>
    </row>
    <row r="31" spans="2:36" x14ac:dyDescent="0.3">
      <c r="B31">
        <v>774</v>
      </c>
      <c r="D31">
        <v>300</v>
      </c>
      <c r="H31">
        <v>29</v>
      </c>
      <c r="I31">
        <v>148</v>
      </c>
      <c r="N31">
        <v>8006.64</v>
      </c>
      <c r="P31">
        <v>29</v>
      </c>
      <c r="Q31">
        <v>45.242460270000002</v>
      </c>
      <c r="S31">
        <v>29</v>
      </c>
      <c r="T31">
        <v>172</v>
      </c>
      <c r="V31" t="s">
        <v>148</v>
      </c>
      <c r="W31">
        <v>16</v>
      </c>
      <c r="X31">
        <v>8</v>
      </c>
      <c r="Y31">
        <v>1.24</v>
      </c>
      <c r="Z31">
        <v>186</v>
      </c>
      <c r="AA31">
        <v>6.8</v>
      </c>
      <c r="AB31">
        <v>50.9</v>
      </c>
      <c r="AC31">
        <v>17.95</v>
      </c>
      <c r="AE31" s="21">
        <v>126.63979793933468</v>
      </c>
      <c r="AG31">
        <v>0</v>
      </c>
      <c r="AH31">
        <v>105.401</v>
      </c>
      <c r="AI31">
        <v>56</v>
      </c>
      <c r="AJ31">
        <v>2</v>
      </c>
    </row>
    <row r="32" spans="2:36" x14ac:dyDescent="0.3">
      <c r="B32">
        <v>840</v>
      </c>
      <c r="D32">
        <v>303.45</v>
      </c>
      <c r="H32">
        <v>30</v>
      </c>
      <c r="I32">
        <v>145</v>
      </c>
      <c r="N32">
        <v>8315.51</v>
      </c>
      <c r="P32">
        <v>30</v>
      </c>
      <c r="Q32">
        <v>29.35048127</v>
      </c>
      <c r="S32">
        <v>30</v>
      </c>
      <c r="T32">
        <v>178</v>
      </c>
      <c r="V32" t="s">
        <v>149</v>
      </c>
      <c r="W32">
        <v>21</v>
      </c>
      <c r="X32">
        <v>12</v>
      </c>
      <c r="Y32">
        <v>2.85</v>
      </c>
      <c r="Z32">
        <v>253</v>
      </c>
      <c r="AA32">
        <v>34.1</v>
      </c>
      <c r="AB32">
        <v>254.7</v>
      </c>
      <c r="AC32">
        <v>2.33</v>
      </c>
      <c r="AE32" s="21">
        <v>121.91707488895689</v>
      </c>
      <c r="AG32">
        <v>1</v>
      </c>
      <c r="AH32">
        <v>109.55200000000001</v>
      </c>
      <c r="AI32">
        <v>51</v>
      </c>
      <c r="AJ32">
        <v>2</v>
      </c>
    </row>
    <row r="33" spans="2:36" x14ac:dyDescent="0.3">
      <c r="B33">
        <v>874</v>
      </c>
      <c r="D33">
        <v>302.8</v>
      </c>
      <c r="H33">
        <v>31</v>
      </c>
      <c r="I33">
        <v>140</v>
      </c>
      <c r="N33">
        <v>8546.66</v>
      </c>
      <c r="P33">
        <v>31</v>
      </c>
      <c r="Q33">
        <v>36.344207279999999</v>
      </c>
      <c r="S33">
        <v>31</v>
      </c>
      <c r="T33">
        <v>199</v>
      </c>
      <c r="AE33" s="21">
        <v>111.76847127438168</v>
      </c>
      <c r="AG33">
        <v>1</v>
      </c>
      <c r="AH33">
        <v>108.887</v>
      </c>
      <c r="AI33">
        <v>58</v>
      </c>
      <c r="AJ33">
        <v>2</v>
      </c>
    </row>
    <row r="34" spans="2:36" x14ac:dyDescent="0.3">
      <c r="B34">
        <v>694</v>
      </c>
      <c r="D34">
        <v>303.39999999999998</v>
      </c>
      <c r="H34">
        <v>32</v>
      </c>
      <c r="I34">
        <v>134</v>
      </c>
      <c r="N34">
        <v>9408.75</v>
      </c>
      <c r="P34">
        <v>32</v>
      </c>
      <c r="Q34">
        <v>41.782081359999999</v>
      </c>
      <c r="S34">
        <v>32</v>
      </c>
      <c r="T34">
        <v>199</v>
      </c>
      <c r="AE34" s="21">
        <v>116.34219302568984</v>
      </c>
      <c r="AG34">
        <v>1</v>
      </c>
      <c r="AH34">
        <v>120.134</v>
      </c>
      <c r="AI34">
        <v>53</v>
      </c>
      <c r="AJ34">
        <v>2</v>
      </c>
    </row>
    <row r="35" spans="2:36" x14ac:dyDescent="0.3">
      <c r="B35">
        <v>940</v>
      </c>
      <c r="D35">
        <v>304.89999999999998</v>
      </c>
      <c r="H35">
        <v>33</v>
      </c>
      <c r="I35">
        <v>131</v>
      </c>
      <c r="N35">
        <v>9178.26</v>
      </c>
      <c r="P35">
        <v>33</v>
      </c>
      <c r="Q35">
        <v>49.27659843</v>
      </c>
      <c r="S35">
        <v>33</v>
      </c>
      <c r="T35">
        <v>184</v>
      </c>
      <c r="AE35" s="21">
        <v>133.59735425075155</v>
      </c>
      <c r="AG35">
        <v>0</v>
      </c>
      <c r="AH35">
        <v>129.46199999999999</v>
      </c>
      <c r="AI35">
        <v>46</v>
      </c>
      <c r="AJ35">
        <v>1</v>
      </c>
    </row>
    <row r="36" spans="2:36" x14ac:dyDescent="0.3">
      <c r="B36">
        <v>833</v>
      </c>
      <c r="D36">
        <v>304.95</v>
      </c>
      <c r="H36">
        <v>34</v>
      </c>
      <c r="I36">
        <v>131</v>
      </c>
      <c r="P36">
        <v>34</v>
      </c>
      <c r="Q36">
        <v>31.275401389999999</v>
      </c>
      <c r="S36">
        <v>34</v>
      </c>
      <c r="T36">
        <v>162</v>
      </c>
      <c r="AE36" s="21">
        <v>134.42371509249278</v>
      </c>
      <c r="AG36">
        <v>1</v>
      </c>
      <c r="AH36">
        <v>138.012</v>
      </c>
      <c r="AI36">
        <v>41</v>
      </c>
      <c r="AJ36">
        <v>2</v>
      </c>
    </row>
    <row r="37" spans="2:36" x14ac:dyDescent="0.3">
      <c r="B37">
        <v>701</v>
      </c>
      <c r="D37">
        <v>302.89999999999998</v>
      </c>
      <c r="H37">
        <v>35</v>
      </c>
      <c r="I37">
        <v>129</v>
      </c>
      <c r="P37">
        <v>35</v>
      </c>
      <c r="Q37">
        <v>37.850625489999999</v>
      </c>
      <c r="S37">
        <v>35</v>
      </c>
      <c r="T37">
        <v>146</v>
      </c>
      <c r="AE37" s="21">
        <v>130.79268408149582</v>
      </c>
      <c r="AG37">
        <v>1</v>
      </c>
      <c r="AH37">
        <v>133.96299999999999</v>
      </c>
      <c r="AI37">
        <v>48</v>
      </c>
      <c r="AJ37">
        <v>1</v>
      </c>
    </row>
    <row r="38" spans="2:36" x14ac:dyDescent="0.3">
      <c r="B38">
        <v>916</v>
      </c>
      <c r="D38">
        <v>302.85000000000002</v>
      </c>
      <c r="H38">
        <v>36</v>
      </c>
      <c r="I38">
        <v>126</v>
      </c>
      <c r="P38">
        <v>36</v>
      </c>
      <c r="Q38">
        <v>38.837044130000002</v>
      </c>
      <c r="S38">
        <v>36</v>
      </c>
      <c r="T38">
        <v>166</v>
      </c>
      <c r="AE38" s="21">
        <v>133.69720367666622</v>
      </c>
      <c r="AG38">
        <v>1</v>
      </c>
      <c r="AH38">
        <v>136.386</v>
      </c>
      <c r="AI38">
        <v>43</v>
      </c>
      <c r="AJ38">
        <v>2</v>
      </c>
    </row>
    <row r="39" spans="2:36" x14ac:dyDescent="0.3">
      <c r="B39">
        <v>692</v>
      </c>
      <c r="D39">
        <v>302</v>
      </c>
      <c r="H39">
        <v>37</v>
      </c>
      <c r="I39">
        <v>126</v>
      </c>
      <c r="P39">
        <v>37</v>
      </c>
      <c r="Q39">
        <v>51.236900339999998</v>
      </c>
      <c r="S39">
        <v>37</v>
      </c>
      <c r="T39">
        <v>171</v>
      </c>
      <c r="AE39" s="21">
        <v>127.55353870819636</v>
      </c>
    </row>
    <row r="40" spans="2:36" x14ac:dyDescent="0.3">
      <c r="B40">
        <v>1020</v>
      </c>
      <c r="D40">
        <v>298.8</v>
      </c>
      <c r="H40">
        <v>38</v>
      </c>
      <c r="I40">
        <v>132</v>
      </c>
      <c r="P40">
        <v>38</v>
      </c>
      <c r="Q40">
        <v>31.83855162</v>
      </c>
      <c r="S40">
        <v>38</v>
      </c>
      <c r="T40">
        <v>180</v>
      </c>
      <c r="AE40" s="21">
        <v>132.77393265679262</v>
      </c>
    </row>
    <row r="41" spans="2:36" x14ac:dyDescent="0.3">
      <c r="B41">
        <v>1050</v>
      </c>
      <c r="D41">
        <v>290</v>
      </c>
      <c r="H41">
        <v>39</v>
      </c>
      <c r="I41">
        <v>137</v>
      </c>
      <c r="P41">
        <v>39</v>
      </c>
      <c r="Q41">
        <v>41.323421260000003</v>
      </c>
      <c r="S41">
        <v>39</v>
      </c>
      <c r="T41">
        <v>193</v>
      </c>
      <c r="AE41" s="21">
        <v>138.81931269995454</v>
      </c>
    </row>
    <row r="42" spans="2:36" x14ac:dyDescent="0.3">
      <c r="B42">
        <v>969</v>
      </c>
      <c r="D42">
        <v>285</v>
      </c>
      <c r="H42">
        <v>40</v>
      </c>
      <c r="I42">
        <v>140</v>
      </c>
      <c r="P42">
        <v>40</v>
      </c>
      <c r="Q42">
        <v>42.799003370000001</v>
      </c>
      <c r="S42">
        <v>40</v>
      </c>
      <c r="T42">
        <v>181</v>
      </c>
      <c r="AE42" s="21">
        <v>133.23348093769877</v>
      </c>
    </row>
    <row r="43" spans="2:36" x14ac:dyDescent="0.3">
      <c r="B43">
        <v>831</v>
      </c>
      <c r="D43">
        <v>290.75</v>
      </c>
      <c r="H43">
        <v>41</v>
      </c>
      <c r="I43">
        <v>142</v>
      </c>
      <c r="P43">
        <v>41</v>
      </c>
      <c r="Q43">
        <v>55.708358359999998</v>
      </c>
      <c r="S43">
        <v>41</v>
      </c>
      <c r="T43">
        <v>183</v>
      </c>
      <c r="AE43" s="21">
        <v>121.02369692404856</v>
      </c>
    </row>
    <row r="44" spans="2:36" x14ac:dyDescent="0.3">
      <c r="B44">
        <v>726</v>
      </c>
      <c r="D44">
        <v>290.5</v>
      </c>
      <c r="H44">
        <v>42</v>
      </c>
      <c r="I44">
        <v>150</v>
      </c>
      <c r="P44">
        <v>42</v>
      </c>
      <c r="Q44">
        <v>33.40714492</v>
      </c>
      <c r="S44">
        <v>42</v>
      </c>
      <c r="T44">
        <v>218</v>
      </c>
      <c r="AE44" s="21">
        <v>129.59914532348267</v>
      </c>
    </row>
    <row r="45" spans="2:36" x14ac:dyDescent="0.3">
      <c r="B45">
        <v>456</v>
      </c>
      <c r="D45">
        <v>288.10000000000002</v>
      </c>
      <c r="H45">
        <v>43</v>
      </c>
      <c r="I45">
        <v>159</v>
      </c>
      <c r="P45">
        <v>43</v>
      </c>
      <c r="Q45">
        <v>42.316637970000002</v>
      </c>
      <c r="S45">
        <v>43</v>
      </c>
      <c r="T45">
        <v>230</v>
      </c>
      <c r="AE45" s="21">
        <v>132.83565006687212</v>
      </c>
    </row>
    <row r="46" spans="2:36" x14ac:dyDescent="0.3">
      <c r="B46">
        <v>824</v>
      </c>
      <c r="D46">
        <v>288.3</v>
      </c>
      <c r="H46">
        <v>44</v>
      </c>
      <c r="I46">
        <v>167</v>
      </c>
      <c r="P46">
        <v>44</v>
      </c>
      <c r="Q46">
        <v>45.157122569999999</v>
      </c>
      <c r="S46">
        <v>44</v>
      </c>
      <c r="T46">
        <v>242</v>
      </c>
      <c r="AE46" s="21">
        <v>130.21723290135554</v>
      </c>
    </row>
    <row r="47" spans="2:36" x14ac:dyDescent="0.3">
      <c r="B47">
        <v>702</v>
      </c>
      <c r="D47">
        <v>288.85000000000002</v>
      </c>
      <c r="H47">
        <v>45</v>
      </c>
      <c r="I47">
        <v>170</v>
      </c>
      <c r="P47">
        <v>45</v>
      </c>
      <c r="Q47">
        <v>59.576079960000001</v>
      </c>
      <c r="S47">
        <v>45</v>
      </c>
      <c r="T47">
        <v>209</v>
      </c>
      <c r="AE47" s="21">
        <v>127.44630923574098</v>
      </c>
    </row>
    <row r="48" spans="2:36" x14ac:dyDescent="0.3">
      <c r="B48">
        <v>1120</v>
      </c>
      <c r="D48">
        <v>286.7</v>
      </c>
      <c r="H48">
        <v>46</v>
      </c>
      <c r="I48">
        <v>171</v>
      </c>
      <c r="P48">
        <v>46</v>
      </c>
      <c r="Q48">
        <v>34.83733016</v>
      </c>
      <c r="S48">
        <v>46</v>
      </c>
      <c r="T48">
        <v>191</v>
      </c>
      <c r="AE48" s="21">
        <v>130.00040322164583</v>
      </c>
    </row>
    <row r="49" spans="2:31" x14ac:dyDescent="0.3">
      <c r="B49">
        <v>1100</v>
      </c>
      <c r="D49">
        <v>289.3</v>
      </c>
      <c r="H49">
        <v>47</v>
      </c>
      <c r="I49">
        <v>172</v>
      </c>
      <c r="P49">
        <v>47</v>
      </c>
      <c r="Q49">
        <v>44.841680719999999</v>
      </c>
      <c r="S49">
        <v>47</v>
      </c>
      <c r="T49">
        <v>172</v>
      </c>
      <c r="AE49" s="21">
        <v>125.78164564638354</v>
      </c>
    </row>
    <row r="50" spans="2:31" x14ac:dyDescent="0.3">
      <c r="B50">
        <v>832</v>
      </c>
      <c r="D50">
        <v>289</v>
      </c>
      <c r="H50">
        <v>48</v>
      </c>
      <c r="I50">
        <v>172</v>
      </c>
      <c r="P50">
        <v>48</v>
      </c>
      <c r="Q50">
        <v>46.9712496</v>
      </c>
      <c r="S50">
        <v>48</v>
      </c>
      <c r="T50">
        <v>194</v>
      </c>
      <c r="AE50" s="21">
        <v>121.34126793481467</v>
      </c>
    </row>
    <row r="51" spans="2:31" x14ac:dyDescent="0.3">
      <c r="B51">
        <v>764</v>
      </c>
      <c r="D51">
        <v>290.25</v>
      </c>
      <c r="H51">
        <v>49</v>
      </c>
      <c r="I51">
        <v>174</v>
      </c>
      <c r="P51">
        <v>49</v>
      </c>
      <c r="Q51">
        <v>60.01903094</v>
      </c>
      <c r="S51">
        <v>49</v>
      </c>
      <c r="T51">
        <v>196</v>
      </c>
      <c r="AE51" s="21">
        <v>101.8424847432793</v>
      </c>
    </row>
    <row r="52" spans="2:31" x14ac:dyDescent="0.3">
      <c r="B52">
        <v>821</v>
      </c>
      <c r="D52">
        <v>288.75</v>
      </c>
      <c r="H52">
        <v>50</v>
      </c>
      <c r="I52">
        <v>175</v>
      </c>
      <c r="P52">
        <v>50</v>
      </c>
      <c r="Q52">
        <v>38.37117851</v>
      </c>
      <c r="S52">
        <v>50</v>
      </c>
      <c r="T52">
        <v>196</v>
      </c>
      <c r="AE52" s="21">
        <v>99.740057431169205</v>
      </c>
    </row>
    <row r="53" spans="2:31" x14ac:dyDescent="0.3">
      <c r="B53">
        <v>768</v>
      </c>
      <c r="D53">
        <v>290.10000000000002</v>
      </c>
      <c r="H53">
        <v>51</v>
      </c>
      <c r="I53">
        <v>172</v>
      </c>
      <c r="P53">
        <v>51</v>
      </c>
      <c r="Q53">
        <v>46.975864129999998</v>
      </c>
      <c r="S53">
        <v>51</v>
      </c>
      <c r="T53">
        <v>236</v>
      </c>
      <c r="AE53" s="21">
        <v>106.15293681009403</v>
      </c>
    </row>
    <row r="54" spans="2:31" x14ac:dyDescent="0.3">
      <c r="B54">
        <v>845</v>
      </c>
      <c r="D54">
        <v>290.25</v>
      </c>
      <c r="H54">
        <v>52</v>
      </c>
      <c r="I54">
        <v>172</v>
      </c>
      <c r="P54">
        <v>52</v>
      </c>
      <c r="Q54">
        <v>50.733796460000001</v>
      </c>
      <c r="S54">
        <v>52</v>
      </c>
      <c r="T54">
        <v>235</v>
      </c>
      <c r="AE54" s="21">
        <v>102.4182895596909</v>
      </c>
    </row>
    <row r="55" spans="2:31" x14ac:dyDescent="0.3">
      <c r="B55">
        <v>864</v>
      </c>
      <c r="D55">
        <v>289.89999999999998</v>
      </c>
      <c r="H55">
        <v>53</v>
      </c>
      <c r="I55">
        <v>174</v>
      </c>
      <c r="P55">
        <v>53</v>
      </c>
      <c r="Q55">
        <v>61.646873190000001</v>
      </c>
      <c r="S55">
        <v>53</v>
      </c>
      <c r="T55">
        <v>229</v>
      </c>
      <c r="AE55" s="21">
        <v>101.05809856660912</v>
      </c>
    </row>
    <row r="56" spans="2:31" x14ac:dyDescent="0.3">
      <c r="B56">
        <v>862</v>
      </c>
      <c r="D56">
        <v>293.7</v>
      </c>
      <c r="H56">
        <v>54</v>
      </c>
      <c r="I56">
        <v>174</v>
      </c>
      <c r="P56">
        <v>54</v>
      </c>
      <c r="Q56">
        <v>39.29956937</v>
      </c>
      <c r="S56">
        <v>54</v>
      </c>
      <c r="T56">
        <v>243</v>
      </c>
      <c r="AE56" s="21">
        <v>99.646304612975783</v>
      </c>
    </row>
    <row r="57" spans="2:31" x14ac:dyDescent="0.3">
      <c r="B57">
        <v>698</v>
      </c>
      <c r="D57">
        <v>307.25</v>
      </c>
      <c r="H57">
        <v>55</v>
      </c>
      <c r="I57">
        <v>169</v>
      </c>
      <c r="P57">
        <v>55</v>
      </c>
      <c r="Q57">
        <v>52.671209079999997</v>
      </c>
      <c r="S57">
        <v>55</v>
      </c>
      <c r="T57">
        <v>264</v>
      </c>
      <c r="AE57" s="21">
        <v>96.477422021366223</v>
      </c>
    </row>
    <row r="58" spans="2:31" x14ac:dyDescent="0.3">
      <c r="B58">
        <v>845</v>
      </c>
      <c r="D58">
        <v>333.25</v>
      </c>
      <c r="H58">
        <v>56</v>
      </c>
      <c r="I58">
        <v>165</v>
      </c>
      <c r="P58">
        <v>56</v>
      </c>
      <c r="Q58">
        <v>54.332316890000001</v>
      </c>
      <c r="S58">
        <v>56</v>
      </c>
      <c r="T58">
        <v>272</v>
      </c>
      <c r="AE58" s="21">
        <v>105.00212575233934</v>
      </c>
    </row>
    <row r="59" spans="2:31" x14ac:dyDescent="0.3">
      <c r="B59">
        <v>744</v>
      </c>
      <c r="D59">
        <v>312.5</v>
      </c>
      <c r="H59">
        <v>57</v>
      </c>
      <c r="I59">
        <v>156</v>
      </c>
      <c r="P59">
        <v>57</v>
      </c>
      <c r="Q59">
        <v>66.834358379999998</v>
      </c>
      <c r="S59">
        <v>57</v>
      </c>
      <c r="T59">
        <v>237</v>
      </c>
      <c r="AE59" s="21">
        <v>97.832320246932028</v>
      </c>
    </row>
    <row r="60" spans="2:31" x14ac:dyDescent="0.3">
      <c r="B60">
        <v>796</v>
      </c>
      <c r="D60">
        <v>320.75</v>
      </c>
      <c r="H60">
        <v>58</v>
      </c>
      <c r="I60">
        <v>142</v>
      </c>
      <c r="P60">
        <v>58</v>
      </c>
      <c r="Q60">
        <v>40.87118847</v>
      </c>
      <c r="S60">
        <v>58</v>
      </c>
      <c r="T60">
        <v>211</v>
      </c>
      <c r="AE60" s="21">
        <v>97.650077942897553</v>
      </c>
    </row>
    <row r="61" spans="2:31" x14ac:dyDescent="0.3">
      <c r="B61">
        <v>1040</v>
      </c>
      <c r="D61">
        <v>315.89999999999998</v>
      </c>
      <c r="H61">
        <v>59</v>
      </c>
      <c r="I61">
        <v>131</v>
      </c>
      <c r="P61">
        <v>59</v>
      </c>
      <c r="Q61">
        <v>51.828535789999997</v>
      </c>
      <c r="S61">
        <v>59</v>
      </c>
      <c r="T61">
        <v>180</v>
      </c>
      <c r="AE61" s="21">
        <v>87.417081045774282</v>
      </c>
    </row>
    <row r="62" spans="2:31" x14ac:dyDescent="0.3">
      <c r="B62">
        <v>759</v>
      </c>
      <c r="D62">
        <v>316</v>
      </c>
      <c r="H62">
        <v>60</v>
      </c>
      <c r="I62">
        <v>121</v>
      </c>
      <c r="P62">
        <v>60</v>
      </c>
      <c r="Q62">
        <v>57.491909929999998</v>
      </c>
      <c r="S62">
        <v>60</v>
      </c>
      <c r="T62">
        <v>201</v>
      </c>
      <c r="AE62" s="21">
        <v>91.859332573342016</v>
      </c>
    </row>
    <row r="63" spans="2:31" x14ac:dyDescent="0.3">
      <c r="B63">
        <v>781</v>
      </c>
      <c r="D63">
        <v>329.9</v>
      </c>
      <c r="H63">
        <v>61</v>
      </c>
      <c r="I63">
        <v>112</v>
      </c>
      <c r="P63">
        <v>61</v>
      </c>
      <c r="Q63">
        <v>65.251469850000007</v>
      </c>
      <c r="S63">
        <v>61</v>
      </c>
      <c r="T63">
        <v>204</v>
      </c>
      <c r="AE63" s="21">
        <v>93.677125189037824</v>
      </c>
    </row>
    <row r="64" spans="2:31" x14ac:dyDescent="0.3">
      <c r="B64">
        <v>865</v>
      </c>
      <c r="D64">
        <v>328.75</v>
      </c>
      <c r="H64">
        <v>62</v>
      </c>
      <c r="I64">
        <v>104</v>
      </c>
      <c r="P64">
        <v>62</v>
      </c>
      <c r="Q64">
        <v>43.061208219999997</v>
      </c>
      <c r="S64">
        <v>62</v>
      </c>
      <c r="T64">
        <v>188</v>
      </c>
      <c r="AE64" s="21">
        <v>101.82128245639024</v>
      </c>
    </row>
    <row r="65" spans="2:31" x14ac:dyDescent="0.3">
      <c r="B65">
        <v>845</v>
      </c>
      <c r="D65">
        <v>329.8</v>
      </c>
      <c r="H65">
        <v>63</v>
      </c>
      <c r="I65">
        <v>102</v>
      </c>
      <c r="P65">
        <v>63</v>
      </c>
      <c r="Q65">
        <v>54.760757130000002</v>
      </c>
      <c r="S65">
        <v>63</v>
      </c>
      <c r="T65">
        <v>235</v>
      </c>
      <c r="AE65" s="21">
        <v>98.117452001968104</v>
      </c>
    </row>
    <row r="66" spans="2:31" x14ac:dyDescent="0.3">
      <c r="B66">
        <v>944</v>
      </c>
      <c r="D66">
        <v>324.64999999999998</v>
      </c>
      <c r="H66">
        <v>64</v>
      </c>
      <c r="I66">
        <v>99</v>
      </c>
      <c r="P66">
        <v>64</v>
      </c>
      <c r="Q66">
        <v>59.83447494</v>
      </c>
      <c r="S66">
        <v>64</v>
      </c>
      <c r="T66">
        <v>227</v>
      </c>
      <c r="AE66" s="21">
        <v>101.5500237044058</v>
      </c>
    </row>
    <row r="67" spans="2:31" x14ac:dyDescent="0.3">
      <c r="B67">
        <v>984</v>
      </c>
      <c r="D67">
        <v>317</v>
      </c>
      <c r="H67">
        <v>65</v>
      </c>
      <c r="I67">
        <v>99</v>
      </c>
      <c r="P67">
        <v>65</v>
      </c>
      <c r="Q67">
        <v>73.257027469999997</v>
      </c>
      <c r="S67">
        <v>65</v>
      </c>
      <c r="T67">
        <v>234</v>
      </c>
      <c r="AE67" s="21">
        <v>112.87466949488169</v>
      </c>
    </row>
    <row r="68" spans="2:31" x14ac:dyDescent="0.3">
      <c r="B68">
        <v>897</v>
      </c>
      <c r="D68">
        <v>321.10000000000002</v>
      </c>
      <c r="H68">
        <v>66</v>
      </c>
      <c r="I68">
        <v>95</v>
      </c>
      <c r="P68">
        <v>66</v>
      </c>
      <c r="Q68">
        <v>47.696623729999999</v>
      </c>
      <c r="S68">
        <v>66</v>
      </c>
      <c r="T68">
        <v>264</v>
      </c>
      <c r="AE68" s="21">
        <v>104.14147907825084</v>
      </c>
    </row>
    <row r="69" spans="2:31" x14ac:dyDescent="0.3">
      <c r="B69">
        <v>822</v>
      </c>
      <c r="D69">
        <v>317</v>
      </c>
      <c r="H69">
        <v>67</v>
      </c>
      <c r="I69">
        <v>88</v>
      </c>
      <c r="P69">
        <v>67</v>
      </c>
      <c r="Q69">
        <v>61.097768019999997</v>
      </c>
      <c r="S69">
        <v>67</v>
      </c>
      <c r="T69">
        <v>302</v>
      </c>
      <c r="AE69" s="21">
        <v>103.75481912649823</v>
      </c>
    </row>
    <row r="70" spans="2:31" x14ac:dyDescent="0.3">
      <c r="B70">
        <v>1010</v>
      </c>
      <c r="D70" t="s">
        <v>104</v>
      </c>
      <c r="H70">
        <v>68</v>
      </c>
      <c r="I70">
        <v>84</v>
      </c>
      <c r="P70">
        <v>68</v>
      </c>
      <c r="Q70">
        <v>66.055761219999994</v>
      </c>
      <c r="S70">
        <v>68</v>
      </c>
      <c r="T70">
        <v>293</v>
      </c>
      <c r="AE70" s="21">
        <v>114.43289567660507</v>
      </c>
    </row>
    <row r="71" spans="2:31" x14ac:dyDescent="0.3">
      <c r="B71">
        <v>771</v>
      </c>
      <c r="D71" t="s">
        <v>104</v>
      </c>
      <c r="H71">
        <v>69</v>
      </c>
      <c r="I71">
        <v>84</v>
      </c>
      <c r="S71">
        <v>69</v>
      </c>
      <c r="T71">
        <v>259</v>
      </c>
      <c r="AE71" s="21">
        <v>100.57467577668243</v>
      </c>
    </row>
    <row r="72" spans="2:31" x14ac:dyDescent="0.3">
      <c r="B72">
        <v>676</v>
      </c>
      <c r="D72">
        <v>323.10000000000002</v>
      </c>
      <c r="H72">
        <v>70</v>
      </c>
      <c r="I72">
        <v>87</v>
      </c>
      <c r="S72">
        <v>70</v>
      </c>
      <c r="T72">
        <v>229</v>
      </c>
      <c r="AE72" s="21">
        <v>95.838124167500794</v>
      </c>
    </row>
    <row r="73" spans="2:31" x14ac:dyDescent="0.3">
      <c r="B73">
        <v>649</v>
      </c>
      <c r="D73">
        <v>323.3</v>
      </c>
      <c r="H73">
        <v>71</v>
      </c>
      <c r="I73">
        <v>89</v>
      </c>
      <c r="S73">
        <v>71</v>
      </c>
      <c r="T73">
        <v>203</v>
      </c>
      <c r="AE73" s="21">
        <v>94.356272353925078</v>
      </c>
    </row>
    <row r="74" spans="2:31" x14ac:dyDescent="0.3">
      <c r="B74">
        <v>846</v>
      </c>
      <c r="D74">
        <v>329</v>
      </c>
      <c r="H74">
        <v>72</v>
      </c>
      <c r="I74">
        <v>88</v>
      </c>
      <c r="S74">
        <v>72</v>
      </c>
      <c r="T74">
        <v>229</v>
      </c>
      <c r="AE74" s="21">
        <v>91.944474503903976</v>
      </c>
    </row>
    <row r="75" spans="2:31" x14ac:dyDescent="0.3">
      <c r="B75">
        <v>812</v>
      </c>
      <c r="D75">
        <v>331.25</v>
      </c>
      <c r="H75">
        <v>73</v>
      </c>
      <c r="I75">
        <v>85</v>
      </c>
      <c r="S75">
        <v>73</v>
      </c>
      <c r="T75">
        <v>242</v>
      </c>
      <c r="AE75" s="21">
        <v>99.508130080644079</v>
      </c>
    </row>
    <row r="76" spans="2:31" x14ac:dyDescent="0.3">
      <c r="B76">
        <v>742</v>
      </c>
      <c r="D76">
        <v>330.3</v>
      </c>
      <c r="H76">
        <v>74</v>
      </c>
      <c r="I76">
        <v>86</v>
      </c>
      <c r="S76">
        <v>74</v>
      </c>
      <c r="T76">
        <v>233</v>
      </c>
      <c r="AE76" s="21">
        <v>100.48678727786546</v>
      </c>
    </row>
    <row r="77" spans="2:31" x14ac:dyDescent="0.3">
      <c r="B77">
        <v>801</v>
      </c>
      <c r="D77">
        <v>331.5</v>
      </c>
      <c r="H77">
        <v>75</v>
      </c>
      <c r="I77">
        <v>89</v>
      </c>
      <c r="S77">
        <v>75</v>
      </c>
      <c r="T77">
        <v>267</v>
      </c>
      <c r="AE77" s="21">
        <v>100.14040925450179</v>
      </c>
    </row>
    <row r="78" spans="2:31" x14ac:dyDescent="0.3">
      <c r="B78">
        <v>1040</v>
      </c>
      <c r="D78">
        <v>327</v>
      </c>
      <c r="H78">
        <v>76</v>
      </c>
      <c r="I78">
        <v>91</v>
      </c>
      <c r="S78">
        <v>76</v>
      </c>
      <c r="T78">
        <v>269</v>
      </c>
      <c r="AE78" s="21">
        <v>105.10820796940389</v>
      </c>
    </row>
    <row r="79" spans="2:31" x14ac:dyDescent="0.3">
      <c r="B79">
        <v>860</v>
      </c>
      <c r="D79">
        <v>325.5</v>
      </c>
      <c r="H79">
        <v>77</v>
      </c>
      <c r="I79">
        <v>91</v>
      </c>
      <c r="S79">
        <v>77</v>
      </c>
      <c r="T79">
        <v>270</v>
      </c>
      <c r="AE79" s="21">
        <v>100.07736060909681</v>
      </c>
    </row>
    <row r="80" spans="2:31" x14ac:dyDescent="0.3">
      <c r="B80">
        <v>874</v>
      </c>
      <c r="D80">
        <v>327.7</v>
      </c>
      <c r="H80">
        <v>78</v>
      </c>
      <c r="I80">
        <v>94</v>
      </c>
      <c r="S80">
        <v>78</v>
      </c>
      <c r="T80">
        <v>315</v>
      </c>
    </row>
    <row r="81" spans="2:20" x14ac:dyDescent="0.3">
      <c r="B81">
        <v>848</v>
      </c>
      <c r="D81">
        <v>328.1</v>
      </c>
      <c r="H81">
        <v>79</v>
      </c>
      <c r="I81">
        <v>101</v>
      </c>
      <c r="S81">
        <v>79</v>
      </c>
      <c r="T81">
        <v>364</v>
      </c>
    </row>
    <row r="82" spans="2:20" x14ac:dyDescent="0.3">
      <c r="B82">
        <v>890</v>
      </c>
      <c r="D82">
        <v>326</v>
      </c>
      <c r="H82">
        <v>80</v>
      </c>
      <c r="I82">
        <v>110</v>
      </c>
      <c r="S82">
        <v>80</v>
      </c>
      <c r="T82">
        <v>347</v>
      </c>
    </row>
    <row r="83" spans="2:20" x14ac:dyDescent="0.3">
      <c r="B83">
        <v>744</v>
      </c>
      <c r="D83">
        <v>322.60000000000002</v>
      </c>
      <c r="H83">
        <v>81</v>
      </c>
      <c r="I83">
        <v>121</v>
      </c>
      <c r="S83">
        <v>81</v>
      </c>
      <c r="T83">
        <v>312</v>
      </c>
    </row>
    <row r="84" spans="2:20" x14ac:dyDescent="0.3">
      <c r="B84">
        <v>749</v>
      </c>
      <c r="D84">
        <v>322.39999999999998</v>
      </c>
      <c r="H84">
        <v>82</v>
      </c>
      <c r="I84">
        <v>135</v>
      </c>
      <c r="S84">
        <v>82</v>
      </c>
      <c r="T84">
        <v>274</v>
      </c>
    </row>
    <row r="85" spans="2:20" x14ac:dyDescent="0.3">
      <c r="B85">
        <v>838</v>
      </c>
      <c r="D85">
        <v>322.5</v>
      </c>
      <c r="H85">
        <v>83</v>
      </c>
      <c r="I85">
        <v>145</v>
      </c>
      <c r="S85">
        <v>83</v>
      </c>
      <c r="T85">
        <v>237</v>
      </c>
    </row>
    <row r="86" spans="2:20" x14ac:dyDescent="0.3">
      <c r="B86">
        <v>1050</v>
      </c>
      <c r="D86">
        <v>323</v>
      </c>
      <c r="H86">
        <v>84</v>
      </c>
      <c r="I86">
        <v>149</v>
      </c>
      <c r="S86">
        <v>84</v>
      </c>
      <c r="T86">
        <v>278</v>
      </c>
    </row>
    <row r="87" spans="2:20" x14ac:dyDescent="0.3">
      <c r="B87">
        <v>918</v>
      </c>
      <c r="D87">
        <v>324.64999999999998</v>
      </c>
      <c r="H87">
        <v>85</v>
      </c>
      <c r="I87">
        <v>156</v>
      </c>
      <c r="S87">
        <v>85</v>
      </c>
      <c r="T87">
        <v>284</v>
      </c>
    </row>
    <row r="88" spans="2:20" x14ac:dyDescent="0.3">
      <c r="B88">
        <v>986</v>
      </c>
      <c r="D88">
        <v>315.60000000000002</v>
      </c>
      <c r="H88">
        <v>86</v>
      </c>
      <c r="I88">
        <v>165</v>
      </c>
      <c r="S88">
        <v>86</v>
      </c>
      <c r="T88">
        <v>277</v>
      </c>
    </row>
    <row r="89" spans="2:20" x14ac:dyDescent="0.3">
      <c r="B89">
        <v>797</v>
      </c>
      <c r="D89">
        <v>314.25</v>
      </c>
      <c r="H89">
        <v>87</v>
      </c>
      <c r="I89">
        <v>171</v>
      </c>
      <c r="S89">
        <v>87</v>
      </c>
      <c r="T89">
        <v>317</v>
      </c>
    </row>
    <row r="90" spans="2:20" x14ac:dyDescent="0.3">
      <c r="B90">
        <v>923</v>
      </c>
      <c r="D90">
        <v>313.7</v>
      </c>
      <c r="H90">
        <v>88</v>
      </c>
      <c r="I90">
        <v>175</v>
      </c>
      <c r="S90">
        <v>88</v>
      </c>
      <c r="T90">
        <v>313</v>
      </c>
    </row>
    <row r="91" spans="2:20" x14ac:dyDescent="0.3">
      <c r="B91">
        <v>975</v>
      </c>
      <c r="D91" t="s">
        <v>104</v>
      </c>
      <c r="H91">
        <v>89</v>
      </c>
      <c r="I91">
        <v>177</v>
      </c>
      <c r="S91">
        <v>89</v>
      </c>
      <c r="T91">
        <v>318</v>
      </c>
    </row>
    <row r="92" spans="2:20" x14ac:dyDescent="0.3">
      <c r="B92">
        <v>815</v>
      </c>
      <c r="D92">
        <v>311.25</v>
      </c>
      <c r="H92">
        <v>90</v>
      </c>
      <c r="I92">
        <v>182</v>
      </c>
      <c r="S92">
        <v>90</v>
      </c>
      <c r="T92">
        <v>374</v>
      </c>
    </row>
    <row r="93" spans="2:20" x14ac:dyDescent="0.3">
      <c r="B93">
        <v>1020</v>
      </c>
      <c r="D93">
        <v>313.35000000000002</v>
      </c>
      <c r="H93">
        <v>91</v>
      </c>
      <c r="I93">
        <v>193</v>
      </c>
      <c r="S93">
        <v>91</v>
      </c>
      <c r="T93">
        <v>413</v>
      </c>
    </row>
    <row r="94" spans="2:20" x14ac:dyDescent="0.3">
      <c r="B94">
        <v>906</v>
      </c>
      <c r="D94">
        <v>314.5</v>
      </c>
      <c r="H94">
        <v>92</v>
      </c>
      <c r="I94">
        <v>204</v>
      </c>
      <c r="S94">
        <v>92</v>
      </c>
      <c r="T94">
        <v>405</v>
      </c>
    </row>
    <row r="95" spans="2:20" x14ac:dyDescent="0.3">
      <c r="B95">
        <v>901</v>
      </c>
      <c r="D95">
        <v>313.55</v>
      </c>
      <c r="H95">
        <v>93</v>
      </c>
      <c r="I95">
        <v>208</v>
      </c>
      <c r="S95">
        <v>93</v>
      </c>
      <c r="T95">
        <v>355</v>
      </c>
    </row>
    <row r="96" spans="2:20" x14ac:dyDescent="0.3">
      <c r="B96">
        <v>1170</v>
      </c>
      <c r="D96">
        <v>316.75</v>
      </c>
      <c r="H96">
        <v>94</v>
      </c>
      <c r="I96">
        <v>210</v>
      </c>
      <c r="S96">
        <v>94</v>
      </c>
      <c r="T96">
        <v>306</v>
      </c>
    </row>
    <row r="97" spans="2:20" x14ac:dyDescent="0.3">
      <c r="B97">
        <v>912</v>
      </c>
      <c r="D97">
        <v>324.75</v>
      </c>
      <c r="H97">
        <v>95</v>
      </c>
      <c r="I97">
        <v>215</v>
      </c>
      <c r="S97">
        <v>95</v>
      </c>
      <c r="T97">
        <v>271</v>
      </c>
    </row>
    <row r="98" spans="2:20" x14ac:dyDescent="0.3">
      <c r="B98">
        <v>746</v>
      </c>
      <c r="D98">
        <v>322.85000000000002</v>
      </c>
      <c r="H98">
        <v>96</v>
      </c>
      <c r="I98">
        <v>222</v>
      </c>
      <c r="S98">
        <v>96</v>
      </c>
      <c r="T98">
        <v>306</v>
      </c>
    </row>
    <row r="99" spans="2:20" x14ac:dyDescent="0.3">
      <c r="B99">
        <v>919</v>
      </c>
      <c r="D99">
        <v>320.39999999999998</v>
      </c>
      <c r="H99">
        <v>97</v>
      </c>
      <c r="I99">
        <v>228</v>
      </c>
      <c r="S99">
        <v>97</v>
      </c>
      <c r="T99">
        <v>315</v>
      </c>
    </row>
    <row r="100" spans="2:20" x14ac:dyDescent="0.3">
      <c r="B100">
        <v>718</v>
      </c>
      <c r="D100">
        <v>319.8</v>
      </c>
      <c r="H100">
        <v>98</v>
      </c>
      <c r="I100">
        <v>226</v>
      </c>
      <c r="S100">
        <v>98</v>
      </c>
      <c r="T100">
        <v>301</v>
      </c>
    </row>
    <row r="101" spans="2:20" x14ac:dyDescent="0.3">
      <c r="B101">
        <v>714</v>
      </c>
      <c r="D101">
        <v>323.64999999999998</v>
      </c>
      <c r="H101">
        <v>99</v>
      </c>
      <c r="I101">
        <v>222</v>
      </c>
      <c r="S101">
        <v>99</v>
      </c>
      <c r="T101">
        <v>356</v>
      </c>
    </row>
    <row r="102" spans="2:20" x14ac:dyDescent="0.3">
      <c r="B102">
        <v>740</v>
      </c>
      <c r="D102">
        <v>316.5</v>
      </c>
      <c r="H102">
        <v>100</v>
      </c>
      <c r="I102">
        <v>220</v>
      </c>
      <c r="S102">
        <v>100</v>
      </c>
      <c r="T102">
        <v>348</v>
      </c>
    </row>
    <row r="103" spans="2:20" x14ac:dyDescent="0.3">
      <c r="D103">
        <v>317.39999999999998</v>
      </c>
      <c r="S103">
        <v>101</v>
      </c>
      <c r="T103">
        <v>355</v>
      </c>
    </row>
    <row r="104" spans="2:20" x14ac:dyDescent="0.3">
      <c r="D104">
        <v>316.39999999999998</v>
      </c>
      <c r="S104">
        <v>102</v>
      </c>
      <c r="T104">
        <v>422</v>
      </c>
    </row>
    <row r="105" spans="2:20" x14ac:dyDescent="0.3">
      <c r="D105">
        <v>316.35000000000002</v>
      </c>
      <c r="S105">
        <v>103</v>
      </c>
      <c r="T105">
        <v>465</v>
      </c>
    </row>
    <row r="106" spans="2:20" x14ac:dyDescent="0.3">
      <c r="D106" t="s">
        <v>104</v>
      </c>
      <c r="S106">
        <v>104</v>
      </c>
      <c r="T106">
        <v>467</v>
      </c>
    </row>
    <row r="107" spans="2:20" x14ac:dyDescent="0.3">
      <c r="D107">
        <v>313.89999999999998</v>
      </c>
      <c r="S107">
        <v>105</v>
      </c>
      <c r="T107">
        <v>404</v>
      </c>
    </row>
    <row r="108" spans="2:20" x14ac:dyDescent="0.3">
      <c r="D108">
        <v>311.2</v>
      </c>
      <c r="S108">
        <v>106</v>
      </c>
      <c r="T108">
        <v>347</v>
      </c>
    </row>
    <row r="109" spans="2:20" x14ac:dyDescent="0.3">
      <c r="D109">
        <v>315</v>
      </c>
      <c r="S109">
        <v>107</v>
      </c>
      <c r="T109">
        <v>305</v>
      </c>
    </row>
    <row r="110" spans="2:20" x14ac:dyDescent="0.3">
      <c r="D110">
        <v>313.14999999999998</v>
      </c>
      <c r="S110">
        <v>108</v>
      </c>
      <c r="T110">
        <v>336</v>
      </c>
    </row>
    <row r="111" spans="2:20" x14ac:dyDescent="0.3">
      <c r="D111">
        <v>316.85000000000002</v>
      </c>
      <c r="S111">
        <v>109</v>
      </c>
      <c r="T111">
        <v>340</v>
      </c>
    </row>
    <row r="112" spans="2:20" x14ac:dyDescent="0.3">
      <c r="D112">
        <v>316.25</v>
      </c>
      <c r="S112">
        <v>110</v>
      </c>
      <c r="T112">
        <v>318</v>
      </c>
    </row>
    <row r="113" spans="4:20" x14ac:dyDescent="0.3">
      <c r="D113">
        <v>314.75</v>
      </c>
      <c r="S113">
        <v>111</v>
      </c>
      <c r="T113">
        <v>362</v>
      </c>
    </row>
    <row r="114" spans="4:20" x14ac:dyDescent="0.3">
      <c r="D114">
        <v>314.89999999999998</v>
      </c>
      <c r="S114">
        <v>112</v>
      </c>
      <c r="T114">
        <v>348</v>
      </c>
    </row>
    <row r="115" spans="4:20" x14ac:dyDescent="0.3">
      <c r="D115">
        <v>315</v>
      </c>
      <c r="S115">
        <v>113</v>
      </c>
      <c r="T115">
        <v>363</v>
      </c>
    </row>
    <row r="116" spans="4:20" x14ac:dyDescent="0.3">
      <c r="D116">
        <v>310.75</v>
      </c>
      <c r="S116">
        <v>114</v>
      </c>
      <c r="T116">
        <v>435</v>
      </c>
    </row>
    <row r="117" spans="4:20" x14ac:dyDescent="0.3">
      <c r="D117">
        <v>313.25</v>
      </c>
      <c r="S117">
        <v>115</v>
      </c>
      <c r="T117">
        <v>491</v>
      </c>
    </row>
    <row r="118" spans="4:20" x14ac:dyDescent="0.3">
      <c r="D118">
        <v>313.75</v>
      </c>
      <c r="S118">
        <v>116</v>
      </c>
      <c r="T118">
        <v>505</v>
      </c>
    </row>
    <row r="119" spans="4:20" x14ac:dyDescent="0.3">
      <c r="D119">
        <v>314.10000000000002</v>
      </c>
      <c r="S119">
        <v>117</v>
      </c>
      <c r="T119">
        <v>404</v>
      </c>
    </row>
    <row r="120" spans="4:20" x14ac:dyDescent="0.3">
      <c r="D120">
        <v>315.75</v>
      </c>
      <c r="S120">
        <v>118</v>
      </c>
      <c r="T120">
        <v>359</v>
      </c>
    </row>
    <row r="121" spans="4:20" x14ac:dyDescent="0.3">
      <c r="D121">
        <v>317.25</v>
      </c>
      <c r="S121">
        <v>119</v>
      </c>
      <c r="T121">
        <v>310</v>
      </c>
    </row>
    <row r="122" spans="4:20" x14ac:dyDescent="0.3">
      <c r="D122">
        <v>321.64999999999998</v>
      </c>
      <c r="S122">
        <v>120</v>
      </c>
      <c r="T122">
        <v>337</v>
      </c>
    </row>
    <row r="123" spans="4:20" x14ac:dyDescent="0.3">
      <c r="D123">
        <v>325.2</v>
      </c>
      <c r="S123">
        <v>121</v>
      </c>
      <c r="T123">
        <v>360</v>
      </c>
    </row>
    <row r="124" spans="4:20" x14ac:dyDescent="0.3">
      <c r="D124">
        <v>322</v>
      </c>
      <c r="S124">
        <v>122</v>
      </c>
      <c r="T124">
        <v>342</v>
      </c>
    </row>
    <row r="125" spans="4:20" x14ac:dyDescent="0.3">
      <c r="D125">
        <v>315.25</v>
      </c>
      <c r="S125">
        <v>123</v>
      </c>
      <c r="T125">
        <v>406</v>
      </c>
    </row>
    <row r="126" spans="4:20" x14ac:dyDescent="0.3">
      <c r="D126">
        <v>314.10000000000002</v>
      </c>
      <c r="S126">
        <v>124</v>
      </c>
      <c r="T126">
        <v>396</v>
      </c>
    </row>
    <row r="127" spans="4:20" x14ac:dyDescent="0.3">
      <c r="D127">
        <v>315.89999999999998</v>
      </c>
      <c r="S127">
        <v>125</v>
      </c>
      <c r="T127">
        <v>420</v>
      </c>
    </row>
    <row r="128" spans="4:20" x14ac:dyDescent="0.3">
      <c r="D128">
        <v>316.5</v>
      </c>
      <c r="S128">
        <v>126</v>
      </c>
      <c r="T128">
        <v>472</v>
      </c>
    </row>
    <row r="129" spans="4:20" x14ac:dyDescent="0.3">
      <c r="D129">
        <v>316.25</v>
      </c>
      <c r="S129">
        <v>127</v>
      </c>
      <c r="T129">
        <v>548</v>
      </c>
    </row>
    <row r="130" spans="4:20" x14ac:dyDescent="0.3">
      <c r="D130">
        <v>316.5</v>
      </c>
      <c r="S130">
        <v>128</v>
      </c>
      <c r="T130">
        <v>559</v>
      </c>
    </row>
    <row r="131" spans="4:20" x14ac:dyDescent="0.3">
      <c r="D131">
        <v>313.35000000000002</v>
      </c>
      <c r="S131">
        <v>129</v>
      </c>
      <c r="T131">
        <v>463</v>
      </c>
    </row>
    <row r="132" spans="4:20" x14ac:dyDescent="0.3">
      <c r="D132">
        <v>310.85000000000002</v>
      </c>
      <c r="S132">
        <v>130</v>
      </c>
      <c r="T132">
        <v>407</v>
      </c>
    </row>
    <row r="133" spans="4:20" x14ac:dyDescent="0.3">
      <c r="D133">
        <v>310.39999999999998</v>
      </c>
      <c r="S133">
        <v>131</v>
      </c>
      <c r="T133">
        <v>362</v>
      </c>
    </row>
    <row r="134" spans="4:20" x14ac:dyDescent="0.3">
      <c r="D134">
        <v>310.7</v>
      </c>
      <c r="S134">
        <v>132</v>
      </c>
      <c r="T134">
        <v>405</v>
      </c>
    </row>
    <row r="135" spans="4:20" x14ac:dyDescent="0.3">
      <c r="D135">
        <v>310.89999999999998</v>
      </c>
      <c r="S135">
        <v>133</v>
      </c>
      <c r="T135">
        <v>417</v>
      </c>
    </row>
    <row r="136" spans="4:20" x14ac:dyDescent="0.3">
      <c r="D136">
        <v>312.2</v>
      </c>
      <c r="S136">
        <v>134</v>
      </c>
      <c r="T136">
        <v>391</v>
      </c>
    </row>
    <row r="137" spans="4:20" x14ac:dyDescent="0.3">
      <c r="D137">
        <v>314.8</v>
      </c>
      <c r="S137">
        <v>135</v>
      </c>
      <c r="T137">
        <v>419</v>
      </c>
    </row>
    <row r="138" spans="4:20" x14ac:dyDescent="0.3">
      <c r="D138">
        <v>314.7</v>
      </c>
      <c r="S138">
        <v>136</v>
      </c>
      <c r="T138">
        <v>461</v>
      </c>
    </row>
    <row r="139" spans="4:20" x14ac:dyDescent="0.3">
      <c r="D139">
        <v>313.8</v>
      </c>
      <c r="S139">
        <v>137</v>
      </c>
      <c r="T139">
        <v>472</v>
      </c>
    </row>
    <row r="140" spans="4:20" x14ac:dyDescent="0.3">
      <c r="D140">
        <v>315.05</v>
      </c>
      <c r="S140">
        <v>138</v>
      </c>
      <c r="T140">
        <v>535</v>
      </c>
    </row>
    <row r="141" spans="4:20" x14ac:dyDescent="0.3">
      <c r="D141">
        <v>317.14999999999998</v>
      </c>
      <c r="S141">
        <v>139</v>
      </c>
      <c r="T141">
        <v>622</v>
      </c>
    </row>
    <row r="142" spans="4:20" x14ac:dyDescent="0.3">
      <c r="D142">
        <v>316.8</v>
      </c>
      <c r="S142">
        <v>140</v>
      </c>
      <c r="T142">
        <v>606</v>
      </c>
    </row>
    <row r="143" spans="4:20" x14ac:dyDescent="0.3">
      <c r="D143">
        <v>321.7</v>
      </c>
      <c r="S143">
        <v>141</v>
      </c>
      <c r="T143">
        <v>508</v>
      </c>
    </row>
    <row r="144" spans="4:20" x14ac:dyDescent="0.3">
      <c r="D144">
        <v>322.25</v>
      </c>
      <c r="S144">
        <v>142</v>
      </c>
      <c r="T144">
        <v>461</v>
      </c>
    </row>
    <row r="145" spans="4:20" x14ac:dyDescent="0.3">
      <c r="D145">
        <v>319</v>
      </c>
      <c r="S145">
        <v>143</v>
      </c>
      <c r="T145">
        <v>390</v>
      </c>
    </row>
    <row r="146" spans="4:20" x14ac:dyDescent="0.3">
      <c r="D146">
        <v>317.39999999999998</v>
      </c>
      <c r="S146">
        <v>144</v>
      </c>
      <c r="T146">
        <v>432</v>
      </c>
    </row>
    <row r="147" spans="4:20" x14ac:dyDescent="0.3">
      <c r="D147">
        <v>322.75</v>
      </c>
    </row>
    <row r="148" spans="4:20" x14ac:dyDescent="0.3">
      <c r="D148">
        <v>318.5</v>
      </c>
    </row>
    <row r="149" spans="4:20" x14ac:dyDescent="0.3">
      <c r="D149">
        <v>319.39999999999998</v>
      </c>
    </row>
    <row r="150" spans="4:20" x14ac:dyDescent="0.3">
      <c r="D150">
        <v>317.60000000000002</v>
      </c>
    </row>
    <row r="151" spans="4:20" x14ac:dyDescent="0.3">
      <c r="D151">
        <v>323</v>
      </c>
    </row>
    <row r="152" spans="4:20" x14ac:dyDescent="0.3">
      <c r="D152">
        <v>323.25</v>
      </c>
    </row>
    <row r="153" spans="4:20" x14ac:dyDescent="0.3">
      <c r="D153">
        <v>328.1</v>
      </c>
    </row>
    <row r="154" spans="4:20" x14ac:dyDescent="0.3">
      <c r="D154">
        <v>326.75</v>
      </c>
    </row>
    <row r="155" spans="4:20" x14ac:dyDescent="0.3">
      <c r="D155">
        <v>319.64999999999998</v>
      </c>
    </row>
    <row r="156" spans="4:20" x14ac:dyDescent="0.3">
      <c r="D156">
        <v>323</v>
      </c>
    </row>
    <row r="157" spans="4:20" x14ac:dyDescent="0.3">
      <c r="D157">
        <v>321.39999999999998</v>
      </c>
    </row>
    <row r="158" spans="4:20" x14ac:dyDescent="0.3">
      <c r="D158">
        <v>320.64999999999998</v>
      </c>
    </row>
    <row r="159" spans="4:20" x14ac:dyDescent="0.3">
      <c r="D159">
        <v>322.89999999999998</v>
      </c>
    </row>
    <row r="160" spans="4:20" x14ac:dyDescent="0.3">
      <c r="D160">
        <v>322.39999999999998</v>
      </c>
    </row>
    <row r="161" spans="4:4" x14ac:dyDescent="0.3">
      <c r="D161">
        <v>326.60000000000002</v>
      </c>
    </row>
    <row r="162" spans="4:4" x14ac:dyDescent="0.3">
      <c r="D162">
        <v>328.5</v>
      </c>
    </row>
    <row r="163" spans="4:4" x14ac:dyDescent="0.3">
      <c r="D163">
        <v>326.2</v>
      </c>
    </row>
    <row r="164" spans="4:4" x14ac:dyDescent="0.3">
      <c r="D164">
        <v>328.9</v>
      </c>
    </row>
    <row r="165" spans="4:4" x14ac:dyDescent="0.3">
      <c r="D165">
        <v>335.4</v>
      </c>
    </row>
    <row r="166" spans="4:4" x14ac:dyDescent="0.3">
      <c r="D166">
        <v>339.25</v>
      </c>
    </row>
    <row r="167" spans="4:4" x14ac:dyDescent="0.3">
      <c r="D167">
        <v>335.5</v>
      </c>
    </row>
    <row r="168" spans="4:4" x14ac:dyDescent="0.3">
      <c r="D168">
        <v>335.75</v>
      </c>
    </row>
    <row r="169" spans="4:4" x14ac:dyDescent="0.3">
      <c r="D169">
        <v>337.6</v>
      </c>
    </row>
    <row r="170" spans="4:4" x14ac:dyDescent="0.3">
      <c r="D170">
        <v>333.6</v>
      </c>
    </row>
    <row r="171" spans="4:4" x14ac:dyDescent="0.3">
      <c r="D171" t="s">
        <v>104</v>
      </c>
    </row>
    <row r="172" spans="4:4" x14ac:dyDescent="0.3">
      <c r="D172">
        <v>335.25</v>
      </c>
    </row>
    <row r="173" spans="4:4" x14ac:dyDescent="0.3">
      <c r="D173">
        <v>339.3</v>
      </c>
    </row>
    <row r="174" spans="4:4" x14ac:dyDescent="0.3">
      <c r="D174">
        <v>338.4</v>
      </c>
    </row>
    <row r="175" spans="4:4" x14ac:dyDescent="0.3">
      <c r="D175">
        <v>335.75</v>
      </c>
    </row>
    <row r="176" spans="4:4" x14ac:dyDescent="0.3">
      <c r="D176">
        <v>335.45</v>
      </c>
    </row>
    <row r="177" spans="4:4" x14ac:dyDescent="0.3">
      <c r="D177">
        <v>332.7</v>
      </c>
    </row>
    <row r="178" spans="4:4" x14ac:dyDescent="0.3">
      <c r="D178">
        <v>325</v>
      </c>
    </row>
    <row r="179" spans="4:4" x14ac:dyDescent="0.3">
      <c r="D179">
        <v>326</v>
      </c>
    </row>
    <row r="180" spans="4:4" x14ac:dyDescent="0.3">
      <c r="D180">
        <v>318.75</v>
      </c>
    </row>
    <row r="181" spans="4:4" x14ac:dyDescent="0.3">
      <c r="D181">
        <v>320.2</v>
      </c>
    </row>
    <row r="182" spans="4:4" x14ac:dyDescent="0.3">
      <c r="D182">
        <v>320</v>
      </c>
    </row>
    <row r="183" spans="4:4" x14ac:dyDescent="0.3">
      <c r="D183">
        <v>322</v>
      </c>
    </row>
    <row r="184" spans="4:4" x14ac:dyDescent="0.3">
      <c r="D184">
        <v>318</v>
      </c>
    </row>
    <row r="185" spans="4:4" x14ac:dyDescent="0.3">
      <c r="D185">
        <v>321.75</v>
      </c>
    </row>
    <row r="186" spans="4:4" x14ac:dyDescent="0.3">
      <c r="D186">
        <v>318.85000000000002</v>
      </c>
    </row>
    <row r="187" spans="4:4" x14ac:dyDescent="0.3">
      <c r="D187">
        <v>318.7</v>
      </c>
    </row>
    <row r="188" spans="4:4" x14ac:dyDescent="0.3">
      <c r="D188">
        <v>315.5</v>
      </c>
    </row>
    <row r="189" spans="4:4" x14ac:dyDescent="0.3">
      <c r="D189">
        <v>315.89999999999998</v>
      </c>
    </row>
    <row r="190" spans="4:4" x14ac:dyDescent="0.3">
      <c r="D190">
        <v>319.2</v>
      </c>
    </row>
    <row r="191" spans="4:4" x14ac:dyDescent="0.3">
      <c r="D191">
        <v>328.1</v>
      </c>
    </row>
    <row r="192" spans="4:4" x14ac:dyDescent="0.3">
      <c r="D192">
        <v>328.4</v>
      </c>
    </row>
    <row r="193" spans="4:4" x14ac:dyDescent="0.3">
      <c r="D193">
        <v>328.7</v>
      </c>
    </row>
    <row r="194" spans="4:4" x14ac:dyDescent="0.3">
      <c r="D194">
        <v>330.4</v>
      </c>
    </row>
    <row r="195" spans="4:4" x14ac:dyDescent="0.3">
      <c r="D195">
        <v>328.95</v>
      </c>
    </row>
    <row r="196" spans="4:4" x14ac:dyDescent="0.3">
      <c r="D196">
        <v>326.5</v>
      </c>
    </row>
    <row r="197" spans="4:4" x14ac:dyDescent="0.3">
      <c r="D197">
        <v>323.14999999999998</v>
      </c>
    </row>
    <row r="198" spans="4:4" x14ac:dyDescent="0.3">
      <c r="D198">
        <v>324.75</v>
      </c>
    </row>
    <row r="199" spans="4:4" x14ac:dyDescent="0.3">
      <c r="D199">
        <v>324.35000000000002</v>
      </c>
    </row>
    <row r="200" spans="4:4" x14ac:dyDescent="0.3">
      <c r="D200">
        <v>330.55</v>
      </c>
    </row>
    <row r="201" spans="4:4" x14ac:dyDescent="0.3">
      <c r="D201">
        <v>326.25</v>
      </c>
    </row>
    <row r="202" spans="4:4" x14ac:dyDescent="0.3">
      <c r="D202">
        <v>326.10000000000002</v>
      </c>
    </row>
    <row r="203" spans="4:4" x14ac:dyDescent="0.3">
      <c r="D203">
        <v>326.95</v>
      </c>
    </row>
    <row r="204" spans="4:4" x14ac:dyDescent="0.3">
      <c r="D204">
        <v>325.55</v>
      </c>
    </row>
    <row r="205" spans="4:4" x14ac:dyDescent="0.3">
      <c r="D205">
        <v>325.8</v>
      </c>
    </row>
    <row r="206" spans="4:4" x14ac:dyDescent="0.3">
      <c r="D206">
        <v>326.60000000000002</v>
      </c>
    </row>
    <row r="207" spans="4:4" x14ac:dyDescent="0.3">
      <c r="D207">
        <v>326.85000000000002</v>
      </c>
    </row>
    <row r="208" spans="4:4" x14ac:dyDescent="0.3">
      <c r="D208">
        <v>325.89999999999998</v>
      </c>
    </row>
    <row r="209" spans="4:4" x14ac:dyDescent="0.3">
      <c r="D209">
        <v>324.60000000000002</v>
      </c>
    </row>
    <row r="210" spans="4:4" x14ac:dyDescent="0.3">
      <c r="D210">
        <v>326.25</v>
      </c>
    </row>
    <row r="211" spans="4:4" x14ac:dyDescent="0.3">
      <c r="D211">
        <v>326.5</v>
      </c>
    </row>
    <row r="212" spans="4:4" x14ac:dyDescent="0.3">
      <c r="D212">
        <v>325.89999999999998</v>
      </c>
    </row>
    <row r="213" spans="4:4" x14ac:dyDescent="0.3">
      <c r="D213">
        <v>326.89999999999998</v>
      </c>
    </row>
    <row r="214" spans="4:4" x14ac:dyDescent="0.3">
      <c r="D214">
        <v>325.95</v>
      </c>
    </row>
    <row r="215" spans="4:4" x14ac:dyDescent="0.3">
      <c r="D215">
        <v>325.64999999999998</v>
      </c>
    </row>
    <row r="216" spans="4:4" x14ac:dyDescent="0.3">
      <c r="D216">
        <v>326.5</v>
      </c>
    </row>
    <row r="217" spans="4:4" x14ac:dyDescent="0.3">
      <c r="D217">
        <v>326.55</v>
      </c>
    </row>
    <row r="218" spans="4:4" x14ac:dyDescent="0.3">
      <c r="D218">
        <v>326.8</v>
      </c>
    </row>
    <row r="219" spans="4:4" x14ac:dyDescent="0.3">
      <c r="D219">
        <v>325.75</v>
      </c>
    </row>
    <row r="220" spans="4:4" x14ac:dyDescent="0.3">
      <c r="D220">
        <v>324.64999999999998</v>
      </c>
    </row>
    <row r="221" spans="4:4" x14ac:dyDescent="0.3">
      <c r="D221">
        <v>325.60000000000002</v>
      </c>
    </row>
    <row r="222" spans="4:4" x14ac:dyDescent="0.3">
      <c r="D222">
        <v>324.55</v>
      </c>
    </row>
    <row r="223" spans="4:4" x14ac:dyDescent="0.3">
      <c r="D223">
        <v>324.75</v>
      </c>
    </row>
    <row r="224" spans="4:4" x14ac:dyDescent="0.3">
      <c r="D224">
        <v>323.60000000000002</v>
      </c>
    </row>
    <row r="225" spans="4:4" x14ac:dyDescent="0.3">
      <c r="D225">
        <v>322.10000000000002</v>
      </c>
    </row>
    <row r="226" spans="4:4" x14ac:dyDescent="0.3">
      <c r="D226">
        <v>323.25</v>
      </c>
    </row>
    <row r="227" spans="4:4" x14ac:dyDescent="0.3">
      <c r="D227">
        <v>322.7</v>
      </c>
    </row>
    <row r="228" spans="4:4" x14ac:dyDescent="0.3">
      <c r="D228">
        <v>324.5</v>
      </c>
    </row>
    <row r="229" spans="4:4" x14ac:dyDescent="0.3">
      <c r="D229">
        <v>325</v>
      </c>
    </row>
    <row r="230" spans="4:4" x14ac:dyDescent="0.3">
      <c r="D230">
        <v>324.55</v>
      </c>
    </row>
    <row r="231" spans="4:4" x14ac:dyDescent="0.3">
      <c r="D231">
        <v>323.75</v>
      </c>
    </row>
    <row r="232" spans="4:4" x14ac:dyDescent="0.3">
      <c r="D232">
        <v>324.10000000000002</v>
      </c>
    </row>
    <row r="233" spans="4:4" x14ac:dyDescent="0.3">
      <c r="D233">
        <v>325.05</v>
      </c>
    </row>
    <row r="234" spans="4:4" x14ac:dyDescent="0.3">
      <c r="D234">
        <v>325.75</v>
      </c>
    </row>
    <row r="235" spans="4:4" x14ac:dyDescent="0.3">
      <c r="D235">
        <v>326</v>
      </c>
    </row>
    <row r="236" spans="4:4" x14ac:dyDescent="0.3">
      <c r="D236">
        <v>330.5</v>
      </c>
    </row>
    <row r="237" spans="4:4" x14ac:dyDescent="0.3">
      <c r="D237">
        <v>331.5</v>
      </c>
    </row>
    <row r="238" spans="4:4" x14ac:dyDescent="0.3">
      <c r="D238">
        <v>330.45</v>
      </c>
    </row>
    <row r="239" spans="4:4" x14ac:dyDescent="0.3">
      <c r="D239">
        <v>326.75</v>
      </c>
    </row>
    <row r="240" spans="4:4" x14ac:dyDescent="0.3">
      <c r="D240">
        <v>327.39999999999998</v>
      </c>
    </row>
    <row r="241" spans="4:4" x14ac:dyDescent="0.3">
      <c r="D241">
        <v>323.95</v>
      </c>
    </row>
    <row r="242" spans="4:4" x14ac:dyDescent="0.3">
      <c r="D242">
        <v>322.5</v>
      </c>
    </row>
    <row r="243" spans="4:4" x14ac:dyDescent="0.3">
      <c r="D243">
        <v>324.5</v>
      </c>
    </row>
    <row r="244" spans="4:4" x14ac:dyDescent="0.3">
      <c r="D244">
        <v>322.5</v>
      </c>
    </row>
    <row r="245" spans="4:4" x14ac:dyDescent="0.3">
      <c r="D245">
        <v>322.5</v>
      </c>
    </row>
    <row r="246" spans="4:4" x14ac:dyDescent="0.3">
      <c r="D246">
        <v>320.14999999999998</v>
      </c>
    </row>
    <row r="247" spans="4:4" x14ac:dyDescent="0.3">
      <c r="D247">
        <v>316.10000000000002</v>
      </c>
    </row>
    <row r="248" spans="4:4" x14ac:dyDescent="0.3">
      <c r="D248">
        <v>316.8</v>
      </c>
    </row>
    <row r="249" spans="4:4" x14ac:dyDescent="0.3">
      <c r="D249">
        <v>316.05</v>
      </c>
    </row>
    <row r="250" spans="4:4" x14ac:dyDescent="0.3">
      <c r="D250">
        <v>317.89999999999998</v>
      </c>
    </row>
    <row r="251" spans="4:4" x14ac:dyDescent="0.3">
      <c r="D251">
        <v>318.25</v>
      </c>
    </row>
    <row r="252" spans="4:4" x14ac:dyDescent="0.3">
      <c r="D252">
        <v>321.89999999999998</v>
      </c>
    </row>
    <row r="253" spans="4:4" x14ac:dyDescent="0.3">
      <c r="D253">
        <v>321.10000000000002</v>
      </c>
    </row>
    <row r="254" spans="4:4" x14ac:dyDescent="0.3">
      <c r="D254">
        <v>323.39999999999998</v>
      </c>
    </row>
    <row r="255" spans="4:4" x14ac:dyDescent="0.3">
      <c r="D255">
        <v>323.55</v>
      </c>
    </row>
    <row r="256" spans="4:4" x14ac:dyDescent="0.3">
      <c r="D256">
        <v>325.75</v>
      </c>
    </row>
    <row r="257" spans="4:4" x14ac:dyDescent="0.3">
      <c r="D257">
        <v>324.85000000000002</v>
      </c>
    </row>
    <row r="258" spans="4:4" x14ac:dyDescent="0.3">
      <c r="D258" t="s">
        <v>104</v>
      </c>
    </row>
    <row r="259" spans="4:4" x14ac:dyDescent="0.3">
      <c r="D259" t="s">
        <v>104</v>
      </c>
    </row>
    <row r="260" spans="4:4" x14ac:dyDescent="0.3">
      <c r="D260">
        <v>324.8</v>
      </c>
    </row>
    <row r="261" spans="4:4" x14ac:dyDescent="0.3">
      <c r="D261">
        <v>326.14999999999998</v>
      </c>
    </row>
    <row r="262" spans="4:4" x14ac:dyDescent="0.3">
      <c r="D262">
        <v>327</v>
      </c>
    </row>
    <row r="263" spans="4:4" x14ac:dyDescent="0.3">
      <c r="D263" t="s">
        <v>104</v>
      </c>
    </row>
    <row r="264" spans="4:4" x14ac:dyDescent="0.3">
      <c r="D264">
        <v>327.10000000000002</v>
      </c>
    </row>
    <row r="265" spans="4:4" x14ac:dyDescent="0.3">
      <c r="D265">
        <v>326</v>
      </c>
    </row>
    <row r="266" spans="4:4" x14ac:dyDescent="0.3">
      <c r="D266">
        <v>327.8</v>
      </c>
    </row>
    <row r="267" spans="4:4" x14ac:dyDescent="0.3">
      <c r="D267">
        <v>328.9</v>
      </c>
    </row>
    <row r="268" spans="4:4" x14ac:dyDescent="0.3">
      <c r="D268">
        <v>330.9</v>
      </c>
    </row>
    <row r="269" spans="4:4" x14ac:dyDescent="0.3">
      <c r="D269">
        <v>333.9</v>
      </c>
    </row>
    <row r="270" spans="4:4" x14ac:dyDescent="0.3">
      <c r="D270">
        <v>339.45</v>
      </c>
    </row>
    <row r="271" spans="4:4" x14ac:dyDescent="0.3">
      <c r="D271">
        <v>340.75</v>
      </c>
    </row>
    <row r="272" spans="4:4" x14ac:dyDescent="0.3">
      <c r="D272">
        <v>338.8</v>
      </c>
    </row>
    <row r="273" spans="4:4" x14ac:dyDescent="0.3">
      <c r="D273">
        <v>345.3</v>
      </c>
    </row>
    <row r="274" spans="4:4" x14ac:dyDescent="0.3">
      <c r="D274">
        <v>359.6</v>
      </c>
    </row>
    <row r="275" spans="4:4" x14ac:dyDescent="0.3">
      <c r="D275">
        <v>357.25</v>
      </c>
    </row>
    <row r="276" spans="4:4" x14ac:dyDescent="0.3">
      <c r="D276">
        <v>353.25</v>
      </c>
    </row>
    <row r="277" spans="4:4" x14ac:dyDescent="0.3">
      <c r="D277">
        <v>356.5</v>
      </c>
    </row>
    <row r="278" spans="4:4" x14ac:dyDescent="0.3">
      <c r="D278">
        <v>352.75</v>
      </c>
    </row>
    <row r="279" spans="4:4" x14ac:dyDescent="0.3">
      <c r="D279">
        <v>349.5</v>
      </c>
    </row>
    <row r="280" spans="4:4" x14ac:dyDescent="0.3">
      <c r="D280">
        <v>355.25</v>
      </c>
    </row>
    <row r="281" spans="4:4" x14ac:dyDescent="0.3">
      <c r="D281">
        <v>361.75</v>
      </c>
    </row>
    <row r="282" spans="4:4" x14ac:dyDescent="0.3">
      <c r="D282">
        <v>353.8</v>
      </c>
    </row>
    <row r="283" spans="4:4" x14ac:dyDescent="0.3">
      <c r="D283">
        <v>354.4</v>
      </c>
    </row>
    <row r="284" spans="4:4" x14ac:dyDescent="0.3">
      <c r="D284">
        <v>355.4</v>
      </c>
    </row>
    <row r="285" spans="4:4" x14ac:dyDescent="0.3">
      <c r="D285">
        <v>354</v>
      </c>
    </row>
    <row r="286" spans="4:4" x14ac:dyDescent="0.3">
      <c r="D286">
        <v>347.35</v>
      </c>
    </row>
    <row r="287" spans="4:4" x14ac:dyDescent="0.3">
      <c r="D287">
        <v>338.5</v>
      </c>
    </row>
    <row r="288" spans="4:4" x14ac:dyDescent="0.3">
      <c r="D288">
        <v>335.95</v>
      </c>
    </row>
    <row r="289" spans="4:4" x14ac:dyDescent="0.3">
      <c r="D289">
        <v>337.1</v>
      </c>
    </row>
    <row r="290" spans="4:4" x14ac:dyDescent="0.3">
      <c r="D290">
        <v>337.9</v>
      </c>
    </row>
    <row r="291" spans="4:4" x14ac:dyDescent="0.3">
      <c r="D291">
        <v>340.5</v>
      </c>
    </row>
    <row r="292" spans="4:4" x14ac:dyDescent="0.3">
      <c r="D292">
        <v>337.2</v>
      </c>
    </row>
    <row r="293" spans="4:4" x14ac:dyDescent="0.3">
      <c r="D293">
        <v>338.35</v>
      </c>
    </row>
    <row r="294" spans="4:4" x14ac:dyDescent="0.3">
      <c r="D294">
        <v>335.4</v>
      </c>
    </row>
    <row r="295" spans="4:4" x14ac:dyDescent="0.3">
      <c r="D295">
        <v>329.5</v>
      </c>
    </row>
    <row r="296" spans="4:4" x14ac:dyDescent="0.3">
      <c r="D296">
        <v>333</v>
      </c>
    </row>
    <row r="297" spans="4:4" x14ac:dyDescent="0.3">
      <c r="D297">
        <v>332.4</v>
      </c>
    </row>
    <row r="298" spans="4:4" x14ac:dyDescent="0.3">
      <c r="D298">
        <v>343.7</v>
      </c>
    </row>
    <row r="299" spans="4:4" x14ac:dyDescent="0.3">
      <c r="D299">
        <v>339.25</v>
      </c>
    </row>
    <row r="300" spans="4:4" x14ac:dyDescent="0.3">
      <c r="D300">
        <v>339</v>
      </c>
    </row>
    <row r="301" spans="4:4" x14ac:dyDescent="0.3">
      <c r="D301">
        <v>343.35</v>
      </c>
    </row>
    <row r="302" spans="4:4" x14ac:dyDescent="0.3">
      <c r="D302">
        <v>351.4</v>
      </c>
    </row>
    <row r="303" spans="4:4" x14ac:dyDescent="0.3">
      <c r="D303">
        <v>345.1</v>
      </c>
    </row>
    <row r="304" spans="4:4" x14ac:dyDescent="0.3">
      <c r="D304">
        <v>337.85</v>
      </c>
    </row>
    <row r="305" spans="4:4" x14ac:dyDescent="0.3">
      <c r="D305">
        <v>338.25</v>
      </c>
    </row>
    <row r="306" spans="4:4" x14ac:dyDescent="0.3">
      <c r="D306">
        <v>339.45</v>
      </c>
    </row>
    <row r="307" spans="4:4" x14ac:dyDescent="0.3">
      <c r="D307">
        <v>337.9</v>
      </c>
    </row>
    <row r="308" spans="4:4" x14ac:dyDescent="0.3">
      <c r="D308">
        <v>342.2</v>
      </c>
    </row>
    <row r="309" spans="4:4" x14ac:dyDescent="0.3">
      <c r="D309">
        <v>343</v>
      </c>
    </row>
    <row r="310" spans="4:4" x14ac:dyDescent="0.3">
      <c r="D310">
        <v>342</v>
      </c>
    </row>
    <row r="311" spans="4:4" x14ac:dyDescent="0.3">
      <c r="D311">
        <v>341.8</v>
      </c>
    </row>
    <row r="312" spans="4:4" x14ac:dyDescent="0.3">
      <c r="D312">
        <v>341.65</v>
      </c>
    </row>
    <row r="313" spans="4:4" x14ac:dyDescent="0.3">
      <c r="D313">
        <v>344.5</v>
      </c>
    </row>
    <row r="314" spans="4:4" x14ac:dyDescent="0.3">
      <c r="D314">
        <v>349.8</v>
      </c>
    </row>
    <row r="315" spans="4:4" x14ac:dyDescent="0.3">
      <c r="D315">
        <v>347.6</v>
      </c>
    </row>
    <row r="316" spans="4:4" x14ac:dyDescent="0.3">
      <c r="D316">
        <v>348.2</v>
      </c>
    </row>
    <row r="317" spans="4:4" x14ac:dyDescent="0.3">
      <c r="D317">
        <v>350.8</v>
      </c>
    </row>
    <row r="318" spans="4:4" x14ac:dyDescent="0.3">
      <c r="D318">
        <v>349.25</v>
      </c>
    </row>
    <row r="319" spans="4:4" x14ac:dyDescent="0.3">
      <c r="D319">
        <v>350.6</v>
      </c>
    </row>
    <row r="320" spans="4:4" x14ac:dyDescent="0.3">
      <c r="D320">
        <v>351.35</v>
      </c>
    </row>
    <row r="321" spans="4:4" x14ac:dyDescent="0.3">
      <c r="D321">
        <v>352.4</v>
      </c>
    </row>
    <row r="322" spans="4:4" x14ac:dyDescent="0.3">
      <c r="D322">
        <v>352.9</v>
      </c>
    </row>
    <row r="323" spans="4:4" x14ac:dyDescent="0.3">
      <c r="D323">
        <v>344.9</v>
      </c>
    </row>
    <row r="324" spans="4:4" x14ac:dyDescent="0.3">
      <c r="D324">
        <v>345.5</v>
      </c>
    </row>
    <row r="325" spans="4:4" x14ac:dyDescent="0.3">
      <c r="D325" t="s">
        <v>104</v>
      </c>
    </row>
    <row r="326" spans="4:4" x14ac:dyDescent="0.3">
      <c r="D326" t="s">
        <v>104</v>
      </c>
    </row>
    <row r="327" spans="4:4" x14ac:dyDescent="0.3">
      <c r="D327">
        <v>333.7</v>
      </c>
    </row>
    <row r="328" spans="4:4" x14ac:dyDescent="0.3">
      <c r="D328">
        <v>335.5</v>
      </c>
    </row>
    <row r="329" spans="4:4" x14ac:dyDescent="0.3">
      <c r="D329">
        <v>336.6</v>
      </c>
    </row>
    <row r="330" spans="4:4" x14ac:dyDescent="0.3">
      <c r="D330">
        <v>335.6</v>
      </c>
    </row>
    <row r="331" spans="4:4" x14ac:dyDescent="0.3">
      <c r="D331">
        <v>336.5</v>
      </c>
    </row>
    <row r="332" spans="4:4" x14ac:dyDescent="0.3">
      <c r="D332">
        <v>340.65</v>
      </c>
    </row>
    <row r="333" spans="4:4" x14ac:dyDescent="0.3">
      <c r="D333">
        <v>338.65</v>
      </c>
    </row>
    <row r="334" spans="4:4" x14ac:dyDescent="0.3">
      <c r="D334">
        <v>338.15</v>
      </c>
    </row>
    <row r="335" spans="4:4" x14ac:dyDescent="0.3">
      <c r="D335">
        <v>340.25</v>
      </c>
    </row>
    <row r="336" spans="4:4" x14ac:dyDescent="0.3">
      <c r="D336">
        <v>343.2</v>
      </c>
    </row>
    <row r="337" spans="4:4" x14ac:dyDescent="0.3">
      <c r="D337">
        <v>340.25</v>
      </c>
    </row>
    <row r="338" spans="4:4" x14ac:dyDescent="0.3">
      <c r="D338">
        <v>340.75</v>
      </c>
    </row>
    <row r="339" spans="4:4" x14ac:dyDescent="0.3">
      <c r="D339">
        <v>339.3</v>
      </c>
    </row>
    <row r="340" spans="4:4" x14ac:dyDescent="0.3">
      <c r="D340">
        <v>341</v>
      </c>
    </row>
    <row r="341" spans="4:4" x14ac:dyDescent="0.3">
      <c r="D341">
        <v>342.45</v>
      </c>
    </row>
    <row r="342" spans="4:4" x14ac:dyDescent="0.3">
      <c r="D342">
        <v>344.15</v>
      </c>
    </row>
    <row r="343" spans="4:4" x14ac:dyDescent="0.3">
      <c r="D343">
        <v>347.25</v>
      </c>
    </row>
    <row r="344" spans="4:4" x14ac:dyDescent="0.3">
      <c r="D344">
        <v>346</v>
      </c>
    </row>
    <row r="345" spans="4:4" x14ac:dyDescent="0.3">
      <c r="D345">
        <v>344.3</v>
      </c>
    </row>
    <row r="346" spans="4:4" x14ac:dyDescent="0.3">
      <c r="D346">
        <v>344.4</v>
      </c>
    </row>
    <row r="347" spans="4:4" x14ac:dyDescent="0.3">
      <c r="D347">
        <v>342.35</v>
      </c>
    </row>
    <row r="348" spans="4:4" x14ac:dyDescent="0.3">
      <c r="D348">
        <v>344.75</v>
      </c>
    </row>
    <row r="349" spans="4:4" x14ac:dyDescent="0.3">
      <c r="D349">
        <v>345.6</v>
      </c>
    </row>
    <row r="350" spans="4:4" x14ac:dyDescent="0.3">
      <c r="D350">
        <v>341.6</v>
      </c>
    </row>
    <row r="351" spans="4:4" x14ac:dyDescent="0.3">
      <c r="D351" t="s">
        <v>104</v>
      </c>
    </row>
    <row r="352" spans="4:4" x14ac:dyDescent="0.3">
      <c r="D352">
        <v>341.55</v>
      </c>
    </row>
    <row r="353" spans="4:4" x14ac:dyDescent="0.3">
      <c r="D353">
        <v>342.15</v>
      </c>
    </row>
    <row r="354" spans="4:4" x14ac:dyDescent="0.3">
      <c r="D354">
        <v>344.6</v>
      </c>
    </row>
    <row r="355" spans="4:4" x14ac:dyDescent="0.3">
      <c r="D355">
        <v>344.25</v>
      </c>
    </row>
    <row r="356" spans="4:4" x14ac:dyDescent="0.3">
      <c r="D356">
        <v>344.9</v>
      </c>
    </row>
    <row r="357" spans="4:4" x14ac:dyDescent="0.3">
      <c r="D357">
        <v>343.8</v>
      </c>
    </row>
    <row r="358" spans="4:4" x14ac:dyDescent="0.3">
      <c r="D358">
        <v>342.75</v>
      </c>
    </row>
    <row r="359" spans="4:4" x14ac:dyDescent="0.3">
      <c r="D359">
        <v>342.5</v>
      </c>
    </row>
    <row r="360" spans="4:4" x14ac:dyDescent="0.3">
      <c r="D360">
        <v>342.75</v>
      </c>
    </row>
    <row r="361" spans="4:4" x14ac:dyDescent="0.3">
      <c r="D361">
        <v>342.05</v>
      </c>
    </row>
    <row r="362" spans="4:4" x14ac:dyDescent="0.3">
      <c r="D362">
        <v>340.3</v>
      </c>
    </row>
    <row r="363" spans="4:4" x14ac:dyDescent="0.3">
      <c r="D363">
        <v>338.6</v>
      </c>
    </row>
    <row r="364" spans="4:4" x14ac:dyDescent="0.3">
      <c r="D364">
        <v>339.4</v>
      </c>
    </row>
    <row r="365" spans="4:4" x14ac:dyDescent="0.3">
      <c r="D365">
        <v>340.85</v>
      </c>
    </row>
    <row r="366" spans="4:4" x14ac:dyDescent="0.3">
      <c r="D366" t="s">
        <v>104</v>
      </c>
    </row>
    <row r="367" spans="4:4" x14ac:dyDescent="0.3">
      <c r="D367">
        <v>341.15</v>
      </c>
    </row>
    <row r="368" spans="4:4" x14ac:dyDescent="0.3">
      <c r="D368">
        <v>341.6</v>
      </c>
    </row>
    <row r="369" spans="4:4" x14ac:dyDescent="0.3">
      <c r="D369">
        <v>342.75</v>
      </c>
    </row>
    <row r="370" spans="4:4" x14ac:dyDescent="0.3">
      <c r="D370">
        <v>343.35</v>
      </c>
    </row>
    <row r="371" spans="4:4" x14ac:dyDescent="0.3">
      <c r="D371">
        <v>343</v>
      </c>
    </row>
    <row r="372" spans="4:4" x14ac:dyDescent="0.3">
      <c r="D372">
        <v>341.85</v>
      </c>
    </row>
    <row r="373" spans="4:4" x14ac:dyDescent="0.3">
      <c r="D373">
        <v>341.4</v>
      </c>
    </row>
    <row r="374" spans="4:4" x14ac:dyDescent="0.3">
      <c r="D374">
        <v>341.5</v>
      </c>
    </row>
    <row r="375" spans="4:4" x14ac:dyDescent="0.3">
      <c r="D375">
        <v>341.5</v>
      </c>
    </row>
    <row r="376" spans="4:4" x14ac:dyDescent="0.3">
      <c r="D376">
        <v>341.85</v>
      </c>
    </row>
    <row r="377" spans="4:4" x14ac:dyDescent="0.3">
      <c r="D377">
        <v>347.55</v>
      </c>
    </row>
    <row r="378" spans="4:4" x14ac:dyDescent="0.3">
      <c r="D378">
        <v>347.5</v>
      </c>
    </row>
    <row r="379" spans="4:4" x14ac:dyDescent="0.3">
      <c r="D379">
        <v>347.95</v>
      </c>
    </row>
    <row r="380" spans="4:4" x14ac:dyDescent="0.3">
      <c r="D380">
        <v>347.4</v>
      </c>
    </row>
    <row r="381" spans="4:4" x14ac:dyDescent="0.3">
      <c r="D381">
        <v>346.5</v>
      </c>
    </row>
    <row r="382" spans="4:4" x14ac:dyDescent="0.3">
      <c r="D382">
        <v>337.3</v>
      </c>
    </row>
    <row r="383" spans="4:4" x14ac:dyDescent="0.3">
      <c r="D383">
        <v>338.5</v>
      </c>
    </row>
    <row r="384" spans="4:4" x14ac:dyDescent="0.3">
      <c r="D384">
        <v>338.7</v>
      </c>
    </row>
    <row r="385" spans="4:4" x14ac:dyDescent="0.3">
      <c r="D385">
        <v>338.9</v>
      </c>
    </row>
    <row r="386" spans="4:4" x14ac:dyDescent="0.3">
      <c r="D386">
        <v>340.5</v>
      </c>
    </row>
    <row r="387" spans="4:4" x14ac:dyDescent="0.3">
      <c r="D387">
        <v>340.75</v>
      </c>
    </row>
    <row r="388" spans="4:4" x14ac:dyDescent="0.3">
      <c r="D388">
        <v>343.25</v>
      </c>
    </row>
    <row r="389" spans="4:4" x14ac:dyDescent="0.3">
      <c r="D389">
        <v>343.8</v>
      </c>
    </row>
    <row r="390" spans="4:4" x14ac:dyDescent="0.3">
      <c r="D390">
        <v>343.55</v>
      </c>
    </row>
    <row r="391" spans="4:4" x14ac:dyDescent="0.3">
      <c r="D391">
        <v>345.5</v>
      </c>
    </row>
    <row r="392" spans="4:4" x14ac:dyDescent="0.3">
      <c r="D392">
        <v>345.65</v>
      </c>
    </row>
    <row r="393" spans="4:4" x14ac:dyDescent="0.3">
      <c r="D393">
        <v>344</v>
      </c>
    </row>
    <row r="394" spans="4:4" x14ac:dyDescent="0.3">
      <c r="D394">
        <v>343.5</v>
      </c>
    </row>
    <row r="395" spans="4:4" x14ac:dyDescent="0.3">
      <c r="D395">
        <v>343.8</v>
      </c>
    </row>
    <row r="396" spans="4:4" x14ac:dyDescent="0.3">
      <c r="D396">
        <v>344.45</v>
      </c>
    </row>
    <row r="397" spans="4:4" x14ac:dyDescent="0.3">
      <c r="D397">
        <v>346.5</v>
      </c>
    </row>
    <row r="398" spans="4:4" x14ac:dyDescent="0.3">
      <c r="D398">
        <v>350.35</v>
      </c>
    </row>
    <row r="399" spans="4:4" x14ac:dyDescent="0.3">
      <c r="D399">
        <v>347.5</v>
      </c>
    </row>
    <row r="400" spans="4:4" x14ac:dyDescent="0.3">
      <c r="D400">
        <v>347.65</v>
      </c>
    </row>
    <row r="401" spans="4:4" x14ac:dyDescent="0.3">
      <c r="D401">
        <v>346.2</v>
      </c>
    </row>
    <row r="402" spans="4:4" x14ac:dyDescent="0.3">
      <c r="D402">
        <v>345.85</v>
      </c>
    </row>
    <row r="403" spans="4:4" x14ac:dyDescent="0.3">
      <c r="D403">
        <v>348.35</v>
      </c>
    </row>
    <row r="404" spans="4:4" x14ac:dyDescent="0.3">
      <c r="D404">
        <v>346.9</v>
      </c>
    </row>
    <row r="405" spans="4:4" x14ac:dyDescent="0.3">
      <c r="D405">
        <v>347.1</v>
      </c>
    </row>
    <row r="406" spans="4:4" x14ac:dyDescent="0.3">
      <c r="D406">
        <v>353</v>
      </c>
    </row>
    <row r="407" spans="4:4" x14ac:dyDescent="0.3">
      <c r="D407">
        <v>353.5</v>
      </c>
    </row>
    <row r="408" spans="4:4" x14ac:dyDescent="0.3">
      <c r="D408">
        <v>351.75</v>
      </c>
    </row>
    <row r="409" spans="4:4" x14ac:dyDescent="0.3">
      <c r="D409">
        <v>348.5</v>
      </c>
    </row>
    <row r="410" spans="4:4" x14ac:dyDescent="0.3">
      <c r="D410">
        <v>349</v>
      </c>
    </row>
    <row r="411" spans="4:4" x14ac:dyDescent="0.3">
      <c r="D411">
        <v>350.8</v>
      </c>
    </row>
    <row r="412" spans="4:4" x14ac:dyDescent="0.3">
      <c r="D412">
        <v>353.3</v>
      </c>
    </row>
    <row r="413" spans="4:4" x14ac:dyDescent="0.3">
      <c r="D413">
        <v>351.35</v>
      </c>
    </row>
    <row r="414" spans="4:4" x14ac:dyDescent="0.3">
      <c r="D414">
        <v>375.75</v>
      </c>
    </row>
    <row r="415" spans="4:4" x14ac:dyDescent="0.3">
      <c r="D415">
        <v>360.5</v>
      </c>
    </row>
    <row r="416" spans="4:4" x14ac:dyDescent="0.3">
      <c r="D416">
        <v>358.75</v>
      </c>
    </row>
    <row r="417" spans="4:4" x14ac:dyDescent="0.3">
      <c r="D417">
        <v>358.5</v>
      </c>
    </row>
    <row r="418" spans="4:4" x14ac:dyDescent="0.3">
      <c r="D418">
        <v>360.85</v>
      </c>
    </row>
    <row r="419" spans="4:4" x14ac:dyDescent="0.3">
      <c r="D419">
        <v>360.85</v>
      </c>
    </row>
    <row r="420" spans="4:4" x14ac:dyDescent="0.3">
      <c r="D420">
        <v>361.85</v>
      </c>
    </row>
    <row r="421" spans="4:4" x14ac:dyDescent="0.3">
      <c r="D421">
        <v>394.5</v>
      </c>
    </row>
    <row r="422" spans="4:4" x14ac:dyDescent="0.3">
      <c r="D422">
        <v>386.1</v>
      </c>
    </row>
    <row r="423" spans="4:4" x14ac:dyDescent="0.3">
      <c r="D423">
        <v>391.25</v>
      </c>
    </row>
    <row r="424" spans="4:4" x14ac:dyDescent="0.3">
      <c r="D424">
        <v>384</v>
      </c>
    </row>
    <row r="425" spans="4:4" x14ac:dyDescent="0.3">
      <c r="D425">
        <v>386.4</v>
      </c>
    </row>
    <row r="426" spans="4:4" x14ac:dyDescent="0.3">
      <c r="D426">
        <v>377.25</v>
      </c>
    </row>
    <row r="427" spans="4:4" x14ac:dyDescent="0.3">
      <c r="D427">
        <v>372.5</v>
      </c>
    </row>
    <row r="428" spans="4:4" x14ac:dyDescent="0.3">
      <c r="D428">
        <v>379</v>
      </c>
    </row>
    <row r="429" spans="4:4" x14ac:dyDescent="0.3">
      <c r="D429">
        <v>381.75</v>
      </c>
    </row>
    <row r="430" spans="4:4" x14ac:dyDescent="0.3">
      <c r="D430">
        <v>384.65</v>
      </c>
    </row>
    <row r="431" spans="4:4" x14ac:dyDescent="0.3">
      <c r="D431" t="s">
        <v>104</v>
      </c>
    </row>
    <row r="432" spans="4:4" x14ac:dyDescent="0.3">
      <c r="D432">
        <v>397.3</v>
      </c>
    </row>
    <row r="433" spans="4:4" x14ac:dyDescent="0.3">
      <c r="D433">
        <v>377.8</v>
      </c>
    </row>
    <row r="434" spans="4:4" x14ac:dyDescent="0.3">
      <c r="D434">
        <v>384</v>
      </c>
    </row>
    <row r="435" spans="4:4" x14ac:dyDescent="0.3">
      <c r="D435">
        <v>386</v>
      </c>
    </row>
    <row r="436" spans="4:4" x14ac:dyDescent="0.3">
      <c r="D436">
        <v>392</v>
      </c>
    </row>
    <row r="437" spans="4:4" x14ac:dyDescent="0.3">
      <c r="D437">
        <v>395.5</v>
      </c>
    </row>
    <row r="438" spans="4:4" x14ac:dyDescent="0.3">
      <c r="D438">
        <v>407.2</v>
      </c>
    </row>
    <row r="439" spans="4:4" x14ac:dyDescent="0.3">
      <c r="D439">
        <v>404</v>
      </c>
    </row>
    <row r="440" spans="4:4" x14ac:dyDescent="0.3">
      <c r="D440">
        <v>418.25</v>
      </c>
    </row>
    <row r="441" spans="4:4" x14ac:dyDescent="0.3">
      <c r="D441">
        <v>419</v>
      </c>
    </row>
    <row r="442" spans="4:4" x14ac:dyDescent="0.3">
      <c r="D442">
        <v>412.5</v>
      </c>
    </row>
    <row r="443" spans="4:4" x14ac:dyDescent="0.3">
      <c r="D443">
        <v>414.5</v>
      </c>
    </row>
    <row r="444" spans="4:4" x14ac:dyDescent="0.3">
      <c r="D444">
        <v>407</v>
      </c>
    </row>
    <row r="445" spans="4:4" x14ac:dyDescent="0.3">
      <c r="D445">
        <v>418.75</v>
      </c>
    </row>
    <row r="446" spans="4:4" x14ac:dyDescent="0.3">
      <c r="D446">
        <v>416</v>
      </c>
    </row>
    <row r="447" spans="4:4" x14ac:dyDescent="0.3">
      <c r="D447">
        <v>413.55</v>
      </c>
    </row>
    <row r="448" spans="4:4" x14ac:dyDescent="0.3">
      <c r="D448">
        <v>413.6</v>
      </c>
    </row>
    <row r="449" spans="4:4" x14ac:dyDescent="0.3">
      <c r="D449">
        <v>415.7</v>
      </c>
    </row>
    <row r="450" spans="4:4" x14ac:dyDescent="0.3">
      <c r="D450">
        <v>423</v>
      </c>
    </row>
    <row r="451" spans="4:4" x14ac:dyDescent="0.3">
      <c r="D451">
        <v>442.75</v>
      </c>
    </row>
    <row r="452" spans="4:4" x14ac:dyDescent="0.3">
      <c r="D452">
        <v>435.15</v>
      </c>
    </row>
    <row r="453" spans="4:4" x14ac:dyDescent="0.3">
      <c r="D453">
        <v>434</v>
      </c>
    </row>
    <row r="454" spans="4:4" x14ac:dyDescent="0.3">
      <c r="D454">
        <v>432.25</v>
      </c>
    </row>
    <row r="455" spans="4:4" x14ac:dyDescent="0.3">
      <c r="D455">
        <v>434</v>
      </c>
    </row>
    <row r="456" spans="4:4" x14ac:dyDescent="0.3">
      <c r="D456">
        <v>429.45</v>
      </c>
    </row>
    <row r="457" spans="4:4" x14ac:dyDescent="0.3">
      <c r="D457">
        <v>421.2</v>
      </c>
    </row>
    <row r="458" spans="4:4" x14ac:dyDescent="0.3">
      <c r="D458">
        <v>425.5</v>
      </c>
    </row>
    <row r="459" spans="4:4" x14ac:dyDescent="0.3">
      <c r="D459">
        <v>425.5</v>
      </c>
    </row>
    <row r="460" spans="4:4" x14ac:dyDescent="0.3">
      <c r="D460">
        <v>436.9</v>
      </c>
    </row>
    <row r="461" spans="4:4" x14ac:dyDescent="0.3">
      <c r="D461">
        <v>436.5</v>
      </c>
    </row>
    <row r="462" spans="4:4" x14ac:dyDescent="0.3">
      <c r="D462">
        <v>442</v>
      </c>
    </row>
    <row r="463" spans="4:4" x14ac:dyDescent="0.3">
      <c r="D463">
        <v>439.4</v>
      </c>
    </row>
    <row r="464" spans="4:4" x14ac:dyDescent="0.3">
      <c r="D464">
        <v>435.8</v>
      </c>
    </row>
    <row r="465" spans="4:4" x14ac:dyDescent="0.3">
      <c r="D465">
        <v>428.15</v>
      </c>
    </row>
    <row r="466" spans="4:4" x14ac:dyDescent="0.3">
      <c r="D466">
        <v>431.4</v>
      </c>
    </row>
    <row r="467" spans="4:4" x14ac:dyDescent="0.3">
      <c r="D467">
        <v>431.25</v>
      </c>
    </row>
    <row r="468" spans="4:4" x14ac:dyDescent="0.3">
      <c r="D468">
        <v>426.25</v>
      </c>
    </row>
    <row r="469" spans="4:4" x14ac:dyDescent="0.3">
      <c r="D469">
        <v>426</v>
      </c>
    </row>
    <row r="470" spans="4:4" x14ac:dyDescent="0.3">
      <c r="D470">
        <v>420</v>
      </c>
    </row>
    <row r="471" spans="4:4" x14ac:dyDescent="0.3">
      <c r="D471">
        <v>420</v>
      </c>
    </row>
    <row r="472" spans="4:4" x14ac:dyDescent="0.3">
      <c r="D472">
        <v>426.8</v>
      </c>
    </row>
    <row r="473" spans="4:4" x14ac:dyDescent="0.3">
      <c r="D473">
        <v>426.6</v>
      </c>
    </row>
    <row r="474" spans="4:4" x14ac:dyDescent="0.3">
      <c r="D474">
        <v>425.4</v>
      </c>
    </row>
    <row r="475" spans="4:4" x14ac:dyDescent="0.3">
      <c r="D475">
        <v>413</v>
      </c>
    </row>
    <row r="476" spans="4:4" x14ac:dyDescent="0.3">
      <c r="D476">
        <v>409.6</v>
      </c>
    </row>
    <row r="477" spans="4:4" x14ac:dyDescent="0.3">
      <c r="D477">
        <v>409.55</v>
      </c>
    </row>
    <row r="478" spans="4:4" x14ac:dyDescent="0.3">
      <c r="D478">
        <v>407.75</v>
      </c>
    </row>
    <row r="479" spans="4:4" x14ac:dyDescent="0.3">
      <c r="D479">
        <v>404</v>
      </c>
    </row>
    <row r="480" spans="4:4" x14ac:dyDescent="0.3">
      <c r="D480">
        <v>401.5</v>
      </c>
    </row>
    <row r="481" spans="4:4" x14ac:dyDescent="0.3">
      <c r="D481">
        <v>400.3</v>
      </c>
    </row>
    <row r="482" spans="4:4" x14ac:dyDescent="0.3">
      <c r="D482">
        <v>408.5</v>
      </c>
    </row>
    <row r="483" spans="4:4" x14ac:dyDescent="0.3">
      <c r="D483">
        <v>410.25</v>
      </c>
    </row>
    <row r="484" spans="4:4" x14ac:dyDescent="0.3">
      <c r="D484">
        <v>405</v>
      </c>
    </row>
    <row r="485" spans="4:4" x14ac:dyDescent="0.3">
      <c r="D485">
        <v>408.3</v>
      </c>
    </row>
    <row r="486" spans="4:4" x14ac:dyDescent="0.3">
      <c r="D486">
        <v>409.9</v>
      </c>
    </row>
    <row r="487" spans="4:4" x14ac:dyDescent="0.3">
      <c r="D487">
        <v>407.4</v>
      </c>
    </row>
    <row r="488" spans="4:4" x14ac:dyDescent="0.3">
      <c r="D488">
        <v>407.45</v>
      </c>
    </row>
    <row r="489" spans="4:4" x14ac:dyDescent="0.3">
      <c r="D489">
        <v>406.85</v>
      </c>
    </row>
    <row r="490" spans="4:4" x14ac:dyDescent="0.3">
      <c r="D490">
        <v>409</v>
      </c>
    </row>
    <row r="491" spans="4:4" x14ac:dyDescent="0.3">
      <c r="D491">
        <v>393.25</v>
      </c>
    </row>
    <row r="492" spans="4:4" x14ac:dyDescent="0.3">
      <c r="D492">
        <v>388</v>
      </c>
    </row>
    <row r="493" spans="4:4" x14ac:dyDescent="0.3">
      <c r="D493">
        <v>391.5</v>
      </c>
    </row>
    <row r="494" spans="4:4" x14ac:dyDescent="0.3">
      <c r="D494">
        <v>387</v>
      </c>
    </row>
    <row r="495" spans="4:4" x14ac:dyDescent="0.3">
      <c r="D495">
        <v>389.5</v>
      </c>
    </row>
    <row r="496" spans="4:4" x14ac:dyDescent="0.3">
      <c r="D496">
        <v>380.4</v>
      </c>
    </row>
    <row r="497" spans="4:4" x14ac:dyDescent="0.3">
      <c r="D497">
        <v>380.75</v>
      </c>
    </row>
    <row r="498" spans="4:4" x14ac:dyDescent="0.3">
      <c r="D498">
        <v>384</v>
      </c>
    </row>
    <row r="499" spans="4:4" x14ac:dyDescent="0.3">
      <c r="D499">
        <v>382.3</v>
      </c>
    </row>
    <row r="500" spans="4:4" x14ac:dyDescent="0.3">
      <c r="D500">
        <v>390</v>
      </c>
    </row>
    <row r="501" spans="4:4" x14ac:dyDescent="0.3">
      <c r="D501">
        <v>399.6</v>
      </c>
    </row>
    <row r="502" spans="4:4" x14ac:dyDescent="0.3">
      <c r="D502">
        <v>394.3</v>
      </c>
    </row>
    <row r="503" spans="4:4" x14ac:dyDescent="0.3">
      <c r="D503">
        <v>385.25</v>
      </c>
    </row>
    <row r="504" spans="4:4" x14ac:dyDescent="0.3">
      <c r="D504">
        <v>391.2</v>
      </c>
    </row>
    <row r="505" spans="4:4" x14ac:dyDescent="0.3">
      <c r="D505">
        <v>388.6</v>
      </c>
    </row>
    <row r="506" spans="4:4" x14ac:dyDescent="0.3">
      <c r="D506">
        <v>390.5</v>
      </c>
    </row>
    <row r="507" spans="4:4" x14ac:dyDescent="0.3">
      <c r="D507">
        <v>389.2</v>
      </c>
    </row>
    <row r="508" spans="4:4" x14ac:dyDescent="0.3">
      <c r="D508">
        <v>387.25</v>
      </c>
    </row>
    <row r="509" spans="4:4" x14ac:dyDescent="0.3">
      <c r="D509">
        <v>388.75</v>
      </c>
    </row>
    <row r="510" spans="4:4" x14ac:dyDescent="0.3">
      <c r="D510">
        <v>389.7</v>
      </c>
    </row>
    <row r="511" spans="4:4" x14ac:dyDescent="0.3">
      <c r="D511">
        <v>394.6</v>
      </c>
    </row>
    <row r="512" spans="4:4" x14ac:dyDescent="0.3">
      <c r="D512">
        <v>393.7</v>
      </c>
    </row>
    <row r="513" spans="4:4" x14ac:dyDescent="0.3">
      <c r="D513">
        <v>393.4</v>
      </c>
    </row>
    <row r="514" spans="4:4" x14ac:dyDescent="0.3">
      <c r="D514">
        <v>392.5</v>
      </c>
    </row>
    <row r="515" spans="4:4" x14ac:dyDescent="0.3">
      <c r="D515">
        <v>394.15</v>
      </c>
    </row>
    <row r="516" spans="4:4" x14ac:dyDescent="0.3">
      <c r="D516">
        <v>395.35</v>
      </c>
    </row>
    <row r="517" spans="4:4" x14ac:dyDescent="0.3">
      <c r="D517">
        <v>392.75</v>
      </c>
    </row>
    <row r="518" spans="4:4" x14ac:dyDescent="0.3">
      <c r="D518">
        <v>391</v>
      </c>
    </row>
    <row r="519" spans="4:4" x14ac:dyDescent="0.3">
      <c r="D519" t="s">
        <v>104</v>
      </c>
    </row>
    <row r="520" spans="4:4" x14ac:dyDescent="0.3">
      <c r="D520" t="s">
        <v>104</v>
      </c>
    </row>
    <row r="521" spans="4:4" x14ac:dyDescent="0.3">
      <c r="D521">
        <v>391.4</v>
      </c>
    </row>
    <row r="522" spans="4:4" x14ac:dyDescent="0.3">
      <c r="D522">
        <v>389.4</v>
      </c>
    </row>
    <row r="523" spans="4:4" x14ac:dyDescent="0.3">
      <c r="D523">
        <v>390.9</v>
      </c>
    </row>
    <row r="524" spans="4:4" x14ac:dyDescent="0.3">
      <c r="D524" t="s">
        <v>104</v>
      </c>
    </row>
    <row r="525" spans="4:4" x14ac:dyDescent="0.3">
      <c r="D525">
        <v>402.4</v>
      </c>
    </row>
    <row r="526" spans="4:4" x14ac:dyDescent="0.3">
      <c r="D526">
        <v>399</v>
      </c>
    </row>
    <row r="527" spans="4:4" x14ac:dyDescent="0.3">
      <c r="D527">
        <v>401.7</v>
      </c>
    </row>
    <row r="528" spans="4:4" x14ac:dyDescent="0.3">
      <c r="D528">
        <v>399.5</v>
      </c>
    </row>
    <row r="529" spans="4:4" x14ac:dyDescent="0.3">
      <c r="D529">
        <v>401.6</v>
      </c>
    </row>
    <row r="530" spans="4:4" x14ac:dyDescent="0.3">
      <c r="D530">
        <v>402.25</v>
      </c>
    </row>
    <row r="531" spans="4:4" x14ac:dyDescent="0.3">
      <c r="D531">
        <v>409.9</v>
      </c>
    </row>
    <row r="532" spans="4:4" x14ac:dyDescent="0.3">
      <c r="D532">
        <v>408.6</v>
      </c>
    </row>
    <row r="533" spans="4:4" x14ac:dyDescent="0.3">
      <c r="D533">
        <v>414.4</v>
      </c>
    </row>
    <row r="534" spans="4:4" x14ac:dyDescent="0.3">
      <c r="D534">
        <v>415</v>
      </c>
    </row>
    <row r="535" spans="4:4" x14ac:dyDescent="0.3">
      <c r="D535">
        <v>414.5</v>
      </c>
    </row>
    <row r="536" spans="4:4" x14ac:dyDescent="0.3">
      <c r="D536">
        <v>421.25</v>
      </c>
    </row>
    <row r="537" spans="4:4" x14ac:dyDescent="0.3">
      <c r="D537">
        <v>417.4</v>
      </c>
    </row>
    <row r="538" spans="4:4" x14ac:dyDescent="0.3">
      <c r="D538">
        <v>408.5</v>
      </c>
    </row>
    <row r="539" spans="4:4" x14ac:dyDescent="0.3">
      <c r="D539">
        <v>410.6</v>
      </c>
    </row>
    <row r="540" spans="4:4" x14ac:dyDescent="0.3">
      <c r="D540">
        <v>403.55</v>
      </c>
    </row>
    <row r="541" spans="4:4" x14ac:dyDescent="0.3">
      <c r="D541">
        <v>403.35</v>
      </c>
    </row>
    <row r="542" spans="4:4" x14ac:dyDescent="0.3">
      <c r="D542">
        <v>408.7</v>
      </c>
    </row>
    <row r="543" spans="4:4" x14ac:dyDescent="0.3">
      <c r="D543">
        <v>416.5</v>
      </c>
    </row>
    <row r="544" spans="4:4" x14ac:dyDescent="0.3">
      <c r="D544">
        <v>411</v>
      </c>
    </row>
    <row r="545" spans="4:4" x14ac:dyDescent="0.3">
      <c r="D545">
        <v>407.3</v>
      </c>
    </row>
    <row r="546" spans="4:4" x14ac:dyDescent="0.3">
      <c r="D546">
        <v>406.45</v>
      </c>
    </row>
    <row r="547" spans="4:4" x14ac:dyDescent="0.3">
      <c r="D547">
        <v>402</v>
      </c>
    </row>
    <row r="548" spans="4:4" x14ac:dyDescent="0.3">
      <c r="D548">
        <v>401.75</v>
      </c>
    </row>
    <row r="549" spans="4:4" x14ac:dyDescent="0.3">
      <c r="D549">
        <v>402.6</v>
      </c>
    </row>
    <row r="550" spans="4:4" x14ac:dyDescent="0.3">
      <c r="D550">
        <v>402.7</v>
      </c>
    </row>
    <row r="551" spans="4:4" x14ac:dyDescent="0.3">
      <c r="D551">
        <v>402.95</v>
      </c>
    </row>
    <row r="552" spans="4:4" x14ac:dyDescent="0.3">
      <c r="D552">
        <v>404.4</v>
      </c>
    </row>
    <row r="553" spans="4:4" x14ac:dyDescent="0.3">
      <c r="D553">
        <v>402.9</v>
      </c>
    </row>
    <row r="554" spans="4:4" x14ac:dyDescent="0.3">
      <c r="D554">
        <v>402</v>
      </c>
    </row>
    <row r="555" spans="4:4" x14ac:dyDescent="0.3">
      <c r="D555">
        <v>395.55</v>
      </c>
    </row>
    <row r="556" spans="4:4" x14ac:dyDescent="0.3">
      <c r="D556">
        <v>397.2</v>
      </c>
    </row>
    <row r="557" spans="4:4" x14ac:dyDescent="0.3">
      <c r="D557">
        <v>396.85</v>
      </c>
    </row>
    <row r="558" spans="4:4" x14ac:dyDescent="0.3">
      <c r="D558">
        <v>392.25</v>
      </c>
    </row>
    <row r="559" spans="4:4" x14ac:dyDescent="0.3">
      <c r="D559">
        <v>392.6</v>
      </c>
    </row>
    <row r="560" spans="4:4" x14ac:dyDescent="0.3">
      <c r="D560">
        <v>397.5</v>
      </c>
    </row>
    <row r="561" spans="4:4" x14ac:dyDescent="0.3">
      <c r="D561">
        <v>403</v>
      </c>
    </row>
    <row r="562" spans="4:4" x14ac:dyDescent="0.3">
      <c r="D562">
        <v>401.95</v>
      </c>
    </row>
    <row r="563" spans="4:4" x14ac:dyDescent="0.3">
      <c r="D563">
        <v>406.7</v>
      </c>
    </row>
    <row r="564" spans="4:4" x14ac:dyDescent="0.3">
      <c r="D564">
        <v>403.1</v>
      </c>
    </row>
    <row r="565" spans="4:4" x14ac:dyDescent="0.3">
      <c r="D565">
        <v>408.7</v>
      </c>
    </row>
    <row r="566" spans="4:4" x14ac:dyDescent="0.3">
      <c r="D566">
        <v>404.4</v>
      </c>
    </row>
    <row r="567" spans="4:4" x14ac:dyDescent="0.3">
      <c r="D567">
        <v>403.7</v>
      </c>
    </row>
    <row r="568" spans="4:4" x14ac:dyDescent="0.3">
      <c r="D568">
        <v>407.65</v>
      </c>
    </row>
    <row r="569" spans="4:4" x14ac:dyDescent="0.3">
      <c r="D569">
        <v>411.45</v>
      </c>
    </row>
    <row r="570" spans="4:4" x14ac:dyDescent="0.3">
      <c r="D570">
        <v>406.5</v>
      </c>
    </row>
    <row r="571" spans="4:4" x14ac:dyDescent="0.3">
      <c r="D571">
        <v>404.85</v>
      </c>
    </row>
    <row r="572" spans="4:4" x14ac:dyDescent="0.3">
      <c r="D572">
        <v>405</v>
      </c>
    </row>
    <row r="573" spans="4:4" x14ac:dyDescent="0.3">
      <c r="D573">
        <v>406.85</v>
      </c>
    </row>
    <row r="574" spans="4:4" x14ac:dyDescent="0.3">
      <c r="D574">
        <v>408</v>
      </c>
    </row>
    <row r="575" spans="4:4" x14ac:dyDescent="0.3">
      <c r="D575">
        <v>409.25</v>
      </c>
    </row>
    <row r="576" spans="4:4" x14ac:dyDescent="0.3">
      <c r="D576">
        <v>404.65</v>
      </c>
    </row>
    <row r="577" spans="4:4" x14ac:dyDescent="0.3">
      <c r="D577">
        <v>406</v>
      </c>
    </row>
    <row r="578" spans="4:4" x14ac:dyDescent="0.3">
      <c r="D578">
        <v>406.4</v>
      </c>
    </row>
    <row r="579" spans="4:4" x14ac:dyDescent="0.3">
      <c r="D579">
        <v>405.05</v>
      </c>
    </row>
    <row r="580" spans="4:4" x14ac:dyDescent="0.3">
      <c r="D580">
        <v>405</v>
      </c>
    </row>
    <row r="581" spans="4:4" x14ac:dyDescent="0.3">
      <c r="D581">
        <v>406.6</v>
      </c>
    </row>
    <row r="582" spans="4:4" x14ac:dyDescent="0.3">
      <c r="D582">
        <v>410.3</v>
      </c>
    </row>
    <row r="583" spans="4:4" x14ac:dyDescent="0.3">
      <c r="D583">
        <v>415</v>
      </c>
    </row>
    <row r="584" spans="4:4" x14ac:dyDescent="0.3">
      <c r="D584">
        <v>411.3</v>
      </c>
    </row>
    <row r="585" spans="4:4" x14ac:dyDescent="0.3">
      <c r="D585">
        <v>415.9</v>
      </c>
    </row>
    <row r="586" spans="4:4" x14ac:dyDescent="0.3">
      <c r="D586">
        <v>421.8</v>
      </c>
    </row>
    <row r="587" spans="4:4" x14ac:dyDescent="0.3">
      <c r="D587">
        <v>419</v>
      </c>
    </row>
    <row r="588" spans="4:4" x14ac:dyDescent="0.3">
      <c r="D588">
        <v>418.5</v>
      </c>
    </row>
    <row r="589" spans="4:4" x14ac:dyDescent="0.3">
      <c r="D589">
        <v>420.25</v>
      </c>
    </row>
    <row r="590" spans="4:4" x14ac:dyDescent="0.3">
      <c r="D590">
        <v>418.65</v>
      </c>
    </row>
    <row r="591" spans="4:4" x14ac:dyDescent="0.3">
      <c r="D591">
        <v>420.55</v>
      </c>
    </row>
    <row r="592" spans="4:4" x14ac:dyDescent="0.3">
      <c r="D592">
        <v>419.8</v>
      </c>
    </row>
    <row r="593" spans="4:4" x14ac:dyDescent="0.3">
      <c r="D593">
        <v>423.2</v>
      </c>
    </row>
    <row r="594" spans="4:4" x14ac:dyDescent="0.3">
      <c r="D594">
        <v>421.5</v>
      </c>
    </row>
    <row r="595" spans="4:4" x14ac:dyDescent="0.3">
      <c r="D595">
        <v>423.3</v>
      </c>
    </row>
    <row r="596" spans="4:4" x14ac:dyDescent="0.3">
      <c r="D596">
        <v>436.5</v>
      </c>
    </row>
    <row r="597" spans="4:4" x14ac:dyDescent="0.3">
      <c r="D597">
        <v>440.25</v>
      </c>
    </row>
    <row r="598" spans="4:4" x14ac:dyDescent="0.3">
      <c r="D598">
        <v>445.5</v>
      </c>
    </row>
    <row r="599" spans="4:4" x14ac:dyDescent="0.3">
      <c r="D599">
        <v>441</v>
      </c>
    </row>
    <row r="600" spans="4:4" x14ac:dyDescent="0.3">
      <c r="D600" t="s">
        <v>104</v>
      </c>
    </row>
    <row r="601" spans="4:4" x14ac:dyDescent="0.3">
      <c r="D601" t="s">
        <v>104</v>
      </c>
    </row>
    <row r="602" spans="4:4" x14ac:dyDescent="0.3">
      <c r="D602">
        <v>454.3</v>
      </c>
    </row>
    <row r="603" spans="4:4" x14ac:dyDescent="0.3">
      <c r="D603">
        <v>446.8</v>
      </c>
    </row>
    <row r="604" spans="4:4" x14ac:dyDescent="0.3">
      <c r="D604">
        <v>453</v>
      </c>
    </row>
    <row r="605" spans="4:4" x14ac:dyDescent="0.3">
      <c r="D605">
        <v>462.6</v>
      </c>
    </row>
    <row r="606" spans="4:4" x14ac:dyDescent="0.3">
      <c r="D606">
        <v>476.6</v>
      </c>
    </row>
    <row r="607" spans="4:4" x14ac:dyDescent="0.3">
      <c r="D607">
        <v>455.75</v>
      </c>
    </row>
    <row r="608" spans="4:4" x14ac:dyDescent="0.3">
      <c r="D608">
        <v>451.75</v>
      </c>
    </row>
    <row r="609" spans="4:4" x14ac:dyDescent="0.3">
      <c r="D609">
        <v>454.5</v>
      </c>
    </row>
    <row r="610" spans="4:4" x14ac:dyDescent="0.3">
      <c r="D610">
        <v>452.15</v>
      </c>
    </row>
    <row r="611" spans="4:4" x14ac:dyDescent="0.3">
      <c r="D611" t="s">
        <v>104</v>
      </c>
    </row>
    <row r="612" spans="4:4" x14ac:dyDescent="0.3">
      <c r="D612">
        <v>464.5</v>
      </c>
    </row>
    <row r="613" spans="4:4" x14ac:dyDescent="0.3">
      <c r="D613">
        <v>456.75</v>
      </c>
    </row>
    <row r="614" spans="4:4" x14ac:dyDescent="0.3">
      <c r="D614">
        <v>457.4</v>
      </c>
    </row>
    <row r="615" spans="4:4" x14ac:dyDescent="0.3">
      <c r="D615">
        <v>456.7</v>
      </c>
    </row>
    <row r="616" spans="4:4" x14ac:dyDescent="0.3">
      <c r="D616">
        <v>454.75</v>
      </c>
    </row>
    <row r="617" spans="4:4" x14ac:dyDescent="0.3">
      <c r="D617">
        <v>460.25</v>
      </c>
    </row>
    <row r="618" spans="4:4" x14ac:dyDescent="0.3">
      <c r="D618">
        <v>459.5</v>
      </c>
    </row>
    <row r="619" spans="4:4" x14ac:dyDescent="0.3">
      <c r="D619">
        <v>460</v>
      </c>
    </row>
    <row r="620" spans="4:4" x14ac:dyDescent="0.3">
      <c r="D620">
        <v>466.7</v>
      </c>
    </row>
    <row r="621" spans="4:4" x14ac:dyDescent="0.3">
      <c r="D621">
        <v>476.5</v>
      </c>
    </row>
    <row r="622" spans="4:4" x14ac:dyDescent="0.3">
      <c r="D622">
        <v>471.35</v>
      </c>
    </row>
    <row r="623" spans="4:4" x14ac:dyDescent="0.3">
      <c r="D623">
        <v>479.95</v>
      </c>
    </row>
    <row r="624" spans="4:4" x14ac:dyDescent="0.3">
      <c r="D624">
        <v>468.6</v>
      </c>
    </row>
    <row r="625" spans="4:4" x14ac:dyDescent="0.3">
      <c r="D625">
        <v>473.6</v>
      </c>
    </row>
    <row r="626" spans="4:4" x14ac:dyDescent="0.3">
      <c r="D626" t="s">
        <v>104</v>
      </c>
    </row>
    <row r="627" spans="4:4" x14ac:dyDescent="0.3">
      <c r="D627">
        <v>459.65</v>
      </c>
    </row>
    <row r="628" spans="4:4" x14ac:dyDescent="0.3">
      <c r="D628">
        <v>447.9</v>
      </c>
    </row>
    <row r="629" spans="4:4" x14ac:dyDescent="0.3">
      <c r="D629">
        <v>453.35</v>
      </c>
    </row>
    <row r="630" spans="4:4" x14ac:dyDescent="0.3">
      <c r="D630">
        <v>451.75</v>
      </c>
    </row>
    <row r="631" spans="4:4" x14ac:dyDescent="0.3">
      <c r="D631">
        <v>443.4</v>
      </c>
    </row>
    <row r="632" spans="4:4" x14ac:dyDescent="0.3">
      <c r="D632">
        <v>449.3</v>
      </c>
    </row>
    <row r="633" spans="4:4" x14ac:dyDescent="0.3">
      <c r="D633">
        <v>453.35</v>
      </c>
    </row>
    <row r="634" spans="4:4" x14ac:dyDescent="0.3">
      <c r="D634">
        <v>450.25</v>
      </c>
    </row>
    <row r="635" spans="4:4" x14ac:dyDescent="0.3">
      <c r="D635">
        <v>454.7</v>
      </c>
    </row>
    <row r="636" spans="4:4" x14ac:dyDescent="0.3">
      <c r="D636">
        <v>454.4</v>
      </c>
    </row>
    <row r="637" spans="4:4" x14ac:dyDescent="0.3">
      <c r="D637">
        <v>452.05</v>
      </c>
    </row>
    <row r="638" spans="4:4" x14ac:dyDescent="0.3">
      <c r="D638">
        <v>456.65</v>
      </c>
    </row>
    <row r="639" spans="4:4" x14ac:dyDescent="0.3">
      <c r="D639">
        <v>456.4</v>
      </c>
    </row>
    <row r="640" spans="4:4" x14ac:dyDescent="0.3">
      <c r="D640">
        <v>460.8</v>
      </c>
    </row>
    <row r="641" spans="4:4" x14ac:dyDescent="0.3">
      <c r="D641">
        <v>450.35</v>
      </c>
    </row>
    <row r="642" spans="4:4" x14ac:dyDescent="0.3">
      <c r="D642">
        <v>452.75</v>
      </c>
    </row>
    <row r="643" spans="4:4" x14ac:dyDescent="0.3">
      <c r="D643">
        <v>448.25</v>
      </c>
    </row>
    <row r="644" spans="4:4" x14ac:dyDescent="0.3">
      <c r="D644">
        <v>451.1</v>
      </c>
    </row>
    <row r="645" spans="4:4" x14ac:dyDescent="0.3">
      <c r="D645">
        <v>452.25</v>
      </c>
    </row>
    <row r="646" spans="4:4" x14ac:dyDescent="0.3">
      <c r="D646">
        <v>443.6</v>
      </c>
    </row>
    <row r="647" spans="4:4" x14ac:dyDescent="0.3">
      <c r="D647">
        <v>438.1</v>
      </c>
    </row>
    <row r="648" spans="4:4" x14ac:dyDescent="0.3">
      <c r="D648">
        <v>443</v>
      </c>
    </row>
    <row r="649" spans="4:4" x14ac:dyDescent="0.3">
      <c r="D649">
        <v>439</v>
      </c>
    </row>
    <row r="650" spans="4:4" x14ac:dyDescent="0.3">
      <c r="D650">
        <v>441.4</v>
      </c>
    </row>
    <row r="651" spans="4:4" x14ac:dyDescent="0.3">
      <c r="D651">
        <v>446</v>
      </c>
    </row>
    <row r="652" spans="4:4" x14ac:dyDescent="0.3">
      <c r="D652">
        <v>447.1</v>
      </c>
    </row>
    <row r="653" spans="4:4" x14ac:dyDescent="0.3">
      <c r="D653">
        <v>449.5</v>
      </c>
    </row>
    <row r="654" spans="4:4" x14ac:dyDescent="0.3">
      <c r="D654">
        <v>447.4</v>
      </c>
    </row>
    <row r="655" spans="4:4" x14ac:dyDescent="0.3">
      <c r="D655">
        <v>443</v>
      </c>
    </row>
    <row r="656" spans="4:4" x14ac:dyDescent="0.3">
      <c r="D656">
        <v>443.1</v>
      </c>
    </row>
    <row r="657" spans="4:4" x14ac:dyDescent="0.3">
      <c r="D657">
        <v>444.8</v>
      </c>
    </row>
    <row r="658" spans="4:4" x14ac:dyDescent="0.3">
      <c r="D658">
        <v>442.15</v>
      </c>
    </row>
    <row r="659" spans="4:4" x14ac:dyDescent="0.3">
      <c r="D659">
        <v>445.3</v>
      </c>
    </row>
    <row r="660" spans="4:4" x14ac:dyDescent="0.3">
      <c r="D660">
        <v>444.25</v>
      </c>
    </row>
    <row r="661" spans="4:4" x14ac:dyDescent="0.3">
      <c r="D661">
        <v>443.7</v>
      </c>
    </row>
    <row r="662" spans="4:4" x14ac:dyDescent="0.3">
      <c r="D662">
        <v>447.15</v>
      </c>
    </row>
    <row r="663" spans="4:4" x14ac:dyDescent="0.3">
      <c r="D663">
        <v>448.25</v>
      </c>
    </row>
    <row r="664" spans="4:4" x14ac:dyDescent="0.3">
      <c r="D664">
        <v>452.9</v>
      </c>
    </row>
    <row r="665" spans="4:4" x14ac:dyDescent="0.3">
      <c r="D665">
        <v>452.5</v>
      </c>
    </row>
    <row r="666" spans="4:4" x14ac:dyDescent="0.3">
      <c r="D666">
        <v>449.65</v>
      </c>
    </row>
    <row r="667" spans="4:4" x14ac:dyDescent="0.3">
      <c r="D667">
        <v>452.5</v>
      </c>
    </row>
    <row r="668" spans="4:4" x14ac:dyDescent="0.3">
      <c r="D668">
        <v>454.45</v>
      </c>
    </row>
    <row r="669" spans="4:4" x14ac:dyDescent="0.3">
      <c r="D669">
        <v>454.75</v>
      </c>
    </row>
    <row r="670" spans="4:4" x14ac:dyDescent="0.3">
      <c r="D670">
        <v>454</v>
      </c>
    </row>
    <row r="671" spans="4:4" x14ac:dyDescent="0.3">
      <c r="D671">
        <v>453.1</v>
      </c>
    </row>
    <row r="672" spans="4:4" x14ac:dyDescent="0.3">
      <c r="D672">
        <v>454.2</v>
      </c>
    </row>
    <row r="673" spans="4:4" x14ac:dyDescent="0.3">
      <c r="D673">
        <v>459.5</v>
      </c>
    </row>
    <row r="674" spans="4:4" x14ac:dyDescent="0.3">
      <c r="D674">
        <v>457.2</v>
      </c>
    </row>
    <row r="675" spans="4:4" x14ac:dyDescent="0.3">
      <c r="D675">
        <v>464.2</v>
      </c>
    </row>
    <row r="676" spans="4:4" x14ac:dyDescent="0.3">
      <c r="D676">
        <v>473.25</v>
      </c>
    </row>
    <row r="677" spans="4:4" x14ac:dyDescent="0.3">
      <c r="D677">
        <v>476</v>
      </c>
    </row>
    <row r="678" spans="4:4" x14ac:dyDescent="0.3">
      <c r="D678">
        <v>469.85</v>
      </c>
    </row>
    <row r="679" spans="4:4" x14ac:dyDescent="0.3">
      <c r="D679">
        <v>468.85</v>
      </c>
    </row>
    <row r="680" spans="4:4" x14ac:dyDescent="0.3">
      <c r="D680">
        <v>464</v>
      </c>
    </row>
    <row r="681" spans="4:4" x14ac:dyDescent="0.3">
      <c r="D681">
        <v>459.5</v>
      </c>
    </row>
    <row r="682" spans="4:4" x14ac:dyDescent="0.3">
      <c r="D682">
        <v>463.2</v>
      </c>
    </row>
    <row r="683" spans="4:4" x14ac:dyDescent="0.3">
      <c r="D683">
        <v>461</v>
      </c>
    </row>
    <row r="684" spans="4:4" x14ac:dyDescent="0.3">
      <c r="D684">
        <v>462</v>
      </c>
    </row>
    <row r="685" spans="4:4" x14ac:dyDescent="0.3">
      <c r="D685">
        <v>457.4</v>
      </c>
    </row>
    <row r="686" spans="4:4" x14ac:dyDescent="0.3">
      <c r="D686">
        <v>454.8</v>
      </c>
    </row>
    <row r="687" spans="4:4" x14ac:dyDescent="0.3">
      <c r="D687">
        <v>454.9</v>
      </c>
    </row>
    <row r="688" spans="4:4" x14ac:dyDescent="0.3">
      <c r="D688">
        <v>457.65</v>
      </c>
    </row>
    <row r="689" spans="4:4" x14ac:dyDescent="0.3">
      <c r="D689">
        <v>457.4</v>
      </c>
    </row>
    <row r="690" spans="4:4" x14ac:dyDescent="0.3">
      <c r="D690">
        <v>454.1</v>
      </c>
    </row>
    <row r="691" spans="4:4" x14ac:dyDescent="0.3">
      <c r="D691">
        <v>455.8</v>
      </c>
    </row>
    <row r="692" spans="4:4" x14ac:dyDescent="0.3">
      <c r="D692">
        <v>458.5</v>
      </c>
    </row>
    <row r="693" spans="4:4" x14ac:dyDescent="0.3">
      <c r="D693">
        <v>457.4</v>
      </c>
    </row>
    <row r="694" spans="4:4" x14ac:dyDescent="0.3">
      <c r="D694">
        <v>458.25</v>
      </c>
    </row>
    <row r="695" spans="4:4" x14ac:dyDescent="0.3">
      <c r="D695">
        <v>455.9</v>
      </c>
    </row>
    <row r="696" spans="4:4" x14ac:dyDescent="0.3">
      <c r="D696" t="s">
        <v>104</v>
      </c>
    </row>
    <row r="697" spans="4:4" x14ac:dyDescent="0.3">
      <c r="D697">
        <v>453.1</v>
      </c>
    </row>
    <row r="698" spans="4:4" x14ac:dyDescent="0.3">
      <c r="D698">
        <v>456.55</v>
      </c>
    </row>
    <row r="699" spans="4:4" x14ac:dyDescent="0.3">
      <c r="D699">
        <v>462.15</v>
      </c>
    </row>
    <row r="700" spans="4:4" x14ac:dyDescent="0.3">
      <c r="D700">
        <v>464.4</v>
      </c>
    </row>
    <row r="701" spans="4:4" x14ac:dyDescent="0.3">
      <c r="D701">
        <v>463.35</v>
      </c>
    </row>
    <row r="702" spans="4:4" x14ac:dyDescent="0.3">
      <c r="D702">
        <v>462.75</v>
      </c>
    </row>
    <row r="703" spans="4:4" x14ac:dyDescent="0.3">
      <c r="D703">
        <v>458</v>
      </c>
    </row>
    <row r="704" spans="4:4" x14ac:dyDescent="0.3">
      <c r="D704">
        <v>461</v>
      </c>
    </row>
    <row r="705" spans="4:4" x14ac:dyDescent="0.3">
      <c r="D705">
        <v>460.9</v>
      </c>
    </row>
    <row r="706" spans="4:4" x14ac:dyDescent="0.3">
      <c r="D706">
        <v>456.6</v>
      </c>
    </row>
    <row r="707" spans="4:4" x14ac:dyDescent="0.3">
      <c r="D707">
        <v>458.35</v>
      </c>
    </row>
    <row r="708" spans="4:4" x14ac:dyDescent="0.3">
      <c r="D708">
        <v>458.5</v>
      </c>
    </row>
    <row r="709" spans="4:4" x14ac:dyDescent="0.3">
      <c r="D709">
        <v>458.8</v>
      </c>
    </row>
    <row r="710" spans="4:4" x14ac:dyDescent="0.3">
      <c r="D710">
        <v>461.35</v>
      </c>
    </row>
    <row r="711" spans="4:4" x14ac:dyDescent="0.3">
      <c r="D711">
        <v>458.85</v>
      </c>
    </row>
    <row r="712" spans="4:4" x14ac:dyDescent="0.3">
      <c r="D712">
        <v>463.15</v>
      </c>
    </row>
    <row r="713" spans="4:4" x14ac:dyDescent="0.3">
      <c r="D713">
        <v>461.05</v>
      </c>
    </row>
    <row r="714" spans="4:4" x14ac:dyDescent="0.3">
      <c r="D714">
        <v>463.85</v>
      </c>
    </row>
    <row r="715" spans="4:4" x14ac:dyDescent="0.3">
      <c r="D715">
        <v>461</v>
      </c>
    </row>
    <row r="716" spans="4:4" x14ac:dyDescent="0.3">
      <c r="D716">
        <v>460.9</v>
      </c>
    </row>
    <row r="717" spans="4:4" x14ac:dyDescent="0.3">
      <c r="D717">
        <v>458.9</v>
      </c>
    </row>
    <row r="718" spans="4:4" x14ac:dyDescent="0.3">
      <c r="D718">
        <v>459.15</v>
      </c>
    </row>
    <row r="719" spans="4:4" x14ac:dyDescent="0.3">
      <c r="D719">
        <v>454.1</v>
      </c>
    </row>
    <row r="720" spans="4:4" x14ac:dyDescent="0.3">
      <c r="D720">
        <v>455</v>
      </c>
    </row>
    <row r="721" spans="4:4" x14ac:dyDescent="0.3">
      <c r="D721">
        <v>455.15</v>
      </c>
    </row>
    <row r="722" spans="4:4" x14ac:dyDescent="0.3">
      <c r="D722">
        <v>456.85</v>
      </c>
    </row>
    <row r="723" spans="4:4" x14ac:dyDescent="0.3">
      <c r="D723">
        <v>458.55</v>
      </c>
    </row>
    <row r="724" spans="4:4" x14ac:dyDescent="0.3">
      <c r="D724">
        <v>458.25</v>
      </c>
    </row>
    <row r="725" spans="4:4" x14ac:dyDescent="0.3">
      <c r="D725">
        <v>461.75</v>
      </c>
    </row>
    <row r="726" spans="4:4" x14ac:dyDescent="0.3">
      <c r="D726">
        <v>461.85</v>
      </c>
    </row>
    <row r="727" spans="4:4" x14ac:dyDescent="0.3">
      <c r="D727">
        <v>459.65</v>
      </c>
    </row>
    <row r="728" spans="4:4" x14ac:dyDescent="0.3">
      <c r="D728">
        <v>459.45</v>
      </c>
    </row>
    <row r="729" spans="4:4" x14ac:dyDescent="0.3">
      <c r="D729">
        <v>461.75</v>
      </c>
    </row>
    <row r="730" spans="4:4" x14ac:dyDescent="0.3">
      <c r="D730">
        <v>464.25</v>
      </c>
    </row>
    <row r="731" spans="4:4" x14ac:dyDescent="0.3">
      <c r="D731">
        <v>479.5</v>
      </c>
    </row>
    <row r="732" spans="4:4" x14ac:dyDescent="0.3">
      <c r="D732">
        <v>481.6</v>
      </c>
    </row>
    <row r="733" spans="4:4" x14ac:dyDescent="0.3">
      <c r="D733">
        <v>466.65</v>
      </c>
    </row>
    <row r="734" spans="4:4" x14ac:dyDescent="0.3">
      <c r="D734">
        <v>469.8</v>
      </c>
    </row>
    <row r="735" spans="4:4" x14ac:dyDescent="0.3">
      <c r="D735">
        <v>472.65</v>
      </c>
    </row>
    <row r="736" spans="4:4" x14ac:dyDescent="0.3">
      <c r="D736">
        <v>474.85</v>
      </c>
    </row>
    <row r="737" spans="4:4" x14ac:dyDescent="0.3">
      <c r="D737">
        <v>473.45</v>
      </c>
    </row>
    <row r="738" spans="4:4" x14ac:dyDescent="0.3">
      <c r="D738">
        <v>479.65</v>
      </c>
    </row>
    <row r="739" spans="4:4" x14ac:dyDescent="0.3">
      <c r="D739">
        <v>474.05</v>
      </c>
    </row>
    <row r="740" spans="4:4" x14ac:dyDescent="0.3">
      <c r="D740">
        <v>468</v>
      </c>
    </row>
    <row r="741" spans="4:4" x14ac:dyDescent="0.3">
      <c r="D741">
        <v>469.95</v>
      </c>
    </row>
    <row r="742" spans="4:4" x14ac:dyDescent="0.3">
      <c r="D742">
        <v>470.1</v>
      </c>
    </row>
    <row r="743" spans="4:4" x14ac:dyDescent="0.3">
      <c r="D743">
        <v>467</v>
      </c>
    </row>
    <row r="744" spans="4:4" x14ac:dyDescent="0.3">
      <c r="D744">
        <v>459.7</v>
      </c>
    </row>
    <row r="745" spans="4:4" x14ac:dyDescent="0.3">
      <c r="D745">
        <v>458.6</v>
      </c>
    </row>
    <row r="746" spans="4:4" x14ac:dyDescent="0.3">
      <c r="D746">
        <v>463.5</v>
      </c>
    </row>
    <row r="747" spans="4:4" x14ac:dyDescent="0.3">
      <c r="D747">
        <v>458.75</v>
      </c>
    </row>
    <row r="748" spans="4:4" x14ac:dyDescent="0.3">
      <c r="D748">
        <v>461.3</v>
      </c>
    </row>
    <row r="749" spans="4:4" x14ac:dyDescent="0.3">
      <c r="D749">
        <v>463</v>
      </c>
    </row>
    <row r="750" spans="4:4" x14ac:dyDescent="0.3">
      <c r="D750">
        <v>464.2</v>
      </c>
    </row>
    <row r="751" spans="4:4" x14ac:dyDescent="0.3">
      <c r="D751">
        <v>461.75</v>
      </c>
    </row>
    <row r="752" spans="4:4" x14ac:dyDescent="0.3">
      <c r="D752">
        <v>463.55</v>
      </c>
    </row>
    <row r="753" spans="4:4" x14ac:dyDescent="0.3">
      <c r="D753">
        <v>464.2</v>
      </c>
    </row>
    <row r="754" spans="4:4" x14ac:dyDescent="0.3">
      <c r="D754">
        <v>465.8</v>
      </c>
    </row>
    <row r="755" spans="4:4" x14ac:dyDescent="0.3">
      <c r="D755">
        <v>466.25</v>
      </c>
    </row>
    <row r="756" spans="4:4" x14ac:dyDescent="0.3">
      <c r="D756">
        <v>468.25</v>
      </c>
    </row>
    <row r="757" spans="4:4" x14ac:dyDescent="0.3">
      <c r="D757">
        <v>476.95</v>
      </c>
    </row>
    <row r="758" spans="4:4" x14ac:dyDescent="0.3">
      <c r="D758">
        <v>478.75</v>
      </c>
    </row>
    <row r="759" spans="4:4" x14ac:dyDescent="0.3">
      <c r="D759">
        <v>477.65</v>
      </c>
    </row>
    <row r="760" spans="4:4" x14ac:dyDescent="0.3">
      <c r="D760">
        <v>477.8</v>
      </c>
    </row>
    <row r="761" spans="4:4" x14ac:dyDescent="0.3">
      <c r="D761">
        <v>493.9</v>
      </c>
    </row>
    <row r="762" spans="4:4" x14ac:dyDescent="0.3">
      <c r="D762">
        <v>486.9</v>
      </c>
    </row>
    <row r="763" spans="4:4" x14ac:dyDescent="0.3">
      <c r="D763">
        <v>490</v>
      </c>
    </row>
    <row r="764" spans="4:4" x14ac:dyDescent="0.3">
      <c r="D764">
        <v>488.95</v>
      </c>
    </row>
    <row r="765" spans="4:4" x14ac:dyDescent="0.3">
      <c r="D765">
        <v>485.75</v>
      </c>
    </row>
    <row r="766" spans="4:4" x14ac:dyDescent="0.3">
      <c r="D766">
        <v>480.9</v>
      </c>
    </row>
    <row r="767" spans="4:4" x14ac:dyDescent="0.3">
      <c r="D767">
        <v>483</v>
      </c>
    </row>
    <row r="768" spans="4:4" x14ac:dyDescent="0.3">
      <c r="D768">
        <v>485.3</v>
      </c>
    </row>
    <row r="769" spans="4:4" x14ac:dyDescent="0.3">
      <c r="D769">
        <v>484.5</v>
      </c>
    </row>
    <row r="770" spans="4:4" x14ac:dyDescent="0.3">
      <c r="D770">
        <v>495</v>
      </c>
    </row>
    <row r="771" spans="4:4" x14ac:dyDescent="0.3">
      <c r="D771">
        <v>502.75</v>
      </c>
    </row>
    <row r="772" spans="4:4" x14ac:dyDescent="0.3">
      <c r="D772">
        <v>593.70000000000005</v>
      </c>
    </row>
    <row r="773" spans="4:4" x14ac:dyDescent="0.3">
      <c r="D773">
        <v>487.05</v>
      </c>
    </row>
    <row r="774" spans="4:4" x14ac:dyDescent="0.3">
      <c r="D774">
        <v>487.75</v>
      </c>
    </row>
    <row r="775" spans="4:4" x14ac:dyDescent="0.3">
      <c r="D775">
        <v>484.55</v>
      </c>
    </row>
    <row r="776" spans="4:4" x14ac:dyDescent="0.3">
      <c r="D776">
        <v>481</v>
      </c>
    </row>
    <row r="777" spans="4:4" x14ac:dyDescent="0.3">
      <c r="D777">
        <v>481.6</v>
      </c>
    </row>
    <row r="778" spans="4:4" x14ac:dyDescent="0.3">
      <c r="D778">
        <v>483.25</v>
      </c>
    </row>
    <row r="779" spans="4:4" x14ac:dyDescent="0.3">
      <c r="D779">
        <v>483.75</v>
      </c>
    </row>
    <row r="780" spans="4:4" x14ac:dyDescent="0.3">
      <c r="D780" t="s">
        <v>104</v>
      </c>
    </row>
    <row r="781" spans="4:4" x14ac:dyDescent="0.3">
      <c r="D781" t="s">
        <v>104</v>
      </c>
    </row>
    <row r="782" spans="4:4" x14ac:dyDescent="0.3">
      <c r="D782">
        <v>489.55</v>
      </c>
    </row>
    <row r="783" spans="4:4" x14ac:dyDescent="0.3">
      <c r="D783">
        <v>486.9</v>
      </c>
    </row>
    <row r="784" spans="4:4" x14ac:dyDescent="0.3">
      <c r="D784">
        <v>486.5</v>
      </c>
    </row>
    <row r="785" spans="4:4" x14ac:dyDescent="0.3">
      <c r="D785" t="s">
        <v>104</v>
      </c>
    </row>
    <row r="786" spans="4:4" x14ac:dyDescent="0.3">
      <c r="D786">
        <v>484.1</v>
      </c>
    </row>
    <row r="787" spans="4:4" x14ac:dyDescent="0.3">
      <c r="D787">
        <v>477.3</v>
      </c>
    </row>
    <row r="788" spans="4:4" x14ac:dyDescent="0.3">
      <c r="D788">
        <v>481.6</v>
      </c>
    </row>
    <row r="789" spans="4:4" x14ac:dyDescent="0.3">
      <c r="D789">
        <v>483.95</v>
      </c>
    </row>
    <row r="790" spans="4:4" x14ac:dyDescent="0.3">
      <c r="D790">
        <v>479.5</v>
      </c>
    </row>
    <row r="791" spans="4:4" x14ac:dyDescent="0.3">
      <c r="D791">
        <v>485.3</v>
      </c>
    </row>
    <row r="792" spans="4:4" x14ac:dyDescent="0.3">
      <c r="D792">
        <v>482.05</v>
      </c>
    </row>
    <row r="793" spans="4:4" x14ac:dyDescent="0.3">
      <c r="D793">
        <v>481.4</v>
      </c>
    </row>
    <row r="794" spans="4:4" x14ac:dyDescent="0.3">
      <c r="D794">
        <v>480.9</v>
      </c>
    </row>
    <row r="795" spans="4:4" x14ac:dyDescent="0.3">
      <c r="D795">
        <v>484.8</v>
      </c>
    </row>
    <row r="796" spans="4:4" x14ac:dyDescent="0.3">
      <c r="D796">
        <v>475.85</v>
      </c>
    </row>
    <row r="797" spans="4:4" x14ac:dyDescent="0.3">
      <c r="D797">
        <v>476.75</v>
      </c>
    </row>
    <row r="798" spans="4:4" x14ac:dyDescent="0.3">
      <c r="D798">
        <v>477.75</v>
      </c>
    </row>
    <row r="799" spans="4:4" x14ac:dyDescent="0.3">
      <c r="D799">
        <v>476.5</v>
      </c>
    </row>
    <row r="800" spans="4:4" x14ac:dyDescent="0.3">
      <c r="D800">
        <v>477.85</v>
      </c>
    </row>
    <row r="801" spans="4:4" x14ac:dyDescent="0.3">
      <c r="D801">
        <v>471.4</v>
      </c>
    </row>
    <row r="802" spans="4:4" x14ac:dyDescent="0.3">
      <c r="D802">
        <v>471.4</v>
      </c>
    </row>
    <row r="803" spans="4:4" x14ac:dyDescent="0.3">
      <c r="D803">
        <v>469.4</v>
      </c>
    </row>
    <row r="804" spans="4:4" x14ac:dyDescent="0.3">
      <c r="D804">
        <v>468</v>
      </c>
    </row>
    <row r="805" spans="4:4" x14ac:dyDescent="0.3">
      <c r="D805">
        <v>465.25</v>
      </c>
    </row>
    <row r="806" spans="4:4" x14ac:dyDescent="0.3">
      <c r="D806">
        <v>454.65</v>
      </c>
    </row>
    <row r="807" spans="4:4" x14ac:dyDescent="0.3">
      <c r="D807">
        <v>455.15</v>
      </c>
    </row>
    <row r="808" spans="4:4" x14ac:dyDescent="0.3">
      <c r="D808">
        <v>447.1</v>
      </c>
    </row>
    <row r="809" spans="4:4" x14ac:dyDescent="0.3">
      <c r="D809">
        <v>437.6</v>
      </c>
    </row>
    <row r="810" spans="4:4" x14ac:dyDescent="0.3">
      <c r="D810">
        <v>444.15</v>
      </c>
    </row>
    <row r="811" spans="4:4" x14ac:dyDescent="0.3">
      <c r="D811">
        <v>443.05</v>
      </c>
    </row>
    <row r="812" spans="4:4" x14ac:dyDescent="0.3">
      <c r="D812">
        <v>439.25</v>
      </c>
    </row>
    <row r="813" spans="4:4" x14ac:dyDescent="0.3">
      <c r="D813">
        <v>443.8</v>
      </c>
    </row>
    <row r="814" spans="4:4" x14ac:dyDescent="0.3">
      <c r="D814">
        <v>440.2</v>
      </c>
    </row>
    <row r="815" spans="4:4" x14ac:dyDescent="0.3">
      <c r="D815">
        <v>440.3</v>
      </c>
    </row>
    <row r="816" spans="4:4" x14ac:dyDescent="0.3">
      <c r="D816">
        <v>443.6</v>
      </c>
    </row>
    <row r="817" spans="4:4" x14ac:dyDescent="0.3">
      <c r="D817">
        <v>444.25</v>
      </c>
    </row>
    <row r="818" spans="4:4" x14ac:dyDescent="0.3">
      <c r="D818">
        <v>444.4</v>
      </c>
    </row>
    <row r="819" spans="4:4" x14ac:dyDescent="0.3">
      <c r="D819">
        <v>446.25</v>
      </c>
    </row>
    <row r="820" spans="4:4" x14ac:dyDescent="0.3">
      <c r="D820">
        <v>443.45</v>
      </c>
    </row>
    <row r="821" spans="4:4" x14ac:dyDescent="0.3">
      <c r="D821">
        <v>445.1</v>
      </c>
    </row>
    <row r="822" spans="4:4" x14ac:dyDescent="0.3">
      <c r="D822">
        <v>443.95</v>
      </c>
    </row>
    <row r="823" spans="4:4" x14ac:dyDescent="0.3">
      <c r="D823">
        <v>438</v>
      </c>
    </row>
    <row r="824" spans="4:4" x14ac:dyDescent="0.3">
      <c r="D824">
        <v>433.95</v>
      </c>
    </row>
    <row r="825" spans="4:4" x14ac:dyDescent="0.3">
      <c r="D825">
        <v>432.65</v>
      </c>
    </row>
    <row r="826" spans="4:4" x14ac:dyDescent="0.3">
      <c r="D826">
        <v>423.75</v>
      </c>
    </row>
    <row r="827" spans="4:4" x14ac:dyDescent="0.3">
      <c r="D827">
        <v>429.15</v>
      </c>
    </row>
    <row r="828" spans="4:4" x14ac:dyDescent="0.3">
      <c r="D828">
        <v>431.55</v>
      </c>
    </row>
    <row r="829" spans="4:4" x14ac:dyDescent="0.3">
      <c r="D829">
        <v>429.15</v>
      </c>
    </row>
    <row r="830" spans="4:4" x14ac:dyDescent="0.3">
      <c r="D830">
        <v>430.75</v>
      </c>
    </row>
    <row r="831" spans="4:4" x14ac:dyDescent="0.3">
      <c r="D831">
        <v>436</v>
      </c>
    </row>
    <row r="832" spans="4:4" x14ac:dyDescent="0.3">
      <c r="D832">
        <v>435.7</v>
      </c>
    </row>
    <row r="833" spans="4:4" x14ac:dyDescent="0.3">
      <c r="D833">
        <v>436.1</v>
      </c>
    </row>
    <row r="834" spans="4:4" x14ac:dyDescent="0.3">
      <c r="D834">
        <v>437.25</v>
      </c>
    </row>
    <row r="835" spans="4:4" x14ac:dyDescent="0.3">
      <c r="D835">
        <v>444.1</v>
      </c>
    </row>
    <row r="836" spans="4:4" x14ac:dyDescent="0.3">
      <c r="D836">
        <v>441.9</v>
      </c>
    </row>
    <row r="837" spans="4:4" x14ac:dyDescent="0.3">
      <c r="D837">
        <v>442.25</v>
      </c>
    </row>
    <row r="838" spans="4:4" x14ac:dyDescent="0.3">
      <c r="D838">
        <v>447.15</v>
      </c>
    </row>
    <row r="839" spans="4:4" x14ac:dyDescent="0.3">
      <c r="D839">
        <v>445.35</v>
      </c>
    </row>
    <row r="840" spans="4:4" x14ac:dyDescent="0.3">
      <c r="D840">
        <v>442.8</v>
      </c>
    </row>
    <row r="841" spans="4:4" x14ac:dyDescent="0.3">
      <c r="D841">
        <v>446.5</v>
      </c>
    </row>
    <row r="842" spans="4:4" x14ac:dyDescent="0.3">
      <c r="D842">
        <v>449.4</v>
      </c>
    </row>
    <row r="843" spans="4:4" x14ac:dyDescent="0.3">
      <c r="D843">
        <v>450</v>
      </c>
    </row>
    <row r="844" spans="4:4" x14ac:dyDescent="0.3">
      <c r="D844">
        <v>453.9</v>
      </c>
    </row>
    <row r="845" spans="4:4" x14ac:dyDescent="0.3">
      <c r="D845">
        <v>451.5</v>
      </c>
    </row>
    <row r="846" spans="4:4" x14ac:dyDescent="0.3">
      <c r="D846">
        <v>453.1</v>
      </c>
    </row>
    <row r="847" spans="4:4" x14ac:dyDescent="0.3">
      <c r="D847">
        <v>454.7</v>
      </c>
    </row>
    <row r="848" spans="4:4" x14ac:dyDescent="0.3">
      <c r="D848">
        <v>454</v>
      </c>
    </row>
    <row r="849" spans="4:4" x14ac:dyDescent="0.3">
      <c r="D849">
        <v>458</v>
      </c>
    </row>
    <row r="850" spans="4:4" x14ac:dyDescent="0.3">
      <c r="D850" t="s">
        <v>104</v>
      </c>
    </row>
    <row r="851" spans="4:4" x14ac:dyDescent="0.3">
      <c r="D851" t="s">
        <v>104</v>
      </c>
    </row>
    <row r="852" spans="4:4" x14ac:dyDescent="0.3">
      <c r="D852">
        <v>456</v>
      </c>
    </row>
    <row r="853" spans="4:4" x14ac:dyDescent="0.3">
      <c r="D853">
        <v>450.8</v>
      </c>
    </row>
    <row r="854" spans="4:4" x14ac:dyDescent="0.3">
      <c r="D854">
        <v>446.25</v>
      </c>
    </row>
    <row r="855" spans="4:4" x14ac:dyDescent="0.3">
      <c r="D855">
        <v>448.6</v>
      </c>
    </row>
    <row r="856" spans="4:4" x14ac:dyDescent="0.3">
      <c r="D856">
        <v>450.15</v>
      </c>
    </row>
    <row r="857" spans="4:4" x14ac:dyDescent="0.3">
      <c r="D857">
        <v>450.2</v>
      </c>
    </row>
    <row r="858" spans="4:4" x14ac:dyDescent="0.3">
      <c r="D858">
        <v>448.5</v>
      </c>
    </row>
    <row r="859" spans="4:4" x14ac:dyDescent="0.3">
      <c r="D859">
        <v>447</v>
      </c>
    </row>
    <row r="860" spans="4:4" x14ac:dyDescent="0.3">
      <c r="D860">
        <v>453.85</v>
      </c>
    </row>
    <row r="861" spans="4:4" x14ac:dyDescent="0.3">
      <c r="D861">
        <v>457.55</v>
      </c>
    </row>
    <row r="862" spans="4:4" x14ac:dyDescent="0.3">
      <c r="D862">
        <v>456.55</v>
      </c>
    </row>
    <row r="863" spans="4:4" x14ac:dyDescent="0.3">
      <c r="D863">
        <v>458</v>
      </c>
    </row>
    <row r="864" spans="4:4" x14ac:dyDescent="0.3">
      <c r="D864">
        <v>454</v>
      </c>
    </row>
    <row r="865" spans="4:4" x14ac:dyDescent="0.3">
      <c r="D865">
        <v>453.15</v>
      </c>
    </row>
    <row r="866" spans="4:4" x14ac:dyDescent="0.3">
      <c r="D866">
        <v>449.75</v>
      </c>
    </row>
    <row r="867" spans="4:4" x14ac:dyDescent="0.3">
      <c r="D867">
        <v>448.25</v>
      </c>
    </row>
    <row r="868" spans="4:4" x14ac:dyDescent="0.3">
      <c r="D868">
        <v>449.1</v>
      </c>
    </row>
    <row r="869" spans="4:4" x14ac:dyDescent="0.3">
      <c r="D869">
        <v>452.15</v>
      </c>
    </row>
    <row r="870" spans="4:4" x14ac:dyDescent="0.3">
      <c r="D870">
        <v>449.75</v>
      </c>
    </row>
    <row r="871" spans="4:4" x14ac:dyDescent="0.3">
      <c r="D871" t="s">
        <v>104</v>
      </c>
    </row>
    <row r="872" spans="4:4" x14ac:dyDescent="0.3">
      <c r="D872">
        <v>444.3</v>
      </c>
    </row>
    <row r="873" spans="4:4" x14ac:dyDescent="0.3">
      <c r="D873">
        <v>441.95</v>
      </c>
    </row>
    <row r="874" spans="4:4" x14ac:dyDescent="0.3">
      <c r="D874">
        <v>445.35</v>
      </c>
    </row>
    <row r="875" spans="4:4" x14ac:dyDescent="0.3">
      <c r="D875">
        <v>445.95</v>
      </c>
    </row>
    <row r="876" spans="4:4" x14ac:dyDescent="0.3">
      <c r="D876">
        <v>443.6</v>
      </c>
    </row>
    <row r="877" spans="4:4" x14ac:dyDescent="0.3">
      <c r="D877">
        <v>447.1</v>
      </c>
    </row>
    <row r="878" spans="4:4" x14ac:dyDescent="0.3">
      <c r="D878">
        <v>449.35</v>
      </c>
    </row>
    <row r="879" spans="4:4" x14ac:dyDescent="0.3">
      <c r="D879">
        <v>448.65</v>
      </c>
    </row>
    <row r="880" spans="4:4" x14ac:dyDescent="0.3">
      <c r="D880">
        <v>451.05</v>
      </c>
    </row>
    <row r="881" spans="4:4" x14ac:dyDescent="0.3">
      <c r="D881">
        <v>453.4</v>
      </c>
    </row>
    <row r="882" spans="4:4" x14ac:dyDescent="0.3">
      <c r="D882">
        <v>453.15</v>
      </c>
    </row>
    <row r="883" spans="4:4" x14ac:dyDescent="0.3">
      <c r="D883">
        <v>452.7</v>
      </c>
    </row>
    <row r="884" spans="4:4" x14ac:dyDescent="0.3">
      <c r="D884">
        <v>456.65</v>
      </c>
    </row>
    <row r="885" spans="4:4" x14ac:dyDescent="0.3">
      <c r="D885">
        <v>459.5</v>
      </c>
    </row>
    <row r="886" spans="4:4" x14ac:dyDescent="0.3">
      <c r="D886">
        <v>460.25</v>
      </c>
    </row>
    <row r="887" spans="4:4" x14ac:dyDescent="0.3">
      <c r="D887">
        <v>458.6</v>
      </c>
    </row>
    <row r="888" spans="4:4" x14ac:dyDescent="0.3">
      <c r="D888">
        <v>458.6</v>
      </c>
    </row>
    <row r="889" spans="4:4" x14ac:dyDescent="0.3">
      <c r="D889">
        <v>453</v>
      </c>
    </row>
    <row r="890" spans="4:4" x14ac:dyDescent="0.3">
      <c r="D890">
        <v>452.5</v>
      </c>
    </row>
    <row r="891" spans="4:4" x14ac:dyDescent="0.3">
      <c r="D891" t="s">
        <v>104</v>
      </c>
    </row>
    <row r="892" spans="4:4" x14ac:dyDescent="0.3">
      <c r="D892">
        <v>454</v>
      </c>
    </row>
    <row r="893" spans="4:4" x14ac:dyDescent="0.3">
      <c r="D893">
        <v>457</v>
      </c>
    </row>
    <row r="894" spans="4:4" x14ac:dyDescent="0.3">
      <c r="D894">
        <v>454.6</v>
      </c>
    </row>
    <row r="895" spans="4:4" x14ac:dyDescent="0.3">
      <c r="D895">
        <v>464.85</v>
      </c>
    </row>
    <row r="896" spans="4:4" x14ac:dyDescent="0.3">
      <c r="D896">
        <v>464.1</v>
      </c>
    </row>
    <row r="897" spans="4:4" x14ac:dyDescent="0.3">
      <c r="D897">
        <v>463.4</v>
      </c>
    </row>
    <row r="898" spans="4:4" x14ac:dyDescent="0.3">
      <c r="D898">
        <v>458.75</v>
      </c>
    </row>
    <row r="899" spans="4:4" x14ac:dyDescent="0.3">
      <c r="D899">
        <v>455</v>
      </c>
    </row>
    <row r="900" spans="4:4" x14ac:dyDescent="0.3">
      <c r="D900">
        <v>457.1</v>
      </c>
    </row>
    <row r="901" spans="4:4" x14ac:dyDescent="0.3">
      <c r="D901">
        <v>450.5</v>
      </c>
    </row>
    <row r="902" spans="4:4" x14ac:dyDescent="0.3">
      <c r="D902">
        <v>450.8</v>
      </c>
    </row>
    <row r="903" spans="4:4" x14ac:dyDescent="0.3">
      <c r="D903">
        <v>450.3</v>
      </c>
    </row>
    <row r="904" spans="4:4" x14ac:dyDescent="0.3">
      <c r="D904">
        <v>452.65</v>
      </c>
    </row>
    <row r="905" spans="4:4" x14ac:dyDescent="0.3">
      <c r="D905">
        <v>449.8</v>
      </c>
    </row>
    <row r="906" spans="4:4" x14ac:dyDescent="0.3">
      <c r="D906">
        <v>453.9</v>
      </c>
    </row>
    <row r="907" spans="4:4" x14ac:dyDescent="0.3">
      <c r="D907">
        <v>451.7</v>
      </c>
    </row>
    <row r="908" spans="4:4" x14ac:dyDescent="0.3">
      <c r="D908">
        <v>449.8</v>
      </c>
    </row>
    <row r="909" spans="4:4" x14ac:dyDescent="0.3">
      <c r="D909">
        <v>447.6</v>
      </c>
    </row>
    <row r="910" spans="4:4" x14ac:dyDescent="0.3">
      <c r="D910">
        <v>447</v>
      </c>
    </row>
    <row r="911" spans="4:4" x14ac:dyDescent="0.3">
      <c r="D911">
        <v>442</v>
      </c>
    </row>
    <row r="912" spans="4:4" x14ac:dyDescent="0.3">
      <c r="D912">
        <v>443.85</v>
      </c>
    </row>
    <row r="913" spans="4:4" x14ac:dyDescent="0.3">
      <c r="D913">
        <v>434.9</v>
      </c>
    </row>
    <row r="914" spans="4:4" x14ac:dyDescent="0.3">
      <c r="D914">
        <v>436.85</v>
      </c>
    </row>
    <row r="915" spans="4:4" x14ac:dyDescent="0.3">
      <c r="D915">
        <v>436.5</v>
      </c>
    </row>
    <row r="916" spans="4:4" x14ac:dyDescent="0.3">
      <c r="D916">
        <v>437.15</v>
      </c>
    </row>
    <row r="917" spans="4:4" x14ac:dyDescent="0.3">
      <c r="D917">
        <v>437.4</v>
      </c>
    </row>
    <row r="918" spans="4:4" x14ac:dyDescent="0.3">
      <c r="D918">
        <v>438.1</v>
      </c>
    </row>
    <row r="919" spans="4:4" x14ac:dyDescent="0.3">
      <c r="D919">
        <v>439.15</v>
      </c>
    </row>
    <row r="920" spans="4:4" x14ac:dyDescent="0.3">
      <c r="D920">
        <v>438.9</v>
      </c>
    </row>
    <row r="921" spans="4:4" x14ac:dyDescent="0.3">
      <c r="D921">
        <v>439.65</v>
      </c>
    </row>
    <row r="922" spans="4:4" x14ac:dyDescent="0.3">
      <c r="D922">
        <v>434.5</v>
      </c>
    </row>
    <row r="923" spans="4:4" x14ac:dyDescent="0.3">
      <c r="D923">
        <v>436.2</v>
      </c>
    </row>
    <row r="924" spans="4:4" x14ac:dyDescent="0.3">
      <c r="D924">
        <v>439.05</v>
      </c>
    </row>
    <row r="925" spans="4:4" x14ac:dyDescent="0.3">
      <c r="D925">
        <v>438.1</v>
      </c>
    </row>
    <row r="926" spans="4:4" x14ac:dyDescent="0.3">
      <c r="D926">
        <v>437.65</v>
      </c>
    </row>
    <row r="927" spans="4:4" x14ac:dyDescent="0.3">
      <c r="D927">
        <v>437.25</v>
      </c>
    </row>
    <row r="928" spans="4:4" x14ac:dyDescent="0.3">
      <c r="D928">
        <v>445</v>
      </c>
    </row>
    <row r="929" spans="4:4" x14ac:dyDescent="0.3">
      <c r="D929">
        <v>443.2</v>
      </c>
    </row>
    <row r="930" spans="4:4" x14ac:dyDescent="0.3">
      <c r="D930">
        <v>443.2</v>
      </c>
    </row>
    <row r="931" spans="4:4" x14ac:dyDescent="0.3">
      <c r="D931">
        <v>442.2</v>
      </c>
    </row>
    <row r="932" spans="4:4" x14ac:dyDescent="0.3">
      <c r="D932">
        <v>430.15</v>
      </c>
    </row>
    <row r="933" spans="4:4" x14ac:dyDescent="0.3">
      <c r="D933">
        <v>431.7</v>
      </c>
    </row>
    <row r="934" spans="4:4" x14ac:dyDescent="0.3">
      <c r="D934">
        <v>428.75</v>
      </c>
    </row>
    <row r="935" spans="4:4" x14ac:dyDescent="0.3">
      <c r="D935">
        <v>432.7</v>
      </c>
    </row>
    <row r="936" spans="4:4" x14ac:dyDescent="0.3">
      <c r="D936">
        <v>436.4</v>
      </c>
    </row>
    <row r="937" spans="4:4" x14ac:dyDescent="0.3">
      <c r="D937">
        <v>432.9</v>
      </c>
    </row>
    <row r="938" spans="4:4" x14ac:dyDescent="0.3">
      <c r="D938">
        <v>431.25</v>
      </c>
    </row>
    <row r="939" spans="4:4" x14ac:dyDescent="0.3">
      <c r="D939">
        <v>433.4</v>
      </c>
    </row>
    <row r="940" spans="4:4" x14ac:dyDescent="0.3">
      <c r="D940">
        <v>431.45</v>
      </c>
    </row>
    <row r="941" spans="4:4" x14ac:dyDescent="0.3">
      <c r="D941">
        <v>431.85</v>
      </c>
    </row>
    <row r="942" spans="4:4" x14ac:dyDescent="0.3">
      <c r="D942">
        <v>428.25</v>
      </c>
    </row>
    <row r="943" spans="4:4" x14ac:dyDescent="0.3">
      <c r="D943">
        <v>426.95</v>
      </c>
    </row>
    <row r="944" spans="4:4" x14ac:dyDescent="0.3">
      <c r="D944">
        <v>429</v>
      </c>
    </row>
    <row r="945" spans="4:4" x14ac:dyDescent="0.3">
      <c r="D945">
        <v>428.4</v>
      </c>
    </row>
    <row r="946" spans="4:4" x14ac:dyDescent="0.3">
      <c r="D946">
        <v>431.15</v>
      </c>
    </row>
    <row r="947" spans="4:4" x14ac:dyDescent="0.3">
      <c r="D947">
        <v>432</v>
      </c>
    </row>
    <row r="948" spans="4:4" x14ac:dyDescent="0.3">
      <c r="D948">
        <v>429</v>
      </c>
    </row>
    <row r="949" spans="4:4" x14ac:dyDescent="0.3">
      <c r="D949">
        <v>430.2</v>
      </c>
    </row>
    <row r="950" spans="4:4" x14ac:dyDescent="0.3">
      <c r="D950">
        <v>432.4</v>
      </c>
    </row>
    <row r="951" spans="4:4" x14ac:dyDescent="0.3">
      <c r="D951">
        <v>429.7</v>
      </c>
    </row>
    <row r="952" spans="4:4" x14ac:dyDescent="0.3">
      <c r="D952">
        <v>432.7</v>
      </c>
    </row>
    <row r="953" spans="4:4" x14ac:dyDescent="0.3">
      <c r="D953">
        <v>432.1</v>
      </c>
    </row>
    <row r="954" spans="4:4" x14ac:dyDescent="0.3">
      <c r="D954">
        <v>434.8</v>
      </c>
    </row>
    <row r="955" spans="4:4" x14ac:dyDescent="0.3">
      <c r="D955">
        <v>433.75</v>
      </c>
    </row>
    <row r="956" spans="4:4" x14ac:dyDescent="0.3">
      <c r="D956" t="s">
        <v>104</v>
      </c>
    </row>
    <row r="957" spans="4:4" x14ac:dyDescent="0.3">
      <c r="D957">
        <v>429.4</v>
      </c>
    </row>
    <row r="958" spans="4:4" x14ac:dyDescent="0.3">
      <c r="D958">
        <v>426.35</v>
      </c>
    </row>
    <row r="959" spans="4:4" x14ac:dyDescent="0.3">
      <c r="D959">
        <v>430.3</v>
      </c>
    </row>
    <row r="960" spans="4:4" x14ac:dyDescent="0.3">
      <c r="D960">
        <v>430.3</v>
      </c>
    </row>
    <row r="961" spans="4:4" x14ac:dyDescent="0.3">
      <c r="D961">
        <v>427</v>
      </c>
    </row>
    <row r="962" spans="4:4" x14ac:dyDescent="0.3">
      <c r="D962">
        <v>427.65</v>
      </c>
    </row>
    <row r="963" spans="4:4" x14ac:dyDescent="0.3">
      <c r="D963">
        <v>427</v>
      </c>
    </row>
    <row r="964" spans="4:4" x14ac:dyDescent="0.3">
      <c r="D964">
        <v>428</v>
      </c>
    </row>
    <row r="965" spans="4:4" x14ac:dyDescent="0.3">
      <c r="D965">
        <v>428.9</v>
      </c>
    </row>
    <row r="966" spans="4:4" x14ac:dyDescent="0.3">
      <c r="D966">
        <v>418</v>
      </c>
    </row>
    <row r="967" spans="4:4" x14ac:dyDescent="0.3">
      <c r="D967">
        <v>420.8</v>
      </c>
    </row>
    <row r="968" spans="4:4" x14ac:dyDescent="0.3">
      <c r="D968">
        <v>421.9</v>
      </c>
    </row>
    <row r="969" spans="4:4" x14ac:dyDescent="0.3">
      <c r="D969">
        <v>421.5</v>
      </c>
    </row>
    <row r="970" spans="4:4" x14ac:dyDescent="0.3">
      <c r="D970">
        <v>417.3</v>
      </c>
    </row>
    <row r="971" spans="4:4" x14ac:dyDescent="0.3">
      <c r="D971">
        <v>409</v>
      </c>
    </row>
    <row r="972" spans="4:4" x14ac:dyDescent="0.3">
      <c r="D972">
        <v>410.4</v>
      </c>
    </row>
    <row r="973" spans="4:4" x14ac:dyDescent="0.3">
      <c r="D973">
        <v>401.6</v>
      </c>
    </row>
    <row r="974" spans="4:4" x14ac:dyDescent="0.3">
      <c r="D974">
        <v>399.6</v>
      </c>
    </row>
    <row r="975" spans="4:4" x14ac:dyDescent="0.3">
      <c r="D975">
        <v>399.3</v>
      </c>
    </row>
    <row r="976" spans="4:4" x14ac:dyDescent="0.3">
      <c r="D976">
        <v>389.05</v>
      </c>
    </row>
    <row r="977" spans="4:4" x14ac:dyDescent="0.3">
      <c r="D977">
        <v>397</v>
      </c>
    </row>
    <row r="978" spans="4:4" x14ac:dyDescent="0.3">
      <c r="D978">
        <v>397.65</v>
      </c>
    </row>
    <row r="979" spans="4:4" x14ac:dyDescent="0.3">
      <c r="D979">
        <v>398.6</v>
      </c>
    </row>
    <row r="980" spans="4:4" x14ac:dyDescent="0.3">
      <c r="D980">
        <v>396.15</v>
      </c>
    </row>
    <row r="981" spans="4:4" x14ac:dyDescent="0.3">
      <c r="D981">
        <v>394.2</v>
      </c>
    </row>
    <row r="982" spans="4:4" x14ac:dyDescent="0.3">
      <c r="D982">
        <v>397.35</v>
      </c>
    </row>
    <row r="983" spans="4:4" x14ac:dyDescent="0.3">
      <c r="D983">
        <v>397.25</v>
      </c>
    </row>
    <row r="984" spans="4:4" x14ac:dyDescent="0.3">
      <c r="D984">
        <v>403</v>
      </c>
    </row>
    <row r="985" spans="4:4" x14ac:dyDescent="0.3">
      <c r="D985">
        <v>404.25</v>
      </c>
    </row>
    <row r="986" spans="4:4" x14ac:dyDescent="0.3">
      <c r="D986">
        <v>406.25</v>
      </c>
    </row>
    <row r="987" spans="4:4" x14ac:dyDescent="0.3">
      <c r="D987">
        <v>408</v>
      </c>
    </row>
    <row r="988" spans="4:4" x14ac:dyDescent="0.3">
      <c r="D988">
        <v>404.7</v>
      </c>
    </row>
    <row r="989" spans="4:4" x14ac:dyDescent="0.3">
      <c r="D989">
        <v>408.6</v>
      </c>
    </row>
    <row r="990" spans="4:4" x14ac:dyDescent="0.3">
      <c r="D990">
        <v>406.5</v>
      </c>
    </row>
    <row r="991" spans="4:4" x14ac:dyDescent="0.3">
      <c r="D991">
        <v>411.15</v>
      </c>
    </row>
    <row r="992" spans="4:4" x14ac:dyDescent="0.3">
      <c r="D992">
        <v>413.05</v>
      </c>
    </row>
    <row r="993" spans="4:4" x14ac:dyDescent="0.3">
      <c r="D993">
        <v>410.8</v>
      </c>
    </row>
    <row r="994" spans="4:4" x14ac:dyDescent="0.3">
      <c r="D994">
        <v>411.4</v>
      </c>
    </row>
    <row r="995" spans="4:4" x14ac:dyDescent="0.3">
      <c r="D995">
        <v>410.55</v>
      </c>
    </row>
    <row r="996" spans="4:4" x14ac:dyDescent="0.3">
      <c r="D996">
        <v>406.3</v>
      </c>
    </row>
    <row r="997" spans="4:4" x14ac:dyDescent="0.3">
      <c r="D997">
        <v>406.6</v>
      </c>
    </row>
    <row r="998" spans="4:4" x14ac:dyDescent="0.3">
      <c r="D998">
        <v>407.5</v>
      </c>
    </row>
    <row r="999" spans="4:4" x14ac:dyDescent="0.3">
      <c r="D999">
        <v>407.15</v>
      </c>
    </row>
    <row r="1000" spans="4:4" x14ac:dyDescent="0.3">
      <c r="D1000">
        <v>407.3</v>
      </c>
    </row>
    <row r="1001" spans="4:4" x14ac:dyDescent="0.3">
      <c r="D1001">
        <v>412.3</v>
      </c>
    </row>
    <row r="1002" spans="4:4" x14ac:dyDescent="0.3">
      <c r="D1002">
        <v>411</v>
      </c>
    </row>
    <row r="1003" spans="4:4" x14ac:dyDescent="0.3">
      <c r="D1003">
        <v>412.5</v>
      </c>
    </row>
    <row r="1004" spans="4:4" x14ac:dyDescent="0.3">
      <c r="D1004">
        <v>422.9</v>
      </c>
    </row>
    <row r="1005" spans="4:4" x14ac:dyDescent="0.3">
      <c r="D1005">
        <v>419.5</v>
      </c>
    </row>
    <row r="1006" spans="4:4" x14ac:dyDescent="0.3">
      <c r="D1006">
        <v>422</v>
      </c>
    </row>
    <row r="1007" spans="4:4" x14ac:dyDescent="0.3">
      <c r="D1007">
        <v>421.85</v>
      </c>
    </row>
    <row r="1008" spans="4:4" x14ac:dyDescent="0.3">
      <c r="D1008">
        <v>419.5</v>
      </c>
    </row>
    <row r="1009" spans="4:4" x14ac:dyDescent="0.3">
      <c r="D1009">
        <v>422.25</v>
      </c>
    </row>
    <row r="1010" spans="4:4" x14ac:dyDescent="0.3">
      <c r="D1010">
        <v>420.75</v>
      </c>
    </row>
    <row r="1011" spans="4:4" x14ac:dyDescent="0.3">
      <c r="D1011">
        <v>420.65</v>
      </c>
    </row>
    <row r="1012" spans="4:4" x14ac:dyDescent="0.3">
      <c r="D1012">
        <v>422.8</v>
      </c>
    </row>
    <row r="1013" spans="4:4" x14ac:dyDescent="0.3">
      <c r="D1013">
        <v>422.6</v>
      </c>
    </row>
    <row r="1014" spans="4:4" x14ac:dyDescent="0.3">
      <c r="D1014">
        <v>423.3</v>
      </c>
    </row>
    <row r="1015" spans="4:4" x14ac:dyDescent="0.3">
      <c r="D1015">
        <v>419.75</v>
      </c>
    </row>
    <row r="1016" spans="4:4" x14ac:dyDescent="0.3">
      <c r="D1016">
        <v>416.6</v>
      </c>
    </row>
    <row r="1017" spans="4:4" x14ac:dyDescent="0.3">
      <c r="D1017">
        <v>416.1</v>
      </c>
    </row>
    <row r="1018" spans="4:4" x14ac:dyDescent="0.3">
      <c r="D1018">
        <v>417.95</v>
      </c>
    </row>
    <row r="1019" spans="4:4" x14ac:dyDescent="0.3">
      <c r="D1019">
        <v>419.85</v>
      </c>
    </row>
    <row r="1020" spans="4:4" x14ac:dyDescent="0.3">
      <c r="D1020">
        <v>422.6</v>
      </c>
    </row>
    <row r="1021" spans="4:4" x14ac:dyDescent="0.3">
      <c r="D1021">
        <v>421.4</v>
      </c>
    </row>
    <row r="1022" spans="4:4" x14ac:dyDescent="0.3">
      <c r="D1022">
        <v>422.1</v>
      </c>
    </row>
    <row r="1023" spans="4:4" x14ac:dyDescent="0.3">
      <c r="D1023">
        <v>421.3</v>
      </c>
    </row>
    <row r="1024" spans="4:4" x14ac:dyDescent="0.3">
      <c r="D1024">
        <v>425.5</v>
      </c>
    </row>
    <row r="1025" spans="4:4" x14ac:dyDescent="0.3">
      <c r="D1025">
        <v>423.8</v>
      </c>
    </row>
    <row r="1026" spans="4:4" x14ac:dyDescent="0.3">
      <c r="D1026">
        <v>430.4</v>
      </c>
    </row>
    <row r="1027" spans="4:4" x14ac:dyDescent="0.3">
      <c r="D1027">
        <v>429</v>
      </c>
    </row>
    <row r="1028" spans="4:4" x14ac:dyDescent="0.3">
      <c r="D1028">
        <v>425.35</v>
      </c>
    </row>
    <row r="1029" spans="4:4" x14ac:dyDescent="0.3">
      <c r="D1029">
        <v>423.3</v>
      </c>
    </row>
    <row r="1030" spans="4:4" x14ac:dyDescent="0.3">
      <c r="D1030">
        <v>422.2</v>
      </c>
    </row>
    <row r="1031" spans="4:4" x14ac:dyDescent="0.3">
      <c r="D1031">
        <v>421</v>
      </c>
    </row>
    <row r="1032" spans="4:4" x14ac:dyDescent="0.3">
      <c r="D1032">
        <v>420.05</v>
      </c>
    </row>
    <row r="1033" spans="4:4" x14ac:dyDescent="0.3">
      <c r="D1033">
        <v>419.6</v>
      </c>
    </row>
    <row r="1034" spans="4:4" x14ac:dyDescent="0.3">
      <c r="D1034">
        <v>421.4</v>
      </c>
    </row>
    <row r="1035" spans="4:4" x14ac:dyDescent="0.3">
      <c r="D1035">
        <v>412.6</v>
      </c>
    </row>
    <row r="1036" spans="4:4" x14ac:dyDescent="0.3">
      <c r="D1036">
        <v>413.65</v>
      </c>
    </row>
    <row r="1037" spans="4:4" x14ac:dyDescent="0.3">
      <c r="D1037">
        <v>413.2</v>
      </c>
    </row>
    <row r="1038" spans="4:4" x14ac:dyDescent="0.3">
      <c r="D1038">
        <v>413.85</v>
      </c>
    </row>
    <row r="1039" spans="4:4" x14ac:dyDescent="0.3">
      <c r="D1039">
        <v>415.6</v>
      </c>
    </row>
    <row r="1040" spans="4:4" x14ac:dyDescent="0.3">
      <c r="D1040">
        <v>417.55</v>
      </c>
    </row>
    <row r="1041" spans="4:4" x14ac:dyDescent="0.3">
      <c r="D1041" t="s">
        <v>104</v>
      </c>
    </row>
    <row r="1042" spans="4:4" x14ac:dyDescent="0.3">
      <c r="D1042" t="s">
        <v>104</v>
      </c>
    </row>
    <row r="1043" spans="4:4" x14ac:dyDescent="0.3">
      <c r="D1043">
        <v>413.65</v>
      </c>
    </row>
    <row r="1044" spans="4:4" x14ac:dyDescent="0.3">
      <c r="D1044">
        <v>413.1</v>
      </c>
    </row>
    <row r="1045" spans="4:4" x14ac:dyDescent="0.3">
      <c r="D1045">
        <v>410.15</v>
      </c>
    </row>
    <row r="1046" spans="4:4" x14ac:dyDescent="0.3">
      <c r="D1046" t="s">
        <v>104</v>
      </c>
    </row>
    <row r="1047" spans="4:4" x14ac:dyDescent="0.3">
      <c r="D1047">
        <v>413.6</v>
      </c>
    </row>
    <row r="1048" spans="4:4" x14ac:dyDescent="0.3">
      <c r="D1048">
        <v>410.5</v>
      </c>
    </row>
    <row r="1049" spans="4:4" x14ac:dyDescent="0.3">
      <c r="D1049">
        <v>408</v>
      </c>
    </row>
    <row r="1050" spans="4:4" x14ac:dyDescent="0.3">
      <c r="D1050">
        <v>408.45</v>
      </c>
    </row>
    <row r="1051" spans="4:4" x14ac:dyDescent="0.3">
      <c r="D1051">
        <v>404.45</v>
      </c>
    </row>
    <row r="1052" spans="4:4" x14ac:dyDescent="0.3">
      <c r="D1052">
        <v>405.5</v>
      </c>
    </row>
    <row r="1053" spans="4:4" x14ac:dyDescent="0.3">
      <c r="D1053">
        <v>403.5</v>
      </c>
    </row>
    <row r="1054" spans="4:4" x14ac:dyDescent="0.3">
      <c r="D1054">
        <v>404.85</v>
      </c>
    </row>
    <row r="1055" spans="4:4" x14ac:dyDescent="0.3">
      <c r="D1055">
        <v>403.5</v>
      </c>
    </row>
    <row r="1056" spans="4:4" x14ac:dyDescent="0.3">
      <c r="D1056">
        <v>401.75</v>
      </c>
    </row>
    <row r="1057" spans="4:4" x14ac:dyDescent="0.3">
      <c r="D1057">
        <v>402.1</v>
      </c>
    </row>
    <row r="1058" spans="4:4" x14ac:dyDescent="0.3">
      <c r="D1058">
        <v>402.85</v>
      </c>
    </row>
    <row r="1059" spans="4:4" x14ac:dyDescent="0.3">
      <c r="D1059">
        <v>402.3</v>
      </c>
    </row>
    <row r="1060" spans="4:4" x14ac:dyDescent="0.3">
      <c r="D1060">
        <v>404.5</v>
      </c>
    </row>
    <row r="1061" spans="4:4" x14ac:dyDescent="0.3">
      <c r="D1061">
        <v>407.75</v>
      </c>
    </row>
    <row r="1062" spans="4:4" x14ac:dyDescent="0.3">
      <c r="D1062">
        <v>407.8</v>
      </c>
    </row>
    <row r="1063" spans="4:4" x14ac:dyDescent="0.3">
      <c r="D1063">
        <v>404.75</v>
      </c>
    </row>
    <row r="1064" spans="4:4" x14ac:dyDescent="0.3">
      <c r="D1064">
        <v>406</v>
      </c>
    </row>
    <row r="1065" spans="4:4" x14ac:dyDescent="0.3">
      <c r="D1065">
        <v>402.25</v>
      </c>
    </row>
    <row r="1066" spans="4:4" x14ac:dyDescent="0.3">
      <c r="D1066">
        <v>394.3</v>
      </c>
    </row>
    <row r="1067" spans="4:4" x14ac:dyDescent="0.3">
      <c r="D1067">
        <v>394.85</v>
      </c>
    </row>
    <row r="1068" spans="4:4" x14ac:dyDescent="0.3">
      <c r="D1068">
        <v>392</v>
      </c>
    </row>
    <row r="1069" spans="4:4" x14ac:dyDescent="0.3">
      <c r="D1069">
        <v>392.7</v>
      </c>
    </row>
    <row r="1070" spans="4:4" x14ac:dyDescent="0.3">
      <c r="D1070">
        <v>390.85</v>
      </c>
    </row>
    <row r="1071" spans="4:4" x14ac:dyDescent="0.3">
      <c r="D1071">
        <v>390.25</v>
      </c>
    </row>
    <row r="1072" spans="4:4" x14ac:dyDescent="0.3">
      <c r="D1072">
        <v>391.45</v>
      </c>
    </row>
    <row r="1073" spans="4:4" x14ac:dyDescent="0.3">
      <c r="D1073">
        <v>390.4</v>
      </c>
    </row>
    <row r="1074" spans="4:4" x14ac:dyDescent="0.3">
      <c r="D1074">
        <v>394.1</v>
      </c>
    </row>
    <row r="1075" spans="4:4" x14ac:dyDescent="0.3">
      <c r="D1075">
        <v>393.8</v>
      </c>
    </row>
    <row r="1076" spans="4:4" x14ac:dyDescent="0.3">
      <c r="D1076">
        <v>386.7</v>
      </c>
    </row>
    <row r="1077" spans="4:4" x14ac:dyDescent="0.3">
      <c r="D1077">
        <v>385.65</v>
      </c>
    </row>
    <row r="1078" spans="4:4" x14ac:dyDescent="0.3">
      <c r="D1078">
        <v>381.7</v>
      </c>
    </row>
    <row r="1079" spans="4:4" x14ac:dyDescent="0.3">
      <c r="D1079">
        <v>384.25</v>
      </c>
    </row>
    <row r="1080" spans="4:4" x14ac:dyDescent="0.3">
      <c r="D1080">
        <v>378.95</v>
      </c>
    </row>
    <row r="1081" spans="4:4" x14ac:dyDescent="0.3">
      <c r="D1081">
        <v>382.15</v>
      </c>
    </row>
    <row r="1082" spans="4:4" x14ac:dyDescent="0.3">
      <c r="D1082">
        <v>382.75</v>
      </c>
    </row>
    <row r="1083" spans="4:4" x14ac:dyDescent="0.3">
      <c r="D1083">
        <v>386</v>
      </c>
    </row>
    <row r="1084" spans="4:4" x14ac:dyDescent="0.3">
      <c r="D1084">
        <v>389</v>
      </c>
    </row>
    <row r="1085" spans="4:4" x14ac:dyDescent="0.3">
      <c r="D1085">
        <v>389.25</v>
      </c>
    </row>
    <row r="1086" spans="4:4" x14ac:dyDescent="0.3">
      <c r="D1086">
        <v>390.75</v>
      </c>
    </row>
    <row r="1087" spans="4:4" x14ac:dyDescent="0.3">
      <c r="D1087">
        <v>386.75</v>
      </c>
    </row>
    <row r="1088" spans="4:4" x14ac:dyDescent="0.3">
      <c r="D1088">
        <v>386.1</v>
      </c>
    </row>
    <row r="1089" spans="4:4" x14ac:dyDescent="0.3">
      <c r="D1089">
        <v>384.1</v>
      </c>
    </row>
    <row r="1090" spans="4:4" x14ac:dyDescent="0.3">
      <c r="D1090">
        <v>384.1</v>
      </c>
    </row>
    <row r="1091" spans="4:4" x14ac:dyDescent="0.3">
      <c r="D1091">
        <v>388.4</v>
      </c>
    </row>
    <row r="1092" spans="4:4" x14ac:dyDescent="0.3">
      <c r="D1092">
        <v>386.3</v>
      </c>
    </row>
    <row r="1093" spans="4:4" x14ac:dyDescent="0.3">
      <c r="D1093">
        <v>393.1</v>
      </c>
    </row>
    <row r="1094" spans="4:4" x14ac:dyDescent="0.3">
      <c r="D1094">
        <v>392.5</v>
      </c>
    </row>
    <row r="1095" spans="4:4" x14ac:dyDescent="0.3">
      <c r="D1095">
        <v>397</v>
      </c>
    </row>
    <row r="1096" spans="4:4" x14ac:dyDescent="0.3">
      <c r="D1096">
        <v>393.1</v>
      </c>
    </row>
    <row r="1097" spans="4:4" x14ac:dyDescent="0.3">
      <c r="D1097">
        <v>394.3</v>
      </c>
    </row>
    <row r="1098" spans="4:4" x14ac:dyDescent="0.3">
      <c r="D1098">
        <v>394.45</v>
      </c>
    </row>
    <row r="1099" spans="4:4" x14ac:dyDescent="0.3">
      <c r="D1099">
        <v>391</v>
      </c>
    </row>
    <row r="1100" spans="4:4" x14ac:dyDescent="0.3">
      <c r="D1100">
        <v>389.25</v>
      </c>
    </row>
    <row r="1101" spans="4:4" x14ac:dyDescent="0.3">
      <c r="D1101">
        <v>395.3</v>
      </c>
    </row>
    <row r="1102" spans="4:4" x14ac:dyDescent="0.3">
      <c r="D1102">
        <v>394.1</v>
      </c>
    </row>
    <row r="1103" spans="4:4" x14ac:dyDescent="0.3">
      <c r="D1103">
        <v>393.4</v>
      </c>
    </row>
    <row r="1104" spans="4:4" x14ac:dyDescent="0.3">
      <c r="D1104">
        <v>396</v>
      </c>
    </row>
    <row r="1105" spans="4:4" x14ac:dyDescent="0.3">
      <c r="D1105" t="s">
        <v>104</v>
      </c>
    </row>
    <row r="1106" spans="4:4" x14ac:dyDescent="0.3">
      <c r="D1106" t="s">
        <v>104</v>
      </c>
    </row>
    <row r="1107" spans="4:4" x14ac:dyDescent="0.3">
      <c r="D1107">
        <v>391.25</v>
      </c>
    </row>
    <row r="1108" spans="4:4" x14ac:dyDescent="0.3">
      <c r="D1108">
        <v>383.3</v>
      </c>
    </row>
    <row r="1109" spans="4:4" x14ac:dyDescent="0.3">
      <c r="D1109">
        <v>384</v>
      </c>
    </row>
    <row r="1110" spans="4:4" x14ac:dyDescent="0.3">
      <c r="D1110">
        <v>382.3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2D21-890B-43CA-86AD-4F4EC49F4A39}">
  <dimension ref="B2:P185"/>
  <sheetViews>
    <sheetView workbookViewId="0">
      <selection activeCell="P10" sqref="P10"/>
    </sheetView>
  </sheetViews>
  <sheetFormatPr defaultRowHeight="14.4" x14ac:dyDescent="0.3"/>
  <cols>
    <col min="11" max="11" width="4.88671875" customWidth="1"/>
    <col min="12" max="12" width="5.21875" customWidth="1"/>
    <col min="13" max="13" width="9.44140625" customWidth="1"/>
  </cols>
  <sheetData>
    <row r="2" spans="2:16" x14ac:dyDescent="0.3">
      <c r="D2" s="37" t="s">
        <v>9</v>
      </c>
      <c r="E2" s="37"/>
      <c r="O2" s="37" t="s">
        <v>9</v>
      </c>
      <c r="P2" s="37"/>
    </row>
    <row r="3" spans="2:16" x14ac:dyDescent="0.3">
      <c r="D3" s="3" t="s">
        <v>11</v>
      </c>
      <c r="E3" s="4" t="str">
        <f>"MA"&amp;E5</f>
        <v>MA3</v>
      </c>
      <c r="O3" s="3" t="s">
        <v>11</v>
      </c>
      <c r="P3" s="4" t="str">
        <f>"MA"&amp;P5</f>
        <v>MA12</v>
      </c>
    </row>
    <row r="4" spans="2:16" x14ac:dyDescent="0.3">
      <c r="D4" s="3" t="s">
        <v>10</v>
      </c>
      <c r="E4" s="4" t="str" cm="1">
        <f t="array" ref="E4">_xll.RScript.CreateVector(TableSales[[#Headers],[Sales]], TableSales[Sales])</f>
        <v>Sales</v>
      </c>
      <c r="O4" s="3" t="s">
        <v>10</v>
      </c>
      <c r="P4" s="4" t="str" cm="1">
        <f t="array" ref="P4">_xll.RScript.CreateVector(Table6[[#Headers],[wineind]],Table6[wineind])</f>
        <v>wineind</v>
      </c>
    </row>
    <row r="5" spans="2:16" x14ac:dyDescent="0.3">
      <c r="D5" s="3" t="s">
        <v>70</v>
      </c>
      <c r="E5" s="4">
        <v>3</v>
      </c>
      <c r="O5" s="3" t="s">
        <v>70</v>
      </c>
      <c r="P5" s="4">
        <v>12</v>
      </c>
    </row>
    <row r="6" spans="2:16" x14ac:dyDescent="0.3">
      <c r="D6" s="3" t="s">
        <v>78</v>
      </c>
      <c r="E6" s="4" t="b">
        <v>1</v>
      </c>
      <c r="O6" s="3" t="s">
        <v>78</v>
      </c>
      <c r="P6" s="4" t="b">
        <v>1</v>
      </c>
    </row>
    <row r="9" spans="2:16" x14ac:dyDescent="0.3">
      <c r="B9" t="s">
        <v>8</v>
      </c>
      <c r="M9" t="s">
        <v>101</v>
      </c>
    </row>
    <row r="10" spans="2:16" x14ac:dyDescent="0.3">
      <c r="B10">
        <v>855</v>
      </c>
      <c r="D10" t="str" cm="1">
        <f t="array" ref="D10:D36">_xll.Forecast.MA(TableSales[[#Headers],[Sales]],D5:E6)</f>
        <v/>
      </c>
      <c r="M10">
        <v>15136</v>
      </c>
      <c r="O10" t="str" cm="1">
        <f t="array" ref="O10:O185">_xll.Forecast.MA(P4,O5:P6)</f>
        <v/>
      </c>
    </row>
    <row r="11" spans="2:16" x14ac:dyDescent="0.3">
      <c r="B11">
        <v>847</v>
      </c>
      <c r="D11">
        <v>900.66666666666663</v>
      </c>
      <c r="M11">
        <v>16733</v>
      </c>
      <c r="O11" t="str">
        <v/>
      </c>
    </row>
    <row r="12" spans="2:16" x14ac:dyDescent="0.3">
      <c r="B12">
        <v>1000</v>
      </c>
      <c r="D12">
        <v>827.33333333333326</v>
      </c>
      <c r="M12">
        <v>20016</v>
      </c>
      <c r="O12" t="str">
        <v/>
      </c>
    </row>
    <row r="13" spans="2:16" x14ac:dyDescent="0.3">
      <c r="B13">
        <v>635</v>
      </c>
      <c r="D13">
        <v>660.33333333333326</v>
      </c>
      <c r="M13">
        <v>17708</v>
      </c>
      <c r="O13" t="str">
        <v/>
      </c>
    </row>
    <row r="14" spans="2:16" x14ac:dyDescent="0.3">
      <c r="B14">
        <v>346</v>
      </c>
      <c r="D14">
        <v>1042.3333333333333</v>
      </c>
      <c r="M14">
        <v>18019</v>
      </c>
      <c r="O14" t="str">
        <v/>
      </c>
    </row>
    <row r="15" spans="2:16" x14ac:dyDescent="0.3">
      <c r="B15">
        <v>2146</v>
      </c>
      <c r="D15">
        <v>1273.3333333333333</v>
      </c>
      <c r="M15">
        <v>19227</v>
      </c>
      <c r="O15" t="str">
        <v/>
      </c>
    </row>
    <row r="16" spans="2:16" x14ac:dyDescent="0.3">
      <c r="B16">
        <v>1328</v>
      </c>
      <c r="D16">
        <v>1598.6666666666665</v>
      </c>
      <c r="M16">
        <v>22893</v>
      </c>
      <c r="O16">
        <v>21138.916666666668</v>
      </c>
    </row>
    <row r="17" spans="2:15" x14ac:dyDescent="0.3">
      <c r="B17">
        <v>1322</v>
      </c>
      <c r="D17">
        <v>1924.6666666666665</v>
      </c>
      <c r="M17">
        <v>23739</v>
      </c>
      <c r="O17">
        <v>21186.25</v>
      </c>
    </row>
    <row r="18" spans="2:15" x14ac:dyDescent="0.3">
      <c r="B18">
        <v>3124</v>
      </c>
      <c r="D18">
        <v>1819.333333333333</v>
      </c>
      <c r="M18">
        <v>21133</v>
      </c>
      <c r="O18">
        <v>21237.75</v>
      </c>
    </row>
    <row r="19" spans="2:15" x14ac:dyDescent="0.3">
      <c r="B19">
        <v>1012</v>
      </c>
      <c r="D19">
        <v>1805.3333333333333</v>
      </c>
      <c r="M19">
        <v>22591</v>
      </c>
      <c r="O19">
        <v>21389.333333333328</v>
      </c>
    </row>
    <row r="20" spans="2:15" x14ac:dyDescent="0.3">
      <c r="B20">
        <v>1280</v>
      </c>
      <c r="D20">
        <v>1575.6666666666665</v>
      </c>
      <c r="M20">
        <v>26786</v>
      </c>
      <c r="O20">
        <v>21602.875000000004</v>
      </c>
    </row>
    <row r="21" spans="2:15" x14ac:dyDescent="0.3">
      <c r="B21">
        <v>2435</v>
      </c>
      <c r="D21">
        <v>1577</v>
      </c>
      <c r="M21">
        <v>29740</v>
      </c>
      <c r="O21">
        <v>21785.249999999996</v>
      </c>
    </row>
    <row r="22" spans="2:15" x14ac:dyDescent="0.3">
      <c r="B22">
        <v>1016</v>
      </c>
      <c r="D22">
        <v>2305.333333333333</v>
      </c>
      <c r="M22">
        <v>15028</v>
      </c>
      <c r="O22">
        <v>22027.833333333332</v>
      </c>
    </row>
    <row r="23" spans="2:15" x14ac:dyDescent="0.3">
      <c r="B23">
        <v>3465</v>
      </c>
      <c r="D23">
        <v>1862.6666666666665</v>
      </c>
      <c r="M23">
        <v>17977</v>
      </c>
      <c r="O23">
        <v>22359.666666666668</v>
      </c>
    </row>
    <row r="24" spans="2:15" x14ac:dyDescent="0.3">
      <c r="B24">
        <v>1107</v>
      </c>
      <c r="D24">
        <v>1914.6666666666665</v>
      </c>
      <c r="M24">
        <v>20008</v>
      </c>
      <c r="O24">
        <v>22562.458333333336</v>
      </c>
    </row>
    <row r="25" spans="2:15" x14ac:dyDescent="0.3">
      <c r="B25">
        <v>1172</v>
      </c>
      <c r="D25">
        <v>1903.6666666666665</v>
      </c>
      <c r="M25">
        <v>21354</v>
      </c>
      <c r="O25">
        <v>22541.208333333336</v>
      </c>
    </row>
    <row r="26" spans="2:15" x14ac:dyDescent="0.3">
      <c r="B26">
        <v>3432</v>
      </c>
      <c r="D26">
        <v>1813.333333333333</v>
      </c>
      <c r="M26">
        <v>19498</v>
      </c>
      <c r="O26">
        <v>22552.416666666664</v>
      </c>
    </row>
    <row r="27" spans="2:15" x14ac:dyDescent="0.3">
      <c r="B27">
        <v>836</v>
      </c>
      <c r="D27">
        <v>1470</v>
      </c>
      <c r="M27">
        <v>22125</v>
      </c>
      <c r="O27">
        <v>22586.208333333328</v>
      </c>
    </row>
    <row r="28" spans="2:15" x14ac:dyDescent="0.3">
      <c r="B28">
        <v>142</v>
      </c>
      <c r="D28">
        <v>440.99999999999994</v>
      </c>
      <c r="M28">
        <v>25817</v>
      </c>
      <c r="O28">
        <v>22674.124999999996</v>
      </c>
    </row>
    <row r="29" spans="2:15" x14ac:dyDescent="0.3">
      <c r="B29">
        <v>345</v>
      </c>
      <c r="D29">
        <v>1030</v>
      </c>
      <c r="M29">
        <v>28779</v>
      </c>
      <c r="O29">
        <v>22749.958333333332</v>
      </c>
    </row>
    <row r="30" spans="2:15" x14ac:dyDescent="0.3">
      <c r="B30">
        <v>2603</v>
      </c>
      <c r="D30">
        <v>1229</v>
      </c>
      <c r="M30">
        <v>20960</v>
      </c>
      <c r="O30">
        <v>22768.291666666664</v>
      </c>
    </row>
    <row r="31" spans="2:15" x14ac:dyDescent="0.3">
      <c r="B31">
        <v>739</v>
      </c>
      <c r="D31">
        <v>1352.6666666666665</v>
      </c>
      <c r="M31">
        <v>22254</v>
      </c>
      <c r="O31">
        <v>22882.458333333332</v>
      </c>
    </row>
    <row r="32" spans="2:15" x14ac:dyDescent="0.3">
      <c r="B32">
        <v>716</v>
      </c>
      <c r="D32">
        <v>778.33333333333326</v>
      </c>
      <c r="M32">
        <v>27392</v>
      </c>
      <c r="O32">
        <v>23096.375</v>
      </c>
    </row>
    <row r="33" spans="2:15" x14ac:dyDescent="0.3">
      <c r="B33">
        <v>880</v>
      </c>
      <c r="D33">
        <v>867.99999999999989</v>
      </c>
      <c r="M33">
        <v>29945</v>
      </c>
      <c r="O33">
        <v>23216.291666666668</v>
      </c>
    </row>
    <row r="34" spans="2:15" x14ac:dyDescent="0.3">
      <c r="B34">
        <v>1008</v>
      </c>
      <c r="D34">
        <v>666.66666666666663</v>
      </c>
      <c r="M34">
        <v>16933</v>
      </c>
      <c r="O34">
        <v>23246.375</v>
      </c>
    </row>
    <row r="35" spans="2:15" x14ac:dyDescent="0.3">
      <c r="B35">
        <v>112</v>
      </c>
      <c r="D35">
        <v>493.66666666666663</v>
      </c>
      <c r="M35">
        <v>17892</v>
      </c>
      <c r="O35">
        <v>23222.958333333336</v>
      </c>
    </row>
    <row r="36" spans="2:15" x14ac:dyDescent="0.3">
      <c r="B36">
        <v>361</v>
      </c>
      <c r="D36" t="str">
        <v/>
      </c>
      <c r="M36">
        <v>20533</v>
      </c>
      <c r="O36">
        <v>23297.791666666668</v>
      </c>
    </row>
    <row r="37" spans="2:15" x14ac:dyDescent="0.3">
      <c r="M37">
        <v>23569</v>
      </c>
      <c r="O37">
        <v>23477.708333333336</v>
      </c>
    </row>
    <row r="38" spans="2:15" x14ac:dyDescent="0.3">
      <c r="M38">
        <v>22417</v>
      </c>
      <c r="O38">
        <v>23594.208333333332</v>
      </c>
    </row>
    <row r="39" spans="2:15" x14ac:dyDescent="0.3">
      <c r="M39">
        <v>22084</v>
      </c>
      <c r="O39">
        <v>23720.874999999996</v>
      </c>
    </row>
    <row r="40" spans="2:15" x14ac:dyDescent="0.3">
      <c r="M40">
        <v>26580</v>
      </c>
      <c r="O40">
        <v>23779.375</v>
      </c>
    </row>
    <row r="41" spans="2:15" x14ac:dyDescent="0.3">
      <c r="M41">
        <v>27454</v>
      </c>
      <c r="O41">
        <v>23867.541666666661</v>
      </c>
    </row>
    <row r="42" spans="2:15" x14ac:dyDescent="0.3">
      <c r="M42">
        <v>24081</v>
      </c>
      <c r="O42">
        <v>24079.666666666664</v>
      </c>
    </row>
    <row r="43" spans="2:15" x14ac:dyDescent="0.3">
      <c r="M43">
        <v>23451</v>
      </c>
      <c r="O43">
        <v>24126.166666666664</v>
      </c>
    </row>
    <row r="44" spans="2:15" x14ac:dyDescent="0.3">
      <c r="M44">
        <v>28991</v>
      </c>
      <c r="O44">
        <v>24183.749999999996</v>
      </c>
    </row>
    <row r="45" spans="2:15" x14ac:dyDescent="0.3">
      <c r="M45">
        <v>31386</v>
      </c>
      <c r="O45">
        <v>24391.208333333332</v>
      </c>
    </row>
    <row r="46" spans="2:15" x14ac:dyDescent="0.3">
      <c r="M46">
        <v>16896</v>
      </c>
      <c r="O46">
        <v>24420.166666666664</v>
      </c>
    </row>
    <row r="47" spans="2:15" x14ac:dyDescent="0.3">
      <c r="M47">
        <v>20045</v>
      </c>
      <c r="O47">
        <v>24522.833333333336</v>
      </c>
    </row>
    <row r="48" spans="2:15" x14ac:dyDescent="0.3">
      <c r="M48">
        <v>23471</v>
      </c>
      <c r="O48">
        <v>24686.916666666668</v>
      </c>
    </row>
    <row r="49" spans="13:15" x14ac:dyDescent="0.3">
      <c r="M49">
        <v>21747</v>
      </c>
      <c r="O49">
        <v>24690.583333333332</v>
      </c>
    </row>
    <row r="50" spans="13:15" x14ac:dyDescent="0.3">
      <c r="M50">
        <v>25621</v>
      </c>
      <c r="O50">
        <v>24707.416666666668</v>
      </c>
    </row>
    <row r="51" spans="13:15" x14ac:dyDescent="0.3">
      <c r="M51">
        <v>23859</v>
      </c>
      <c r="O51">
        <v>24861.125</v>
      </c>
    </row>
    <row r="52" spans="13:15" x14ac:dyDescent="0.3">
      <c r="M52">
        <v>25500</v>
      </c>
      <c r="O52">
        <v>25012.75</v>
      </c>
    </row>
    <row r="53" spans="13:15" x14ac:dyDescent="0.3">
      <c r="M53">
        <v>30998</v>
      </c>
      <c r="O53">
        <v>25124.916666666664</v>
      </c>
    </row>
    <row r="54" spans="13:15" x14ac:dyDescent="0.3">
      <c r="M54">
        <v>24475</v>
      </c>
      <c r="O54">
        <v>25302.541666666664</v>
      </c>
    </row>
    <row r="55" spans="13:15" x14ac:dyDescent="0.3">
      <c r="M55">
        <v>23145</v>
      </c>
      <c r="O55">
        <v>25414.958333333332</v>
      </c>
    </row>
    <row r="56" spans="13:15" x14ac:dyDescent="0.3">
      <c r="M56">
        <v>29701</v>
      </c>
      <c r="O56">
        <v>25487.125</v>
      </c>
    </row>
    <row r="57" spans="13:15" x14ac:dyDescent="0.3">
      <c r="M57">
        <v>34365</v>
      </c>
      <c r="O57">
        <v>25512</v>
      </c>
    </row>
    <row r="58" spans="13:15" x14ac:dyDescent="0.3">
      <c r="M58">
        <v>17556</v>
      </c>
      <c r="O58">
        <v>25581.291666666664</v>
      </c>
    </row>
    <row r="59" spans="13:15" x14ac:dyDescent="0.3">
      <c r="M59">
        <v>22077</v>
      </c>
      <c r="O59">
        <v>25862.083333333328</v>
      </c>
    </row>
    <row r="60" spans="13:15" x14ac:dyDescent="0.3">
      <c r="M60">
        <v>25702</v>
      </c>
      <c r="O60">
        <v>25992.416666666664</v>
      </c>
    </row>
    <row r="61" spans="13:15" x14ac:dyDescent="0.3">
      <c r="M61">
        <v>22214</v>
      </c>
      <c r="O61">
        <v>26020.958333333332</v>
      </c>
    </row>
    <row r="62" spans="13:15" x14ac:dyDescent="0.3">
      <c r="M62">
        <v>26886</v>
      </c>
      <c r="O62">
        <v>26115.666666666668</v>
      </c>
    </row>
    <row r="63" spans="13:15" x14ac:dyDescent="0.3">
      <c r="M63">
        <v>23191</v>
      </c>
      <c r="O63">
        <v>26206.708333333336</v>
      </c>
    </row>
    <row r="64" spans="13:15" x14ac:dyDescent="0.3">
      <c r="M64">
        <v>27831</v>
      </c>
      <c r="O64">
        <v>26322.166666666664</v>
      </c>
    </row>
    <row r="65" spans="13:15" x14ac:dyDescent="0.3">
      <c r="M65">
        <v>35406</v>
      </c>
      <c r="O65">
        <v>26349.749999999996</v>
      </c>
    </row>
    <row r="66" spans="13:15" x14ac:dyDescent="0.3">
      <c r="M66">
        <v>23195</v>
      </c>
      <c r="O66">
        <v>26372.833333333332</v>
      </c>
    </row>
    <row r="67" spans="13:15" x14ac:dyDescent="0.3">
      <c r="M67">
        <v>25110</v>
      </c>
      <c r="O67">
        <v>26413.083333333328</v>
      </c>
    </row>
    <row r="68" spans="13:15" x14ac:dyDescent="0.3">
      <c r="M68">
        <v>30009</v>
      </c>
      <c r="O68">
        <v>26469.374999999996</v>
      </c>
    </row>
    <row r="69" spans="13:15" x14ac:dyDescent="0.3">
      <c r="M69">
        <v>36242</v>
      </c>
      <c r="O69">
        <v>26612.333333333336</v>
      </c>
    </row>
    <row r="70" spans="13:15" x14ac:dyDescent="0.3">
      <c r="M70">
        <v>18450</v>
      </c>
      <c r="O70">
        <v>26583.208333333332</v>
      </c>
    </row>
    <row r="71" spans="13:15" x14ac:dyDescent="0.3">
      <c r="M71">
        <v>21845</v>
      </c>
      <c r="O71">
        <v>26377.333333333332</v>
      </c>
    </row>
    <row r="72" spans="13:15" x14ac:dyDescent="0.3">
      <c r="M72">
        <v>26488</v>
      </c>
      <c r="O72">
        <v>26330.458333333328</v>
      </c>
    </row>
    <row r="73" spans="13:15" x14ac:dyDescent="0.3">
      <c r="M73">
        <v>22394</v>
      </c>
      <c r="O73">
        <v>26505.291666666668</v>
      </c>
    </row>
    <row r="74" spans="13:15" x14ac:dyDescent="0.3">
      <c r="M74">
        <v>28057</v>
      </c>
      <c r="O74">
        <v>26791.25</v>
      </c>
    </row>
    <row r="75" spans="13:15" x14ac:dyDescent="0.3">
      <c r="M75">
        <v>25451</v>
      </c>
      <c r="O75">
        <v>26984.291666666664</v>
      </c>
    </row>
    <row r="76" spans="13:15" x14ac:dyDescent="0.3">
      <c r="M76">
        <v>24872</v>
      </c>
      <c r="O76">
        <v>27093.791666666664</v>
      </c>
    </row>
    <row r="77" spans="13:15" x14ac:dyDescent="0.3">
      <c r="M77">
        <v>33424</v>
      </c>
      <c r="O77">
        <v>27151.083333333332</v>
      </c>
    </row>
    <row r="78" spans="13:15" x14ac:dyDescent="0.3">
      <c r="M78">
        <v>24052</v>
      </c>
      <c r="O78">
        <v>27135.125000000004</v>
      </c>
    </row>
    <row r="79" spans="13:15" x14ac:dyDescent="0.3">
      <c r="M79">
        <v>28449</v>
      </c>
      <c r="O79">
        <v>27212.624999999996</v>
      </c>
    </row>
    <row r="80" spans="13:15" x14ac:dyDescent="0.3">
      <c r="M80">
        <v>33533</v>
      </c>
      <c r="O80">
        <v>27156.166666666668</v>
      </c>
    </row>
    <row r="81" spans="13:15" x14ac:dyDescent="0.3">
      <c r="M81">
        <v>37351</v>
      </c>
      <c r="O81">
        <v>27055.333333333332</v>
      </c>
    </row>
    <row r="82" spans="13:15" x14ac:dyDescent="0.3">
      <c r="M82">
        <v>19969</v>
      </c>
      <c r="O82">
        <v>27342.208333333328</v>
      </c>
    </row>
    <row r="83" spans="13:15" x14ac:dyDescent="0.3">
      <c r="M83">
        <v>21701</v>
      </c>
      <c r="O83">
        <v>27633.708333333332</v>
      </c>
    </row>
    <row r="84" spans="13:15" x14ac:dyDescent="0.3">
      <c r="M84">
        <v>26249</v>
      </c>
      <c r="O84">
        <v>27791.291666666668</v>
      </c>
    </row>
    <row r="85" spans="13:15" x14ac:dyDescent="0.3">
      <c r="M85">
        <v>24493</v>
      </c>
      <c r="O85">
        <v>27805.666666666664</v>
      </c>
    </row>
    <row r="86" spans="13:15" x14ac:dyDescent="0.3">
      <c r="M86">
        <v>24603</v>
      </c>
      <c r="O86">
        <v>27648.958333333328</v>
      </c>
    </row>
    <row r="87" spans="13:15" x14ac:dyDescent="0.3">
      <c r="M87">
        <v>26485</v>
      </c>
      <c r="O87">
        <v>27651.041666666668</v>
      </c>
    </row>
    <row r="88" spans="13:15" x14ac:dyDescent="0.3">
      <c r="M88">
        <v>30723</v>
      </c>
      <c r="O88">
        <v>27771.333333333332</v>
      </c>
    </row>
    <row r="89" spans="13:15" x14ac:dyDescent="0.3">
      <c r="M89">
        <v>34569</v>
      </c>
      <c r="O89">
        <v>27733.249999999996</v>
      </c>
    </row>
    <row r="90" spans="13:15" x14ac:dyDescent="0.3">
      <c r="M90">
        <v>26689</v>
      </c>
      <c r="O90">
        <v>27509.708333333328</v>
      </c>
    </row>
    <row r="91" spans="13:15" x14ac:dyDescent="0.3">
      <c r="M91">
        <v>26157</v>
      </c>
      <c r="O91">
        <v>27539.291666666664</v>
      </c>
    </row>
    <row r="92" spans="13:15" x14ac:dyDescent="0.3">
      <c r="M92">
        <v>32064</v>
      </c>
      <c r="O92">
        <v>27695.958333333328</v>
      </c>
    </row>
    <row r="93" spans="13:15" x14ac:dyDescent="0.3">
      <c r="M93">
        <v>38870</v>
      </c>
      <c r="O93">
        <v>27591.083333333332</v>
      </c>
    </row>
    <row r="94" spans="13:15" x14ac:dyDescent="0.3">
      <c r="M94">
        <v>21337</v>
      </c>
      <c r="O94">
        <v>27588.749999999996</v>
      </c>
    </row>
    <row r="95" spans="13:15" x14ac:dyDescent="0.3">
      <c r="M95">
        <v>19419</v>
      </c>
      <c r="O95">
        <v>27286.125</v>
      </c>
    </row>
    <row r="96" spans="13:15" x14ac:dyDescent="0.3">
      <c r="M96">
        <v>23166</v>
      </c>
      <c r="O96">
        <v>26887.125</v>
      </c>
    </row>
    <row r="97" spans="13:15" x14ac:dyDescent="0.3">
      <c r="M97">
        <v>28286</v>
      </c>
      <c r="O97">
        <v>27009</v>
      </c>
    </row>
    <row r="98" spans="13:15" x14ac:dyDescent="0.3">
      <c r="M98">
        <v>24570</v>
      </c>
      <c r="O98">
        <v>27178.041666666664</v>
      </c>
    </row>
    <row r="99" spans="13:15" x14ac:dyDescent="0.3">
      <c r="M99">
        <v>24001</v>
      </c>
      <c r="O99">
        <v>27286.499999999996</v>
      </c>
    </row>
    <row r="100" spans="13:15" x14ac:dyDescent="0.3">
      <c r="M100">
        <v>33151</v>
      </c>
      <c r="O100">
        <v>27308.291666666664</v>
      </c>
    </row>
    <row r="101" spans="13:15" x14ac:dyDescent="0.3">
      <c r="M101">
        <v>24878</v>
      </c>
      <c r="O101">
        <v>27425.291666666664</v>
      </c>
    </row>
    <row r="102" spans="13:15" x14ac:dyDescent="0.3">
      <c r="M102">
        <v>26804</v>
      </c>
      <c r="O102">
        <v>27593.499999999996</v>
      </c>
    </row>
    <row r="103" spans="13:15" x14ac:dyDescent="0.3">
      <c r="M103">
        <v>28967</v>
      </c>
      <c r="O103">
        <v>27579.833333333328</v>
      </c>
    </row>
    <row r="104" spans="13:15" x14ac:dyDescent="0.3">
      <c r="M104">
        <v>33311</v>
      </c>
      <c r="O104">
        <v>27523.416666666664</v>
      </c>
    </row>
    <row r="105" spans="13:15" x14ac:dyDescent="0.3">
      <c r="M105">
        <v>40226</v>
      </c>
      <c r="O105">
        <v>27521.458333333336</v>
      </c>
    </row>
    <row r="106" spans="13:15" x14ac:dyDescent="0.3">
      <c r="M106">
        <v>20504</v>
      </c>
      <c r="O106">
        <v>27593.750000000004</v>
      </c>
    </row>
    <row r="107" spans="13:15" x14ac:dyDescent="0.3">
      <c r="M107">
        <v>23060</v>
      </c>
      <c r="O107">
        <v>27668.375</v>
      </c>
    </row>
    <row r="108" spans="13:15" x14ac:dyDescent="0.3">
      <c r="M108">
        <v>23562</v>
      </c>
      <c r="O108">
        <v>27557.083333333332</v>
      </c>
    </row>
    <row r="109" spans="13:15" x14ac:dyDescent="0.3">
      <c r="M109">
        <v>27562</v>
      </c>
      <c r="O109">
        <v>27424.500000000004</v>
      </c>
    </row>
    <row r="110" spans="13:15" x14ac:dyDescent="0.3">
      <c r="M110">
        <v>23940</v>
      </c>
      <c r="O110">
        <v>27412.833333333336</v>
      </c>
    </row>
    <row r="111" spans="13:15" x14ac:dyDescent="0.3">
      <c r="M111">
        <v>24584</v>
      </c>
      <c r="O111">
        <v>27152.208333333328</v>
      </c>
    </row>
    <row r="112" spans="13:15" x14ac:dyDescent="0.3">
      <c r="M112">
        <v>34303</v>
      </c>
      <c r="O112">
        <v>26762.208333333332</v>
      </c>
    </row>
    <row r="113" spans="13:15" x14ac:dyDescent="0.3">
      <c r="M113">
        <v>25517</v>
      </c>
      <c r="O113">
        <v>26534.541666666664</v>
      </c>
    </row>
    <row r="114" spans="13:15" x14ac:dyDescent="0.3">
      <c r="M114">
        <v>23494</v>
      </c>
      <c r="O114">
        <v>26460.666666666664</v>
      </c>
    </row>
    <row r="115" spans="13:15" x14ac:dyDescent="0.3">
      <c r="M115">
        <v>29095</v>
      </c>
      <c r="O115">
        <v>26384.333333333332</v>
      </c>
    </row>
    <row r="116" spans="13:15" x14ac:dyDescent="0.3">
      <c r="M116">
        <v>32903</v>
      </c>
      <c r="O116">
        <v>26209.416666666664</v>
      </c>
    </row>
    <row r="117" spans="13:15" x14ac:dyDescent="0.3">
      <c r="M117">
        <v>34379</v>
      </c>
      <c r="O117">
        <v>25939.499999999996</v>
      </c>
    </row>
    <row r="118" spans="13:15" x14ac:dyDescent="0.3">
      <c r="M118">
        <v>16991</v>
      </c>
      <c r="O118">
        <v>25540.166666666664</v>
      </c>
    </row>
    <row r="119" spans="13:15" x14ac:dyDescent="0.3">
      <c r="M119">
        <v>21109</v>
      </c>
      <c r="O119">
        <v>25318.874999999996</v>
      </c>
    </row>
    <row r="120" spans="13:15" x14ac:dyDescent="0.3">
      <c r="M120">
        <v>23740</v>
      </c>
      <c r="O120">
        <v>25346.166666666668</v>
      </c>
    </row>
    <row r="121" spans="13:15" x14ac:dyDescent="0.3">
      <c r="M121">
        <v>25552</v>
      </c>
      <c r="O121">
        <v>25285.208333333336</v>
      </c>
    </row>
    <row r="122" spans="13:15" x14ac:dyDescent="0.3">
      <c r="M122">
        <v>21752</v>
      </c>
      <c r="O122">
        <v>25126.208333333328</v>
      </c>
    </row>
    <row r="123" spans="13:15" x14ac:dyDescent="0.3">
      <c r="M123">
        <v>20294</v>
      </c>
      <c r="O123">
        <v>25233.749999999996</v>
      </c>
    </row>
    <row r="124" spans="13:15" x14ac:dyDescent="0.3">
      <c r="M124">
        <v>29009</v>
      </c>
      <c r="O124">
        <v>25314.708333333328</v>
      </c>
    </row>
    <row r="125" spans="13:15" x14ac:dyDescent="0.3">
      <c r="M125">
        <v>25500</v>
      </c>
      <c r="O125">
        <v>25069.5</v>
      </c>
    </row>
    <row r="126" spans="13:15" x14ac:dyDescent="0.3">
      <c r="M126">
        <v>24166</v>
      </c>
      <c r="O126">
        <v>24992.291666666668</v>
      </c>
    </row>
    <row r="127" spans="13:15" x14ac:dyDescent="0.3">
      <c r="M127">
        <v>26960</v>
      </c>
      <c r="O127">
        <v>25360.791666666668</v>
      </c>
    </row>
    <row r="128" spans="13:15" x14ac:dyDescent="0.3">
      <c r="M128">
        <v>31222</v>
      </c>
      <c r="O128">
        <v>25686.958333333332</v>
      </c>
    </row>
    <row r="129" spans="13:15" x14ac:dyDescent="0.3">
      <c r="M129">
        <v>38641</v>
      </c>
      <c r="O129">
        <v>25800.249999999996</v>
      </c>
    </row>
    <row r="130" spans="13:15" x14ac:dyDescent="0.3">
      <c r="M130">
        <v>14672</v>
      </c>
      <c r="O130">
        <v>25825.583333333328</v>
      </c>
    </row>
    <row r="131" spans="13:15" x14ac:dyDescent="0.3">
      <c r="M131">
        <v>17543</v>
      </c>
      <c r="O131">
        <v>25764.624999999993</v>
      </c>
    </row>
    <row r="132" spans="13:15" x14ac:dyDescent="0.3">
      <c r="M132">
        <v>25453</v>
      </c>
      <c r="O132">
        <v>25814.874999999996</v>
      </c>
    </row>
    <row r="133" spans="13:15" x14ac:dyDescent="0.3">
      <c r="M133">
        <v>32683</v>
      </c>
      <c r="O133">
        <v>25797.499999999996</v>
      </c>
    </row>
    <row r="134" spans="13:15" x14ac:dyDescent="0.3">
      <c r="M134">
        <v>22449</v>
      </c>
      <c r="O134">
        <v>25783.916666666668</v>
      </c>
    </row>
    <row r="135" spans="13:15" x14ac:dyDescent="0.3">
      <c r="M135">
        <v>22316</v>
      </c>
      <c r="O135">
        <v>25692.874999999996</v>
      </c>
    </row>
    <row r="136" spans="13:15" x14ac:dyDescent="0.3">
      <c r="M136">
        <v>27595</v>
      </c>
      <c r="O136">
        <v>25603.249999999996</v>
      </c>
    </row>
    <row r="137" spans="13:15" x14ac:dyDescent="0.3">
      <c r="M137">
        <v>25451</v>
      </c>
      <c r="O137">
        <v>25852.541666666661</v>
      </c>
    </row>
    <row r="138" spans="13:15" x14ac:dyDescent="0.3">
      <c r="M138">
        <v>25421</v>
      </c>
      <c r="O138">
        <v>25867.041666666664</v>
      </c>
    </row>
    <row r="139" spans="13:15" x14ac:dyDescent="0.3">
      <c r="M139">
        <v>25288</v>
      </c>
      <c r="O139">
        <v>25142.249999999996</v>
      </c>
    </row>
    <row r="140" spans="13:15" x14ac:dyDescent="0.3">
      <c r="M140">
        <v>32568</v>
      </c>
      <c r="O140">
        <v>24579.541666666668</v>
      </c>
    </row>
    <row r="141" spans="13:15" x14ac:dyDescent="0.3">
      <c r="M141">
        <v>35110</v>
      </c>
      <c r="O141">
        <v>24626.833333333332</v>
      </c>
    </row>
    <row r="142" spans="13:15" x14ac:dyDescent="0.3">
      <c r="M142">
        <v>16052</v>
      </c>
      <c r="O142">
        <v>24787.916666666668</v>
      </c>
    </row>
    <row r="143" spans="13:15" x14ac:dyDescent="0.3">
      <c r="M143">
        <v>22146</v>
      </c>
      <c r="O143">
        <v>24941.583333333332</v>
      </c>
    </row>
    <row r="144" spans="13:15" x14ac:dyDescent="0.3">
      <c r="M144">
        <v>21198</v>
      </c>
      <c r="O144">
        <v>25047.249999999996</v>
      </c>
    </row>
    <row r="145" spans="13:15" x14ac:dyDescent="0.3">
      <c r="M145">
        <v>19543</v>
      </c>
      <c r="O145">
        <v>25168.000000000004</v>
      </c>
    </row>
    <row r="146" spans="13:15" x14ac:dyDescent="0.3">
      <c r="M146">
        <v>22084</v>
      </c>
      <c r="O146">
        <v>25139.791666666664</v>
      </c>
    </row>
    <row r="147" spans="13:15" x14ac:dyDescent="0.3">
      <c r="M147">
        <v>23816</v>
      </c>
      <c r="O147">
        <v>25190.458333333332</v>
      </c>
    </row>
    <row r="148" spans="13:15" x14ac:dyDescent="0.3">
      <c r="M148">
        <v>29961</v>
      </c>
      <c r="O148">
        <v>25377.916666666661</v>
      </c>
    </row>
    <row r="149" spans="13:15" x14ac:dyDescent="0.3">
      <c r="M149">
        <v>26773</v>
      </c>
      <c r="O149">
        <v>25397.624999999996</v>
      </c>
    </row>
    <row r="150" spans="13:15" x14ac:dyDescent="0.3">
      <c r="M150">
        <v>26635</v>
      </c>
      <c r="O150">
        <v>25503.124999999996</v>
      </c>
    </row>
    <row r="151" spans="13:15" x14ac:dyDescent="0.3">
      <c r="M151">
        <v>26972</v>
      </c>
      <c r="O151">
        <v>25802.916666666664</v>
      </c>
    </row>
    <row r="152" spans="13:15" x14ac:dyDescent="0.3">
      <c r="M152">
        <v>30207</v>
      </c>
      <c r="O152">
        <v>26100.541666666664</v>
      </c>
    </row>
    <row r="153" spans="13:15" x14ac:dyDescent="0.3">
      <c r="M153">
        <v>38687</v>
      </c>
      <c r="O153">
        <v>26231.041666666664</v>
      </c>
    </row>
    <row r="154" spans="13:15" x14ac:dyDescent="0.3">
      <c r="M154">
        <v>16974</v>
      </c>
      <c r="O154">
        <v>26255.499999999996</v>
      </c>
    </row>
    <row r="155" spans="13:15" x14ac:dyDescent="0.3">
      <c r="M155">
        <v>21697</v>
      </c>
      <c r="O155">
        <v>26176.291666666668</v>
      </c>
    </row>
    <row r="156" spans="13:15" x14ac:dyDescent="0.3">
      <c r="M156">
        <v>24179</v>
      </c>
      <c r="O156">
        <v>26019.458333333336</v>
      </c>
    </row>
    <row r="157" spans="13:15" x14ac:dyDescent="0.3">
      <c r="M157">
        <v>23757</v>
      </c>
      <c r="O157">
        <v>25902.75</v>
      </c>
    </row>
    <row r="158" spans="13:15" x14ac:dyDescent="0.3">
      <c r="M158">
        <v>25013</v>
      </c>
      <c r="O158">
        <v>25877.5</v>
      </c>
    </row>
    <row r="159" spans="13:15" x14ac:dyDescent="0.3">
      <c r="M159">
        <v>24019</v>
      </c>
      <c r="O159">
        <v>25847.041666666664</v>
      </c>
    </row>
    <row r="160" spans="13:15" x14ac:dyDescent="0.3">
      <c r="M160">
        <v>30345</v>
      </c>
      <c r="O160">
        <v>25807.25</v>
      </c>
    </row>
    <row r="161" spans="13:15" x14ac:dyDescent="0.3">
      <c r="M161">
        <v>24488</v>
      </c>
      <c r="O161">
        <v>25734.666666666664</v>
      </c>
    </row>
    <row r="162" spans="13:15" x14ac:dyDescent="0.3">
      <c r="M162">
        <v>25156</v>
      </c>
      <c r="O162">
        <v>25648.791666666661</v>
      </c>
    </row>
    <row r="163" spans="13:15" x14ac:dyDescent="0.3">
      <c r="M163">
        <v>25650</v>
      </c>
      <c r="O163">
        <v>25783</v>
      </c>
    </row>
    <row r="164" spans="13:15" x14ac:dyDescent="0.3">
      <c r="M164">
        <v>30923</v>
      </c>
      <c r="O164">
        <v>25919.291666666664</v>
      </c>
    </row>
    <row r="165" spans="13:15" x14ac:dyDescent="0.3">
      <c r="M165">
        <v>37240</v>
      </c>
      <c r="O165">
        <v>25958.416666666668</v>
      </c>
    </row>
    <row r="166" spans="13:15" x14ac:dyDescent="0.3">
      <c r="M166">
        <v>17466</v>
      </c>
      <c r="O166">
        <v>25947.041666666668</v>
      </c>
    </row>
    <row r="167" spans="13:15" x14ac:dyDescent="0.3">
      <c r="M167">
        <v>19463</v>
      </c>
      <c r="O167">
        <v>26186.916666666664</v>
      </c>
    </row>
    <row r="168" spans="13:15" x14ac:dyDescent="0.3">
      <c r="M168">
        <v>24352</v>
      </c>
      <c r="O168">
        <v>26366.666666666668</v>
      </c>
    </row>
    <row r="169" spans="13:15" x14ac:dyDescent="0.3">
      <c r="M169">
        <v>26805</v>
      </c>
      <c r="O169">
        <v>26383.916666666668</v>
      </c>
    </row>
    <row r="170" spans="13:15" x14ac:dyDescent="0.3">
      <c r="M170">
        <v>25236</v>
      </c>
      <c r="O170">
        <v>26583.083333333328</v>
      </c>
    </row>
    <row r="171" spans="13:15" x14ac:dyDescent="0.3">
      <c r="M171">
        <v>24735</v>
      </c>
      <c r="O171">
        <v>26661.916666666664</v>
      </c>
    </row>
    <row r="172" spans="13:15" x14ac:dyDescent="0.3">
      <c r="M172">
        <v>29356</v>
      </c>
      <c r="O172">
        <v>26501.249999999996</v>
      </c>
    </row>
    <row r="173" spans="13:15" x14ac:dyDescent="0.3">
      <c r="M173">
        <v>31234</v>
      </c>
      <c r="O173">
        <v>26480.708333333328</v>
      </c>
    </row>
    <row r="174" spans="13:15" x14ac:dyDescent="0.3">
      <c r="M174">
        <v>22724</v>
      </c>
      <c r="O174">
        <v>26586.291666666664</v>
      </c>
    </row>
    <row r="175" spans="13:15" x14ac:dyDescent="0.3">
      <c r="M175">
        <v>28496</v>
      </c>
      <c r="O175">
        <v>26533.416666666661</v>
      </c>
    </row>
    <row r="176" spans="13:15" x14ac:dyDescent="0.3">
      <c r="M176">
        <v>32857</v>
      </c>
      <c r="O176">
        <v>26452.624999999996</v>
      </c>
    </row>
    <row r="177" spans="13:15" x14ac:dyDescent="0.3">
      <c r="M177">
        <v>37198</v>
      </c>
      <c r="O177">
        <v>26509.166666666664</v>
      </c>
    </row>
    <row r="178" spans="13:15" x14ac:dyDescent="0.3">
      <c r="M178">
        <v>13652</v>
      </c>
      <c r="O178">
        <v>26639.083333333332</v>
      </c>
    </row>
    <row r="179" spans="13:15" x14ac:dyDescent="0.3">
      <c r="M179">
        <v>22784</v>
      </c>
      <c r="O179">
        <v>26323.5</v>
      </c>
    </row>
    <row r="180" spans="13:15" x14ac:dyDescent="0.3">
      <c r="M180">
        <v>23565</v>
      </c>
      <c r="O180" t="str">
        <v/>
      </c>
    </row>
    <row r="181" spans="13:15" x14ac:dyDescent="0.3">
      <c r="M181">
        <v>26323</v>
      </c>
      <c r="O181" t="str">
        <v/>
      </c>
    </row>
    <row r="182" spans="13:15" x14ac:dyDescent="0.3">
      <c r="M182">
        <v>23779</v>
      </c>
      <c r="O182" t="str">
        <v/>
      </c>
    </row>
    <row r="183" spans="13:15" x14ac:dyDescent="0.3">
      <c r="M183">
        <v>27549</v>
      </c>
      <c r="O183" t="str">
        <v/>
      </c>
    </row>
    <row r="184" spans="13:15" x14ac:dyDescent="0.3">
      <c r="M184">
        <v>29660</v>
      </c>
      <c r="O184" t="str">
        <v/>
      </c>
    </row>
    <row r="185" spans="13:15" x14ac:dyDescent="0.3">
      <c r="M185">
        <v>23356</v>
      </c>
      <c r="O185" t="str">
        <v/>
      </c>
    </row>
  </sheetData>
  <mergeCells count="2">
    <mergeCell ref="D2:E2"/>
    <mergeCell ref="O2:P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8BE-F88F-4E2E-AA56-919DEB63F0E1}">
  <dimension ref="B2:M55"/>
  <sheetViews>
    <sheetView workbookViewId="0">
      <selection activeCell="K12" sqref="K12"/>
    </sheetView>
  </sheetViews>
  <sheetFormatPr defaultRowHeight="14.4" x14ac:dyDescent="0.3"/>
  <cols>
    <col min="3" max="3" width="9.21875" customWidth="1"/>
    <col min="4" max="4" width="8.88671875" customWidth="1"/>
    <col min="6" max="6" width="10.6640625" customWidth="1"/>
    <col min="9" max="9" width="13.6640625" customWidth="1"/>
    <col min="12" max="12" width="13.88671875" customWidth="1"/>
    <col min="13" max="14" width="10.44140625" customWidth="1"/>
    <col min="16" max="16" width="12.109375" customWidth="1"/>
  </cols>
  <sheetData>
    <row r="2" spans="2:12" x14ac:dyDescent="0.3">
      <c r="B2" s="37" t="s">
        <v>9</v>
      </c>
      <c r="C2" s="37"/>
      <c r="E2" s="7" t="s">
        <v>12</v>
      </c>
      <c r="I2" s="7" t="s">
        <v>13</v>
      </c>
      <c r="K2" s="9" t="str" cm="1">
        <f t="array" ref="K2:L9">TRANSPOSE(_xll.Model.Accuracy(C9))</f>
        <v>Index</v>
      </c>
      <c r="L2" s="9" t="str">
        <v>Training set</v>
      </c>
    </row>
    <row r="3" spans="2:12" x14ac:dyDescent="0.3">
      <c r="B3" s="3" t="s">
        <v>11</v>
      </c>
      <c r="C3" s="4" t="str">
        <f>"SES"&amp;C7</f>
        <v>SES3</v>
      </c>
      <c r="E3" s="6" t="str" cm="1">
        <f t="array" ref="E3:E12">_xll.Model.Results(C9)</f>
        <v>model</v>
      </c>
      <c r="F3" t="s">
        <v>15</v>
      </c>
      <c r="I3" s="6" t="str" cm="1">
        <f t="array" ref="I3:I21">_xll.Model.Result(C9, E3)</f>
        <v>loglik</v>
      </c>
      <c r="K3" s="6" t="str">
        <v>ME</v>
      </c>
      <c r="L3" s="6">
        <v>11.612762305480123</v>
      </c>
    </row>
    <row r="4" spans="2:12" x14ac:dyDescent="0.3">
      <c r="B4" s="3" t="s">
        <v>10</v>
      </c>
      <c r="C4" s="4" t="str" cm="1">
        <f t="array" ref="C4">_xll.RScript.CreateVector(tGallons[[#Headers],[Gallons]], tGallons[Gallons])</f>
        <v>Gallons</v>
      </c>
      <c r="E4" s="6" t="str">
        <v>mean</v>
      </c>
      <c r="F4" t="s">
        <v>16</v>
      </c>
      <c r="I4" s="6" t="str">
        <v>aic</v>
      </c>
      <c r="K4" s="6" t="str">
        <v>RMSE</v>
      </c>
      <c r="L4" s="6">
        <v>52.207688756133287</v>
      </c>
    </row>
    <row r="5" spans="2:12" x14ac:dyDescent="0.3">
      <c r="B5" s="3" t="s">
        <v>66</v>
      </c>
      <c r="C5" s="4"/>
      <c r="E5" s="6" t="str">
        <v>level</v>
      </c>
      <c r="F5" t="s">
        <v>19</v>
      </c>
      <c r="I5" s="6" t="str">
        <v>bic</v>
      </c>
      <c r="K5" s="6" t="str">
        <v>MAE</v>
      </c>
      <c r="L5" s="6">
        <v>43.94480728608594</v>
      </c>
    </row>
    <row r="6" spans="2:12" x14ac:dyDescent="0.3">
      <c r="B6" s="3" t="s">
        <v>48</v>
      </c>
      <c r="C6" s="4">
        <v>0.1</v>
      </c>
      <c r="E6" s="6" t="str">
        <v>x</v>
      </c>
      <c r="F6" t="s">
        <v>14</v>
      </c>
      <c r="I6" s="6" t="str">
        <v>aicc</v>
      </c>
      <c r="K6" s="6" t="str">
        <v>MPE</v>
      </c>
      <c r="L6" s="6">
        <v>-66.399899245370847</v>
      </c>
    </row>
    <row r="7" spans="2:12" x14ac:dyDescent="0.3">
      <c r="B7" s="3" t="s">
        <v>65</v>
      </c>
      <c r="C7" s="4">
        <v>3</v>
      </c>
      <c r="E7" s="6" t="str">
        <v>upper</v>
      </c>
      <c r="F7" t="s">
        <v>18</v>
      </c>
      <c r="I7" s="6" t="str">
        <v>mse</v>
      </c>
      <c r="K7" s="6" t="str">
        <v>MAPE</v>
      </c>
      <c r="L7" s="6">
        <v>103.54686059216444</v>
      </c>
    </row>
    <row r="8" spans="2:12" x14ac:dyDescent="0.3">
      <c r="E8" s="6" t="str">
        <v>lower</v>
      </c>
      <c r="F8" t="s">
        <v>17</v>
      </c>
      <c r="I8" s="6" t="str">
        <v>amse</v>
      </c>
      <c r="K8" s="6" t="str">
        <v>MASE</v>
      </c>
      <c r="L8" s="6">
        <v>0.98641542729710308</v>
      </c>
    </row>
    <row r="9" spans="2:12" x14ac:dyDescent="0.3">
      <c r="B9" s="7" t="s">
        <v>24</v>
      </c>
      <c r="C9" s="5" t="str" cm="1">
        <f t="array" ref="C9">_xll.Forecast.SES(C3,C4, B5:C7)</f>
        <v>SES3</v>
      </c>
      <c r="E9" s="6" t="str">
        <v>fitted</v>
      </c>
      <c r="F9" t="s">
        <v>20</v>
      </c>
      <c r="I9" s="6" t="str">
        <v>fit</v>
      </c>
      <c r="K9" s="6" t="str">
        <v>ACF1</v>
      </c>
      <c r="L9" s="6">
        <v>0.34553162556384487</v>
      </c>
    </row>
    <row r="10" spans="2:12" x14ac:dyDescent="0.3">
      <c r="E10" s="6" t="str">
        <v>method</v>
      </c>
      <c r="F10" t="s">
        <v>21</v>
      </c>
      <c r="I10" s="6" t="str">
        <v>residuals</v>
      </c>
    </row>
    <row r="11" spans="2:12" x14ac:dyDescent="0.3">
      <c r="E11" s="6" t="str">
        <v>series</v>
      </c>
      <c r="F11" t="s">
        <v>22</v>
      </c>
      <c r="I11" s="6" t="str">
        <v>fitted</v>
      </c>
      <c r="K11" s="6" t="str" cm="1">
        <f t="array" ref="K11:L13">_xll.Model.Result(C9,E3,I13,TRUE)</f>
        <v>Index</v>
      </c>
      <c r="L11" s="6" t="str">
        <v>SES3$model$par</v>
      </c>
    </row>
    <row r="12" spans="2:12" x14ac:dyDescent="0.3">
      <c r="E12" s="6" t="str">
        <v>residuals</v>
      </c>
      <c r="F12" t="s">
        <v>23</v>
      </c>
      <c r="I12" s="6" t="str">
        <v>states</v>
      </c>
      <c r="K12" s="6" t="str">
        <v>l</v>
      </c>
      <c r="L12" s="6">
        <v>94.893750000000011</v>
      </c>
    </row>
    <row r="13" spans="2:12" x14ac:dyDescent="0.3">
      <c r="I13" s="6" t="str">
        <v>par</v>
      </c>
      <c r="K13" s="6" t="str">
        <v>alpha</v>
      </c>
      <c r="L13" s="6">
        <v>0.1</v>
      </c>
    </row>
    <row r="14" spans="2:12" x14ac:dyDescent="0.3">
      <c r="I14" s="6" t="str">
        <v>m</v>
      </c>
    </row>
    <row r="15" spans="2:12" x14ac:dyDescent="0.3">
      <c r="I15" s="6" t="str">
        <v>method</v>
      </c>
    </row>
    <row r="16" spans="2:12" x14ac:dyDescent="0.3">
      <c r="I16" s="6" t="str">
        <v>series</v>
      </c>
    </row>
    <row r="17" spans="5:13" x14ac:dyDescent="0.3">
      <c r="I17" s="6" t="str">
        <v>components</v>
      </c>
    </row>
    <row r="18" spans="5:13" x14ac:dyDescent="0.3">
      <c r="E18" s="9" t="s">
        <v>25</v>
      </c>
      <c r="F18" s="9" t="s">
        <v>26</v>
      </c>
      <c r="I18" s="6" t="str">
        <v>call</v>
      </c>
    </row>
    <row r="19" spans="5:13" x14ac:dyDescent="0.3">
      <c r="E19" s="8" cm="1">
        <f t="array" ref="E19:E39">_xll.Model.Result(C9,E18)</f>
        <v>94.893750000000011</v>
      </c>
      <c r="F19" s="8" cm="1">
        <f t="array" ref="F19:F39">_xll.Model.Result(C9,F18)</f>
        <v>18.106249999999989</v>
      </c>
      <c r="I19" s="6" t="str">
        <v>initstate</v>
      </c>
    </row>
    <row r="20" spans="5:13" x14ac:dyDescent="0.3">
      <c r="E20" s="8">
        <v>96.704375000000013</v>
      </c>
      <c r="F20" s="8">
        <v>-46.704375000000013</v>
      </c>
      <c r="G20" s="8"/>
      <c r="I20" s="6" t="str">
        <v>sigma2</v>
      </c>
    </row>
    <row r="21" spans="5:13" x14ac:dyDescent="0.3">
      <c r="E21" s="8">
        <v>92.033937500000008</v>
      </c>
      <c r="F21" s="8">
        <v>-25.033937500000008</v>
      </c>
      <c r="I21" s="6" t="str">
        <v>x</v>
      </c>
    </row>
    <row r="22" spans="5:13" x14ac:dyDescent="0.3">
      <c r="E22" s="8">
        <v>89.530543750000007</v>
      </c>
      <c r="F22" s="8">
        <v>8.4694562499999932</v>
      </c>
    </row>
    <row r="23" spans="5:13" x14ac:dyDescent="0.3">
      <c r="E23" s="8">
        <v>90.37748937500001</v>
      </c>
      <c r="F23" s="8">
        <v>69.62251062499999</v>
      </c>
      <c r="H23" s="9" t="s">
        <v>34</v>
      </c>
      <c r="I23" s="9"/>
      <c r="J23" s="9"/>
      <c r="K23" s="9"/>
      <c r="L23" s="9"/>
      <c r="M23" s="9"/>
    </row>
    <row r="24" spans="5:13" x14ac:dyDescent="0.3">
      <c r="E24" s="8">
        <v>97.339740437500012</v>
      </c>
      <c r="F24" s="8">
        <v>14.660259562499988</v>
      </c>
      <c r="H24" t="str" cm="1">
        <f t="array" ref="H24:M27">_xll.Model.Result(C9,,,TRUE)</f>
        <v>Index</v>
      </c>
      <c r="I24" t="str">
        <v>Point Forecast</v>
      </c>
      <c r="J24" t="str">
        <v>Lo 80</v>
      </c>
      <c r="K24" t="str">
        <v>Hi 80</v>
      </c>
      <c r="L24" t="str">
        <v>Lo 95</v>
      </c>
      <c r="M24" t="str">
        <v>Hi 95</v>
      </c>
    </row>
    <row r="25" spans="5:13" x14ac:dyDescent="0.3">
      <c r="E25" s="8">
        <v>98.805766393750005</v>
      </c>
      <c r="F25" s="8">
        <v>-84.805766393750005</v>
      </c>
      <c r="H25" t="str">
        <v>22</v>
      </c>
      <c r="I25">
        <v>119.28055084150827</v>
      </c>
      <c r="J25">
        <v>48.940383087928879</v>
      </c>
      <c r="K25">
        <v>189.62071859508768</v>
      </c>
      <c r="L25">
        <v>11.704547526389788</v>
      </c>
      <c r="M25">
        <v>226.85655415662677</v>
      </c>
    </row>
    <row r="26" spans="5:13" x14ac:dyDescent="0.3">
      <c r="E26" s="8">
        <v>90.325189754375003</v>
      </c>
      <c r="F26" s="8">
        <v>-80.325189754375003</v>
      </c>
      <c r="H26" t="str">
        <v>23</v>
      </c>
      <c r="I26">
        <v>119.28055084150827</v>
      </c>
      <c r="J26">
        <v>48.589557132283147</v>
      </c>
      <c r="K26">
        <v>189.9715445507334</v>
      </c>
      <c r="L26">
        <v>11.168005528085331</v>
      </c>
      <c r="M26">
        <v>227.39309615493121</v>
      </c>
    </row>
    <row r="27" spans="5:13" x14ac:dyDescent="0.3">
      <c r="E27" s="8">
        <v>82.292670778937506</v>
      </c>
      <c r="F27" s="8">
        <v>-19.292670778937506</v>
      </c>
      <c r="H27" t="str">
        <v>24</v>
      </c>
      <c r="I27">
        <v>119.28055084150827</v>
      </c>
      <c r="J27">
        <v>48.240463682259076</v>
      </c>
      <c r="K27">
        <v>190.32063800075747</v>
      </c>
      <c r="L27">
        <v>10.634113168478834</v>
      </c>
      <c r="M27">
        <v>227.9269885145377</v>
      </c>
    </row>
    <row r="28" spans="5:13" x14ac:dyDescent="0.3">
      <c r="E28" s="8">
        <v>80.363403701043751</v>
      </c>
      <c r="F28" s="8">
        <v>-47.363403701043751</v>
      </c>
    </row>
    <row r="29" spans="5:13" x14ac:dyDescent="0.3">
      <c r="E29" s="8">
        <v>75.627063330939379</v>
      </c>
      <c r="F29" s="8">
        <v>23.372936669060621</v>
      </c>
    </row>
    <row r="30" spans="5:13" x14ac:dyDescent="0.3">
      <c r="E30" s="8">
        <v>77.964356997845442</v>
      </c>
      <c r="F30" s="8">
        <v>31.035643002154558</v>
      </c>
    </row>
    <row r="31" spans="5:13" x14ac:dyDescent="0.3">
      <c r="E31" s="8">
        <v>81.067921298060895</v>
      </c>
      <c r="F31" s="8">
        <v>58.932078701939105</v>
      </c>
    </row>
    <row r="32" spans="5:13" x14ac:dyDescent="0.3">
      <c r="E32" s="8">
        <v>86.9611291682548</v>
      </c>
      <c r="F32" s="8">
        <v>-35.9611291682548</v>
      </c>
    </row>
    <row r="33" spans="5:9" x14ac:dyDescent="0.3">
      <c r="E33" s="8">
        <v>83.365016251429324</v>
      </c>
      <c r="F33" s="8">
        <v>116.63498374857068</v>
      </c>
    </row>
    <row r="34" spans="5:9" x14ac:dyDescent="0.3">
      <c r="E34" s="8">
        <v>95.028514626286395</v>
      </c>
      <c r="F34" s="8">
        <v>82.971485373713605</v>
      </c>
    </row>
    <row r="35" spans="5:9" x14ac:dyDescent="0.3">
      <c r="E35" s="8">
        <v>103.32566316365775</v>
      </c>
      <c r="F35" s="8">
        <v>34.674336836342249</v>
      </c>
      <c r="I35" s="1"/>
    </row>
    <row r="36" spans="5:9" x14ac:dyDescent="0.3">
      <c r="E36" s="8">
        <v>106.79309684729198</v>
      </c>
      <c r="F36" s="8">
        <v>27.206903152708023</v>
      </c>
      <c r="I36" s="1"/>
    </row>
    <row r="37" spans="5:9" x14ac:dyDescent="0.3">
      <c r="E37" s="8">
        <v>109.51378716256278</v>
      </c>
      <c r="F37" s="8">
        <v>55.486212837437222</v>
      </c>
      <c r="I37" s="1"/>
    </row>
    <row r="38" spans="5:9" x14ac:dyDescent="0.3">
      <c r="E38" s="8">
        <v>115.06240844630651</v>
      </c>
      <c r="F38" s="8">
        <v>16.937591553693494</v>
      </c>
      <c r="I38" s="1"/>
    </row>
    <row r="39" spans="5:9" x14ac:dyDescent="0.3">
      <c r="E39" s="8">
        <v>116.75616760167586</v>
      </c>
      <c r="F39" s="8">
        <v>25.243832398324145</v>
      </c>
      <c r="I39" s="1"/>
    </row>
    <row r="40" spans="5:9" x14ac:dyDescent="0.3">
      <c r="F40" s="1"/>
      <c r="I40" s="1"/>
    </row>
    <row r="41" spans="5:9" x14ac:dyDescent="0.3">
      <c r="F41" s="1"/>
      <c r="I41" s="1"/>
    </row>
    <row r="42" spans="5:9" x14ac:dyDescent="0.3">
      <c r="F42" s="1"/>
      <c r="I42" s="1"/>
    </row>
    <row r="43" spans="5:9" x14ac:dyDescent="0.3">
      <c r="F43" s="1"/>
      <c r="I43" s="1"/>
    </row>
    <row r="44" spans="5:9" x14ac:dyDescent="0.3">
      <c r="F44" s="1"/>
      <c r="I44" s="1"/>
    </row>
    <row r="45" spans="5:9" x14ac:dyDescent="0.3">
      <c r="F45" s="1"/>
      <c r="I45" s="1"/>
    </row>
    <row r="46" spans="5:9" x14ac:dyDescent="0.3">
      <c r="F46" s="1"/>
      <c r="I46" s="1"/>
    </row>
    <row r="47" spans="5:9" x14ac:dyDescent="0.3">
      <c r="F47" s="1"/>
      <c r="I47" s="1"/>
    </row>
    <row r="48" spans="5:9" x14ac:dyDescent="0.3">
      <c r="F48" s="1"/>
      <c r="I48" s="1"/>
    </row>
    <row r="49" spans="6:9" x14ac:dyDescent="0.3">
      <c r="F49" s="1"/>
      <c r="I49" s="1"/>
    </row>
    <row r="50" spans="6:9" x14ac:dyDescent="0.3">
      <c r="F50" s="1"/>
      <c r="I50" s="1"/>
    </row>
    <row r="51" spans="6:9" x14ac:dyDescent="0.3">
      <c r="F51" s="1"/>
      <c r="I51" s="1"/>
    </row>
    <row r="52" spans="6:9" x14ac:dyDescent="0.3">
      <c r="F52" s="1"/>
      <c r="I52" s="1"/>
    </row>
    <row r="53" spans="6:9" x14ac:dyDescent="0.3">
      <c r="F53" s="1"/>
      <c r="I53" s="1"/>
    </row>
    <row r="54" spans="6:9" x14ac:dyDescent="0.3">
      <c r="F54" s="1"/>
      <c r="I54" s="1"/>
    </row>
    <row r="55" spans="6:9" x14ac:dyDescent="0.3">
      <c r="F55" s="1"/>
      <c r="I55" s="1"/>
    </row>
  </sheetData>
  <mergeCells count="1">
    <mergeCell ref="B2:C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4ACC-C124-4588-ADC9-44AA7F126FFF}">
  <dimension ref="B2:Y114"/>
  <sheetViews>
    <sheetView workbookViewId="0"/>
  </sheetViews>
  <sheetFormatPr defaultRowHeight="14.4" x14ac:dyDescent="0.3"/>
  <cols>
    <col min="2" max="2" width="12.44140625" customWidth="1"/>
    <col min="3" max="3" width="9.88671875" customWidth="1"/>
    <col min="7" max="7" width="16.109375" customWidth="1"/>
    <col min="10" max="10" width="18.109375" customWidth="1"/>
    <col min="11" max="11" width="12.5546875" bestFit="1" customWidth="1"/>
    <col min="12" max="14" width="12" bestFit="1" customWidth="1"/>
    <col min="15" max="15" width="11.109375" customWidth="1"/>
  </cols>
  <sheetData>
    <row r="2" spans="2:25" x14ac:dyDescent="0.3">
      <c r="B2" s="37" t="s">
        <v>9</v>
      </c>
      <c r="C2" s="37"/>
      <c r="E2" s="10" t="s">
        <v>28</v>
      </c>
      <c r="G2" s="10" t="s">
        <v>29</v>
      </c>
    </row>
    <row r="3" spans="2:25" x14ac:dyDescent="0.3">
      <c r="B3" s="4" t="s">
        <v>11</v>
      </c>
      <c r="C3" s="4" t="str">
        <f>"DES"&amp;C11</f>
        <v>DES10</v>
      </c>
      <c r="E3" t="str" cm="1">
        <f t="array" ref="E3:E12">_xll.Model.Results(C14)</f>
        <v>model</v>
      </c>
      <c r="G3" t="str" cm="1">
        <f t="array" ref="G3:Y3">TRANSPOSE(_xll.Model.Result(C14,E3))</f>
        <v>loglik</v>
      </c>
      <c r="H3" t="str">
        <v>aic</v>
      </c>
      <c r="I3" t="str">
        <v>bic</v>
      </c>
      <c r="J3" t="str">
        <v>aicc</v>
      </c>
      <c r="K3" t="str">
        <v>mse</v>
      </c>
      <c r="L3" t="str">
        <v>amse</v>
      </c>
      <c r="M3" t="str">
        <v>fit</v>
      </c>
      <c r="N3" t="str">
        <v>residuals</v>
      </c>
      <c r="O3" t="str">
        <v>fitted</v>
      </c>
      <c r="P3" t="str">
        <v>states</v>
      </c>
      <c r="Q3" t="str">
        <v>par</v>
      </c>
      <c r="R3" t="str">
        <v>m</v>
      </c>
      <c r="S3" t="str">
        <v>method</v>
      </c>
      <c r="T3" t="str">
        <v>series</v>
      </c>
      <c r="U3" t="str">
        <v>components</v>
      </c>
      <c r="V3" t="str">
        <v>call</v>
      </c>
      <c r="W3" t="str">
        <v>initstate</v>
      </c>
      <c r="X3" t="str">
        <v>sigma2</v>
      </c>
      <c r="Y3" t="str">
        <v>x</v>
      </c>
    </row>
    <row r="4" spans="2:25" x14ac:dyDescent="0.3">
      <c r="B4" s="4" t="s">
        <v>10</v>
      </c>
      <c r="C4" s="4" t="str" cm="1">
        <f t="array" ref="C4">_xll.RScript.CreateVector(tCustomers[[#Headers],[Customers]],tCustomers[Customers])</f>
        <v>Customers</v>
      </c>
      <c r="E4" t="str">
        <v>mean</v>
      </c>
    </row>
    <row r="5" spans="2:25" x14ac:dyDescent="0.3">
      <c r="B5" s="4" t="s">
        <v>66</v>
      </c>
      <c r="C5" s="4" t="s">
        <v>4</v>
      </c>
      <c r="E5" t="str">
        <v>level</v>
      </c>
    </row>
    <row r="6" spans="2:25" x14ac:dyDescent="0.3">
      <c r="B6" s="4" t="s">
        <v>48</v>
      </c>
      <c r="C6" s="4">
        <v>0.95</v>
      </c>
      <c r="E6" t="str">
        <v>x</v>
      </c>
    </row>
    <row r="7" spans="2:25" x14ac:dyDescent="0.3">
      <c r="B7" s="4" t="s">
        <v>49</v>
      </c>
      <c r="C7" s="4">
        <v>0.25</v>
      </c>
      <c r="E7" t="str">
        <v>upper</v>
      </c>
    </row>
    <row r="8" spans="2:25" x14ac:dyDescent="0.3">
      <c r="B8" s="4" t="s">
        <v>51</v>
      </c>
      <c r="C8" s="4"/>
      <c r="E8" t="str">
        <v>lower</v>
      </c>
    </row>
    <row r="9" spans="2:25" x14ac:dyDescent="0.3">
      <c r="B9" s="4" t="s">
        <v>67</v>
      </c>
      <c r="C9" s="4" t="b">
        <v>0</v>
      </c>
      <c r="E9" t="str">
        <v>fitted</v>
      </c>
    </row>
    <row r="10" spans="2:25" x14ac:dyDescent="0.3">
      <c r="B10" s="4" t="s">
        <v>47</v>
      </c>
      <c r="C10" s="4"/>
      <c r="E10" t="str">
        <v>method</v>
      </c>
    </row>
    <row r="11" spans="2:25" x14ac:dyDescent="0.3">
      <c r="B11" s="4" t="s">
        <v>65</v>
      </c>
      <c r="C11" s="4">
        <v>10</v>
      </c>
      <c r="E11" t="str">
        <v>series</v>
      </c>
    </row>
    <row r="12" spans="2:25" x14ac:dyDescent="0.3">
      <c r="B12" s="4" t="s">
        <v>69</v>
      </c>
      <c r="E12" t="str">
        <v>residuals</v>
      </c>
    </row>
    <row r="14" spans="2:25" x14ac:dyDescent="0.3">
      <c r="B14" s="6" t="s">
        <v>24</v>
      </c>
      <c r="C14" s="5" t="str" cm="1">
        <f t="array" ref="C14">_xll.Forecast.Holt(C3,C4)</f>
        <v>DES10</v>
      </c>
    </row>
    <row r="17" spans="5:12" x14ac:dyDescent="0.3">
      <c r="E17" s="9" t="s">
        <v>25</v>
      </c>
      <c r="F17" s="9" t="s">
        <v>26</v>
      </c>
    </row>
    <row r="18" spans="5:12" x14ac:dyDescent="0.3">
      <c r="E18" s="8" cm="1">
        <f t="array" ref="E18:E50">_xll.Model.Result(C14,E17)</f>
        <v>818.78701112477847</v>
      </c>
      <c r="F18" s="20" cm="1">
        <f t="array" ref="F18:F50">_xll.Model.Result(C14,F17)</f>
        <v>-15.897011124778487</v>
      </c>
      <c r="J18" t="s">
        <v>30</v>
      </c>
      <c r="K18" t="str" cm="1">
        <f t="array" ref="K18">_xll.Model.Result($C$14, E11)</f>
        <v>Customers</v>
      </c>
    </row>
    <row r="19" spans="5:12" x14ac:dyDescent="0.3">
      <c r="E19">
        <v>872.93168383650618</v>
      </c>
      <c r="F19">
        <v>102.26831616349386</v>
      </c>
      <c r="J19" t="s">
        <v>31</v>
      </c>
      <c r="K19" t="str" cm="1">
        <f t="array" ref="K19">_xll.Model.Result(C14,E3,V3)</f>
        <v>holt(y = Customers)</v>
      </c>
    </row>
    <row r="20" spans="5:12" x14ac:dyDescent="0.3">
      <c r="E20">
        <v>1059.1491604406706</v>
      </c>
      <c r="F20">
        <v>-164.81916044067054</v>
      </c>
      <c r="J20" t="s">
        <v>32</v>
      </c>
      <c r="K20" t="str" cm="1">
        <f t="array" ref="K20:L21">_xll.Model.Result(C14,E3,K3,TRUE)</f>
        <v>Index</v>
      </c>
      <c r="L20" t="str">
        <v>DES10$model$mse</v>
      </c>
    </row>
    <row r="21" spans="5:12" x14ac:dyDescent="0.3">
      <c r="E21">
        <v>958.49740162035482</v>
      </c>
      <c r="F21">
        <v>-137.36740162035483</v>
      </c>
      <c r="K21" t="str">
        <v>1</v>
      </c>
      <c r="L21">
        <v>136353.84104433062</v>
      </c>
    </row>
    <row r="22" spans="5:12" x14ac:dyDescent="0.3">
      <c r="E22">
        <v>860.22385354079665</v>
      </c>
      <c r="F22">
        <v>-15.823853540796676</v>
      </c>
    </row>
    <row r="23" spans="5:12" x14ac:dyDescent="0.3">
      <c r="E23">
        <v>876.54045801686459</v>
      </c>
      <c r="F23">
        <v>14.599541983135396</v>
      </c>
    </row>
    <row r="24" spans="5:12" x14ac:dyDescent="0.3">
      <c r="E24">
        <v>924.80040647730164</v>
      </c>
      <c r="F24">
        <v>8.1495935226984102</v>
      </c>
    </row>
    <row r="25" spans="5:12" x14ac:dyDescent="0.3">
      <c r="E25">
        <v>968.26350316732805</v>
      </c>
      <c r="F25">
        <v>-83.733503167328081</v>
      </c>
      <c r="J25" t="s">
        <v>33</v>
      </c>
      <c r="K25" cm="1">
        <f t="array" ref="K25">SQRT(_xll.Model.Result($C$14,E3,X3))</f>
        <v>393.90515025228189</v>
      </c>
    </row>
    <row r="26" spans="5:12" x14ac:dyDescent="0.3">
      <c r="E26">
        <v>908.28947430565313</v>
      </c>
      <c r="F26">
        <v>282.49052569434684</v>
      </c>
    </row>
    <row r="27" spans="5:12" x14ac:dyDescent="0.3">
      <c r="E27">
        <v>1251.5879403411734</v>
      </c>
      <c r="F27">
        <v>-73.037940341173453</v>
      </c>
      <c r="J27" s="9" t="str" cm="1">
        <f t="array" ref="J27:K34">TRANSPOSE(_xll.Model.Accuracy(C14))</f>
        <v>Index</v>
      </c>
      <c r="K27" s="9" t="str">
        <v>Training set</v>
      </c>
      <c r="L27" s="10"/>
    </row>
    <row r="28" spans="5:12" x14ac:dyDescent="0.3">
      <c r="E28">
        <v>1238.7360557098232</v>
      </c>
      <c r="F28">
        <v>89.253944290176833</v>
      </c>
      <c r="J28" s="6" t="str">
        <v>ME</v>
      </c>
      <c r="K28" s="6">
        <v>35.469257141905089</v>
      </c>
      <c r="L28" t="s">
        <v>35</v>
      </c>
    </row>
    <row r="29" spans="5:12" x14ac:dyDescent="0.3">
      <c r="E29">
        <v>1398.282082871295</v>
      </c>
      <c r="F29">
        <v>394.81791712870495</v>
      </c>
      <c r="J29" s="6" t="str">
        <v>RMSE</v>
      </c>
      <c r="K29" s="6">
        <v>369.2612097747753</v>
      </c>
      <c r="L29" t="s">
        <v>36</v>
      </c>
    </row>
    <row r="30" spans="5:12" x14ac:dyDescent="0.3">
      <c r="E30">
        <v>1922.255735831169</v>
      </c>
      <c r="F30">
        <v>355.26426416883101</v>
      </c>
      <c r="J30" s="6" t="str">
        <v>MAE</v>
      </c>
      <c r="K30" s="6">
        <v>266.62488904796811</v>
      </c>
      <c r="L30" t="s">
        <v>37</v>
      </c>
    </row>
    <row r="31" spans="5:12" x14ac:dyDescent="0.3">
      <c r="E31">
        <v>2470.4420834321259</v>
      </c>
      <c r="F31">
        <v>-408.97208343212606</v>
      </c>
      <c r="J31" s="6" t="str">
        <v>MPE</v>
      </c>
      <c r="K31" s="6">
        <v>1.1856885257676359</v>
      </c>
      <c r="L31" t="s">
        <v>38</v>
      </c>
    </row>
    <row r="32" spans="5:12" x14ac:dyDescent="0.3">
      <c r="E32">
        <v>2208.7923144980446</v>
      </c>
      <c r="F32">
        <v>301.7776855019556</v>
      </c>
      <c r="J32" s="6" t="str">
        <v>MAPE</v>
      </c>
      <c r="K32" s="6">
        <v>7.9316602444015754</v>
      </c>
      <c r="L32" t="s">
        <v>39</v>
      </c>
    </row>
    <row r="33" spans="5:12" x14ac:dyDescent="0.3">
      <c r="E33">
        <v>2686.4982615847002</v>
      </c>
      <c r="F33">
        <v>-7.0382615847001944</v>
      </c>
      <c r="J33" s="6" t="str">
        <v>MASE</v>
      </c>
      <c r="K33" s="6">
        <v>0.79817281304908116</v>
      </c>
      <c r="L33" t="s">
        <v>40</v>
      </c>
    </row>
    <row r="34" spans="5:12" x14ac:dyDescent="0.3">
      <c r="E34">
        <v>2864.756270018438</v>
      </c>
      <c r="F34">
        <v>64.193729981561773</v>
      </c>
      <c r="J34" s="6" t="str">
        <v>ACF1</v>
      </c>
      <c r="K34" s="6">
        <v>-2.5814436079597814E-2</v>
      </c>
      <c r="L34" t="s">
        <v>41</v>
      </c>
    </row>
    <row r="35" spans="5:12" x14ac:dyDescent="0.3">
      <c r="E35">
        <v>3123.0769464453651</v>
      </c>
      <c r="F35">
        <v>161.04305355463475</v>
      </c>
    </row>
    <row r="36" spans="5:12" x14ac:dyDescent="0.3">
      <c r="E36">
        <v>3503.2111581264685</v>
      </c>
      <c r="F36">
        <v>21.638841873531419</v>
      </c>
    </row>
    <row r="37" spans="5:12" x14ac:dyDescent="0.3">
      <c r="E37">
        <v>3752.5293691290594</v>
      </c>
      <c r="F37">
        <v>45.400630870940404</v>
      </c>
    </row>
    <row r="38" spans="5:12" x14ac:dyDescent="0.3">
      <c r="E38">
        <v>4032.7687969794974</v>
      </c>
      <c r="F38">
        <v>461.501203020503</v>
      </c>
    </row>
    <row r="39" spans="5:12" x14ac:dyDescent="0.3">
      <c r="E39">
        <v>4795.8907819446531</v>
      </c>
      <c r="F39">
        <v>946.05921805534672</v>
      </c>
    </row>
    <row r="40" spans="5:12" x14ac:dyDescent="0.3">
      <c r="E40">
        <v>6193.122746465604</v>
      </c>
      <c r="F40">
        <v>256.02725353439564</v>
      </c>
    </row>
    <row r="41" spans="5:12" x14ac:dyDescent="0.3">
      <c r="E41">
        <v>6968.9931543133398</v>
      </c>
      <c r="F41">
        <v>669.72684568666045</v>
      </c>
    </row>
    <row r="42" spans="5:12" x14ac:dyDescent="0.3">
      <c r="E42">
        <v>8262.0059083965498</v>
      </c>
      <c r="F42">
        <v>-788.54590839654975</v>
      </c>
    </row>
    <row r="43" spans="5:12" x14ac:dyDescent="0.3">
      <c r="E43">
        <v>8008.3000789910802</v>
      </c>
      <c r="F43">
        <v>-277.15007899108059</v>
      </c>
    </row>
    <row r="44" spans="5:12" x14ac:dyDescent="0.3">
      <c r="E44">
        <v>8199.74325969862</v>
      </c>
      <c r="F44">
        <v>-590.88325969862035</v>
      </c>
    </row>
    <row r="45" spans="5:12" x14ac:dyDescent="0.3">
      <c r="E45">
        <v>7984.4279665534659</v>
      </c>
      <c r="F45">
        <v>230.42203344653444</v>
      </c>
    </row>
    <row r="46" spans="5:12" x14ac:dyDescent="0.3">
      <c r="E46">
        <v>8602.6927440400923</v>
      </c>
      <c r="F46">
        <v>-596.05274404009197</v>
      </c>
    </row>
    <row r="47" spans="5:12" x14ac:dyDescent="0.3">
      <c r="E47">
        <v>8318.1563219021282</v>
      </c>
      <c r="F47">
        <v>-2.6463219021279656</v>
      </c>
    </row>
    <row r="48" spans="5:12" x14ac:dyDescent="0.3">
      <c r="E48">
        <v>8606.1845330034648</v>
      </c>
      <c r="F48">
        <v>-59.524533003464967</v>
      </c>
    </row>
    <row r="49" spans="2:7" x14ac:dyDescent="0.3">
      <c r="E49">
        <v>8828.8311863445433</v>
      </c>
      <c r="F49">
        <v>579.91881365545669</v>
      </c>
    </row>
    <row r="50" spans="2:7" x14ac:dyDescent="0.3">
      <c r="E50">
        <v>9770.8358651661765</v>
      </c>
      <c r="F50">
        <v>-592.5758651661763</v>
      </c>
    </row>
    <row r="52" spans="2:7" x14ac:dyDescent="0.3">
      <c r="B52" s="10" t="s">
        <v>34</v>
      </c>
    </row>
    <row r="53" spans="2:7" x14ac:dyDescent="0.3">
      <c r="B53" t="str" cm="1">
        <f t="array" ref="B53:G63">_xll.Model.Result(C14,,,TRUE)</f>
        <v>Index</v>
      </c>
      <c r="C53" t="str">
        <v>Point Forecast</v>
      </c>
      <c r="D53" t="str">
        <v>Lo 80</v>
      </c>
      <c r="E53" t="str">
        <v>Hi 80</v>
      </c>
      <c r="F53" t="str">
        <v>Lo 95</v>
      </c>
      <c r="G53" t="str">
        <v>Hi 95</v>
      </c>
    </row>
    <row r="54" spans="2:7" x14ac:dyDescent="0.3">
      <c r="B54" t="str">
        <v>34</v>
      </c>
      <c r="C54" s="8">
        <v>9476.5121545325765</v>
      </c>
      <c r="D54" s="8">
        <v>8971.7023925506837</v>
      </c>
      <c r="E54" s="8">
        <v>9981.3219165144692</v>
      </c>
      <c r="F54" s="8">
        <v>8704.4722467132651</v>
      </c>
      <c r="G54" s="8">
        <v>10248.552062351888</v>
      </c>
    </row>
    <row r="55" spans="2:7" x14ac:dyDescent="0.3">
      <c r="B55" t="str">
        <v>35</v>
      </c>
      <c r="C55" s="8">
        <v>9754.4159113420992</v>
      </c>
      <c r="D55" s="8">
        <v>8988.3965325309346</v>
      </c>
      <c r="E55" s="8">
        <v>10520.435290153264</v>
      </c>
      <c r="F55" s="8">
        <v>8582.8903681684915</v>
      </c>
      <c r="G55" s="8">
        <v>10925.941454515707</v>
      </c>
    </row>
    <row r="56" spans="2:7" x14ac:dyDescent="0.3">
      <c r="B56" t="str">
        <v>36</v>
      </c>
      <c r="C56" s="8">
        <v>10032.319668151622</v>
      </c>
      <c r="D56" s="8">
        <v>9018.0283261493823</v>
      </c>
      <c r="E56" s="8">
        <v>11046.611010153862</v>
      </c>
      <c r="F56" s="8">
        <v>8481.0949233943629</v>
      </c>
      <c r="G56" s="8">
        <v>11583.544412908881</v>
      </c>
    </row>
    <row r="57" spans="2:7" x14ac:dyDescent="0.3">
      <c r="B57" t="str">
        <v>37</v>
      </c>
      <c r="C57" s="8">
        <v>10310.223424961145</v>
      </c>
      <c r="D57" s="8">
        <v>9046.6711753323816</v>
      </c>
      <c r="E57" s="8">
        <v>11573.775674589908</v>
      </c>
      <c r="F57" s="8">
        <v>8377.7870186238524</v>
      </c>
      <c r="G57" s="8">
        <v>12242.659831298437</v>
      </c>
    </row>
    <row r="58" spans="2:7" x14ac:dyDescent="0.3">
      <c r="B58" t="str">
        <v>38</v>
      </c>
      <c r="C58" s="8">
        <v>10588.127181770667</v>
      </c>
      <c r="D58" s="8">
        <v>9069.6261279454957</v>
      </c>
      <c r="E58" s="8">
        <v>12106.628235595839</v>
      </c>
      <c r="F58" s="8">
        <v>8265.7802267195839</v>
      </c>
      <c r="G58" s="8">
        <v>12910.474136821751</v>
      </c>
    </row>
    <row r="59" spans="2:7" x14ac:dyDescent="0.3">
      <c r="B59" t="str">
        <v>39</v>
      </c>
      <c r="C59" s="8">
        <v>10866.03093858019</v>
      </c>
      <c r="D59" s="8">
        <v>9084.9194615103934</v>
      </c>
      <c r="E59" s="8">
        <v>12647.142415649987</v>
      </c>
      <c r="F59" s="8">
        <v>8142.0559996363481</v>
      </c>
      <c r="G59" s="8">
        <v>13590.005877524032</v>
      </c>
    </row>
    <row r="60" spans="2:7" x14ac:dyDescent="0.3">
      <c r="B60" t="str">
        <v>40</v>
      </c>
      <c r="C60" s="8">
        <v>11143.934695389711</v>
      </c>
      <c r="D60" s="8">
        <v>9091.6603726206995</v>
      </c>
      <c r="E60" s="8">
        <v>13196.209018158723</v>
      </c>
      <c r="F60" s="8">
        <v>8005.2519711294026</v>
      </c>
      <c r="G60" s="8">
        <v>14282.61741965002</v>
      </c>
    </row>
    <row r="61" spans="2:7" x14ac:dyDescent="0.3">
      <c r="B61" t="str">
        <v>41</v>
      </c>
      <c r="C61" s="8">
        <v>11421.838452199234</v>
      </c>
      <c r="D61" s="8">
        <v>9089.4601519614262</v>
      </c>
      <c r="E61" s="8">
        <v>13754.216752437042</v>
      </c>
      <c r="F61" s="8">
        <v>7854.7736616020438</v>
      </c>
      <c r="G61" s="8">
        <v>14988.903242796423</v>
      </c>
    </row>
    <row r="62" spans="2:7" x14ac:dyDescent="0.3">
      <c r="B62" t="str">
        <v>42</v>
      </c>
      <c r="C62" s="8">
        <v>11699.742209008757</v>
      </c>
      <c r="D62" s="8">
        <v>9078.1850971323674</v>
      </c>
      <c r="E62" s="8">
        <v>14321.299320885146</v>
      </c>
      <c r="F62" s="8">
        <v>7690.4165908787663</v>
      </c>
      <c r="G62" s="8">
        <v>15709.067827138748</v>
      </c>
    </row>
    <row r="63" spans="2:7" x14ac:dyDescent="0.3">
      <c r="B63" t="str">
        <v>43</v>
      </c>
      <c r="C63" s="8">
        <v>11977.645965818279</v>
      </c>
      <c r="D63" s="8">
        <v>9057.8382597123273</v>
      </c>
      <c r="E63" s="8">
        <v>14897.453671924231</v>
      </c>
      <c r="F63" s="8">
        <v>7512.185425946609</v>
      </c>
      <c r="G63" s="8">
        <v>16443.10650568995</v>
      </c>
    </row>
    <row r="66" spans="2:3" x14ac:dyDescent="0.3">
      <c r="B66" t="s">
        <v>163</v>
      </c>
      <c r="C66" t="s">
        <v>164</v>
      </c>
    </row>
    <row r="67" spans="2:3" x14ac:dyDescent="0.3">
      <c r="B67" t="str" cm="1">
        <f t="array" ref="B67:B80">_xll.RScript.Params(C66)</f>
        <v>y</v>
      </c>
      <c r="C67" t="str" cm="1">
        <f t="array" ref="C67">"^"&amp;_xll.RScript.CreateVector(tCustomers[[#Headers],[Customers]],tCustomers[Customers])</f>
        <v>^Customers</v>
      </c>
    </row>
    <row r="68" spans="2:3" x14ac:dyDescent="0.3">
      <c r="B68" t="str">
        <v>h</v>
      </c>
    </row>
    <row r="69" spans="2:3" x14ac:dyDescent="0.3">
      <c r="B69" t="str">
        <v>damped</v>
      </c>
    </row>
    <row r="70" spans="2:3" x14ac:dyDescent="0.3">
      <c r="B70" t="str">
        <v>level</v>
      </c>
    </row>
    <row r="71" spans="2:3" x14ac:dyDescent="0.3">
      <c r="B71" t="str">
        <v>fan</v>
      </c>
    </row>
    <row r="72" spans="2:3" x14ac:dyDescent="0.3">
      <c r="B72" t="str">
        <v>initial</v>
      </c>
    </row>
    <row r="73" spans="2:3" x14ac:dyDescent="0.3">
      <c r="B73" t="str">
        <v>exponential</v>
      </c>
    </row>
    <row r="74" spans="2:3" x14ac:dyDescent="0.3">
      <c r="B74" t="str">
        <v>alpha</v>
      </c>
    </row>
    <row r="75" spans="2:3" x14ac:dyDescent="0.3">
      <c r="B75" t="str">
        <v>beta</v>
      </c>
    </row>
    <row r="76" spans="2:3" x14ac:dyDescent="0.3">
      <c r="B76" t="str">
        <v>phi</v>
      </c>
    </row>
    <row r="77" spans="2:3" x14ac:dyDescent="0.3">
      <c r="B77" t="str">
        <v>lambda</v>
      </c>
    </row>
    <row r="78" spans="2:3" x14ac:dyDescent="0.3">
      <c r="B78" t="str">
        <v>biasadj</v>
      </c>
    </row>
    <row r="79" spans="2:3" x14ac:dyDescent="0.3">
      <c r="B79" t="str">
        <v>x</v>
      </c>
    </row>
    <row r="80" spans="2:3" x14ac:dyDescent="0.3">
      <c r="B80" t="str">
        <v>...</v>
      </c>
    </row>
    <row r="82" spans="2:6" x14ac:dyDescent="0.3">
      <c r="B82" t="str" cm="1">
        <f t="array" ref="B82">_xll.RScript.Function("des2", C66, B67:C67)</f>
        <v>des2</v>
      </c>
      <c r="D82" t="str" cm="1">
        <f t="array" ref="D82:D91">_xll.Model.Result(B82)</f>
        <v>model</v>
      </c>
      <c r="F82" cm="1">
        <f t="array" ref="F82:F114">_xll.Model.Result(B82, D91)</f>
        <v>-15.897011124778487</v>
      </c>
    </row>
    <row r="83" spans="2:6" x14ac:dyDescent="0.3">
      <c r="D83" t="str">
        <v>mean</v>
      </c>
      <c r="F83">
        <v>102.26831616349386</v>
      </c>
    </row>
    <row r="84" spans="2:6" x14ac:dyDescent="0.3">
      <c r="D84" t="str">
        <v>level</v>
      </c>
      <c r="F84">
        <v>-164.81916044067054</v>
      </c>
    </row>
    <row r="85" spans="2:6" x14ac:dyDescent="0.3">
      <c r="D85" t="str">
        <v>x</v>
      </c>
      <c r="F85">
        <v>-137.36740162035483</v>
      </c>
    </row>
    <row r="86" spans="2:6" x14ac:dyDescent="0.3">
      <c r="D86" t="str">
        <v>upper</v>
      </c>
      <c r="F86">
        <v>-15.823853540796676</v>
      </c>
    </row>
    <row r="87" spans="2:6" x14ac:dyDescent="0.3">
      <c r="D87" t="str">
        <v>lower</v>
      </c>
      <c r="F87">
        <v>14.599541983135396</v>
      </c>
    </row>
    <row r="88" spans="2:6" x14ac:dyDescent="0.3">
      <c r="D88" t="str">
        <v>fitted</v>
      </c>
      <c r="F88">
        <v>8.1495935226984102</v>
      </c>
    </row>
    <row r="89" spans="2:6" x14ac:dyDescent="0.3">
      <c r="D89" t="str">
        <v>method</v>
      </c>
      <c r="F89">
        <v>-83.733503167328081</v>
      </c>
    </row>
    <row r="90" spans="2:6" x14ac:dyDescent="0.3">
      <c r="D90" t="str">
        <v>series</v>
      </c>
      <c r="F90">
        <v>282.49052569434684</v>
      </c>
    </row>
    <row r="91" spans="2:6" x14ac:dyDescent="0.3">
      <c r="D91" t="str">
        <v>residuals</v>
      </c>
      <c r="F91">
        <v>-73.037940341173453</v>
      </c>
    </row>
    <row r="92" spans="2:6" x14ac:dyDescent="0.3">
      <c r="F92">
        <v>89.253944290176833</v>
      </c>
    </row>
    <row r="93" spans="2:6" x14ac:dyDescent="0.3">
      <c r="F93">
        <v>394.81791712870495</v>
      </c>
    </row>
    <row r="94" spans="2:6" x14ac:dyDescent="0.3">
      <c r="F94">
        <v>355.26426416883101</v>
      </c>
    </row>
    <row r="95" spans="2:6" x14ac:dyDescent="0.3">
      <c r="F95">
        <v>-408.97208343212606</v>
      </c>
    </row>
    <row r="96" spans="2:6" x14ac:dyDescent="0.3">
      <c r="F96">
        <v>301.7776855019556</v>
      </c>
    </row>
    <row r="97" spans="6:6" x14ac:dyDescent="0.3">
      <c r="F97">
        <v>-7.0382615847001944</v>
      </c>
    </row>
    <row r="98" spans="6:6" x14ac:dyDescent="0.3">
      <c r="F98">
        <v>64.193729981561773</v>
      </c>
    </row>
    <row r="99" spans="6:6" x14ac:dyDescent="0.3">
      <c r="F99">
        <v>161.04305355463475</v>
      </c>
    </row>
    <row r="100" spans="6:6" x14ac:dyDescent="0.3">
      <c r="F100">
        <v>21.638841873531419</v>
      </c>
    </row>
    <row r="101" spans="6:6" x14ac:dyDescent="0.3">
      <c r="F101">
        <v>45.400630870940404</v>
      </c>
    </row>
    <row r="102" spans="6:6" x14ac:dyDescent="0.3">
      <c r="F102">
        <v>461.501203020503</v>
      </c>
    </row>
    <row r="103" spans="6:6" x14ac:dyDescent="0.3">
      <c r="F103">
        <v>946.05921805534672</v>
      </c>
    </row>
    <row r="104" spans="6:6" x14ac:dyDescent="0.3">
      <c r="F104">
        <v>256.02725353439564</v>
      </c>
    </row>
    <row r="105" spans="6:6" x14ac:dyDescent="0.3">
      <c r="F105">
        <v>669.72684568666045</v>
      </c>
    </row>
    <row r="106" spans="6:6" x14ac:dyDescent="0.3">
      <c r="F106">
        <v>-788.54590839654975</v>
      </c>
    </row>
    <row r="107" spans="6:6" x14ac:dyDescent="0.3">
      <c r="F107">
        <v>-277.15007899108059</v>
      </c>
    </row>
    <row r="108" spans="6:6" x14ac:dyDescent="0.3">
      <c r="F108">
        <v>-590.88325969862035</v>
      </c>
    </row>
    <row r="109" spans="6:6" x14ac:dyDescent="0.3">
      <c r="F109">
        <v>230.42203344653444</v>
      </c>
    </row>
    <row r="110" spans="6:6" x14ac:dyDescent="0.3">
      <c r="F110">
        <v>-596.05274404009197</v>
      </c>
    </row>
    <row r="111" spans="6:6" x14ac:dyDescent="0.3">
      <c r="F111">
        <v>-2.6463219021279656</v>
      </c>
    </row>
    <row r="112" spans="6:6" x14ac:dyDescent="0.3">
      <c r="F112">
        <v>-59.524533003464967</v>
      </c>
    </row>
    <row r="113" spans="6:6" x14ac:dyDescent="0.3">
      <c r="F113">
        <v>579.91881365545669</v>
      </c>
    </row>
    <row r="114" spans="6:6" x14ac:dyDescent="0.3">
      <c r="F114">
        <v>-592.5758651661763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7AC4-A024-4D6F-BB9E-1451648762EF}">
  <dimension ref="B2:O51"/>
  <sheetViews>
    <sheetView workbookViewId="0"/>
  </sheetViews>
  <sheetFormatPr defaultRowHeight="14.4" x14ac:dyDescent="0.3"/>
  <cols>
    <col min="1" max="1" width="6" customWidth="1"/>
    <col min="2" max="2" width="11.77734375" customWidth="1"/>
    <col min="3" max="3" width="12.5546875" bestFit="1" customWidth="1"/>
    <col min="4" max="4" width="9.44140625" customWidth="1"/>
    <col min="5" max="6" width="11.88671875" customWidth="1"/>
    <col min="13" max="13" width="11.77734375" customWidth="1"/>
    <col min="15" max="15" width="10.33203125" customWidth="1"/>
  </cols>
  <sheetData>
    <row r="2" spans="2:15" x14ac:dyDescent="0.3">
      <c r="B2" s="6"/>
      <c r="C2" s="9" t="s">
        <v>11</v>
      </c>
      <c r="D2" s="9" t="s">
        <v>110</v>
      </c>
    </row>
    <row r="3" spans="2:15" x14ac:dyDescent="0.3">
      <c r="B3" s="9" t="s">
        <v>108</v>
      </c>
      <c r="C3" s="6" t="str" cm="1">
        <f t="array" ref="C3">_xll.RScript.CreateVector(tAusTourists[[#Headers],[aust]],tAusTourists[aust])</f>
        <v>aust</v>
      </c>
      <c r="D3" s="6" cm="1">
        <f t="array" ref="D3">_xll.RScript.Evaluate("frequency(aust)")</f>
        <v>1</v>
      </c>
    </row>
    <row r="4" spans="2:15" x14ac:dyDescent="0.3">
      <c r="B4" s="9" t="s">
        <v>109</v>
      </c>
      <c r="C4" s="6" t="str" cm="1">
        <f t="array" ref="C4">_xll.RScript.Evaluate("aust = ts(aust, frequency=4)")</f>
        <v>aust</v>
      </c>
      <c r="D4" s="6" cm="1">
        <f t="array" ref="D4">_xll.RScript.Evaluate("frequency(aust)")</f>
        <v>4</v>
      </c>
    </row>
    <row r="5" spans="2:15" x14ac:dyDescent="0.3">
      <c r="B5" s="10"/>
    </row>
    <row r="7" spans="2:15" x14ac:dyDescent="0.3">
      <c r="B7" s="37" t="s">
        <v>9</v>
      </c>
      <c r="C7" s="37"/>
      <c r="D7" s="11"/>
      <c r="E7" s="37" t="s">
        <v>9</v>
      </c>
      <c r="F7" s="37"/>
    </row>
    <row r="8" spans="2:15" x14ac:dyDescent="0.3">
      <c r="B8" s="4" t="s">
        <v>11</v>
      </c>
      <c r="C8" s="4" t="str">
        <f>"HW"&amp;C18&amp;"A"</f>
        <v>HW10A</v>
      </c>
      <c r="E8" s="4" t="s">
        <v>11</v>
      </c>
      <c r="F8" s="4" t="str">
        <f>"HW"&amp;C18&amp;"M"</f>
        <v>HW10M</v>
      </c>
      <c r="M8" s="13"/>
      <c r="O8" s="13"/>
    </row>
    <row r="9" spans="2:15" x14ac:dyDescent="0.3">
      <c r="B9" s="4" t="s">
        <v>10</v>
      </c>
      <c r="C9" s="4" t="str">
        <f>C4</f>
        <v>aust</v>
      </c>
      <c r="E9" s="4" t="s">
        <v>10</v>
      </c>
      <c r="F9" s="4" t="str">
        <f>C9</f>
        <v>aust</v>
      </c>
      <c r="O9" s="13"/>
    </row>
    <row r="10" spans="2:15" x14ac:dyDescent="0.3">
      <c r="B10" s="4" t="s">
        <v>68</v>
      </c>
      <c r="C10" s="4" t="s">
        <v>42</v>
      </c>
      <c r="E10" s="4" t="s">
        <v>68</v>
      </c>
      <c r="F10" s="4" t="s">
        <v>107</v>
      </c>
      <c r="O10" s="13"/>
    </row>
    <row r="11" spans="2:15" x14ac:dyDescent="0.3">
      <c r="B11" s="4" t="s">
        <v>66</v>
      </c>
      <c r="C11" s="4"/>
      <c r="E11" s="4" t="s">
        <v>66</v>
      </c>
      <c r="F11" s="4"/>
    </row>
    <row r="12" spans="2:15" x14ac:dyDescent="0.3">
      <c r="B12" s="4" t="s">
        <v>48</v>
      </c>
      <c r="C12" s="4"/>
      <c r="E12" s="4" t="s">
        <v>48</v>
      </c>
      <c r="F12" s="4"/>
    </row>
    <row r="13" spans="2:15" x14ac:dyDescent="0.3">
      <c r="B13" s="4" t="s">
        <v>49</v>
      </c>
      <c r="C13" s="4"/>
      <c r="E13" s="4" t="s">
        <v>49</v>
      </c>
      <c r="F13" s="4"/>
    </row>
    <row r="14" spans="2:15" x14ac:dyDescent="0.3">
      <c r="B14" s="4" t="s">
        <v>50</v>
      </c>
      <c r="C14" s="4"/>
      <c r="E14" s="4" t="s">
        <v>50</v>
      </c>
      <c r="F14" s="4"/>
    </row>
    <row r="15" spans="2:15" x14ac:dyDescent="0.3">
      <c r="B15" s="4" t="s">
        <v>51</v>
      </c>
      <c r="C15" s="4"/>
      <c r="E15" s="4" t="s">
        <v>51</v>
      </c>
      <c r="F15" s="4"/>
    </row>
    <row r="16" spans="2:15" x14ac:dyDescent="0.3">
      <c r="B16" s="4" t="s">
        <v>67</v>
      </c>
      <c r="C16" s="4"/>
      <c r="E16" s="4" t="s">
        <v>67</v>
      </c>
      <c r="F16" s="4"/>
    </row>
    <row r="17" spans="2:6" x14ac:dyDescent="0.3">
      <c r="B17" s="4" t="s">
        <v>47</v>
      </c>
      <c r="C17" s="4"/>
      <c r="E17" s="4" t="s">
        <v>47</v>
      </c>
      <c r="F17" s="4"/>
    </row>
    <row r="18" spans="2:6" x14ac:dyDescent="0.3">
      <c r="B18" s="4" t="s">
        <v>65</v>
      </c>
      <c r="C18" s="4">
        <v>10</v>
      </c>
      <c r="E18" s="4" t="s">
        <v>65</v>
      </c>
      <c r="F18" s="4">
        <v>10</v>
      </c>
    </row>
    <row r="20" spans="2:6" x14ac:dyDescent="0.3">
      <c r="B20" s="6" t="s">
        <v>43</v>
      </c>
      <c r="C20" s="5" t="str" cm="1">
        <f t="array" ref="C20">_xll.Forecast.HW(C8,C9, B10:C18)</f>
        <v>HW10A</v>
      </c>
      <c r="E20" s="6" t="s">
        <v>44</v>
      </c>
      <c r="F20" s="5" t="str" cm="1">
        <f t="array" ref="F20">_xll.Forecast.HW(F8,F9, E10:F18)</f>
        <v>HW10M</v>
      </c>
    </row>
    <row r="22" spans="2:6" x14ac:dyDescent="0.3">
      <c r="B22" s="10" t="s">
        <v>28</v>
      </c>
      <c r="E22" s="10" t="s">
        <v>28</v>
      </c>
    </row>
    <row r="23" spans="2:6" x14ac:dyDescent="0.3">
      <c r="B23" t="str" cm="1">
        <f t="array" ref="B23:B32">_xll.Model.Results(C20)</f>
        <v>model</v>
      </c>
      <c r="E23" t="str" cm="1">
        <f t="array" ref="E23:E32">_xll.Model.Results(F20)</f>
        <v>model</v>
      </c>
    </row>
    <row r="24" spans="2:6" x14ac:dyDescent="0.3">
      <c r="B24" t="str">
        <v>mean</v>
      </c>
      <c r="E24" t="str">
        <v>mean</v>
      </c>
    </row>
    <row r="25" spans="2:6" x14ac:dyDescent="0.3">
      <c r="B25" t="str">
        <v>level</v>
      </c>
      <c r="E25" t="str">
        <v>level</v>
      </c>
    </row>
    <row r="26" spans="2:6" x14ac:dyDescent="0.3">
      <c r="B26" t="str">
        <v>x</v>
      </c>
      <c r="E26" t="str">
        <v>x</v>
      </c>
    </row>
    <row r="27" spans="2:6" x14ac:dyDescent="0.3">
      <c r="B27" t="str">
        <v>upper</v>
      </c>
      <c r="E27" t="str">
        <v>upper</v>
      </c>
    </row>
    <row r="28" spans="2:6" x14ac:dyDescent="0.3">
      <c r="B28" t="str">
        <v>lower</v>
      </c>
      <c r="E28" t="str">
        <v>lower</v>
      </c>
    </row>
    <row r="29" spans="2:6" x14ac:dyDescent="0.3">
      <c r="B29" t="str">
        <v>fitted</v>
      </c>
      <c r="E29" t="str">
        <v>fitted</v>
      </c>
    </row>
    <row r="30" spans="2:6" x14ac:dyDescent="0.3">
      <c r="B30" t="str">
        <v>method</v>
      </c>
      <c r="E30" t="str">
        <v>method</v>
      </c>
    </row>
    <row r="31" spans="2:6" x14ac:dyDescent="0.3">
      <c r="B31" t="str">
        <v>series</v>
      </c>
      <c r="E31" t="str">
        <v>series</v>
      </c>
    </row>
    <row r="32" spans="2:6" x14ac:dyDescent="0.3">
      <c r="B32" t="str">
        <v>residuals</v>
      </c>
      <c r="E32" t="str">
        <v>residuals</v>
      </c>
    </row>
    <row r="34" spans="2:14" x14ac:dyDescent="0.3">
      <c r="B34" s="14" t="str" cm="1">
        <f t="array" ref="B34:G44">_xll.Model.Result(C20,,,TRUE)</f>
        <v>Index</v>
      </c>
      <c r="C34" s="14" t="str">
        <v>Point Forecast</v>
      </c>
      <c r="D34" s="14" t="str">
        <v>Lo 80</v>
      </c>
      <c r="E34" s="14" t="str">
        <v>Hi 80</v>
      </c>
      <c r="F34" s="14" t="str">
        <v>Lo 95</v>
      </c>
      <c r="G34" s="14" t="str">
        <v>Hi 95</v>
      </c>
      <c r="I34" s="14" t="str" cm="1">
        <f t="array" ref="I34:N44">_xll.Model.Result(F20,,,TRUE)</f>
        <v>Index</v>
      </c>
      <c r="J34" s="14" t="str">
        <v>Point Forecast</v>
      </c>
      <c r="K34" s="14" t="str">
        <v>Lo 80</v>
      </c>
      <c r="L34" s="14" t="str">
        <v>Hi 80</v>
      </c>
      <c r="M34" s="14" t="str">
        <v>Lo 95</v>
      </c>
      <c r="N34" s="14" t="str">
        <v>Hi 95</v>
      </c>
    </row>
    <row r="35" spans="2:14" x14ac:dyDescent="0.3">
      <c r="B35" s="14" t="str">
        <v>18 Q1</v>
      </c>
      <c r="C35" s="14">
        <v>75.35010324900162</v>
      </c>
      <c r="D35" s="14">
        <v>72.158055951062266</v>
      </c>
      <c r="E35" s="14">
        <v>78.542150546940974</v>
      </c>
      <c r="F35" s="14">
        <v>70.468288182706658</v>
      </c>
      <c r="G35" s="14">
        <v>80.231918315296582</v>
      </c>
      <c r="I35" s="14" t="str">
        <v>18 Q1</v>
      </c>
      <c r="J35" s="14">
        <v>77.97306357751954</v>
      </c>
      <c r="K35" s="14">
        <v>71.941795330125174</v>
      </c>
      <c r="L35" s="14">
        <v>84.004331824913905</v>
      </c>
      <c r="M35" s="14">
        <v>68.749034780075434</v>
      </c>
      <c r="N35" s="14">
        <v>87.197092374963646</v>
      </c>
    </row>
    <row r="36" spans="2:14" x14ac:dyDescent="0.3">
      <c r="B36" s="14" t="str">
        <v>18 Q2</v>
      </c>
      <c r="C36" s="14">
        <v>50.760134341218254</v>
      </c>
      <c r="D36" s="14">
        <v>47.502938034802085</v>
      </c>
      <c r="E36" s="14">
        <v>54.017330647634424</v>
      </c>
      <c r="F36" s="14">
        <v>45.778682464609858</v>
      </c>
      <c r="G36" s="14">
        <v>55.741586217826651</v>
      </c>
      <c r="I36" s="14" t="str">
        <v>18 Q2</v>
      </c>
      <c r="J36" s="14">
        <v>49.134751898610688</v>
      </c>
      <c r="K36" s="14">
        <v>45.201827731058017</v>
      </c>
      <c r="L36" s="14">
        <v>53.067676066163358</v>
      </c>
      <c r="M36" s="14">
        <v>43.119863438734562</v>
      </c>
      <c r="N36" s="14">
        <v>55.149640358486813</v>
      </c>
    </row>
    <row r="37" spans="2:14" x14ac:dyDescent="0.3">
      <c r="B37" s="14" t="str">
        <v>18 Q3</v>
      </c>
      <c r="C37" s="14">
        <v>63.054139156149901</v>
      </c>
      <c r="D37" s="14">
        <v>59.733009216394755</v>
      </c>
      <c r="E37" s="14">
        <v>66.375269095905054</v>
      </c>
      <c r="F37" s="14">
        <v>57.974909225100177</v>
      </c>
      <c r="G37" s="14">
        <v>68.133369087199625</v>
      </c>
      <c r="I37" s="14" t="str">
        <v>18 Q3</v>
      </c>
      <c r="J37" s="14">
        <v>61.64631677328282</v>
      </c>
      <c r="K37" s="14">
        <v>56.5539528136228</v>
      </c>
      <c r="L37" s="14">
        <v>66.738680732942839</v>
      </c>
      <c r="M37" s="14">
        <v>53.858218170428692</v>
      </c>
      <c r="N37" s="14">
        <v>69.43441537613694</v>
      </c>
    </row>
    <row r="38" spans="2:14" x14ac:dyDescent="0.3">
      <c r="B38" s="14" t="str">
        <v>18 Q4</v>
      </c>
      <c r="C38" s="14">
        <v>67.489174089795057</v>
      </c>
      <c r="D38" s="14">
        <v>64.105256973311356</v>
      </c>
      <c r="E38" s="14">
        <v>70.873091206278758</v>
      </c>
      <c r="F38" s="14">
        <v>62.313919458384071</v>
      </c>
      <c r="G38" s="14">
        <v>72.664428721206036</v>
      </c>
      <c r="I38" s="14" t="str">
        <v>18 Q4</v>
      </c>
      <c r="J38" s="14">
        <v>66.498436804449639</v>
      </c>
      <c r="K38" s="14">
        <v>60.842649636157574</v>
      </c>
      <c r="L38" s="14">
        <v>72.154223972741704</v>
      </c>
      <c r="M38" s="14">
        <v>57.848656762734706</v>
      </c>
      <c r="N38" s="14">
        <v>75.148216846164573</v>
      </c>
    </row>
    <row r="39" spans="2:14" x14ac:dyDescent="0.3">
      <c r="B39" s="14" t="str">
        <v>19 Q1</v>
      </c>
      <c r="C39" s="14">
        <v>77.662915191654037</v>
      </c>
      <c r="D39" s="14">
        <v>73.661777541666197</v>
      </c>
      <c r="E39" s="14">
        <v>81.664052841641876</v>
      </c>
      <c r="F39" s="14">
        <v>71.543703212984354</v>
      </c>
      <c r="G39" s="14">
        <v>83.782127170323719</v>
      </c>
      <c r="I39" s="14" t="str">
        <v>19 Q1</v>
      </c>
      <c r="J39" s="14">
        <v>80.824008215398948</v>
      </c>
      <c r="K39" s="14">
        <v>73.723541379484772</v>
      </c>
      <c r="L39" s="14">
        <v>87.924475051313124</v>
      </c>
      <c r="M39" s="14">
        <v>69.964781286126765</v>
      </c>
      <c r="N39" s="14">
        <v>91.68323514467113</v>
      </c>
    </row>
    <row r="40" spans="2:14" x14ac:dyDescent="0.3">
      <c r="B40" s="14" t="str">
        <v>19 Q2</v>
      </c>
      <c r="C40" s="14">
        <v>53.072946283870671</v>
      </c>
      <c r="D40" s="14">
        <v>49.019438736794562</v>
      </c>
      <c r="E40" s="14">
        <v>57.12645383094678</v>
      </c>
      <c r="F40" s="14">
        <v>46.873641459211257</v>
      </c>
      <c r="G40" s="14">
        <v>59.272251108530085</v>
      </c>
      <c r="I40" s="14" t="str">
        <v>19 Q2</v>
      </c>
      <c r="J40" s="14">
        <v>50.91502411962491</v>
      </c>
      <c r="K40" s="14">
        <v>46.328464168258009</v>
      </c>
      <c r="L40" s="14">
        <v>55.501584070991811</v>
      </c>
      <c r="M40" s="14">
        <v>43.900485993105761</v>
      </c>
      <c r="N40" s="14">
        <v>57.929562246144059</v>
      </c>
    </row>
    <row r="41" spans="2:14" x14ac:dyDescent="0.3">
      <c r="B41" s="14" t="str">
        <v>19 Q3</v>
      </c>
      <c r="C41" s="14">
        <v>65.366951098802318</v>
      </c>
      <c r="D41" s="14">
        <v>61.26169109929819</v>
      </c>
      <c r="E41" s="14">
        <v>69.472211098306445</v>
      </c>
      <c r="F41" s="14">
        <v>59.088497728272699</v>
      </c>
      <c r="G41" s="14">
        <v>71.645404469331936</v>
      </c>
      <c r="I41" s="14" t="str">
        <v>19 Q3</v>
      </c>
      <c r="J41" s="14">
        <v>63.859889681439462</v>
      </c>
      <c r="K41" s="14">
        <v>57.970275114194344</v>
      </c>
      <c r="L41" s="14">
        <v>69.749504248684573</v>
      </c>
      <c r="M41" s="14">
        <v>54.852501492796854</v>
      </c>
      <c r="N41" s="14">
        <v>72.867277870082077</v>
      </c>
    </row>
    <row r="42" spans="2:14" x14ac:dyDescent="0.3">
      <c r="B42" s="14" t="str">
        <v>19 Q4</v>
      </c>
      <c r="C42" s="14">
        <v>69.801986032447473</v>
      </c>
      <c r="D42" s="14">
        <v>65.645567936724191</v>
      </c>
      <c r="E42" s="14">
        <v>73.958404128170756</v>
      </c>
      <c r="F42" s="14">
        <v>63.445293105427929</v>
      </c>
      <c r="G42" s="14">
        <v>76.158678959467025</v>
      </c>
      <c r="I42" s="14" t="str">
        <v>19 Q4</v>
      </c>
      <c r="J42" s="14">
        <v>68.865021953449769</v>
      </c>
      <c r="K42" s="14">
        <v>62.371635970377518</v>
      </c>
      <c r="L42" s="14">
        <v>75.358407936522028</v>
      </c>
      <c r="M42" s="14">
        <v>58.934245068065124</v>
      </c>
      <c r="N42" s="14">
        <v>78.795798838834415</v>
      </c>
    </row>
    <row r="43" spans="2:14" x14ac:dyDescent="0.3">
      <c r="B43" s="14" t="str">
        <v>20 Q1</v>
      </c>
      <c r="C43" s="14">
        <v>79.975727134306453</v>
      </c>
      <c r="D43" s="14">
        <v>75.302454216711311</v>
      </c>
      <c r="E43" s="14">
        <v>84.649000051901595</v>
      </c>
      <c r="F43" s="14">
        <v>72.828572970033278</v>
      </c>
      <c r="G43" s="14">
        <v>87.122881298579628</v>
      </c>
      <c r="I43" s="14" t="str">
        <v>20 Q1</v>
      </c>
      <c r="J43" s="14">
        <v>83.675024745538991</v>
      </c>
      <c r="K43" s="14">
        <v>75.584708683974881</v>
      </c>
      <c r="L43" s="14">
        <v>91.765340807103101</v>
      </c>
      <c r="M43" s="14">
        <v>71.301954062680281</v>
      </c>
      <c r="N43" s="14">
        <v>96.048095428397701</v>
      </c>
    </row>
    <row r="44" spans="2:14" x14ac:dyDescent="0.3">
      <c r="B44" s="14" t="str">
        <v>20 Q2</v>
      </c>
      <c r="C44" s="14">
        <v>55.385758226523073</v>
      </c>
      <c r="D44" s="14">
        <v>50.667393776266458</v>
      </c>
      <c r="E44" s="14">
        <v>60.104122676779689</v>
      </c>
      <c r="F44" s="14">
        <v>48.169642514076351</v>
      </c>
      <c r="G44" s="14">
        <v>62.601873938969796</v>
      </c>
      <c r="I44" s="14" t="str">
        <v>20 Q2</v>
      </c>
      <c r="J44" s="14">
        <v>52.69534125045881</v>
      </c>
      <c r="K44" s="14">
        <v>47.499487586196267</v>
      </c>
      <c r="L44" s="14">
        <v>57.891194914721353</v>
      </c>
      <c r="M44" s="14">
        <v>44.748968802645948</v>
      </c>
      <c r="N44" s="14">
        <v>60.641713698271673</v>
      </c>
    </row>
    <row r="51" spans="2:2" x14ac:dyDescent="0.3">
      <c r="B51" s="10" t="s">
        <v>29</v>
      </c>
    </row>
  </sheetData>
  <mergeCells count="2">
    <mergeCell ref="B7:C7"/>
    <mergeCell ref="E7:F7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1D3F-0A53-4F35-AC1C-5F76DC649CA1}">
  <dimension ref="B2:W104"/>
  <sheetViews>
    <sheetView workbookViewId="0">
      <selection activeCell="C22" sqref="C22"/>
    </sheetView>
  </sheetViews>
  <sheetFormatPr defaultRowHeight="14.4" x14ac:dyDescent="0.3"/>
  <cols>
    <col min="2" max="2" width="21.5546875" bestFit="1" customWidth="1"/>
    <col min="3" max="3" width="12.5546875" customWidth="1"/>
    <col min="16" max="16" width="10.5546875" bestFit="1" customWidth="1"/>
  </cols>
  <sheetData>
    <row r="2" spans="2:23" x14ac:dyDescent="0.3">
      <c r="B2" s="37" t="s">
        <v>9</v>
      </c>
      <c r="C2" s="37"/>
      <c r="E2" t="s">
        <v>28</v>
      </c>
    </row>
    <row r="3" spans="2:23" x14ac:dyDescent="0.3">
      <c r="B3" s="4" t="s">
        <v>11</v>
      </c>
      <c r="C3" s="4" t="s">
        <v>63</v>
      </c>
      <c r="E3" t="str" cm="1">
        <f t="array" ref="E3:W3">TRANSPOSE(_xll.Model.Results(C22))</f>
        <v>loglik</v>
      </c>
      <c r="F3" t="str">
        <v>aic</v>
      </c>
      <c r="G3" t="str">
        <v>bic</v>
      </c>
      <c r="H3" t="str">
        <v>aicc</v>
      </c>
      <c r="I3" t="str">
        <v>mse</v>
      </c>
      <c r="J3" t="str">
        <v>amse</v>
      </c>
      <c r="K3" t="str">
        <v>fit</v>
      </c>
      <c r="L3" t="str">
        <v>residuals</v>
      </c>
      <c r="M3" t="str">
        <v>fitted</v>
      </c>
      <c r="N3" t="str">
        <v>states</v>
      </c>
      <c r="O3" t="str">
        <v>par</v>
      </c>
      <c r="P3" t="str">
        <v>m</v>
      </c>
      <c r="Q3" t="str">
        <v>method</v>
      </c>
      <c r="R3" t="str">
        <v>series</v>
      </c>
      <c r="S3" t="str">
        <v>components</v>
      </c>
      <c r="T3" t="str">
        <v>call</v>
      </c>
      <c r="U3" t="str">
        <v>initstate</v>
      </c>
      <c r="V3" t="str">
        <v>sigma2</v>
      </c>
      <c r="W3" t="str">
        <v>x</v>
      </c>
    </row>
    <row r="4" spans="2:23" x14ac:dyDescent="0.3">
      <c r="B4" s="4" t="s">
        <v>10</v>
      </c>
      <c r="C4" s="4" t="str" cm="1">
        <f t="array" ref="C4">_xll.RScript.CreateVector(tWWWusage[[#Headers],[WWWusage]],tWWWusage[WWWusage])</f>
        <v>WWWusage</v>
      </c>
    </row>
    <row r="5" spans="2:23" x14ac:dyDescent="0.3">
      <c r="B5" s="4" t="s">
        <v>47</v>
      </c>
      <c r="C5" s="4"/>
      <c r="E5" cm="1">
        <f t="array" ref="E5">_xll.Model.Result($C$22,E3)</f>
        <v>-352.86549019775225</v>
      </c>
      <c r="F5" cm="1">
        <f t="array" ref="F5">_xll.Model.Result($C$22,F3)</f>
        <v>717.7309803955045</v>
      </c>
      <c r="G5" cm="1">
        <f t="array" ref="G5">_xll.Model.Result($C$22,G3)</f>
        <v>733.36200151143305</v>
      </c>
      <c r="H5" cm="1">
        <f t="array" ref="H5">_xll.Model.Result($C$22,H3)</f>
        <v>718.63420620195609</v>
      </c>
      <c r="I5" cm="1">
        <f t="array" ref="I5">_xll.Model.Result($C$22,I3)</f>
        <v>11.613167898522507</v>
      </c>
      <c r="J5" cm="1">
        <f t="array" ref="J5">_xll.Model.Result($C$22,J3)</f>
        <v>73.329256610028168</v>
      </c>
      <c r="L5" cm="1">
        <f t="array" ref="L5:L104">_xll.Model.Result($C$22,L3)</f>
        <v>-2.3376830697858821</v>
      </c>
      <c r="M5" cm="1">
        <f t="array" ref="M5:M104">_xll.Model.Result($C$22,M3)</f>
        <v>90.337683069785882</v>
      </c>
      <c r="O5" t="str" cm="1">
        <f t="array" ref="O5:P10">_xll.Model.Result($C$22,O3,,TRUE)</f>
        <v>Index</v>
      </c>
      <c r="P5" t="str">
        <v>ETS1$par</v>
      </c>
      <c r="Q5" t="str" cm="1">
        <f t="array" ref="Q5">_xll.Model.Result($C$22,Q3)</f>
        <v>ETS(A,Ad,N)</v>
      </c>
      <c r="S5" t="str" cm="1">
        <f t="array" ref="S5:S8">_xll.Model.Result($C$22,S3)</f>
        <v>A</v>
      </c>
      <c r="U5" cm="1">
        <f t="array" ref="U5:U6">_xll.Model.Result($C$22,U3)</f>
        <v>90.351767449748451</v>
      </c>
      <c r="V5" cm="1">
        <f t="array" ref="V5">SQRT(_xll.Model.Result($C$22,V3))</f>
        <v>3.4963391227972505</v>
      </c>
    </row>
    <row r="6" spans="2:23" x14ac:dyDescent="0.3">
      <c r="B6" s="4" t="s">
        <v>48</v>
      </c>
      <c r="C6" s="4"/>
      <c r="L6">
        <v>-2.090035908702788</v>
      </c>
      <c r="M6">
        <v>86.090035908702788</v>
      </c>
      <c r="O6" t="str">
        <v>alpha</v>
      </c>
      <c r="P6" s="12">
        <v>0.99989995633555706</v>
      </c>
      <c r="S6" t="str">
        <v>A</v>
      </c>
      <c r="U6">
        <v>-1.728233783866355E-2</v>
      </c>
    </row>
    <row r="7" spans="2:23" x14ac:dyDescent="0.3">
      <c r="B7" s="4" t="s">
        <v>49</v>
      </c>
      <c r="C7" s="4"/>
      <c r="J7" t="str" cm="1">
        <f t="array" ref="J7:J10">_xll.Model.Result($C$22,K3)</f>
        <v>value</v>
      </c>
      <c r="K7" cm="1">
        <f t="array" ref="K7">_xll.Model.Result($C$22,$K$3,J7)</f>
        <v>705.7309803955045</v>
      </c>
      <c r="L7">
        <v>4.2540971502565554</v>
      </c>
      <c r="M7">
        <v>80.745902849743445</v>
      </c>
      <c r="O7" t="str">
        <v>beta</v>
      </c>
      <c r="P7" s="12">
        <v>0.99664387398697363</v>
      </c>
      <c r="S7" t="str">
        <v>N</v>
      </c>
    </row>
    <row r="8" spans="2:23" x14ac:dyDescent="0.3">
      <c r="B8" s="4" t="s">
        <v>50</v>
      </c>
      <c r="C8" s="4"/>
      <c r="J8" t="str">
        <v>par</v>
      </c>
      <c r="L8">
        <v>-0.80272663997853044</v>
      </c>
      <c r="M8">
        <v>85.80272663997853</v>
      </c>
      <c r="O8" t="str">
        <v>phi</v>
      </c>
      <c r="P8" s="12">
        <v>0.81495802790418725</v>
      </c>
      <c r="S8" t="str">
        <v>TRUE</v>
      </c>
    </row>
    <row r="9" spans="2:23" x14ac:dyDescent="0.3">
      <c r="B9" s="4" t="s">
        <v>51</v>
      </c>
      <c r="C9" s="4"/>
      <c r="J9" t="str">
        <v>fail</v>
      </c>
      <c r="K9" cm="1">
        <f t="array" ref="K9">_xll.Model.Result($C$22,$K$3,J9)</f>
        <v>0</v>
      </c>
      <c r="L9">
        <v>-1.0026226892653369</v>
      </c>
      <c r="M9">
        <v>85.002622689265337</v>
      </c>
      <c r="O9" t="str">
        <v>l</v>
      </c>
      <c r="P9" s="12">
        <v>90.351767449748451</v>
      </c>
    </row>
    <row r="10" spans="2:23" x14ac:dyDescent="0.3">
      <c r="B10" s="4" t="s">
        <v>52</v>
      </c>
      <c r="C10" s="4"/>
      <c r="J10" t="str">
        <v>fncount</v>
      </c>
      <c r="K10" cm="1">
        <f t="array" ref="K10">_xll.Model.Result($C$22,$K$3,J10)</f>
        <v>1096</v>
      </c>
      <c r="L10">
        <v>1.8121808941138369</v>
      </c>
      <c r="M10">
        <v>83.187819105886163</v>
      </c>
      <c r="O10" t="str">
        <v>b</v>
      </c>
      <c r="P10" s="12">
        <v>-1.728233783866355E-2</v>
      </c>
      <c r="T10" t="str" cm="1">
        <f t="array" ref="T10">_xll.Model.Result($C$22,T3)</f>
        <v>ets(y = WWWusage)</v>
      </c>
    </row>
    <row r="11" spans="2:23" x14ac:dyDescent="0.3">
      <c r="B11" s="4" t="s">
        <v>53</v>
      </c>
      <c r="C11" s="4"/>
      <c r="L11">
        <v>-2.8097384861755188</v>
      </c>
      <c r="M11">
        <v>85.809738486175519</v>
      </c>
    </row>
    <row r="12" spans="2:23" x14ac:dyDescent="0.3">
      <c r="B12" s="4" t="s">
        <v>54</v>
      </c>
      <c r="C12" s="4"/>
      <c r="L12">
        <v>3.6218022887564842</v>
      </c>
      <c r="M12">
        <v>81.378197711243516</v>
      </c>
    </row>
    <row r="13" spans="2:23" x14ac:dyDescent="0.3">
      <c r="B13" s="4" t="s">
        <v>55</v>
      </c>
      <c r="C13" s="4"/>
      <c r="L13">
        <v>1.3805813625348407</v>
      </c>
      <c r="M13">
        <v>86.619418637465159</v>
      </c>
    </row>
    <row r="14" spans="2:23" x14ac:dyDescent="0.3">
      <c r="B14" s="4" t="s">
        <v>56</v>
      </c>
      <c r="C14" s="4"/>
      <c r="L14">
        <v>-1.4412552252389901</v>
      </c>
      <c r="M14">
        <v>90.44125522523899</v>
      </c>
    </row>
    <row r="15" spans="2:23" x14ac:dyDescent="0.3">
      <c r="B15" s="4" t="s">
        <v>57</v>
      </c>
      <c r="C15" s="4"/>
      <c r="L15">
        <v>1.1808432431135714</v>
      </c>
      <c r="M15">
        <v>89.819156756886429</v>
      </c>
    </row>
    <row r="16" spans="2:23" x14ac:dyDescent="0.3">
      <c r="B16" s="4" t="s">
        <v>58</v>
      </c>
      <c r="C16" s="4"/>
      <c r="L16">
        <v>6.3735493141384438</v>
      </c>
      <c r="M16">
        <v>92.626450685861556</v>
      </c>
    </row>
    <row r="17" spans="2:13" x14ac:dyDescent="0.3">
      <c r="B17" s="4" t="s">
        <v>59</v>
      </c>
      <c r="C17" s="4"/>
      <c r="L17">
        <v>-1.5016905593554668</v>
      </c>
      <c r="M17">
        <v>105.50169055935547</v>
      </c>
    </row>
    <row r="18" spans="2:13" x14ac:dyDescent="0.3">
      <c r="B18" s="4" t="s">
        <v>60</v>
      </c>
      <c r="C18" s="4"/>
      <c r="L18">
        <v>3.9204327049264407</v>
      </c>
      <c r="M18">
        <v>108.07956729507356</v>
      </c>
    </row>
    <row r="19" spans="2:13" x14ac:dyDescent="0.3">
      <c r="B19" s="4" t="s">
        <v>61</v>
      </c>
      <c r="C19" s="4"/>
      <c r="L19">
        <v>7.491573208828342</v>
      </c>
      <c r="M19">
        <v>118.50842679117166</v>
      </c>
    </row>
    <row r="20" spans="2:13" x14ac:dyDescent="0.3">
      <c r="B20" s="4" t="s">
        <v>62</v>
      </c>
      <c r="C20" s="4"/>
      <c r="L20">
        <v>0.61150767110498805</v>
      </c>
      <c r="M20">
        <v>137.38849232889501</v>
      </c>
    </row>
    <row r="21" spans="2:13" x14ac:dyDescent="0.3">
      <c r="L21">
        <v>-1.7783734199855701</v>
      </c>
      <c r="M21">
        <v>147.77837341998557</v>
      </c>
    </row>
    <row r="22" spans="2:13" x14ac:dyDescent="0.3">
      <c r="B22" s="4" t="s">
        <v>24</v>
      </c>
      <c r="C22" s="6" t="str" cm="1">
        <f t="array" ref="C22">_xll.Forecast.AutoETS(C3,C4, B5:C20)</f>
        <v>ETS1</v>
      </c>
      <c r="L22">
        <v>-1.5247560277038872</v>
      </c>
      <c r="M22">
        <v>152.52475602770389</v>
      </c>
    </row>
    <row r="23" spans="2:13" x14ac:dyDescent="0.3">
      <c r="L23">
        <v>-5.0789680514612314</v>
      </c>
      <c r="M23">
        <v>155.07896805146123</v>
      </c>
    </row>
    <row r="24" spans="2:13" x14ac:dyDescent="0.3">
      <c r="B24" s="11"/>
      <c r="C24" s="11"/>
      <c r="L24">
        <v>-1.1993172700442472</v>
      </c>
      <c r="M24">
        <v>149.19931727004425</v>
      </c>
    </row>
    <row r="25" spans="2:13" x14ac:dyDescent="0.3">
      <c r="L25">
        <v>0.62692991215760685</v>
      </c>
      <c r="M25">
        <v>146.37307008784239</v>
      </c>
    </row>
    <row r="26" spans="2:13" x14ac:dyDescent="0.3">
      <c r="L26">
        <v>2.816833247425393</v>
      </c>
      <c r="M26">
        <v>146.18316675257461</v>
      </c>
    </row>
    <row r="27" spans="2:13" x14ac:dyDescent="0.3">
      <c r="L27">
        <v>-7.6219810381642503</v>
      </c>
      <c r="M27">
        <v>150.62198103816425</v>
      </c>
    </row>
    <row r="28" spans="2:13" x14ac:dyDescent="0.3">
      <c r="L28">
        <v>-6.1320909181500554</v>
      </c>
      <c r="M28">
        <v>138.13209091815006</v>
      </c>
    </row>
    <row r="29" spans="2:13" x14ac:dyDescent="0.3">
      <c r="L29">
        <v>7.9477743676545458</v>
      </c>
      <c r="M29">
        <v>123.05222563234545</v>
      </c>
    </row>
    <row r="30" spans="2:13" x14ac:dyDescent="0.3">
      <c r="L30">
        <v>8.8379910825296122</v>
      </c>
      <c r="M30">
        <v>130.16200891747039</v>
      </c>
    </row>
    <row r="31" spans="2:13" x14ac:dyDescent="0.3">
      <c r="L31">
        <v>1.5047447743541227</v>
      </c>
      <c r="M31">
        <v>145.49525522564588</v>
      </c>
    </row>
    <row r="32" spans="2:13" x14ac:dyDescent="0.3">
      <c r="L32">
        <v>-3.5161186265312097</v>
      </c>
      <c r="M32">
        <v>153.51611862653121</v>
      </c>
    </row>
    <row r="33" spans="12:13" x14ac:dyDescent="0.3">
      <c r="L33">
        <v>-4.4549654755482777</v>
      </c>
      <c r="M33">
        <v>152.45496547554828</v>
      </c>
    </row>
    <row r="34" spans="12:13" x14ac:dyDescent="0.3">
      <c r="L34">
        <v>-1.3824277454884282</v>
      </c>
      <c r="M34">
        <v>146.38242774548843</v>
      </c>
    </row>
    <row r="35" spans="12:13" x14ac:dyDescent="0.3">
      <c r="L35">
        <v>-2.5586820805746697</v>
      </c>
      <c r="M35">
        <v>142.55868208057467</v>
      </c>
    </row>
    <row r="36" spans="12:13" x14ac:dyDescent="0.3">
      <c r="L36">
        <v>-1.9323513852172027</v>
      </c>
      <c r="M36">
        <v>135.9323513852172</v>
      </c>
    </row>
    <row r="37" spans="12:13" x14ac:dyDescent="0.3">
      <c r="L37">
        <v>1.88447828298834</v>
      </c>
      <c r="M37">
        <v>129.11552171701166</v>
      </c>
    </row>
    <row r="38" spans="12:13" x14ac:dyDescent="0.3">
      <c r="L38">
        <v>2.4503744011286415</v>
      </c>
      <c r="M38">
        <v>128.54962559887136</v>
      </c>
    </row>
    <row r="39" spans="12:13" x14ac:dyDescent="0.3">
      <c r="L39">
        <v>-1.9932064761689219</v>
      </c>
      <c r="M39">
        <v>130.99320647616892</v>
      </c>
    </row>
    <row r="40" spans="12:13" x14ac:dyDescent="0.3">
      <c r="L40">
        <v>-1.3759347569907163</v>
      </c>
      <c r="M40">
        <v>127.37593475699072</v>
      </c>
    </row>
    <row r="41" spans="12:13" x14ac:dyDescent="0.3">
      <c r="L41">
        <v>2.4411356173655605</v>
      </c>
      <c r="M41">
        <v>123.55886438263444</v>
      </c>
    </row>
    <row r="42" spans="12:13" x14ac:dyDescent="0.3">
      <c r="L42">
        <v>6.0070331565337511</v>
      </c>
      <c r="M42">
        <v>125.99296684346625</v>
      </c>
    </row>
    <row r="43" spans="12:13" x14ac:dyDescent="0.3">
      <c r="L43">
        <v>0.12708361643157673</v>
      </c>
      <c r="M43">
        <v>136.87291638356842</v>
      </c>
    </row>
    <row r="44" spans="12:13" x14ac:dyDescent="0.3">
      <c r="L44">
        <v>-1.0749196007253943</v>
      </c>
      <c r="M44">
        <v>141.07491960072539</v>
      </c>
    </row>
    <row r="45" spans="12:13" x14ac:dyDescent="0.3">
      <c r="L45">
        <v>-0.44793199848649579</v>
      </c>
      <c r="M45">
        <v>142.4479319984865</v>
      </c>
    </row>
    <row r="46" spans="12:13" x14ac:dyDescent="0.3">
      <c r="L46">
        <v>6.3689016314876596</v>
      </c>
      <c r="M46">
        <v>143.63109836851234</v>
      </c>
    </row>
    <row r="47" spans="12:13" x14ac:dyDescent="0.3">
      <c r="L47">
        <v>2.498429060093315</v>
      </c>
      <c r="M47">
        <v>156.50157093990668</v>
      </c>
    </row>
    <row r="48" spans="12:13" x14ac:dyDescent="0.3">
      <c r="L48">
        <v>0.67194189338590604</v>
      </c>
      <c r="M48">
        <v>166.32805810661409</v>
      </c>
    </row>
    <row r="49" spans="12:13" x14ac:dyDescent="0.3">
      <c r="L49">
        <v>-3.5179628705850519</v>
      </c>
      <c r="M49">
        <v>173.51796287058505</v>
      </c>
    </row>
    <row r="50" spans="12:13" x14ac:dyDescent="0.3">
      <c r="L50">
        <v>-1.4549028046741341</v>
      </c>
      <c r="M50">
        <v>172.45490280467413</v>
      </c>
    </row>
    <row r="51" spans="12:13" x14ac:dyDescent="0.3">
      <c r="L51">
        <v>0.18120393534809409</v>
      </c>
      <c r="M51">
        <v>171.81879606465191</v>
      </c>
    </row>
    <row r="52" spans="12:13" x14ac:dyDescent="0.3">
      <c r="L52">
        <v>-0.81432566813774088</v>
      </c>
      <c r="M52">
        <v>172.81432566813774</v>
      </c>
    </row>
    <row r="53" spans="12:13" x14ac:dyDescent="0.3">
      <c r="L53">
        <v>1.9976764944370586</v>
      </c>
      <c r="M53">
        <v>172.00232350556294</v>
      </c>
    </row>
    <row r="54" spans="12:13" x14ac:dyDescent="0.3">
      <c r="L54">
        <v>-0.62418595918029496</v>
      </c>
      <c r="M54">
        <v>175.62418595918029</v>
      </c>
    </row>
    <row r="55" spans="12:13" x14ac:dyDescent="0.3">
      <c r="L55">
        <v>-3.8168905592547446</v>
      </c>
      <c r="M55">
        <v>175.81689055925474</v>
      </c>
    </row>
    <row r="56" spans="12:13" x14ac:dyDescent="0.3">
      <c r="L56">
        <v>2.4341035343613839</v>
      </c>
      <c r="M56">
        <v>169.56589646563862</v>
      </c>
    </row>
    <row r="57" spans="12:13" x14ac:dyDescent="0.3">
      <c r="L57">
        <v>2.007212234068561</v>
      </c>
      <c r="M57">
        <v>171.99278776593144</v>
      </c>
    </row>
    <row r="58" spans="12:13" x14ac:dyDescent="0.3">
      <c r="L58">
        <v>-1.6244237729109727</v>
      </c>
      <c r="M58">
        <v>175.62442377291097</v>
      </c>
    </row>
    <row r="59" spans="12:13" x14ac:dyDescent="0.3">
      <c r="L59">
        <v>-5.0047691285506062</v>
      </c>
      <c r="M59">
        <v>174.00476912855061</v>
      </c>
    </row>
    <row r="60" spans="12:13" x14ac:dyDescent="0.3">
      <c r="L60">
        <v>6.0733332364549142E-2</v>
      </c>
      <c r="M60">
        <v>164.93926666763545</v>
      </c>
    </row>
    <row r="61" spans="12:13" x14ac:dyDescent="0.3">
      <c r="L61">
        <v>-5.7395876547781768</v>
      </c>
      <c r="M61">
        <v>161.73958765477818</v>
      </c>
    </row>
    <row r="62" spans="12:13" x14ac:dyDescent="0.3">
      <c r="L62">
        <v>-6.6816552666545874</v>
      </c>
      <c r="M62">
        <v>148.68165526665459</v>
      </c>
    </row>
    <row r="63" spans="12:13" x14ac:dyDescent="0.3">
      <c r="L63">
        <v>0.39093688233239732</v>
      </c>
      <c r="M63">
        <v>130.6090631176676</v>
      </c>
    </row>
    <row r="64" spans="12:13" x14ac:dyDescent="0.3">
      <c r="L64">
        <v>-1.0338085654861118</v>
      </c>
      <c r="M64">
        <v>122.03380856548611</v>
      </c>
    </row>
    <row r="65" spans="12:13" x14ac:dyDescent="0.3">
      <c r="L65">
        <v>-0.85338259228832669</v>
      </c>
      <c r="M65">
        <v>112.85338259228833</v>
      </c>
    </row>
    <row r="66" spans="12:13" x14ac:dyDescent="0.3">
      <c r="L66">
        <v>-0.66771292483309708</v>
      </c>
      <c r="M66">
        <v>104.6677129248331</v>
      </c>
    </row>
    <row r="67" spans="12:13" x14ac:dyDescent="0.3">
      <c r="L67">
        <v>4.5178407374052227</v>
      </c>
      <c r="M67">
        <v>97.482159262594777</v>
      </c>
    </row>
    <row r="68" spans="12:13" x14ac:dyDescent="0.3">
      <c r="L68">
        <v>-1.3572207687876556</v>
      </c>
      <c r="M68">
        <v>100.35722076878766</v>
      </c>
    </row>
    <row r="69" spans="12:13" x14ac:dyDescent="0.3">
      <c r="L69">
        <v>2.4406578195317792</v>
      </c>
      <c r="M69">
        <v>96.559342180468221</v>
      </c>
    </row>
    <row r="70" spans="12:13" x14ac:dyDescent="0.3">
      <c r="L70">
        <v>-3.9929697238700754</v>
      </c>
      <c r="M70">
        <v>98.992969723870075</v>
      </c>
    </row>
    <row r="71" spans="12:13" x14ac:dyDescent="0.3">
      <c r="L71">
        <v>-3.7516875287515745</v>
      </c>
      <c r="M71">
        <v>91.751687528751575</v>
      </c>
    </row>
    <row r="72" spans="12:13" x14ac:dyDescent="0.3">
      <c r="L72">
        <v>1.694395167671189</v>
      </c>
      <c r="M72">
        <v>82.305604832328811</v>
      </c>
    </row>
    <row r="73" spans="12:13" x14ac:dyDescent="0.3">
      <c r="L73">
        <v>3.2649418487436037</v>
      </c>
      <c r="M73">
        <v>80.735058151256396</v>
      </c>
    </row>
    <row r="74" spans="12:13" x14ac:dyDescent="0.3">
      <c r="L74">
        <v>3.0091184388058849</v>
      </c>
      <c r="M74">
        <v>83.990881561194115</v>
      </c>
    </row>
    <row r="75" spans="12:13" x14ac:dyDescent="0.3">
      <c r="L75">
        <v>-0.43660899034649958</v>
      </c>
      <c r="M75">
        <v>89.4366089903465</v>
      </c>
    </row>
    <row r="76" spans="12:13" x14ac:dyDescent="0.3">
      <c r="L76">
        <v>-2.6313992434246529</v>
      </c>
      <c r="M76">
        <v>90.631399243424653</v>
      </c>
    </row>
    <row r="77" spans="12:13" x14ac:dyDescent="0.3">
      <c r="L77">
        <v>-2.1924667744864763</v>
      </c>
      <c r="M77">
        <v>87.192466774486476</v>
      </c>
    </row>
    <row r="78" spans="12:13" x14ac:dyDescent="0.3">
      <c r="L78">
        <v>3.4388726630311908</v>
      </c>
      <c r="M78">
        <v>82.561127336968809</v>
      </c>
    </row>
    <row r="79" spans="12:13" x14ac:dyDescent="0.3">
      <c r="L79">
        <v>2.1949704313144736</v>
      </c>
      <c r="M79">
        <v>86.805029568685526</v>
      </c>
    </row>
    <row r="80" spans="12:13" x14ac:dyDescent="0.3">
      <c r="L80">
        <v>-0.43893139922806768</v>
      </c>
      <c r="M80">
        <v>91.438931399228068</v>
      </c>
    </row>
    <row r="81" spans="12:13" x14ac:dyDescent="0.3">
      <c r="L81">
        <v>-1.6313394491750586</v>
      </c>
      <c r="M81">
        <v>92.631339449175059</v>
      </c>
    </row>
    <row r="82" spans="12:13" x14ac:dyDescent="0.3">
      <c r="L82">
        <v>2.9954107019853637</v>
      </c>
      <c r="M82">
        <v>91.004589298014636</v>
      </c>
    </row>
    <row r="83" spans="12:13" x14ac:dyDescent="0.3">
      <c r="L83">
        <v>4.5637513468328024</v>
      </c>
      <c r="M83">
        <v>96.436248653167198</v>
      </c>
    </row>
    <row r="84" spans="12:13" x14ac:dyDescent="0.3">
      <c r="L84">
        <v>3.3079884837806617</v>
      </c>
      <c r="M84">
        <v>106.69201151621934</v>
      </c>
    </row>
    <row r="85" spans="12:13" x14ac:dyDescent="0.3">
      <c r="L85">
        <v>3.6743842885514226</v>
      </c>
      <c r="M85">
        <v>117.32561571144858</v>
      </c>
    </row>
    <row r="86" spans="12:13" x14ac:dyDescent="0.3">
      <c r="L86">
        <v>5.045609402249255</v>
      </c>
      <c r="M86">
        <v>129.95439059775074</v>
      </c>
    </row>
    <row r="87" spans="12:13" x14ac:dyDescent="0.3">
      <c r="L87">
        <v>-1.3954069315091147</v>
      </c>
      <c r="M87">
        <v>146.39540693150911</v>
      </c>
    </row>
    <row r="88" spans="12:13" x14ac:dyDescent="0.3">
      <c r="L88">
        <v>-4.153947836261608</v>
      </c>
      <c r="M88">
        <v>153.15394783626161</v>
      </c>
    </row>
    <row r="89" spans="12:13" x14ac:dyDescent="0.3">
      <c r="L89">
        <v>3.7285046113253486</v>
      </c>
      <c r="M89">
        <v>152.27149538867465</v>
      </c>
    </row>
    <row r="90" spans="12:13" x14ac:dyDescent="0.3">
      <c r="L90">
        <v>3.3062033348770967</v>
      </c>
      <c r="M90">
        <v>161.6937966651229</v>
      </c>
    </row>
    <row r="91" spans="12:13" x14ac:dyDescent="0.3">
      <c r="L91">
        <v>-1.3255526737802086</v>
      </c>
      <c r="M91">
        <v>172.32555267378021</v>
      </c>
    </row>
    <row r="92" spans="12:13" x14ac:dyDescent="0.3">
      <c r="L92">
        <v>-0.89377586147026022</v>
      </c>
      <c r="M92">
        <v>175.89377586147026</v>
      </c>
    </row>
    <row r="93" spans="12:13" x14ac:dyDescent="0.3">
      <c r="L93">
        <v>-1.2622580220810278</v>
      </c>
      <c r="M93">
        <v>178.26225802208103</v>
      </c>
    </row>
    <row r="94" spans="12:13" x14ac:dyDescent="0.3">
      <c r="L94">
        <v>3.3665781298247737</v>
      </c>
      <c r="M94">
        <v>178.63342187017523</v>
      </c>
    </row>
    <row r="95" spans="12:13" x14ac:dyDescent="0.3">
      <c r="L95">
        <v>6.9348575129669143</v>
      </c>
      <c r="M95">
        <v>186.06514248703309</v>
      </c>
    </row>
    <row r="96" spans="12:13" x14ac:dyDescent="0.3">
      <c r="L96">
        <v>2.0548485413488038</v>
      </c>
      <c r="M96">
        <v>201.9451514586512</v>
      </c>
    </row>
    <row r="97" spans="12:13" x14ac:dyDescent="0.3">
      <c r="L97">
        <v>-4.9592779209029345</v>
      </c>
      <c r="M97">
        <v>212.95927792090293</v>
      </c>
    </row>
    <row r="98" spans="12:13" x14ac:dyDescent="0.3">
      <c r="L98">
        <v>-1.2740599207571393</v>
      </c>
      <c r="M98">
        <v>211.27405992075714</v>
      </c>
    </row>
    <row r="99" spans="12:13" x14ac:dyDescent="0.3">
      <c r="L99">
        <v>3.3668761357485835</v>
      </c>
      <c r="M99">
        <v>211.63312386425142</v>
      </c>
    </row>
    <row r="100" spans="12:13" x14ac:dyDescent="0.3">
      <c r="L100">
        <v>2.9348593200822393</v>
      </c>
      <c r="M100">
        <v>219.06514067991776</v>
      </c>
    </row>
    <row r="101" spans="12:13" x14ac:dyDescent="0.3">
      <c r="L101">
        <v>0.30334005178650614</v>
      </c>
      <c r="M101">
        <v>227.69665994821349</v>
      </c>
    </row>
    <row r="102" spans="12:13" x14ac:dyDescent="0.3">
      <c r="L102">
        <v>-6.8891274373943361</v>
      </c>
      <c r="M102">
        <v>232.88912743739434</v>
      </c>
    </row>
    <row r="103" spans="12:13" x14ac:dyDescent="0.3">
      <c r="L103">
        <v>-2.3896403545897158</v>
      </c>
      <c r="M103">
        <v>224.38964035458972</v>
      </c>
    </row>
    <row r="104" spans="12:13" x14ac:dyDescent="0.3">
      <c r="L104">
        <v>1.2536188136339206</v>
      </c>
      <c r="M104">
        <v>218.74638118636608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49E-DF07-4EDD-8156-0D8C6A2C5033}">
  <dimension ref="B2:K26"/>
  <sheetViews>
    <sheetView workbookViewId="0"/>
  </sheetViews>
  <sheetFormatPr defaultRowHeight="14.4" x14ac:dyDescent="0.3"/>
  <cols>
    <col min="2" max="2" width="32.88671875" bestFit="1" customWidth="1"/>
    <col min="6" max="6" width="10.77734375" customWidth="1"/>
  </cols>
  <sheetData>
    <row r="2" spans="2:7" x14ac:dyDescent="0.3">
      <c r="B2" s="10" t="s">
        <v>193</v>
      </c>
    </row>
    <row r="3" spans="2:7" x14ac:dyDescent="0.3">
      <c r="B3" t="s">
        <v>80</v>
      </c>
      <c r="F3" t="str" cm="1">
        <f t="array" ref="F3">_xll.RScript.Evaluate(B3)</f>
        <v>fit</v>
      </c>
    </row>
    <row r="4" spans="2:7" x14ac:dyDescent="0.3">
      <c r="B4" t="s">
        <v>81</v>
      </c>
      <c r="F4" s="13" t="str" cm="1">
        <f t="array" ref="F4">_xll.RScript.Evaluate(B4)</f>
        <v>fc</v>
      </c>
    </row>
    <row r="5" spans="2:7" x14ac:dyDescent="0.3">
      <c r="B5" t="s">
        <v>111</v>
      </c>
      <c r="F5" s="13" t="str" cm="1">
        <f t="array" ref="F5">_xll.RScript.Evaluate(B5)</f>
        <v>fc</v>
      </c>
    </row>
    <row r="6" spans="2:7" x14ac:dyDescent="0.3">
      <c r="F6" s="13"/>
    </row>
    <row r="7" spans="2:7" x14ac:dyDescent="0.3">
      <c r="F7" s="10" t="s">
        <v>194</v>
      </c>
    </row>
    <row r="8" spans="2:7" x14ac:dyDescent="0.3">
      <c r="F8" t="str" cm="1">
        <f t="array" ref="F8:F26">_xll.Model.Results(F3)</f>
        <v>loglik</v>
      </c>
      <c r="G8" cm="1">
        <f t="array" ref="G8">_xll.Model.Result($F$3,F8)</f>
        <v>-198.75820053269101</v>
      </c>
    </row>
    <row r="9" spans="2:7" x14ac:dyDescent="0.3">
      <c r="F9" t="str">
        <v>aic</v>
      </c>
      <c r="G9" cm="1">
        <f t="array" ref="G9">_xll.Model.Result($F$3,F9)</f>
        <v>409.51640106538201</v>
      </c>
    </row>
    <row r="10" spans="2:7" x14ac:dyDescent="0.3">
      <c r="F10" t="str">
        <v>bic</v>
      </c>
      <c r="G10" cm="1">
        <f t="array" ref="G10">_xll.Model.Result($F$3,F10)</f>
        <v>422.08246843871461</v>
      </c>
    </row>
    <row r="11" spans="2:7" x14ac:dyDescent="0.3">
      <c r="F11" t="str">
        <v>aicc</v>
      </c>
      <c r="G11" cm="1">
        <f t="array" ref="G11">_xll.Model.Result($F$3,F11)</f>
        <v>411.10130672575934</v>
      </c>
    </row>
    <row r="12" spans="2:7" x14ac:dyDescent="0.3">
      <c r="F12" t="str">
        <v>mse</v>
      </c>
      <c r="G12" cm="1">
        <f t="array" ref="G12">_xll.Model.Result($F$3,F12)</f>
        <v>12.565171109727306</v>
      </c>
    </row>
    <row r="13" spans="2:7" x14ac:dyDescent="0.3">
      <c r="F13" t="str">
        <v>amse</v>
      </c>
      <c r="G13" cm="1">
        <f t="array" ref="G13">_xll.Model.Result($F$3,F13)</f>
        <v>79.582572305463614</v>
      </c>
    </row>
    <row r="14" spans="2:7" x14ac:dyDescent="0.3">
      <c r="F14" t="str">
        <v>fit</v>
      </c>
    </row>
    <row r="15" spans="2:7" x14ac:dyDescent="0.3">
      <c r="F15" t="str">
        <v>residuals</v>
      </c>
    </row>
    <row r="16" spans="2:7" x14ac:dyDescent="0.3">
      <c r="F16" t="str">
        <v>fitted</v>
      </c>
    </row>
    <row r="17" spans="6:11" x14ac:dyDescent="0.3">
      <c r="F17" t="str">
        <v>states</v>
      </c>
    </row>
    <row r="18" spans="6:11" x14ac:dyDescent="0.3">
      <c r="F18" t="str">
        <v>par</v>
      </c>
      <c r="J18" t="str" cm="1">
        <f t="array" ref="J18:K23">_xll.Model.Result($F$3,F18,,TRUE)</f>
        <v>Index</v>
      </c>
      <c r="K18" t="str">
        <v>fit$par</v>
      </c>
    </row>
    <row r="19" spans="6:11" x14ac:dyDescent="0.3">
      <c r="F19" t="str">
        <v>m</v>
      </c>
      <c r="J19" t="str">
        <v>alpha</v>
      </c>
      <c r="K19">
        <v>0.99902057092394525</v>
      </c>
    </row>
    <row r="20" spans="6:11" x14ac:dyDescent="0.3">
      <c r="F20" t="str">
        <v>method</v>
      </c>
      <c r="J20" t="str">
        <v>beta</v>
      </c>
      <c r="K20">
        <v>0.99902037879377559</v>
      </c>
    </row>
    <row r="21" spans="6:11" x14ac:dyDescent="0.3">
      <c r="F21" t="str">
        <v>series</v>
      </c>
      <c r="J21" t="str">
        <v>phi</v>
      </c>
      <c r="K21">
        <v>0.80000010042229097</v>
      </c>
    </row>
    <row r="22" spans="6:11" x14ac:dyDescent="0.3">
      <c r="F22" t="str">
        <v>components</v>
      </c>
      <c r="J22" t="str">
        <v>l</v>
      </c>
      <c r="K22">
        <v>90.568912123958413</v>
      </c>
    </row>
    <row r="23" spans="6:11" x14ac:dyDescent="0.3">
      <c r="F23" t="str">
        <v>call</v>
      </c>
      <c r="J23" t="str">
        <v>b</v>
      </c>
      <c r="K23">
        <v>-0.30520081322766934</v>
      </c>
    </row>
    <row r="24" spans="6:11" x14ac:dyDescent="0.3">
      <c r="F24" t="str">
        <v>initstate</v>
      </c>
    </row>
    <row r="25" spans="6:11" x14ac:dyDescent="0.3">
      <c r="F25" t="str">
        <v>sigma2</v>
      </c>
    </row>
    <row r="26" spans="6:11" x14ac:dyDescent="0.3">
      <c r="F26" t="str">
        <v>x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DCAA-9A4E-4A3E-8308-7D30612CCEAE}">
  <dimension ref="B2:EX32"/>
  <sheetViews>
    <sheetView tabSelected="1" workbookViewId="0">
      <selection activeCell="C17" sqref="C17"/>
    </sheetView>
  </sheetViews>
  <sheetFormatPr defaultRowHeight="14.4" x14ac:dyDescent="0.3"/>
  <cols>
    <col min="2" max="2" width="14.5546875" bestFit="1" customWidth="1"/>
    <col min="3" max="3" width="19.109375" customWidth="1"/>
    <col min="4" max="4" width="20" customWidth="1"/>
  </cols>
  <sheetData>
    <row r="2" spans="2:17" x14ac:dyDescent="0.3">
      <c r="B2" s="37" t="s">
        <v>9</v>
      </c>
      <c r="C2" s="37"/>
      <c r="J2" s="10" t="s">
        <v>28</v>
      </c>
    </row>
    <row r="3" spans="2:17" x14ac:dyDescent="0.3">
      <c r="B3" s="4" t="s">
        <v>11</v>
      </c>
      <c r="C3" s="4" t="s">
        <v>77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ma1</v>
      </c>
      <c r="P3" t="str">
        <v>sma1</v>
      </c>
    </row>
    <row r="4" spans="2:17" x14ac:dyDescent="0.3">
      <c r="B4" s="4" t="s">
        <v>10</v>
      </c>
      <c r="C4" s="4" t="str" cm="1">
        <f t="array" ref="C4">_xll.RScript.CreateVector(tAirPassengers[[#Headers],[AirPassengers]],tAirPassengers[AirPassengers])</f>
        <v>AirPassengers</v>
      </c>
      <c r="J4" t="str">
        <v>sigma2</v>
      </c>
      <c r="K4" cm="1">
        <f t="array" ref="K4">TRANSPOSE(_xll.Model.Result($C$16,J4))</f>
        <v>137.52485061798205</v>
      </c>
      <c r="N4" t="str">
        <v>air.model$coef</v>
      </c>
      <c r="O4">
        <v>-0.30867366607559699</v>
      </c>
      <c r="P4">
        <v>-0.10744703492617209</v>
      </c>
    </row>
    <row r="5" spans="2:17" x14ac:dyDescent="0.3">
      <c r="B5" s="4" t="s">
        <v>70</v>
      </c>
      <c r="C5" s="4" t="s">
        <v>79</v>
      </c>
      <c r="F5" t="str" cm="1">
        <f t="array" ref="F5:H7">TRANSPOSE(_xll.Model.Result($C$16,J5, , TRUE))</f>
        <v>Index</v>
      </c>
      <c r="G5" t="str">
        <v>ma1</v>
      </c>
      <c r="H5" t="str">
        <v>sma1</v>
      </c>
      <c r="J5" t="str">
        <v>var.coef</v>
      </c>
    </row>
    <row r="6" spans="2:17" x14ac:dyDescent="0.3">
      <c r="B6" s="4" t="s">
        <v>68</v>
      </c>
      <c r="C6" s="4" t="s">
        <v>153</v>
      </c>
      <c r="F6" t="str">
        <v>ma1</v>
      </c>
      <c r="G6">
        <v>7.9121852845489768E-3</v>
      </c>
      <c r="H6">
        <v>-9.3499573202351287E-4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sma1</v>
      </c>
      <c r="G7">
        <v>-9.3499573202351276E-4</v>
      </c>
      <c r="H7">
        <v>6.8586245800864925E-3</v>
      </c>
      <c r="J7" t="str">
        <v>loglik</v>
      </c>
      <c r="K7" cm="1">
        <f t="array" ref="K7">TRANSPOSE(_xll.Model.Result($C$16,J7))</f>
        <v>-507.50144324098954</v>
      </c>
    </row>
    <row r="8" spans="2:17" x14ac:dyDescent="0.3">
      <c r="B8" s="4" t="s">
        <v>72</v>
      </c>
      <c r="C8" s="4"/>
      <c r="J8" t="str">
        <v>aic</v>
      </c>
      <c r="K8" cm="1">
        <f t="array" ref="K8">TRANSPOSE(_xll.Model.Result($C$16,J8))</f>
        <v>1021.0028864819791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0</v>
      </c>
      <c r="L9">
        <v>1</v>
      </c>
      <c r="M9">
        <v>0</v>
      </c>
      <c r="N9">
        <v>1</v>
      </c>
      <c r="O9">
        <v>12</v>
      </c>
      <c r="P9">
        <v>1</v>
      </c>
      <c r="Q9">
        <v>1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 xml:space="preserve">Arima(y = AirPassengers, order = c(0, 1, 1), seasonal = list(order = c(0, 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/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0</v>
      </c>
    </row>
    <row r="15" spans="2:17" x14ac:dyDescent="0.3">
      <c r="J15" t="str">
        <v>nobs</v>
      </c>
      <c r="K15" cm="1">
        <f t="array" ref="K15">TRANSPOSE(_xll.Model.Result($C$16,J15))</f>
        <v>131</v>
      </c>
    </row>
    <row r="16" spans="2:17" x14ac:dyDescent="0.3">
      <c r="B16" s="4" t="s">
        <v>24</v>
      </c>
      <c r="C16" s="6" t="str" cm="1">
        <f t="array" ref="C16">_xll.Forecast.Arima(C3,C4,B5:C13)</f>
        <v>air.model</v>
      </c>
      <c r="J16" t="str">
        <v>model</v>
      </c>
    </row>
    <row r="17" spans="2:154" x14ac:dyDescent="0.3">
      <c r="J17" t="str">
        <v>aicc</v>
      </c>
      <c r="K17" cm="1">
        <f t="array" ref="K17">TRANSPOSE(_xll.Model.Result($C$16,J17))</f>
        <v>1021.1918628599318</v>
      </c>
    </row>
    <row r="18" spans="2:154" x14ac:dyDescent="0.3">
      <c r="B18" s="11" t="s">
        <v>163</v>
      </c>
      <c r="C18" s="11" t="s">
        <v>189</v>
      </c>
      <c r="J18" t="str">
        <v>bic</v>
      </c>
      <c r="K18" cm="1">
        <f t="array" ref="K18">TRANSPOSE(_xll.Model.Result($C$16,J18))</f>
        <v>1029.6284784515826</v>
      </c>
    </row>
    <row r="19" spans="2:154" x14ac:dyDescent="0.3">
      <c r="B19" s="25" t="s">
        <v>11</v>
      </c>
      <c r="C19" s="25" t="s">
        <v>190</v>
      </c>
      <c r="D19" s="25" t="s">
        <v>191</v>
      </c>
      <c r="J19" t="str">
        <v>x</v>
      </c>
      <c r="K19" cm="1">
        <f t="array" ref="K19:EX19">TRANSPOSE(_xll.Model.Result($C$16,J19))</f>
        <v>112</v>
      </c>
      <c r="L19">
        <v>118</v>
      </c>
      <c r="M19">
        <v>132</v>
      </c>
      <c r="N19">
        <v>129</v>
      </c>
      <c r="O19">
        <v>121</v>
      </c>
      <c r="P19">
        <v>135</v>
      </c>
      <c r="Q19">
        <v>148</v>
      </c>
      <c r="R19">
        <v>148</v>
      </c>
      <c r="S19">
        <v>136</v>
      </c>
      <c r="T19">
        <v>119</v>
      </c>
      <c r="U19">
        <v>104</v>
      </c>
      <c r="V19">
        <v>118</v>
      </c>
      <c r="W19">
        <v>115</v>
      </c>
      <c r="X19">
        <v>126</v>
      </c>
      <c r="Y19">
        <v>141</v>
      </c>
      <c r="Z19">
        <v>135</v>
      </c>
      <c r="AA19">
        <v>125</v>
      </c>
      <c r="AB19">
        <v>149</v>
      </c>
      <c r="AC19">
        <v>170</v>
      </c>
      <c r="AD19">
        <v>170</v>
      </c>
      <c r="AE19">
        <v>158</v>
      </c>
      <c r="AF19">
        <v>133</v>
      </c>
      <c r="AG19">
        <v>114</v>
      </c>
      <c r="AH19">
        <v>140</v>
      </c>
      <c r="AI19">
        <v>145</v>
      </c>
      <c r="AJ19">
        <v>150</v>
      </c>
      <c r="AK19">
        <v>178</v>
      </c>
      <c r="AL19">
        <v>163</v>
      </c>
      <c r="AM19">
        <v>172</v>
      </c>
      <c r="AN19">
        <v>178</v>
      </c>
      <c r="AO19">
        <v>199</v>
      </c>
      <c r="AP19">
        <v>199</v>
      </c>
      <c r="AQ19">
        <v>184</v>
      </c>
      <c r="AR19">
        <v>162</v>
      </c>
      <c r="AS19">
        <v>146</v>
      </c>
      <c r="AT19">
        <v>166</v>
      </c>
      <c r="AU19">
        <v>171</v>
      </c>
      <c r="AV19">
        <v>180</v>
      </c>
      <c r="AW19">
        <v>193</v>
      </c>
      <c r="AX19">
        <v>181</v>
      </c>
      <c r="AY19">
        <v>183</v>
      </c>
      <c r="AZ19">
        <v>218</v>
      </c>
      <c r="BA19">
        <v>230</v>
      </c>
      <c r="BB19">
        <v>242</v>
      </c>
      <c r="BC19">
        <v>209</v>
      </c>
      <c r="BD19">
        <v>191</v>
      </c>
      <c r="BE19">
        <v>172</v>
      </c>
      <c r="BF19">
        <v>194</v>
      </c>
      <c r="BG19">
        <v>196</v>
      </c>
      <c r="BH19">
        <v>196</v>
      </c>
      <c r="BI19">
        <v>236</v>
      </c>
      <c r="BJ19">
        <v>235</v>
      </c>
      <c r="BK19">
        <v>229</v>
      </c>
      <c r="BL19">
        <v>243</v>
      </c>
      <c r="BM19">
        <v>264</v>
      </c>
      <c r="BN19">
        <v>272</v>
      </c>
      <c r="BO19">
        <v>237</v>
      </c>
      <c r="BP19">
        <v>211</v>
      </c>
      <c r="BQ19">
        <v>180</v>
      </c>
      <c r="BR19">
        <v>201</v>
      </c>
      <c r="BS19">
        <v>204</v>
      </c>
      <c r="BT19">
        <v>188</v>
      </c>
      <c r="BU19">
        <v>235</v>
      </c>
      <c r="BV19">
        <v>227</v>
      </c>
      <c r="BW19">
        <v>234</v>
      </c>
      <c r="BX19">
        <v>264</v>
      </c>
      <c r="BY19">
        <v>302</v>
      </c>
      <c r="BZ19">
        <v>293</v>
      </c>
      <c r="CA19">
        <v>259</v>
      </c>
      <c r="CB19">
        <v>229</v>
      </c>
      <c r="CC19">
        <v>203</v>
      </c>
      <c r="CD19">
        <v>229</v>
      </c>
      <c r="CE19">
        <v>242</v>
      </c>
      <c r="CF19">
        <v>233</v>
      </c>
      <c r="CG19">
        <v>267</v>
      </c>
      <c r="CH19">
        <v>269</v>
      </c>
      <c r="CI19">
        <v>270</v>
      </c>
      <c r="CJ19">
        <v>315</v>
      </c>
      <c r="CK19">
        <v>364</v>
      </c>
      <c r="CL19">
        <v>347</v>
      </c>
      <c r="CM19">
        <v>312</v>
      </c>
      <c r="CN19">
        <v>274</v>
      </c>
      <c r="CO19">
        <v>237</v>
      </c>
      <c r="CP19">
        <v>278</v>
      </c>
      <c r="CQ19">
        <v>284</v>
      </c>
      <c r="CR19">
        <v>277</v>
      </c>
      <c r="CS19">
        <v>317</v>
      </c>
      <c r="CT19">
        <v>313</v>
      </c>
      <c r="CU19">
        <v>318</v>
      </c>
      <c r="CV19">
        <v>374</v>
      </c>
      <c r="CW19">
        <v>413</v>
      </c>
      <c r="CX19">
        <v>405</v>
      </c>
      <c r="CY19">
        <v>355</v>
      </c>
      <c r="CZ19">
        <v>306</v>
      </c>
      <c r="DA19">
        <v>271</v>
      </c>
      <c r="DB19">
        <v>306</v>
      </c>
      <c r="DC19">
        <v>315</v>
      </c>
      <c r="DD19">
        <v>301</v>
      </c>
      <c r="DE19">
        <v>356</v>
      </c>
      <c r="DF19">
        <v>348</v>
      </c>
      <c r="DG19">
        <v>355</v>
      </c>
      <c r="DH19">
        <v>422</v>
      </c>
      <c r="DI19">
        <v>465</v>
      </c>
      <c r="DJ19">
        <v>467</v>
      </c>
      <c r="DK19">
        <v>404</v>
      </c>
      <c r="DL19">
        <v>347</v>
      </c>
      <c r="DM19">
        <v>305</v>
      </c>
      <c r="DN19">
        <v>336</v>
      </c>
      <c r="DO19">
        <v>340</v>
      </c>
      <c r="DP19">
        <v>318</v>
      </c>
      <c r="DQ19">
        <v>362</v>
      </c>
      <c r="DR19">
        <v>348</v>
      </c>
      <c r="DS19">
        <v>363</v>
      </c>
      <c r="DT19">
        <v>435</v>
      </c>
      <c r="DU19">
        <v>491</v>
      </c>
      <c r="DV19">
        <v>505</v>
      </c>
      <c r="DW19">
        <v>404</v>
      </c>
      <c r="DX19">
        <v>359</v>
      </c>
      <c r="DY19">
        <v>310</v>
      </c>
      <c r="DZ19">
        <v>337</v>
      </c>
      <c r="EA19">
        <v>360</v>
      </c>
      <c r="EB19">
        <v>342</v>
      </c>
      <c r="EC19">
        <v>406</v>
      </c>
      <c r="ED19">
        <v>396</v>
      </c>
      <c r="EE19">
        <v>420</v>
      </c>
      <c r="EF19">
        <v>472</v>
      </c>
      <c r="EG19">
        <v>548</v>
      </c>
      <c r="EH19">
        <v>559</v>
      </c>
      <c r="EI19">
        <v>463</v>
      </c>
      <c r="EJ19">
        <v>407</v>
      </c>
      <c r="EK19">
        <v>362</v>
      </c>
      <c r="EL19">
        <v>405</v>
      </c>
      <c r="EM19">
        <v>417</v>
      </c>
      <c r="EN19">
        <v>391</v>
      </c>
      <c r="EO19">
        <v>419</v>
      </c>
      <c r="EP19">
        <v>461</v>
      </c>
      <c r="EQ19">
        <v>472</v>
      </c>
      <c r="ER19">
        <v>535</v>
      </c>
      <c r="ES19">
        <v>622</v>
      </c>
      <c r="ET19">
        <v>606</v>
      </c>
      <c r="EU19">
        <v>508</v>
      </c>
      <c r="EV19">
        <v>461</v>
      </c>
      <c r="EW19">
        <v>390</v>
      </c>
      <c r="EX19">
        <v>432</v>
      </c>
    </row>
    <row r="20" spans="2:154" x14ac:dyDescent="0.3">
      <c r="B20" s="14" t="str" cm="1">
        <f t="array" ref="B20:D32">_xll.RScript.Params(C18, TRUE, TRUE)</f>
        <v>y</v>
      </c>
      <c r="C20" s="14" t="str">
        <v>symbol</v>
      </c>
      <c r="D20" s="14" t="str">
        <v>&lt;missing&gt;</v>
      </c>
      <c r="J20" t="str">
        <v>fitted</v>
      </c>
    </row>
    <row r="21" spans="2:154" x14ac:dyDescent="0.3">
      <c r="B21" s="14" t="str">
        <v>order</v>
      </c>
      <c r="C21" s="14" t="str">
        <v>language</v>
      </c>
      <c r="D21" s="14" t="str">
        <v>c(0, 0, 0)</v>
      </c>
    </row>
    <row r="22" spans="2:154" x14ac:dyDescent="0.3">
      <c r="B22" s="14" t="str">
        <v>seasonal</v>
      </c>
      <c r="C22" s="14" t="str">
        <v>language</v>
      </c>
      <c r="D22" s="14" t="str">
        <v>c(0, 0, 0)</v>
      </c>
    </row>
    <row r="23" spans="2:154" x14ac:dyDescent="0.3">
      <c r="B23" s="14" t="str">
        <v>xreg</v>
      </c>
      <c r="C23" s="14" t="str">
        <v>NULL</v>
      </c>
      <c r="D23" s="14" t="str">
        <v>&lt;missing&gt;</v>
      </c>
      <c r="J23" t="str" cm="1">
        <f t="array" ref="J23:J32">_xll.Model.Result($C$16,J16)</f>
        <v>phi</v>
      </c>
    </row>
    <row r="24" spans="2:154" x14ac:dyDescent="0.3">
      <c r="B24" s="14" t="str">
        <v>include.mean</v>
      </c>
      <c r="C24" s="14" t="str">
        <v>logical</v>
      </c>
      <c r="D24" s="14" t="b">
        <v>1</v>
      </c>
      <c r="J24" t="str">
        <v>theta</v>
      </c>
    </row>
    <row r="25" spans="2:154" x14ac:dyDescent="0.3">
      <c r="B25" s="14" t="str">
        <v>include.drift</v>
      </c>
      <c r="C25" s="14" t="str">
        <v>logical</v>
      </c>
      <c r="D25" s="14" t="b">
        <v>0</v>
      </c>
      <c r="J25" t="str">
        <v>Delta</v>
      </c>
    </row>
    <row r="26" spans="2:154" x14ac:dyDescent="0.3">
      <c r="B26" s="14" t="str">
        <v>include.constant</v>
      </c>
      <c r="C26" s="14" t="str">
        <v>symbol</v>
      </c>
      <c r="D26" s="14" t="str">
        <v>&lt;missing&gt;</v>
      </c>
      <c r="J26" t="str">
        <v>Z</v>
      </c>
    </row>
    <row r="27" spans="2:154" x14ac:dyDescent="0.3">
      <c r="B27" s="14" t="str">
        <v>lambda</v>
      </c>
      <c r="C27" s="14" t="str">
        <v>language</v>
      </c>
      <c r="D27" s="14" t="str">
        <v>model$lambda</v>
      </c>
      <c r="J27" t="str">
        <v>a</v>
      </c>
    </row>
    <row r="28" spans="2:154" x14ac:dyDescent="0.3">
      <c r="B28" s="14" t="str">
        <v>biasadj</v>
      </c>
      <c r="C28" s="14" t="str">
        <v>logical</v>
      </c>
      <c r="D28" s="14" t="b">
        <v>0</v>
      </c>
      <c r="J28" t="str">
        <v>P</v>
      </c>
    </row>
    <row r="29" spans="2:154" x14ac:dyDescent="0.3">
      <c r="B29" s="14" t="str">
        <v>method</v>
      </c>
      <c r="C29" s="14" t="str">
        <v>language</v>
      </c>
      <c r="D29" s="14" t="str">
        <v>c("CSS-ML", "ML", "CSS")</v>
      </c>
      <c r="J29" t="str">
        <v>T</v>
      </c>
    </row>
    <row r="30" spans="2:154" x14ac:dyDescent="0.3">
      <c r="B30" s="14" t="str">
        <v>model</v>
      </c>
      <c r="C30" s="14" t="str">
        <v>NULL</v>
      </c>
      <c r="D30" s="14" t="str">
        <v>&lt;missing&gt;</v>
      </c>
      <c r="J30" t="str">
        <v>V</v>
      </c>
    </row>
    <row r="31" spans="2:154" x14ac:dyDescent="0.3">
      <c r="B31" s="14" t="str">
        <v>x</v>
      </c>
      <c r="C31" s="14" t="str">
        <v>symbol</v>
      </c>
      <c r="D31" s="14" t="str">
        <v>y</v>
      </c>
      <c r="J31" t="str">
        <v>h</v>
      </c>
    </row>
    <row r="32" spans="2:154" x14ac:dyDescent="0.3">
      <c r="B32" s="14" t="str">
        <v>...</v>
      </c>
      <c r="C32" s="14" t="str">
        <v>symbol</v>
      </c>
      <c r="D32" s="14" t="str">
        <v>&lt;missing&gt;</v>
      </c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D342-395F-40C0-BF8A-CEB5770C5051}">
  <dimension ref="B2:CI32"/>
  <sheetViews>
    <sheetView workbookViewId="0"/>
  </sheetViews>
  <sheetFormatPr defaultRowHeight="14.4" x14ac:dyDescent="0.3"/>
  <cols>
    <col min="2" max="2" width="14.5546875" bestFit="1" customWidth="1"/>
    <col min="3" max="3" width="13.109375" customWidth="1"/>
  </cols>
  <sheetData>
    <row r="2" spans="2:17" x14ac:dyDescent="0.3">
      <c r="B2" s="37" t="s">
        <v>9</v>
      </c>
      <c r="C2" s="37"/>
      <c r="J2" s="10" t="s">
        <v>28</v>
      </c>
    </row>
    <row r="3" spans="2:17" x14ac:dyDescent="0.3">
      <c r="B3" s="4" t="s">
        <v>11</v>
      </c>
      <c r="C3" s="4" t="s">
        <v>166</v>
      </c>
      <c r="J3" t="str" cm="1">
        <f t="array" ref="J3:J20">_xll.Model.Results(C16)</f>
        <v>coef</v>
      </c>
      <c r="N3" t="str" cm="1">
        <f t="array" ref="N3:P4">TRANSPOSE(_xll.Model.Result($C$16,J3,,TRUE))</f>
        <v>Index</v>
      </c>
      <c r="O3" t="str">
        <v>ar1</v>
      </c>
      <c r="P3" t="str">
        <v>intercept</v>
      </c>
    </row>
    <row r="4" spans="2:17" x14ac:dyDescent="0.3">
      <c r="B4" s="4" t="s">
        <v>10</v>
      </c>
      <c r="C4" s="4" t="str" cm="1">
        <f t="array" ref="C4">_xll.RScript.CreateVector(tAvgHits[[#Headers],[AvgHits]],tAvgHits[AvgHits])</f>
        <v>AvgHits</v>
      </c>
      <c r="J4" t="str">
        <v>sigma2</v>
      </c>
      <c r="K4" cm="1">
        <f t="array" ref="K4">TRANSPOSE(_xll.Model.Result($C$16,J4))</f>
        <v>57.608145562021065</v>
      </c>
      <c r="N4" t="str">
        <v>avg_hits.model$coef</v>
      </c>
      <c r="O4">
        <v>0.82333992688711166</v>
      </c>
      <c r="P4">
        <v>110.23686520327972</v>
      </c>
    </row>
    <row r="5" spans="2:17" x14ac:dyDescent="0.3">
      <c r="B5" s="4" t="s">
        <v>70</v>
      </c>
      <c r="C5" s="4" t="s">
        <v>167</v>
      </c>
      <c r="F5" t="str" cm="1">
        <f t="array" ref="F5:H7">TRANSPOSE(_xll.Model.Result($C$16,J5, , TRUE))</f>
        <v>Index</v>
      </c>
      <c r="G5" t="str">
        <v>ar1</v>
      </c>
      <c r="H5" t="str">
        <v>intercept</v>
      </c>
      <c r="J5" t="str">
        <v>var.coef</v>
      </c>
    </row>
    <row r="6" spans="2:17" x14ac:dyDescent="0.3">
      <c r="B6" s="4" t="s">
        <v>68</v>
      </c>
      <c r="C6" s="4"/>
      <c r="F6" t="str">
        <v>ar1</v>
      </c>
      <c r="G6">
        <v>4.2644842633925246E-3</v>
      </c>
      <c r="H6">
        <v>-9.4207541224879086E-3</v>
      </c>
      <c r="J6" t="str">
        <v>mask</v>
      </c>
      <c r="K6" t="b" cm="1">
        <f t="array" ref="K6:L6">TRANSPOSE(_xll.Model.Result($C$16,J6))</f>
        <v>1</v>
      </c>
      <c r="L6" t="b">
        <v>1</v>
      </c>
    </row>
    <row r="7" spans="2:17" x14ac:dyDescent="0.3">
      <c r="B7" s="4" t="s">
        <v>71</v>
      </c>
      <c r="C7" s="4"/>
      <c r="F7" t="str">
        <v>intercept</v>
      </c>
      <c r="G7">
        <v>-9.4207541224879086E-3</v>
      </c>
      <c r="H7">
        <v>23.678051608823413</v>
      </c>
      <c r="J7" t="str">
        <v>loglik</v>
      </c>
      <c r="K7" cm="1">
        <f t="array" ref="K7">TRANSPOSE(_xll.Model.Result($C$16,J7))</f>
        <v>-264.81438881475191</v>
      </c>
    </row>
    <row r="8" spans="2:17" x14ac:dyDescent="0.3">
      <c r="B8" s="4" t="s">
        <v>72</v>
      </c>
      <c r="C8" s="4"/>
      <c r="J8" t="str">
        <v>aic</v>
      </c>
      <c r="K8" t="b" cm="1">
        <f t="array" ref="K8">TRANSPOSE(_xll.Model.Result($C$16,J8))</f>
        <v>1</v>
      </c>
    </row>
    <row r="9" spans="2:17" x14ac:dyDescent="0.3">
      <c r="B9" s="4" t="s">
        <v>73</v>
      </c>
      <c r="C9" s="4"/>
      <c r="J9" t="str">
        <v>arma</v>
      </c>
      <c r="K9" cm="1">
        <f t="array" ref="K9:Q9">TRANSPOSE(_xll.Model.Result($C$16,J9))</f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2:17" x14ac:dyDescent="0.3">
      <c r="B10" s="4" t="s">
        <v>74</v>
      </c>
      <c r="C10" s="4"/>
      <c r="J10" t="str">
        <v>residuals</v>
      </c>
    </row>
    <row r="11" spans="2:17" x14ac:dyDescent="0.3">
      <c r="B11" s="4" t="s">
        <v>53</v>
      </c>
      <c r="C11" s="4"/>
      <c r="J11" t="str">
        <v>call</v>
      </c>
      <c r="K11" t="str" cm="1">
        <f t="array" ref="K11">TRANSPOSE(_xll.Model.Result($C$16,J11))</f>
        <v>Arima(y = AvgHits, order = c(1, 0, 0), method = "CSS")</v>
      </c>
    </row>
    <row r="12" spans="2:17" x14ac:dyDescent="0.3">
      <c r="B12" s="4" t="s">
        <v>54</v>
      </c>
      <c r="C12" s="4"/>
      <c r="J12" t="str">
        <v>series</v>
      </c>
    </row>
    <row r="13" spans="2:17" x14ac:dyDescent="0.3">
      <c r="B13" s="4" t="s">
        <v>75</v>
      </c>
      <c r="C13" s="4" t="s">
        <v>168</v>
      </c>
      <c r="J13" t="str">
        <v>code</v>
      </c>
      <c r="K13" cm="1">
        <f t="array" ref="K13">TRANSPOSE(_xll.Model.Result($C$16,J13))</f>
        <v>0</v>
      </c>
    </row>
    <row r="14" spans="2:17" x14ac:dyDescent="0.3">
      <c r="J14" t="str">
        <v>n.cond</v>
      </c>
      <c r="K14" cm="1">
        <f t="array" ref="K14">TRANSPOSE(_xll.Model.Result($C$16,J14))</f>
        <v>1</v>
      </c>
    </row>
    <row r="15" spans="2:17" x14ac:dyDescent="0.3">
      <c r="J15" t="str">
        <v>nobs</v>
      </c>
      <c r="K15" cm="1">
        <f t="array" ref="K15">TRANSPOSE(_xll.Model.Result($C$16,J15))</f>
        <v>77</v>
      </c>
    </row>
    <row r="16" spans="2:17" x14ac:dyDescent="0.3">
      <c r="B16" s="4" t="s">
        <v>24</v>
      </c>
      <c r="C16" s="6" t="str" cm="1">
        <f t="array" ref="C16">_xll.Forecast.Arima(C3,C4,B5:C13)</f>
        <v>avg_hits.model</v>
      </c>
      <c r="J16" t="str">
        <v>model</v>
      </c>
    </row>
    <row r="17" spans="2:87" x14ac:dyDescent="0.3">
      <c r="J17" t="str">
        <v>aicc</v>
      </c>
      <c r="K17" t="str" cm="1">
        <f t="array" ref="K17">TRANSPOSE(_xll.Model.Result($C$16,J17))</f>
        <v/>
      </c>
    </row>
    <row r="18" spans="2:87" x14ac:dyDescent="0.3">
      <c r="B18" s="11"/>
      <c r="C18" s="11"/>
      <c r="J18" t="str">
        <v>bic</v>
      </c>
      <c r="K18" t="str" cm="1">
        <f t="array" ref="K18">TRANSPOSE(_xll.Model.Result($C$16,J18))</f>
        <v/>
      </c>
    </row>
    <row r="19" spans="2:87" x14ac:dyDescent="0.3">
      <c r="B19" t="s">
        <v>169</v>
      </c>
      <c r="C19" t="s">
        <v>170</v>
      </c>
      <c r="J19" t="str">
        <v>x</v>
      </c>
      <c r="K19" cm="1">
        <f t="array" ref="K19:CI19">TRANSPOSE(_xll.Model.Result($C$16,J19))</f>
        <v>105.33376112622406</v>
      </c>
      <c r="L19">
        <v>111.79410633687822</v>
      </c>
      <c r="M19">
        <v>95.197645971547047</v>
      </c>
      <c r="N19">
        <v>89.47529059071762</v>
      </c>
      <c r="O19">
        <v>85.572647131307875</v>
      </c>
      <c r="P19">
        <v>102.83015305596356</v>
      </c>
      <c r="Q19">
        <v>106.80684414070258</v>
      </c>
      <c r="R19">
        <v>113.72246749485991</v>
      </c>
      <c r="S19">
        <v>119.60061562918311</v>
      </c>
      <c r="T19">
        <v>115.75388729149387</v>
      </c>
      <c r="U19">
        <v>108.1459323527514</v>
      </c>
      <c r="V19">
        <v>110.96292941434531</v>
      </c>
      <c r="W19">
        <v>113.24495065834257</v>
      </c>
      <c r="X19">
        <v>102.10173545572339</v>
      </c>
      <c r="Y19">
        <v>113.51276258544792</v>
      </c>
      <c r="Z19">
        <v>117.59963548035714</v>
      </c>
      <c r="AA19">
        <v>101.34340836746375</v>
      </c>
      <c r="AB19">
        <v>94.418734018227198</v>
      </c>
      <c r="AC19">
        <v>112.22617802852734</v>
      </c>
      <c r="AD19">
        <v>113.36319780653764</v>
      </c>
      <c r="AE19">
        <v>122.54535551176068</v>
      </c>
      <c r="AF19">
        <v>117.66423795893876</v>
      </c>
      <c r="AG19">
        <v>108.23991357952055</v>
      </c>
      <c r="AH19">
        <v>108.22563216606954</v>
      </c>
      <c r="AI19">
        <v>113.16547821687877</v>
      </c>
      <c r="AJ19">
        <v>117.44826364930336</v>
      </c>
      <c r="AK19">
        <v>114.35107161038742</v>
      </c>
      <c r="AL19">
        <v>107.83465340957744</v>
      </c>
      <c r="AM19">
        <v>126.63979793933468</v>
      </c>
      <c r="AN19">
        <v>121.91707488895689</v>
      </c>
      <c r="AO19">
        <v>111.76847127438168</v>
      </c>
      <c r="AP19">
        <v>116.34219302568984</v>
      </c>
      <c r="AQ19">
        <v>133.59735425075155</v>
      </c>
      <c r="AR19">
        <v>134.42371509249278</v>
      </c>
      <c r="AS19">
        <v>130.79268408149582</v>
      </c>
      <c r="AT19">
        <v>133.69720367666622</v>
      </c>
      <c r="AU19">
        <v>127.55353870819636</v>
      </c>
      <c r="AV19">
        <v>132.77393265679262</v>
      </c>
      <c r="AW19">
        <v>138.81931269995454</v>
      </c>
      <c r="AX19">
        <v>133.23348093769877</v>
      </c>
      <c r="AY19">
        <v>121.02369692404856</v>
      </c>
      <c r="AZ19">
        <v>129.59914532348267</v>
      </c>
      <c r="BA19">
        <v>132.83565006687212</v>
      </c>
      <c r="BB19">
        <v>130.21723290135554</v>
      </c>
      <c r="BC19">
        <v>127.44630923574098</v>
      </c>
      <c r="BD19">
        <v>130.00040322164583</v>
      </c>
      <c r="BE19">
        <v>125.78164564638354</v>
      </c>
      <c r="BF19">
        <v>121.34126793481467</v>
      </c>
      <c r="BG19">
        <v>101.8424847432793</v>
      </c>
      <c r="BH19">
        <v>99.740057431169205</v>
      </c>
      <c r="BI19">
        <v>106.15293681009403</v>
      </c>
      <c r="BJ19">
        <v>102.4182895596909</v>
      </c>
      <c r="BK19">
        <v>101.05809856660912</v>
      </c>
      <c r="BL19">
        <v>99.646304612975783</v>
      </c>
      <c r="BM19">
        <v>96.477422021366223</v>
      </c>
      <c r="BN19">
        <v>105.00212575233934</v>
      </c>
      <c r="BO19">
        <v>97.832320246932028</v>
      </c>
      <c r="BP19">
        <v>97.650077942897553</v>
      </c>
      <c r="BQ19">
        <v>87.417081045774282</v>
      </c>
      <c r="BR19">
        <v>91.859332573342016</v>
      </c>
      <c r="BS19">
        <v>93.677125189037824</v>
      </c>
      <c r="BT19">
        <v>101.82128245639024</v>
      </c>
      <c r="BU19">
        <v>98.117452001968104</v>
      </c>
      <c r="BV19">
        <v>101.5500237044058</v>
      </c>
      <c r="BW19">
        <v>112.87466949488169</v>
      </c>
      <c r="BX19">
        <v>104.14147907825084</v>
      </c>
      <c r="BY19">
        <v>103.75481912649823</v>
      </c>
      <c r="BZ19">
        <v>114.43289567660507</v>
      </c>
      <c r="CA19">
        <v>100.57467577668243</v>
      </c>
      <c r="CB19">
        <v>95.838124167500794</v>
      </c>
      <c r="CC19">
        <v>94.356272353925078</v>
      </c>
      <c r="CD19">
        <v>91.944474503903976</v>
      </c>
      <c r="CE19">
        <v>99.508130080644079</v>
      </c>
      <c r="CF19">
        <v>100.48678727786546</v>
      </c>
      <c r="CG19">
        <v>100.14040925450179</v>
      </c>
      <c r="CH19">
        <v>105.10820796940389</v>
      </c>
      <c r="CI19">
        <v>100.07736060909681</v>
      </c>
    </row>
    <row r="20" spans="2:87" x14ac:dyDescent="0.3">
      <c r="B20" t="s">
        <v>171</v>
      </c>
      <c r="C20" t="str">
        <f>"^"&amp;C16</f>
        <v>^avg_hits.model</v>
      </c>
      <c r="J20" t="str">
        <v>fitted</v>
      </c>
    </row>
    <row r="21" spans="2:87" x14ac:dyDescent="0.3">
      <c r="B21" t="s">
        <v>172</v>
      </c>
      <c r="C21">
        <v>3</v>
      </c>
    </row>
    <row r="22" spans="2:87" x14ac:dyDescent="0.3">
      <c r="K22" t="str">
        <f>B23</f>
        <v>p</v>
      </c>
    </row>
    <row r="23" spans="2:87" x14ac:dyDescent="0.3">
      <c r="B23" t="str" cm="1">
        <f t="array" ref="B23">_xll.RScript.Function("p",C19,B20:C21)</f>
        <v>p</v>
      </c>
      <c r="C23" t="str" cm="1">
        <f t="array" ref="C23:C24">_xll.Model.Results(B23)</f>
        <v>pred</v>
      </c>
      <c r="D23" cm="1">
        <f t="array" ref="D23:D25">_xll.Model.Result(B23,C23)</f>
        <v>101.87213943349589</v>
      </c>
      <c r="J23" t="str" cm="1">
        <f t="array" ref="J23:J32">_xll.Model.Result($C$16,J16)</f>
        <v>phi</v>
      </c>
    </row>
    <row r="24" spans="2:87" x14ac:dyDescent="0.3">
      <c r="C24" t="str">
        <v>se</v>
      </c>
      <c r="D24">
        <v>103.34985249955517</v>
      </c>
      <c r="J24" t="str">
        <v>theta</v>
      </c>
    </row>
    <row r="25" spans="2:87" x14ac:dyDescent="0.3">
      <c r="D25">
        <v>104.56651266732453</v>
      </c>
      <c r="J25" t="str">
        <v>Delta</v>
      </c>
    </row>
    <row r="26" spans="2:87" x14ac:dyDescent="0.3">
      <c r="J26" t="str">
        <v>Z</v>
      </c>
    </row>
    <row r="27" spans="2:87" x14ac:dyDescent="0.3">
      <c r="B27" t="s">
        <v>173</v>
      </c>
      <c r="E27" t="str" cm="1">
        <f t="array" ref="E27">_xll.RScript.Evaluate(B27)</f>
        <v>prediction</v>
      </c>
      <c r="F27" t="str" cm="1">
        <f t="array" ref="F27:F28">_xll.RScript.Evaluate(E27)</f>
        <v>pred</v>
      </c>
      <c r="G27" cm="1">
        <f t="array" ref="G27:G30">_xll.RScript.Evaluate(E27&amp;"$"&amp;F27)</f>
        <v>101.87213943349589</v>
      </c>
      <c r="J27" t="str">
        <v>a</v>
      </c>
    </row>
    <row r="28" spans="2:87" x14ac:dyDescent="0.3">
      <c r="F28" t="str">
        <v>se</v>
      </c>
      <c r="G28">
        <v>103.34985249955517</v>
      </c>
      <c r="J28" t="str">
        <v>P</v>
      </c>
    </row>
    <row r="29" spans="2:87" x14ac:dyDescent="0.3">
      <c r="G29">
        <v>104.56651266732453</v>
      </c>
      <c r="J29" t="str">
        <v>T</v>
      </c>
    </row>
    <row r="30" spans="2:87" x14ac:dyDescent="0.3">
      <c r="G30">
        <v>105.56823756090223</v>
      </c>
      <c r="J30" t="str">
        <v>V</v>
      </c>
    </row>
    <row r="31" spans="2:87" x14ac:dyDescent="0.3">
      <c r="J31" t="str">
        <v>h</v>
      </c>
    </row>
    <row r="32" spans="2:87" x14ac:dyDescent="0.3">
      <c r="J32" t="str">
        <v>Pn</v>
      </c>
    </row>
  </sheetData>
  <mergeCells count="1">
    <mergeCell ref="B2:C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50DD-7652-40B9-95EC-9B1CF9588E72}">
  <dimension ref="B2:DE59"/>
  <sheetViews>
    <sheetView workbookViewId="0"/>
  </sheetViews>
  <sheetFormatPr defaultRowHeight="14.4" x14ac:dyDescent="0.3"/>
  <cols>
    <col min="3" max="3" width="10.77734375" bestFit="1" customWidth="1"/>
    <col min="4" max="4" width="13" customWidth="1"/>
    <col min="6" max="6" width="11.33203125" customWidth="1"/>
  </cols>
  <sheetData>
    <row r="2" spans="2:12" x14ac:dyDescent="0.3">
      <c r="B2" s="37" t="s">
        <v>9</v>
      </c>
      <c r="C2" s="37"/>
      <c r="H2" s="7" t="s">
        <v>28</v>
      </c>
    </row>
    <row r="3" spans="2:12" x14ac:dyDescent="0.3">
      <c r="B3" s="4" t="s">
        <v>11</v>
      </c>
      <c r="C3" s="4" t="s">
        <v>82</v>
      </c>
      <c r="E3" s="4" t="s">
        <v>24</v>
      </c>
      <c r="F3" s="6" t="str" cm="1">
        <f t="array" ref="F3">_xll.Forecast.AutoArima(C3,C4)</f>
        <v>AutoARIMA</v>
      </c>
      <c r="H3" s="6" t="s">
        <v>83</v>
      </c>
      <c r="I3" s="6"/>
      <c r="J3" s="6" t="str" cm="1">
        <f t="array" ref="J3:K5">_xll.Model.Result($F$3,H3, ,TRUE)</f>
        <v>Index</v>
      </c>
      <c r="K3" s="6" t="str">
        <v>AutoARIMA$coef</v>
      </c>
    </row>
    <row r="4" spans="2:12" x14ac:dyDescent="0.3">
      <c r="B4" s="4" t="s">
        <v>10</v>
      </c>
      <c r="C4" s="4" t="str" cm="1">
        <f t="array" ref="C4">_xll.RScript.CreateVector(tWWWusage[[#Headers],[WWWusage]],tWWWusage[WWWusage])</f>
        <v>WWWusage</v>
      </c>
      <c r="H4" s="6"/>
      <c r="I4" s="6"/>
      <c r="J4" s="6" t="str">
        <v>ar1</v>
      </c>
      <c r="K4" s="6">
        <v>0.65037597623172405</v>
      </c>
    </row>
    <row r="5" spans="2:12" x14ac:dyDescent="0.3">
      <c r="B5" s="4"/>
      <c r="C5" s="4"/>
      <c r="H5" s="6"/>
      <c r="I5" s="6"/>
      <c r="J5" s="6" t="str">
        <v>ma1</v>
      </c>
      <c r="K5" s="6">
        <v>0.52559588895100096</v>
      </c>
    </row>
    <row r="6" spans="2:12" x14ac:dyDescent="0.3">
      <c r="B6" s="4"/>
      <c r="C6" s="4"/>
      <c r="H6" s="6"/>
    </row>
    <row r="7" spans="2:12" x14ac:dyDescent="0.3">
      <c r="B7" s="4"/>
      <c r="C7" s="4"/>
      <c r="H7" s="6" t="s">
        <v>84</v>
      </c>
      <c r="I7" s="6"/>
      <c r="J7" s="6" cm="1">
        <f t="array" ref="J7">_xll.Model.Result($F$3,H7)</f>
        <v>9.9953252011419575</v>
      </c>
    </row>
    <row r="8" spans="2:12" x14ac:dyDescent="0.3">
      <c r="B8" s="4"/>
      <c r="C8" s="4"/>
      <c r="H8" s="6"/>
    </row>
    <row r="9" spans="2:12" x14ac:dyDescent="0.3">
      <c r="B9" s="4"/>
      <c r="C9" s="4"/>
      <c r="H9" s="6" t="s">
        <v>85</v>
      </c>
      <c r="I9" s="6"/>
      <c r="J9" s="6" t="str" cm="1">
        <f t="array" ref="J9:L11">_xll.Model.Result($F$3,H9, ,TRUE)</f>
        <v>Index</v>
      </c>
      <c r="K9" s="6" t="str">
        <v>ar1</v>
      </c>
      <c r="L9" s="6" t="str">
        <v>ma1</v>
      </c>
    </row>
    <row r="10" spans="2:12" x14ac:dyDescent="0.3">
      <c r="B10" s="4"/>
      <c r="C10" s="4"/>
      <c r="H10" s="6"/>
      <c r="I10" s="6"/>
      <c r="J10" s="6" t="str">
        <v>ar1</v>
      </c>
      <c r="K10" s="6">
        <v>7.0966101685042858E-3</v>
      </c>
      <c r="L10" s="6">
        <v>-3.368869180149261E-3</v>
      </c>
    </row>
    <row r="11" spans="2:12" x14ac:dyDescent="0.3">
      <c r="B11" s="4"/>
      <c r="C11" s="4"/>
      <c r="H11" s="6"/>
      <c r="I11" s="6"/>
      <c r="J11" s="6" t="str">
        <v>ma1</v>
      </c>
      <c r="K11" s="6">
        <v>-3.3688691801492614E-3</v>
      </c>
      <c r="L11" s="6">
        <v>8.0200408390131376E-3</v>
      </c>
    </row>
    <row r="12" spans="2:12" x14ac:dyDescent="0.3">
      <c r="B12" s="4"/>
      <c r="C12" s="4"/>
      <c r="H12" s="6"/>
    </row>
    <row r="13" spans="2:12" x14ac:dyDescent="0.3">
      <c r="B13" s="4"/>
      <c r="C13" s="4"/>
      <c r="H13" s="6" t="s">
        <v>86</v>
      </c>
      <c r="I13" s="6"/>
      <c r="J13" s="6" t="str" cm="1">
        <f t="array" ref="J13:K15">_xll.Model.Result($F$3,H13,,TRUE)</f>
        <v>Index</v>
      </c>
      <c r="K13" s="6" t="str">
        <v>AutoARIMA$mask</v>
      </c>
    </row>
    <row r="14" spans="2:12" x14ac:dyDescent="0.3">
      <c r="B14" s="4"/>
      <c r="C14" s="4"/>
      <c r="H14" s="6"/>
      <c r="I14" s="6"/>
      <c r="J14" s="6" t="str">
        <v>1</v>
      </c>
      <c r="K14" s="6" t="b">
        <v>1</v>
      </c>
    </row>
    <row r="15" spans="2:12" x14ac:dyDescent="0.3">
      <c r="B15" s="4"/>
      <c r="C15" s="4"/>
      <c r="H15" s="6"/>
      <c r="I15" s="6"/>
      <c r="J15" s="6" t="str">
        <v>2</v>
      </c>
      <c r="K15" s="6" t="b">
        <v>1</v>
      </c>
    </row>
    <row r="16" spans="2:12" x14ac:dyDescent="0.3">
      <c r="B16" s="4"/>
      <c r="C16" s="4"/>
      <c r="H16" s="6"/>
    </row>
    <row r="17" spans="2:109" x14ac:dyDescent="0.3">
      <c r="B17" s="4"/>
      <c r="C17" s="4"/>
      <c r="H17" s="6" t="s">
        <v>87</v>
      </c>
      <c r="I17" s="6"/>
      <c r="J17" s="6" cm="1">
        <f t="array" ref="J17">_xll.Model.Result($F$3,H17)</f>
        <v>-254.14973578716496</v>
      </c>
    </row>
    <row r="18" spans="2:109" x14ac:dyDescent="0.3">
      <c r="B18" s="4"/>
      <c r="C18" s="4"/>
      <c r="H18" s="6" t="s">
        <v>88</v>
      </c>
      <c r="I18" s="6"/>
      <c r="J18" s="6" cm="1">
        <f t="array" ref="J18">_xll.Model.Result($F$3,H18)</f>
        <v>514.29947157432991</v>
      </c>
    </row>
    <row r="19" spans="2:109" x14ac:dyDescent="0.3">
      <c r="B19" s="4"/>
      <c r="C19" s="4"/>
      <c r="H19" s="6"/>
    </row>
    <row r="20" spans="2:109" x14ac:dyDescent="0.3">
      <c r="B20" s="4"/>
      <c r="C20" s="4"/>
      <c r="H20" s="6"/>
      <c r="J20" t="s">
        <v>99</v>
      </c>
      <c r="K20" t="s">
        <v>100</v>
      </c>
    </row>
    <row r="21" spans="2:109" x14ac:dyDescent="0.3">
      <c r="H21" s="6" t="s">
        <v>89</v>
      </c>
      <c r="I21" s="6"/>
      <c r="J21" s="6" cm="1">
        <f t="array" ref="J21:P21">TRANSPOSE(_xll.Model.Result($F$3,H21))</f>
        <v>1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</row>
    <row r="22" spans="2:109" x14ac:dyDescent="0.3">
      <c r="B22" s="11" t="s">
        <v>163</v>
      </c>
      <c r="C22" s="11" t="s">
        <v>188</v>
      </c>
      <c r="H22" s="6"/>
    </row>
    <row r="23" spans="2:109" x14ac:dyDescent="0.3">
      <c r="H23" s="6" t="s">
        <v>26</v>
      </c>
      <c r="J23" cm="1">
        <f t="array" ref="J23:DE23">TRANSPOSE(_xll.Model.Result($F$3,H23))</f>
        <v>8.7999850546545411E-2</v>
      </c>
      <c r="K23">
        <v>-2.1704980665181841</v>
      </c>
      <c r="L23">
        <v>3.8609467564949189</v>
      </c>
      <c r="M23">
        <v>-2.4521533149073362</v>
      </c>
      <c r="N23">
        <v>0.25920867014943272</v>
      </c>
      <c r="O23">
        <v>1.5124839493742974</v>
      </c>
      <c r="P23">
        <v>-3.4425009385688128</v>
      </c>
      <c r="Q23">
        <v>5.1086754846063709</v>
      </c>
      <c r="R23">
        <v>-0.98548540685669239</v>
      </c>
      <c r="S23">
        <v>-0.43317444322043297</v>
      </c>
      <c r="T23">
        <v>1.5772924762092908</v>
      </c>
      <c r="U23">
        <v>5.8702275421121728</v>
      </c>
      <c r="V23">
        <v>-3.2883723999185093</v>
      </c>
      <c r="W23">
        <v>6.4764744344948939</v>
      </c>
      <c r="X23">
        <v>5.3929839575753027</v>
      </c>
      <c r="Y23">
        <v>6.0206178215093269E-2</v>
      </c>
      <c r="Z23">
        <v>0.16384416540294733</v>
      </c>
      <c r="AA23">
        <v>-0.28912362942606534</v>
      </c>
      <c r="AB23">
        <v>-4.0999176898201259</v>
      </c>
      <c r="AC23">
        <v>0.80527585882866848</v>
      </c>
      <c r="AD23">
        <v>-0.12249772839723351</v>
      </c>
      <c r="AE23">
        <v>2.7147602786776623</v>
      </c>
      <c r="AF23">
        <v>-8.7276187944167418</v>
      </c>
      <c r="AG23">
        <v>-2.5105435839347323</v>
      </c>
      <c r="AH23">
        <v>7.4736671252968749</v>
      </c>
      <c r="AI23">
        <v>4.722247259787542</v>
      </c>
      <c r="AJ23">
        <v>0.31499844379177855</v>
      </c>
      <c r="AK23">
        <v>-2.3685696969367007</v>
      </c>
      <c r="AL23">
        <v>-2.7062174332913282</v>
      </c>
      <c r="AM23">
        <v>-0.27687128999110655</v>
      </c>
      <c r="AN23">
        <v>-2.9033496595169481</v>
      </c>
      <c r="AO23">
        <v>-1.2221314736119666</v>
      </c>
      <c r="AP23">
        <v>1.5446031356784147</v>
      </c>
      <c r="AQ23">
        <v>1.1392908705217621</v>
      </c>
      <c r="AR23">
        <v>-2.5988065978656323</v>
      </c>
      <c r="AS23">
        <v>-0.33332598351964293</v>
      </c>
      <c r="AT23">
        <v>2.1263226953136325</v>
      </c>
      <c r="AU23">
        <v>4.8824135327599691</v>
      </c>
      <c r="AV23">
        <v>-1.4684323383677338</v>
      </c>
      <c r="AW23">
        <v>0.51992211909018238</v>
      </c>
      <c r="AX23">
        <v>-0.22439685706368095</v>
      </c>
      <c r="AY23">
        <v>6.8171901131027539</v>
      </c>
      <c r="AZ23">
        <v>0.21390509250198875</v>
      </c>
      <c r="BA23">
        <v>2.0341885766697487</v>
      </c>
      <c r="BB23">
        <v>-3.2721689631025015</v>
      </c>
      <c r="BC23">
        <v>0.76871062626457842</v>
      </c>
      <c r="BD23">
        <v>-5.4407121189342433E-2</v>
      </c>
      <c r="BE23">
        <v>-0.62177981700494911</v>
      </c>
      <c r="BF23">
        <v>2.3268049156505128</v>
      </c>
      <c r="BG23">
        <v>-1.5237110505203475</v>
      </c>
      <c r="BH23">
        <v>-2.8495197121290232</v>
      </c>
      <c r="BI23">
        <v>3.4488237748750237</v>
      </c>
      <c r="BJ23">
        <v>0.18731240220921563</v>
      </c>
      <c r="BK23">
        <v>-1.3992025810141513</v>
      </c>
      <c r="BL23">
        <v>-4.2645848756093301</v>
      </c>
      <c r="BM23">
        <v>1.4933281598615054</v>
      </c>
      <c r="BN23">
        <v>-7.1833832367510695</v>
      </c>
      <c r="BO23">
        <v>-4.3710595159186028</v>
      </c>
      <c r="BP23">
        <v>0.40267457917110505</v>
      </c>
      <c r="BQ23">
        <v>-3.0575083648484309</v>
      </c>
      <c r="BR23">
        <v>-0.88922641068512576</v>
      </c>
      <c r="BS23">
        <v>-1.679242468111724</v>
      </c>
      <c r="BT23">
        <v>4.0856107476452479</v>
      </c>
      <c r="BU23">
        <v>-3.8466282603529294</v>
      </c>
      <c r="BV23">
        <v>3.972899928659416</v>
      </c>
      <c r="BW23">
        <v>-6.0881398697171107</v>
      </c>
      <c r="BX23">
        <v>-1.1985948081911033</v>
      </c>
      <c r="BY23">
        <v>1.1826083373253198</v>
      </c>
      <c r="BZ23">
        <v>1.9799298245895329</v>
      </c>
      <c r="CA23">
        <v>1.9593570237842641</v>
      </c>
      <c r="CB23">
        <v>-0.98095792538344995</v>
      </c>
      <c r="CC23">
        <v>-1.7851644996480047</v>
      </c>
      <c r="CD23">
        <v>-1.4113489016520191</v>
      </c>
      <c r="CE23">
        <v>3.6929271092789833</v>
      </c>
      <c r="CF23">
        <v>0.40863671693554693</v>
      </c>
      <c r="CG23">
        <v>-0.16590570719093023</v>
      </c>
      <c r="CH23">
        <v>-1.2135525948103947</v>
      </c>
      <c r="CI23">
        <v>3.6378382548581669</v>
      </c>
      <c r="CJ23">
        <v>3.1368392398826899</v>
      </c>
      <c r="CK23">
        <v>2.7986583575954143</v>
      </c>
      <c r="CL23">
        <v>3.6756528865839755</v>
      </c>
      <c r="CM23">
        <v>4.9139562150516127</v>
      </c>
      <c r="CN23">
        <v>-1.6880188523604716</v>
      </c>
      <c r="CO23">
        <v>-1.616543993044786</v>
      </c>
      <c r="CP23">
        <v>5.2481449721258571</v>
      </c>
      <c r="CQ23">
        <v>1.6889647444097307</v>
      </c>
      <c r="CR23">
        <v>-0.74109671233046015</v>
      </c>
      <c r="CS23">
        <v>0.48726152792565358</v>
      </c>
      <c r="CT23">
        <v>-0.85760656084860898</v>
      </c>
      <c r="CU23">
        <v>4.1500025302559891</v>
      </c>
      <c r="CV23">
        <v>5.5668958498025916</v>
      </c>
      <c r="CW23">
        <v>0.91992668857639615</v>
      </c>
      <c r="CX23">
        <v>-3.6376454242010254</v>
      </c>
      <c r="CY23">
        <v>1.3104275754945718</v>
      </c>
      <c r="CZ23">
        <v>3.0104927010885945</v>
      </c>
      <c r="DA23">
        <v>2.165817531432225</v>
      </c>
      <c r="DB23">
        <v>0.30902337563912852</v>
      </c>
      <c r="DC23">
        <v>-6.0646772732160343</v>
      </c>
      <c r="DD23">
        <v>0.48832139508036221</v>
      </c>
      <c r="DE23">
        <v>0.3448441871858563</v>
      </c>
    </row>
    <row r="24" spans="2:109" x14ac:dyDescent="0.3">
      <c r="B24" s="6" t="str" cm="1">
        <f t="array" ref="B24:D59">_xll.RScript.Params(C22, TRUE, TRUE)</f>
        <v>y</v>
      </c>
      <c r="C24" s="6" t="str">
        <v>symbol</v>
      </c>
      <c r="D24" s="6" t="str">
        <v>&lt;missing&gt;</v>
      </c>
      <c r="H24" s="6"/>
    </row>
    <row r="25" spans="2:109" x14ac:dyDescent="0.3">
      <c r="B25" s="6" t="str">
        <v>d</v>
      </c>
      <c r="C25" s="6" t="str">
        <v>logical</v>
      </c>
      <c r="D25" s="6" t="b">
        <v>1</v>
      </c>
      <c r="H25" s="6" t="s">
        <v>90</v>
      </c>
      <c r="J25" t="str" cm="1">
        <f t="array" ref="J25">_xll.Model.Result($F$3,H25)</f>
        <v xml:space="preserve">auto.arima(y = WWWusage, x = structure(list(x = structure(c(88, </v>
      </c>
    </row>
    <row r="26" spans="2:109" x14ac:dyDescent="0.3">
      <c r="B26" s="6" t="str">
        <v>D</v>
      </c>
      <c r="C26" s="6" t="str">
        <v>logical</v>
      </c>
      <c r="D26" s="6" t="b">
        <v>1</v>
      </c>
      <c r="H26" s="6"/>
    </row>
    <row r="27" spans="2:109" x14ac:dyDescent="0.3">
      <c r="B27" s="6" t="str">
        <v>max.p</v>
      </c>
      <c r="C27" s="6" t="str">
        <v>double</v>
      </c>
      <c r="D27" s="6">
        <v>5</v>
      </c>
      <c r="H27" s="6" t="s">
        <v>91</v>
      </c>
      <c r="J27" t="str" cm="1">
        <f t="array" ref="J27">TRANSPOSE(_xll.Model.Result($F$3,H27))</f>
        <v>WWWusage</v>
      </c>
    </row>
    <row r="28" spans="2:109" x14ac:dyDescent="0.3">
      <c r="B28" s="6" t="str">
        <v>max.q</v>
      </c>
      <c r="C28" s="6" t="str">
        <v>double</v>
      </c>
      <c r="D28" s="6">
        <v>5</v>
      </c>
      <c r="H28" s="6"/>
    </row>
    <row r="29" spans="2:109" x14ac:dyDescent="0.3">
      <c r="B29" s="6" t="str">
        <v>max.P</v>
      </c>
      <c r="C29" s="6" t="str">
        <v>double</v>
      </c>
      <c r="D29" s="6">
        <v>2</v>
      </c>
      <c r="H29" s="6" t="s">
        <v>92</v>
      </c>
      <c r="J29" cm="1">
        <f t="array" ref="J29">_xll.Model.Result($F$3,H29)</f>
        <v>0</v>
      </c>
    </row>
    <row r="30" spans="2:109" x14ac:dyDescent="0.3">
      <c r="B30" s="6" t="str">
        <v>max.Q</v>
      </c>
      <c r="C30" s="6" t="str">
        <v>double</v>
      </c>
      <c r="D30" s="6">
        <v>2</v>
      </c>
      <c r="H30" s="6"/>
    </row>
    <row r="31" spans="2:109" x14ac:dyDescent="0.3">
      <c r="B31" s="6" t="str">
        <v>max.order</v>
      </c>
      <c r="C31" s="6" t="str">
        <v>double</v>
      </c>
      <c r="D31" s="6">
        <v>5</v>
      </c>
      <c r="H31" s="6" t="s">
        <v>93</v>
      </c>
      <c r="J31" cm="1">
        <f t="array" ref="J31">_xll.Model.Result($F$3,H31)</f>
        <v>0</v>
      </c>
    </row>
    <row r="32" spans="2:109" x14ac:dyDescent="0.3">
      <c r="B32" s="6" t="str">
        <v>max.d</v>
      </c>
      <c r="C32" s="6" t="str">
        <v>double</v>
      </c>
      <c r="D32" s="6">
        <v>2</v>
      </c>
      <c r="H32" s="6"/>
    </row>
    <row r="33" spans="2:109" x14ac:dyDescent="0.3">
      <c r="B33" s="6" t="str">
        <v>max.D</v>
      </c>
      <c r="C33" s="6" t="str">
        <v>double</v>
      </c>
      <c r="D33" s="6">
        <v>1</v>
      </c>
      <c r="H33" s="6" t="s">
        <v>94</v>
      </c>
      <c r="J33" cm="1">
        <f t="array" ref="J33">_xll.Model.Result($F$3,H33)</f>
        <v>99</v>
      </c>
    </row>
    <row r="34" spans="2:109" x14ac:dyDescent="0.3">
      <c r="B34" s="6" t="str">
        <v>start.p</v>
      </c>
      <c r="C34" s="6" t="str">
        <v>double</v>
      </c>
      <c r="D34" s="6">
        <v>2</v>
      </c>
      <c r="H34" s="6"/>
    </row>
    <row r="35" spans="2:109" x14ac:dyDescent="0.3">
      <c r="B35" s="6" t="str">
        <v>start.q</v>
      </c>
      <c r="C35" s="6" t="str">
        <v>double</v>
      </c>
      <c r="D35" s="6">
        <v>2</v>
      </c>
      <c r="H35" s="6" t="s">
        <v>95</v>
      </c>
      <c r="J35" t="str" cm="1">
        <f t="array" ref="J35:S35">TRANSPOSE(_xll.Model.Result($F$3,H35))</f>
        <v>phi</v>
      </c>
      <c r="K35" t="str">
        <v>theta</v>
      </c>
      <c r="L35" t="str">
        <v>Delta</v>
      </c>
      <c r="M35" t="str">
        <v>Z</v>
      </c>
      <c r="N35" t="str">
        <v>a</v>
      </c>
      <c r="O35" t="str">
        <v>P</v>
      </c>
      <c r="P35" t="str">
        <v>T</v>
      </c>
      <c r="Q35" t="str">
        <v>V</v>
      </c>
      <c r="R35" t="str">
        <v>h</v>
      </c>
      <c r="S35" t="str">
        <v>Pn</v>
      </c>
    </row>
    <row r="36" spans="2:109" x14ac:dyDescent="0.3">
      <c r="B36" s="6" t="str">
        <v>start.P</v>
      </c>
      <c r="C36" s="6" t="str">
        <v>double</v>
      </c>
      <c r="D36" s="6">
        <v>1</v>
      </c>
      <c r="H36" s="6"/>
    </row>
    <row r="37" spans="2:109" x14ac:dyDescent="0.3">
      <c r="B37" s="6" t="str">
        <v>start.Q</v>
      </c>
      <c r="C37" s="6" t="str">
        <v>double</v>
      </c>
      <c r="D37" s="6">
        <v>1</v>
      </c>
      <c r="H37" s="6" t="s">
        <v>96</v>
      </c>
      <c r="J37" cm="1">
        <f t="array" ref="J37">_xll.Model.Result($F$3,H37)</f>
        <v>522.08483112473368</v>
      </c>
    </row>
    <row r="38" spans="2:109" x14ac:dyDescent="0.3">
      <c r="B38" s="6" t="str">
        <v>stationary</v>
      </c>
      <c r="C38" s="6" t="str">
        <v>logical</v>
      </c>
      <c r="D38" s="6" t="b">
        <v>0</v>
      </c>
      <c r="H38" s="6"/>
    </row>
    <row r="39" spans="2:109" x14ac:dyDescent="0.3">
      <c r="B39" s="6" t="str">
        <v>seasonal</v>
      </c>
      <c r="C39" s="6" t="str">
        <v>logical</v>
      </c>
      <c r="D39" s="6" t="b">
        <v>1</v>
      </c>
      <c r="H39" s="6" t="s">
        <v>97</v>
      </c>
      <c r="J39" cm="1">
        <f t="array" ref="J39">TRANSPOSE(_xll.Model.Result($F$3,H39))</f>
        <v>514.55210315327724</v>
      </c>
    </row>
    <row r="40" spans="2:109" x14ac:dyDescent="0.3">
      <c r="B40" s="6" t="str">
        <v>ic</v>
      </c>
      <c r="C40" s="6" t="str">
        <v>language</v>
      </c>
      <c r="D40" s="6" t="str">
        <v>c("aicc", "aic", "bic")</v>
      </c>
      <c r="H40" s="6"/>
    </row>
    <row r="41" spans="2:109" x14ac:dyDescent="0.3">
      <c r="B41" s="6" t="str">
        <v>stepwise</v>
      </c>
      <c r="C41" s="6" t="str">
        <v>logical</v>
      </c>
      <c r="D41" s="6" t="b">
        <v>1</v>
      </c>
      <c r="H41" s="6" t="s">
        <v>98</v>
      </c>
      <c r="J41" cm="1">
        <f t="array" ref="J41:DE41">TRANSPOSE(_xll.Model.Result($F$3,H41))</f>
        <v>88</v>
      </c>
      <c r="K41">
        <v>84</v>
      </c>
      <c r="L41">
        <v>85</v>
      </c>
      <c r="M41">
        <v>85</v>
      </c>
      <c r="N41">
        <v>84</v>
      </c>
      <c r="O41">
        <v>85</v>
      </c>
      <c r="P41">
        <v>83</v>
      </c>
      <c r="Q41">
        <v>85</v>
      </c>
      <c r="R41">
        <v>88</v>
      </c>
      <c r="S41">
        <v>89</v>
      </c>
      <c r="T41">
        <v>91</v>
      </c>
      <c r="U41">
        <v>99</v>
      </c>
      <c r="V41">
        <v>104</v>
      </c>
      <c r="W41">
        <v>112</v>
      </c>
      <c r="X41">
        <v>126</v>
      </c>
      <c r="Y41">
        <v>138</v>
      </c>
      <c r="Z41">
        <v>146</v>
      </c>
      <c r="AA41">
        <v>151</v>
      </c>
      <c r="AB41">
        <v>150</v>
      </c>
      <c r="AC41">
        <v>148</v>
      </c>
      <c r="AD41">
        <v>147</v>
      </c>
      <c r="AE41">
        <v>149</v>
      </c>
      <c r="AF41">
        <v>143</v>
      </c>
      <c r="AG41">
        <v>132</v>
      </c>
      <c r="AH41">
        <v>131</v>
      </c>
      <c r="AI41">
        <v>139</v>
      </c>
      <c r="AJ41">
        <v>147</v>
      </c>
      <c r="AK41">
        <v>150</v>
      </c>
      <c r="AL41">
        <v>148</v>
      </c>
      <c r="AM41">
        <v>145</v>
      </c>
      <c r="AN41">
        <v>140</v>
      </c>
      <c r="AO41">
        <v>134</v>
      </c>
      <c r="AP41">
        <v>131</v>
      </c>
      <c r="AQ41">
        <v>131</v>
      </c>
      <c r="AR41">
        <v>129</v>
      </c>
      <c r="AS41">
        <v>126</v>
      </c>
      <c r="AT41">
        <v>126</v>
      </c>
      <c r="AU41">
        <v>132</v>
      </c>
      <c r="AV41">
        <v>137</v>
      </c>
      <c r="AW41">
        <v>140</v>
      </c>
      <c r="AX41">
        <v>142</v>
      </c>
      <c r="AY41">
        <v>150</v>
      </c>
      <c r="AZ41">
        <v>159</v>
      </c>
      <c r="BA41">
        <v>167</v>
      </c>
      <c r="BB41">
        <v>170</v>
      </c>
      <c r="BC41">
        <v>171</v>
      </c>
      <c r="BD41">
        <v>172</v>
      </c>
      <c r="BE41">
        <v>172</v>
      </c>
      <c r="BF41">
        <v>174</v>
      </c>
      <c r="BG41">
        <v>175</v>
      </c>
      <c r="BH41">
        <v>172</v>
      </c>
      <c r="BI41">
        <v>172</v>
      </c>
      <c r="BJ41">
        <v>174</v>
      </c>
      <c r="BK41">
        <v>174</v>
      </c>
      <c r="BL41">
        <v>169</v>
      </c>
      <c r="BM41">
        <v>165</v>
      </c>
      <c r="BN41">
        <v>156</v>
      </c>
      <c r="BO41">
        <v>142</v>
      </c>
      <c r="BP41">
        <v>131</v>
      </c>
      <c r="BQ41">
        <v>121</v>
      </c>
      <c r="BR41">
        <v>112</v>
      </c>
      <c r="BS41">
        <v>104</v>
      </c>
      <c r="BT41">
        <v>102</v>
      </c>
      <c r="BU41">
        <v>99</v>
      </c>
      <c r="BV41">
        <v>99</v>
      </c>
      <c r="BW41">
        <v>95</v>
      </c>
      <c r="BX41">
        <v>88</v>
      </c>
      <c r="BY41">
        <v>84</v>
      </c>
      <c r="BZ41">
        <v>84</v>
      </c>
      <c r="CA41">
        <v>87</v>
      </c>
      <c r="CB41">
        <v>89</v>
      </c>
      <c r="CC41">
        <v>88</v>
      </c>
      <c r="CD41">
        <v>85</v>
      </c>
      <c r="CE41">
        <v>86</v>
      </c>
      <c r="CF41">
        <v>89</v>
      </c>
      <c r="CG41">
        <v>91</v>
      </c>
      <c r="CH41">
        <v>91</v>
      </c>
      <c r="CI41">
        <v>94</v>
      </c>
      <c r="CJ41">
        <v>101</v>
      </c>
      <c r="CK41">
        <v>110</v>
      </c>
      <c r="CL41">
        <v>121</v>
      </c>
      <c r="CM41">
        <v>135</v>
      </c>
      <c r="CN41">
        <v>145</v>
      </c>
      <c r="CO41">
        <v>149</v>
      </c>
      <c r="CP41">
        <v>156</v>
      </c>
      <c r="CQ41">
        <v>165</v>
      </c>
      <c r="CR41">
        <v>171</v>
      </c>
      <c r="CS41">
        <v>175</v>
      </c>
      <c r="CT41">
        <v>177</v>
      </c>
      <c r="CU41">
        <v>182</v>
      </c>
      <c r="CV41">
        <v>193</v>
      </c>
      <c r="CW41">
        <v>204</v>
      </c>
      <c r="CX41">
        <v>208</v>
      </c>
      <c r="CY41">
        <v>210</v>
      </c>
      <c r="CZ41">
        <v>215</v>
      </c>
      <c r="DA41">
        <v>222</v>
      </c>
      <c r="DB41">
        <v>228</v>
      </c>
      <c r="DC41">
        <v>226</v>
      </c>
      <c r="DD41">
        <v>222</v>
      </c>
      <c r="DE41">
        <v>220</v>
      </c>
    </row>
    <row r="42" spans="2:109" x14ac:dyDescent="0.3">
      <c r="B42" s="6" t="str">
        <v>nmodels</v>
      </c>
      <c r="C42" s="6" t="str">
        <v>double</v>
      </c>
      <c r="D42" s="6">
        <v>94</v>
      </c>
      <c r="H42" s="6"/>
    </row>
    <row r="43" spans="2:109" x14ac:dyDescent="0.3">
      <c r="B43" s="6" t="str">
        <v>trace</v>
      </c>
      <c r="C43" s="6" t="str">
        <v>logical</v>
      </c>
      <c r="D43" s="6" t="b">
        <v>0</v>
      </c>
      <c r="H43" s="6" t="s">
        <v>25</v>
      </c>
      <c r="J43" cm="1">
        <f t="array" ref="J43:DE43">TRANSPOSE(_xll.Model.Result($F$3,H43))</f>
        <v>87.912000149453448</v>
      </c>
      <c r="K43">
        <v>86.170498066518178</v>
      </c>
      <c r="L43">
        <v>81.139053243505074</v>
      </c>
      <c r="M43">
        <v>87.452153314907335</v>
      </c>
      <c r="N43">
        <v>83.740791329850566</v>
      </c>
      <c r="O43">
        <v>83.4875160506257</v>
      </c>
      <c r="P43">
        <v>86.442500938568813</v>
      </c>
      <c r="Q43">
        <v>79.891324515393634</v>
      </c>
      <c r="R43">
        <v>88.985485406856696</v>
      </c>
      <c r="S43">
        <v>89.433174443220437</v>
      </c>
      <c r="T43">
        <v>89.422707523790706</v>
      </c>
      <c r="U43">
        <v>93.129772457887825</v>
      </c>
      <c r="V43">
        <v>107.28837239991852</v>
      </c>
      <c r="W43">
        <v>105.52352556550511</v>
      </c>
      <c r="X43">
        <v>120.6070160424247</v>
      </c>
      <c r="Y43">
        <v>137.93979382178492</v>
      </c>
      <c r="Z43">
        <v>145.83615583459706</v>
      </c>
      <c r="AA43">
        <v>151.28912362942606</v>
      </c>
      <c r="AB43">
        <v>154.09991768982013</v>
      </c>
      <c r="AC43">
        <v>147.19472414117132</v>
      </c>
      <c r="AD43">
        <v>147.12249772839724</v>
      </c>
      <c r="AE43">
        <v>146.28523972132234</v>
      </c>
      <c r="AF43">
        <v>151.72761879441674</v>
      </c>
      <c r="AG43">
        <v>134.51054358393472</v>
      </c>
      <c r="AH43">
        <v>123.52633287470313</v>
      </c>
      <c r="AI43">
        <v>134.27775274021246</v>
      </c>
      <c r="AJ43">
        <v>146.68500155620822</v>
      </c>
      <c r="AK43">
        <v>152.3685696969367</v>
      </c>
      <c r="AL43">
        <v>150.70621743329133</v>
      </c>
      <c r="AM43">
        <v>145.27687128999111</v>
      </c>
      <c r="AN43">
        <v>142.90334965951695</v>
      </c>
      <c r="AO43">
        <v>135.22213147361197</v>
      </c>
      <c r="AP43">
        <v>129.45539686432159</v>
      </c>
      <c r="AQ43">
        <v>129.86070912947824</v>
      </c>
      <c r="AR43">
        <v>131.59880659786563</v>
      </c>
      <c r="AS43">
        <v>126.33332598351964</v>
      </c>
      <c r="AT43">
        <v>123.87367730468637</v>
      </c>
      <c r="AU43">
        <v>127.11758646724003</v>
      </c>
      <c r="AV43">
        <v>138.46843233836773</v>
      </c>
      <c r="AW43">
        <v>139.48007788090982</v>
      </c>
      <c r="AX43">
        <v>142.22439685706368</v>
      </c>
      <c r="AY43">
        <v>143.18280988689725</v>
      </c>
      <c r="AZ43">
        <v>158.78609490749801</v>
      </c>
      <c r="BA43">
        <v>164.96581142333025</v>
      </c>
      <c r="BB43">
        <v>173.2721689631025</v>
      </c>
      <c r="BC43">
        <v>170.23128937373542</v>
      </c>
      <c r="BD43">
        <v>172.05440712118934</v>
      </c>
      <c r="BE43">
        <v>172.62177981700495</v>
      </c>
      <c r="BF43">
        <v>171.67319508434949</v>
      </c>
      <c r="BG43">
        <v>176.52371105052035</v>
      </c>
      <c r="BH43">
        <v>174.84951971212902</v>
      </c>
      <c r="BI43">
        <v>168.55117622512498</v>
      </c>
      <c r="BJ43">
        <v>173.81268759779078</v>
      </c>
      <c r="BK43">
        <v>175.39920258101415</v>
      </c>
      <c r="BL43">
        <v>173.26458487560933</v>
      </c>
      <c r="BM43">
        <v>163.50667184013849</v>
      </c>
      <c r="BN43">
        <v>163.18338323675107</v>
      </c>
      <c r="BO43">
        <v>146.3710595159186</v>
      </c>
      <c r="BP43">
        <v>130.59732542082889</v>
      </c>
      <c r="BQ43">
        <v>124.05750836484843</v>
      </c>
      <c r="BR43">
        <v>112.88922641068513</v>
      </c>
      <c r="BS43">
        <v>105.67924246811172</v>
      </c>
      <c r="BT43">
        <v>97.914389252354752</v>
      </c>
      <c r="BU43">
        <v>102.84662826035293</v>
      </c>
      <c r="BV43">
        <v>95.027100071340584</v>
      </c>
      <c r="BW43">
        <v>101.08813986971711</v>
      </c>
      <c r="BX43">
        <v>89.198594808191103</v>
      </c>
      <c r="BY43">
        <v>82.81739166267468</v>
      </c>
      <c r="BZ43">
        <v>82.020070175410467</v>
      </c>
      <c r="CA43">
        <v>85.040642976215736</v>
      </c>
      <c r="CB43">
        <v>89.98095792538345</v>
      </c>
      <c r="CC43">
        <v>89.785164499648005</v>
      </c>
      <c r="CD43">
        <v>86.411348901652019</v>
      </c>
      <c r="CE43">
        <v>82.307072890721017</v>
      </c>
      <c r="CF43">
        <v>88.591363283064453</v>
      </c>
      <c r="CG43">
        <v>91.16590570719093</v>
      </c>
      <c r="CH43">
        <v>92.213552594810395</v>
      </c>
      <c r="CI43">
        <v>90.362161745141833</v>
      </c>
      <c r="CJ43">
        <v>97.86316076011731</v>
      </c>
      <c r="CK43">
        <v>107.20134164240459</v>
      </c>
      <c r="CL43">
        <v>117.32434711341602</v>
      </c>
      <c r="CM43">
        <v>130.0860437849484</v>
      </c>
      <c r="CN43">
        <v>146.68801885236047</v>
      </c>
      <c r="CO43">
        <v>150.61654399304479</v>
      </c>
      <c r="CP43">
        <v>150.75185502787414</v>
      </c>
      <c r="CQ43">
        <v>163.31103525559027</v>
      </c>
      <c r="CR43">
        <v>171.74109671233046</v>
      </c>
      <c r="CS43">
        <v>174.51273847207435</v>
      </c>
      <c r="CT43">
        <v>177.85760656084861</v>
      </c>
      <c r="CU43">
        <v>177.84999746974401</v>
      </c>
      <c r="CV43">
        <v>187.43310415019741</v>
      </c>
      <c r="CW43">
        <v>203.0800733114236</v>
      </c>
      <c r="CX43">
        <v>211.63764542420103</v>
      </c>
      <c r="CY43">
        <v>208.68957242450543</v>
      </c>
      <c r="CZ43">
        <v>211.98950729891141</v>
      </c>
      <c r="DA43">
        <v>219.83418246856778</v>
      </c>
      <c r="DB43">
        <v>227.69097662436087</v>
      </c>
      <c r="DC43">
        <v>232.06467727321603</v>
      </c>
      <c r="DD43">
        <v>221.51167860491964</v>
      </c>
      <c r="DE43">
        <v>219.65515581281414</v>
      </c>
    </row>
    <row r="44" spans="2:109" x14ac:dyDescent="0.3">
      <c r="B44" s="6" t="str">
        <v>approximation</v>
      </c>
      <c r="C44" s="6" t="str">
        <v>language</v>
      </c>
      <c r="D44" s="6" t="str">
        <v>(length(x) &gt; 150 | frequency(x) &gt; 12)</v>
      </c>
    </row>
    <row r="45" spans="2:109" x14ac:dyDescent="0.3">
      <c r="B45" s="6" t="str">
        <v>method</v>
      </c>
      <c r="C45" s="6" t="str">
        <v>NULL</v>
      </c>
      <c r="D45" s="6" t="str">
        <v>&lt;missing&gt;</v>
      </c>
    </row>
    <row r="46" spans="2:109" x14ac:dyDescent="0.3">
      <c r="B46" s="6" t="str">
        <v>truncate</v>
      </c>
      <c r="C46" s="6" t="str">
        <v>NULL</v>
      </c>
      <c r="D46" s="6" t="str">
        <v>&lt;missing&gt;</v>
      </c>
    </row>
    <row r="47" spans="2:109" x14ac:dyDescent="0.3">
      <c r="B47" s="6" t="str">
        <v>xreg</v>
      </c>
      <c r="C47" s="6" t="str">
        <v>NULL</v>
      </c>
      <c r="D47" s="6" t="str">
        <v>&lt;missing&gt;</v>
      </c>
    </row>
    <row r="48" spans="2:109" x14ac:dyDescent="0.3">
      <c r="B48" s="6" t="str">
        <v>test</v>
      </c>
      <c r="C48" s="6" t="str">
        <v>language</v>
      </c>
      <c r="D48" s="6" t="str">
        <v>c("kpss", "adf", "pp")</v>
      </c>
    </row>
    <row r="49" spans="2:4" x14ac:dyDescent="0.3">
      <c r="B49" s="6" t="str">
        <v>test.args</v>
      </c>
      <c r="C49" s="6" t="str">
        <v>language</v>
      </c>
      <c r="D49" s="6" t="str">
        <v>list()</v>
      </c>
    </row>
    <row r="50" spans="2:4" x14ac:dyDescent="0.3">
      <c r="B50" s="6" t="str">
        <v>seasonal.test</v>
      </c>
      <c r="C50" s="6" t="str">
        <v>language</v>
      </c>
      <c r="D50" s="6" t="str">
        <v>c("seas", "ocsb", "hegy", "ch")</v>
      </c>
    </row>
    <row r="51" spans="2:4" x14ac:dyDescent="0.3">
      <c r="B51" s="6" t="str">
        <v>seasonal.test.args</v>
      </c>
      <c r="C51" s="6" t="str">
        <v>language</v>
      </c>
      <c r="D51" s="6" t="str">
        <v>list()</v>
      </c>
    </row>
    <row r="52" spans="2:4" x14ac:dyDescent="0.3">
      <c r="B52" s="6" t="str">
        <v>allowdrift</v>
      </c>
      <c r="C52" s="6" t="str">
        <v>logical</v>
      </c>
      <c r="D52" s="6" t="b">
        <v>1</v>
      </c>
    </row>
    <row r="53" spans="2:4" x14ac:dyDescent="0.3">
      <c r="B53" s="6" t="str">
        <v>allowmean</v>
      </c>
      <c r="C53" s="6" t="str">
        <v>logical</v>
      </c>
      <c r="D53" s="6" t="b">
        <v>1</v>
      </c>
    </row>
    <row r="54" spans="2:4" x14ac:dyDescent="0.3">
      <c r="B54" s="6" t="str">
        <v>lambda</v>
      </c>
      <c r="C54" s="6" t="str">
        <v>NULL</v>
      </c>
      <c r="D54" s="6" t="str">
        <v>&lt;missing&gt;</v>
      </c>
    </row>
    <row r="55" spans="2:4" x14ac:dyDescent="0.3">
      <c r="B55" s="6" t="str">
        <v>biasadj</v>
      </c>
      <c r="C55" s="6" t="str">
        <v>logical</v>
      </c>
      <c r="D55" s="6" t="b">
        <v>0</v>
      </c>
    </row>
    <row r="56" spans="2:4" x14ac:dyDescent="0.3">
      <c r="B56" s="6" t="str">
        <v>parallel</v>
      </c>
      <c r="C56" s="6" t="str">
        <v>logical</v>
      </c>
      <c r="D56" s="6" t="b">
        <v>0</v>
      </c>
    </row>
    <row r="57" spans="2:4" x14ac:dyDescent="0.3">
      <c r="B57" s="6" t="str">
        <v>num.cores</v>
      </c>
      <c r="C57" s="6" t="str">
        <v>double</v>
      </c>
      <c r="D57" s="6">
        <v>2</v>
      </c>
    </row>
    <row r="58" spans="2:4" x14ac:dyDescent="0.3">
      <c r="B58" s="6" t="str">
        <v>x</v>
      </c>
      <c r="C58" s="6" t="str">
        <v>symbol</v>
      </c>
      <c r="D58" s="6" t="str">
        <v>y</v>
      </c>
    </row>
    <row r="59" spans="2:4" x14ac:dyDescent="0.3">
      <c r="B59" s="6" t="str">
        <v>...</v>
      </c>
      <c r="C59" s="6" t="str">
        <v>symbol</v>
      </c>
      <c r="D59" s="6" t="str">
        <v>&lt;missing&gt;</v>
      </c>
    </row>
  </sheetData>
  <mergeCells count="1"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882-F2BE-4B17-93AE-58A0694CD2AA}">
  <dimension ref="B2:R102"/>
  <sheetViews>
    <sheetView workbookViewId="0"/>
  </sheetViews>
  <sheetFormatPr defaultRowHeight="14.4" x14ac:dyDescent="0.3"/>
  <sheetData>
    <row r="2" spans="2:18" x14ac:dyDescent="0.3">
      <c r="B2" s="37" t="s">
        <v>9</v>
      </c>
      <c r="C2" s="37"/>
      <c r="E2" t="str" cm="1">
        <f t="array" ref="E2:O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lower</v>
      </c>
      <c r="K2" t="str">
        <v>upper</v>
      </c>
      <c r="L2" t="str">
        <v>model</v>
      </c>
      <c r="M2" t="str">
        <v>lambda</v>
      </c>
      <c r="N2" t="str">
        <v>fitted</v>
      </c>
      <c r="O2" t="str">
        <v>residuals</v>
      </c>
      <c r="Q2" t="str" cm="1">
        <f t="array" ref="Q2:Q6">_xll.Model.Result($C$9, L2)</f>
        <v>mu</v>
      </c>
      <c r="R2" cm="1">
        <f t="array" ref="R2">_xll.Model.Result($C$9,$L$2,Q2)</f>
        <v>919.35</v>
      </c>
    </row>
    <row r="3" spans="2:18" x14ac:dyDescent="0.3">
      <c r="B3" s="3" t="s">
        <v>11</v>
      </c>
      <c r="C3" s="4" t="str">
        <f>"meanf"&amp;C5</f>
        <v>meanf2</v>
      </c>
      <c r="E3" t="str" cm="1">
        <f t="array" ref="E3">_xll.Model.Result($C$9, E2)</f>
        <v>Mean</v>
      </c>
      <c r="F3" cm="1">
        <f t="array" ref="F3:F4">_xll.Model.Result($C$9, F2)</f>
        <v>80</v>
      </c>
      <c r="G3" cm="1">
        <f t="array" ref="G3:G102">_xll.Model.Result($C$9, G2)</f>
        <v>1120</v>
      </c>
      <c r="H3" t="str" cm="1">
        <f t="array" ref="H3">_xll.Model.Result($C$9, H2)</f>
        <v>Nile</v>
      </c>
      <c r="I3" cm="1">
        <f t="array" ref="I3:I4">_xll.Model.Result($C$9, I2)</f>
        <v>919.35</v>
      </c>
      <c r="M3" t="str" cm="1">
        <f t="array" ref="M3">_xll.Model.Result($C$9, M2)</f>
        <v>OK</v>
      </c>
      <c r="N3" cm="1">
        <f t="array" ref="N3:N102">_xll.Model.Result($C$9, N2)</f>
        <v>919.35</v>
      </c>
      <c r="O3" cm="1">
        <f t="array" ref="O3:O102">_xll.Model.Result($C$9, O2)</f>
        <v>200.64999999999998</v>
      </c>
      <c r="Q3" t="str">
        <v>mu.se</v>
      </c>
      <c r="R3" cm="1">
        <f t="array" ref="R3">_xll.Model.Result($C$9,$L$2,Q3)</f>
        <v>16.922750063065095</v>
      </c>
    </row>
    <row r="4" spans="2:18" x14ac:dyDescent="0.3">
      <c r="B4" s="3" t="s">
        <v>10</v>
      </c>
      <c r="C4" s="4" t="s">
        <v>102</v>
      </c>
      <c r="F4">
        <v>95</v>
      </c>
      <c r="G4">
        <v>1160</v>
      </c>
      <c r="I4">
        <v>919.35</v>
      </c>
      <c r="N4">
        <v>919.35</v>
      </c>
      <c r="O4">
        <v>240.64999999999998</v>
      </c>
      <c r="Q4" t="str">
        <v>sd</v>
      </c>
      <c r="R4" cm="1">
        <f t="array" ref="R4">_xll.Model.Result($C$9,$L$2,Q4)</f>
        <v>169.22750063065095</v>
      </c>
    </row>
    <row r="5" spans="2:18" x14ac:dyDescent="0.3">
      <c r="B5" s="3" t="s">
        <v>65</v>
      </c>
      <c r="C5" s="4">
        <v>2</v>
      </c>
      <c r="G5">
        <v>963</v>
      </c>
      <c r="N5">
        <v>919.35</v>
      </c>
      <c r="O5">
        <v>43.649999999999977</v>
      </c>
      <c r="Q5" t="str">
        <v>bootstrap</v>
      </c>
      <c r="R5" t="b" cm="1">
        <f t="array" ref="R5">_xll.Model.Result($C$9,$L$2,Q5)</f>
        <v>0</v>
      </c>
    </row>
    <row r="6" spans="2:18" x14ac:dyDescent="0.3">
      <c r="B6" s="10"/>
      <c r="G6">
        <v>1210</v>
      </c>
      <c r="N6">
        <v>919.35</v>
      </c>
      <c r="O6">
        <v>290.64999999999998</v>
      </c>
      <c r="Q6" t="str">
        <v>call</v>
      </c>
      <c r="R6" t="str" cm="1">
        <f t="array" ref="R6">_xll.Model.Result($C$9,$L$2,Q6)</f>
        <v>meanf(y = Nile, h = 2)</v>
      </c>
    </row>
    <row r="7" spans="2:18" x14ac:dyDescent="0.3">
      <c r="G7">
        <v>1160</v>
      </c>
      <c r="N7">
        <v>919.35</v>
      </c>
      <c r="O7">
        <v>240.64999999999998</v>
      </c>
    </row>
    <row r="8" spans="2:18" x14ac:dyDescent="0.3">
      <c r="G8">
        <v>1160</v>
      </c>
      <c r="N8">
        <v>919.35</v>
      </c>
      <c r="O8">
        <v>240.64999999999998</v>
      </c>
    </row>
    <row r="9" spans="2:18" x14ac:dyDescent="0.3">
      <c r="B9" s="7" t="s">
        <v>24</v>
      </c>
      <c r="C9" s="5" t="str" cm="1">
        <f t="array" ref="C9">_xll.Forecast.meanf(C3,C4, B5:C5)</f>
        <v>meanf2</v>
      </c>
      <c r="G9">
        <v>813</v>
      </c>
      <c r="N9">
        <v>919.35</v>
      </c>
      <c r="O9">
        <v>-106.35000000000002</v>
      </c>
    </row>
    <row r="10" spans="2:18" x14ac:dyDescent="0.3">
      <c r="G10">
        <v>1230</v>
      </c>
      <c r="N10">
        <v>919.35</v>
      </c>
      <c r="O10">
        <v>310.64999999999998</v>
      </c>
    </row>
    <row r="11" spans="2:18" x14ac:dyDescent="0.3">
      <c r="G11">
        <v>1370</v>
      </c>
      <c r="N11">
        <v>919.35</v>
      </c>
      <c r="O11">
        <v>450.65</v>
      </c>
    </row>
    <row r="12" spans="2:18" x14ac:dyDescent="0.3">
      <c r="G12">
        <v>1140</v>
      </c>
      <c r="N12">
        <v>919.35</v>
      </c>
      <c r="O12">
        <v>220.64999999999998</v>
      </c>
    </row>
    <row r="13" spans="2:18" x14ac:dyDescent="0.3">
      <c r="G13">
        <v>995</v>
      </c>
      <c r="N13">
        <v>919.35</v>
      </c>
      <c r="O13">
        <v>75.649999999999977</v>
      </c>
    </row>
    <row r="14" spans="2:18" x14ac:dyDescent="0.3">
      <c r="G14">
        <v>935</v>
      </c>
      <c r="N14">
        <v>919.35</v>
      </c>
      <c r="O14">
        <v>15.649999999999977</v>
      </c>
    </row>
    <row r="15" spans="2:18" x14ac:dyDescent="0.3">
      <c r="G15">
        <v>1110</v>
      </c>
      <c r="N15">
        <v>919.35</v>
      </c>
      <c r="O15">
        <v>190.64999999999998</v>
      </c>
    </row>
    <row r="16" spans="2:18" x14ac:dyDescent="0.3">
      <c r="G16">
        <v>994</v>
      </c>
      <c r="N16">
        <v>919.35</v>
      </c>
      <c r="O16">
        <v>74.649999999999977</v>
      </c>
    </row>
    <row r="17" spans="7:15" x14ac:dyDescent="0.3">
      <c r="G17">
        <v>1020</v>
      </c>
      <c r="N17">
        <v>919.35</v>
      </c>
      <c r="O17">
        <v>100.64999999999998</v>
      </c>
    </row>
    <row r="18" spans="7:15" x14ac:dyDescent="0.3">
      <c r="G18">
        <v>960</v>
      </c>
      <c r="N18">
        <v>919.35</v>
      </c>
      <c r="O18">
        <v>40.649999999999977</v>
      </c>
    </row>
    <row r="19" spans="7:15" x14ac:dyDescent="0.3">
      <c r="G19">
        <v>1180</v>
      </c>
      <c r="N19">
        <v>919.35</v>
      </c>
      <c r="O19">
        <v>260.64999999999998</v>
      </c>
    </row>
    <row r="20" spans="7:15" x14ac:dyDescent="0.3">
      <c r="G20">
        <v>799</v>
      </c>
      <c r="N20">
        <v>919.35</v>
      </c>
      <c r="O20">
        <v>-120.35000000000002</v>
      </c>
    </row>
    <row r="21" spans="7:15" x14ac:dyDescent="0.3">
      <c r="G21">
        <v>958</v>
      </c>
      <c r="N21">
        <v>919.35</v>
      </c>
      <c r="O21">
        <v>38.649999999999977</v>
      </c>
    </row>
    <row r="22" spans="7:15" x14ac:dyDescent="0.3">
      <c r="G22">
        <v>1140</v>
      </c>
      <c r="N22">
        <v>919.35</v>
      </c>
      <c r="O22">
        <v>220.64999999999998</v>
      </c>
    </row>
    <row r="23" spans="7:15" x14ac:dyDescent="0.3">
      <c r="G23">
        <v>1100</v>
      </c>
      <c r="N23">
        <v>919.35</v>
      </c>
      <c r="O23">
        <v>180.64999999999998</v>
      </c>
    </row>
    <row r="24" spans="7:15" x14ac:dyDescent="0.3">
      <c r="G24">
        <v>1210</v>
      </c>
      <c r="N24">
        <v>919.35</v>
      </c>
      <c r="O24">
        <v>290.64999999999998</v>
      </c>
    </row>
    <row r="25" spans="7:15" x14ac:dyDescent="0.3">
      <c r="G25">
        <v>1150</v>
      </c>
      <c r="N25">
        <v>919.35</v>
      </c>
      <c r="O25">
        <v>230.64999999999998</v>
      </c>
    </row>
    <row r="26" spans="7:15" x14ac:dyDescent="0.3">
      <c r="G26">
        <v>1250</v>
      </c>
      <c r="N26">
        <v>919.35</v>
      </c>
      <c r="O26">
        <v>330.65</v>
      </c>
    </row>
    <row r="27" spans="7:15" x14ac:dyDescent="0.3">
      <c r="G27">
        <v>1260</v>
      </c>
      <c r="N27">
        <v>919.35</v>
      </c>
      <c r="O27">
        <v>340.65</v>
      </c>
    </row>
    <row r="28" spans="7:15" x14ac:dyDescent="0.3">
      <c r="G28">
        <v>1220</v>
      </c>
      <c r="N28">
        <v>919.35</v>
      </c>
      <c r="O28">
        <v>300.64999999999998</v>
      </c>
    </row>
    <row r="29" spans="7:15" x14ac:dyDescent="0.3">
      <c r="G29">
        <v>1030</v>
      </c>
      <c r="N29">
        <v>919.35</v>
      </c>
      <c r="O29">
        <v>110.64999999999998</v>
      </c>
    </row>
    <row r="30" spans="7:15" x14ac:dyDescent="0.3">
      <c r="G30">
        <v>1100</v>
      </c>
      <c r="N30">
        <v>919.35</v>
      </c>
      <c r="O30">
        <v>180.64999999999998</v>
      </c>
    </row>
    <row r="31" spans="7:15" x14ac:dyDescent="0.3">
      <c r="G31">
        <v>774</v>
      </c>
      <c r="N31">
        <v>919.35</v>
      </c>
      <c r="O31">
        <v>-145.35000000000002</v>
      </c>
    </row>
    <row r="32" spans="7:15" x14ac:dyDescent="0.3">
      <c r="G32">
        <v>840</v>
      </c>
      <c r="N32">
        <v>919.35</v>
      </c>
      <c r="O32">
        <v>-79.350000000000023</v>
      </c>
    </row>
    <row r="33" spans="7:15" x14ac:dyDescent="0.3">
      <c r="G33">
        <v>874</v>
      </c>
      <c r="N33">
        <v>919.35</v>
      </c>
      <c r="O33">
        <v>-45.350000000000023</v>
      </c>
    </row>
    <row r="34" spans="7:15" x14ac:dyDescent="0.3">
      <c r="G34">
        <v>694</v>
      </c>
      <c r="N34">
        <v>919.35</v>
      </c>
      <c r="O34">
        <v>-225.35000000000002</v>
      </c>
    </row>
    <row r="35" spans="7:15" x14ac:dyDescent="0.3">
      <c r="G35">
        <v>940</v>
      </c>
      <c r="N35">
        <v>919.35</v>
      </c>
      <c r="O35">
        <v>20.649999999999977</v>
      </c>
    </row>
    <row r="36" spans="7:15" x14ac:dyDescent="0.3">
      <c r="G36">
        <v>833</v>
      </c>
      <c r="N36">
        <v>919.35</v>
      </c>
      <c r="O36">
        <v>-86.350000000000023</v>
      </c>
    </row>
    <row r="37" spans="7:15" x14ac:dyDescent="0.3">
      <c r="G37">
        <v>701</v>
      </c>
      <c r="N37">
        <v>919.35</v>
      </c>
      <c r="O37">
        <v>-218.35000000000002</v>
      </c>
    </row>
    <row r="38" spans="7:15" x14ac:dyDescent="0.3">
      <c r="G38">
        <v>916</v>
      </c>
      <c r="N38">
        <v>919.35</v>
      </c>
      <c r="O38">
        <v>-3.3500000000000227</v>
      </c>
    </row>
    <row r="39" spans="7:15" x14ac:dyDescent="0.3">
      <c r="G39">
        <v>692</v>
      </c>
      <c r="N39">
        <v>919.35</v>
      </c>
      <c r="O39">
        <v>-227.35000000000002</v>
      </c>
    </row>
    <row r="40" spans="7:15" x14ac:dyDescent="0.3">
      <c r="G40">
        <v>1020</v>
      </c>
      <c r="N40">
        <v>919.35</v>
      </c>
      <c r="O40">
        <v>100.64999999999998</v>
      </c>
    </row>
    <row r="41" spans="7:15" x14ac:dyDescent="0.3">
      <c r="G41">
        <v>1050</v>
      </c>
      <c r="N41">
        <v>919.35</v>
      </c>
      <c r="O41">
        <v>130.64999999999998</v>
      </c>
    </row>
    <row r="42" spans="7:15" x14ac:dyDescent="0.3">
      <c r="G42">
        <v>969</v>
      </c>
      <c r="N42">
        <v>919.35</v>
      </c>
      <c r="O42">
        <v>49.649999999999977</v>
      </c>
    </row>
    <row r="43" spans="7:15" x14ac:dyDescent="0.3">
      <c r="G43">
        <v>831</v>
      </c>
      <c r="N43">
        <v>919.35</v>
      </c>
      <c r="O43">
        <v>-88.350000000000023</v>
      </c>
    </row>
    <row r="44" spans="7:15" x14ac:dyDescent="0.3">
      <c r="G44">
        <v>726</v>
      </c>
      <c r="N44">
        <v>919.35</v>
      </c>
      <c r="O44">
        <v>-193.35000000000002</v>
      </c>
    </row>
    <row r="45" spans="7:15" x14ac:dyDescent="0.3">
      <c r="G45">
        <v>456</v>
      </c>
      <c r="N45">
        <v>919.35</v>
      </c>
      <c r="O45">
        <v>-463.35</v>
      </c>
    </row>
    <row r="46" spans="7:15" x14ac:dyDescent="0.3">
      <c r="G46">
        <v>824</v>
      </c>
      <c r="N46">
        <v>919.35</v>
      </c>
      <c r="O46">
        <v>-95.350000000000023</v>
      </c>
    </row>
    <row r="47" spans="7:15" x14ac:dyDescent="0.3">
      <c r="G47">
        <v>702</v>
      </c>
      <c r="N47">
        <v>919.35</v>
      </c>
      <c r="O47">
        <v>-217.35000000000002</v>
      </c>
    </row>
    <row r="48" spans="7:15" x14ac:dyDescent="0.3">
      <c r="G48">
        <v>1120</v>
      </c>
      <c r="N48">
        <v>919.35</v>
      </c>
      <c r="O48">
        <v>200.64999999999998</v>
      </c>
    </row>
    <row r="49" spans="7:15" x14ac:dyDescent="0.3">
      <c r="G49">
        <v>1100</v>
      </c>
      <c r="N49">
        <v>919.35</v>
      </c>
      <c r="O49">
        <v>180.64999999999998</v>
      </c>
    </row>
    <row r="50" spans="7:15" x14ac:dyDescent="0.3">
      <c r="G50">
        <v>832</v>
      </c>
      <c r="N50">
        <v>919.35</v>
      </c>
      <c r="O50">
        <v>-87.350000000000023</v>
      </c>
    </row>
    <row r="51" spans="7:15" x14ac:dyDescent="0.3">
      <c r="G51">
        <v>764</v>
      </c>
      <c r="N51">
        <v>919.35</v>
      </c>
      <c r="O51">
        <v>-155.35000000000002</v>
      </c>
    </row>
    <row r="52" spans="7:15" x14ac:dyDescent="0.3">
      <c r="G52">
        <v>821</v>
      </c>
      <c r="N52">
        <v>919.35</v>
      </c>
      <c r="O52">
        <v>-98.350000000000023</v>
      </c>
    </row>
    <row r="53" spans="7:15" x14ac:dyDescent="0.3">
      <c r="G53">
        <v>768</v>
      </c>
      <c r="N53">
        <v>919.35</v>
      </c>
      <c r="O53">
        <v>-151.35000000000002</v>
      </c>
    </row>
    <row r="54" spans="7:15" x14ac:dyDescent="0.3">
      <c r="G54">
        <v>845</v>
      </c>
      <c r="N54">
        <v>919.35</v>
      </c>
      <c r="O54">
        <v>-74.350000000000023</v>
      </c>
    </row>
    <row r="55" spans="7:15" x14ac:dyDescent="0.3">
      <c r="G55">
        <v>864</v>
      </c>
      <c r="N55">
        <v>919.35</v>
      </c>
      <c r="O55">
        <v>-55.350000000000023</v>
      </c>
    </row>
    <row r="56" spans="7:15" x14ac:dyDescent="0.3">
      <c r="G56">
        <v>862</v>
      </c>
      <c r="N56">
        <v>919.35</v>
      </c>
      <c r="O56">
        <v>-57.350000000000023</v>
      </c>
    </row>
    <row r="57" spans="7:15" x14ac:dyDescent="0.3">
      <c r="G57">
        <v>698</v>
      </c>
      <c r="N57">
        <v>919.35</v>
      </c>
      <c r="O57">
        <v>-221.35000000000002</v>
      </c>
    </row>
    <row r="58" spans="7:15" x14ac:dyDescent="0.3">
      <c r="G58">
        <v>845</v>
      </c>
      <c r="N58">
        <v>919.35</v>
      </c>
      <c r="O58">
        <v>-74.350000000000023</v>
      </c>
    </row>
    <row r="59" spans="7:15" x14ac:dyDescent="0.3">
      <c r="G59">
        <v>744</v>
      </c>
      <c r="N59">
        <v>919.35</v>
      </c>
      <c r="O59">
        <v>-175.35000000000002</v>
      </c>
    </row>
    <row r="60" spans="7:15" x14ac:dyDescent="0.3">
      <c r="G60">
        <v>796</v>
      </c>
      <c r="N60">
        <v>919.35</v>
      </c>
      <c r="O60">
        <v>-123.35000000000002</v>
      </c>
    </row>
    <row r="61" spans="7:15" x14ac:dyDescent="0.3">
      <c r="G61">
        <v>1040</v>
      </c>
      <c r="N61">
        <v>919.35</v>
      </c>
      <c r="O61">
        <v>120.64999999999998</v>
      </c>
    </row>
    <row r="62" spans="7:15" x14ac:dyDescent="0.3">
      <c r="G62">
        <v>759</v>
      </c>
      <c r="N62">
        <v>919.35</v>
      </c>
      <c r="O62">
        <v>-160.35000000000002</v>
      </c>
    </row>
    <row r="63" spans="7:15" x14ac:dyDescent="0.3">
      <c r="G63">
        <v>781</v>
      </c>
      <c r="N63">
        <v>919.35</v>
      </c>
      <c r="O63">
        <v>-138.35000000000002</v>
      </c>
    </row>
    <row r="64" spans="7:15" x14ac:dyDescent="0.3">
      <c r="G64">
        <v>865</v>
      </c>
      <c r="N64">
        <v>919.35</v>
      </c>
      <c r="O64">
        <v>-54.350000000000023</v>
      </c>
    </row>
    <row r="65" spans="7:15" x14ac:dyDescent="0.3">
      <c r="G65">
        <v>845</v>
      </c>
      <c r="N65">
        <v>919.35</v>
      </c>
      <c r="O65">
        <v>-74.350000000000023</v>
      </c>
    </row>
    <row r="66" spans="7:15" x14ac:dyDescent="0.3">
      <c r="G66">
        <v>944</v>
      </c>
      <c r="N66">
        <v>919.35</v>
      </c>
      <c r="O66">
        <v>24.649999999999977</v>
      </c>
    </row>
    <row r="67" spans="7:15" x14ac:dyDescent="0.3">
      <c r="G67">
        <v>984</v>
      </c>
      <c r="N67">
        <v>919.35</v>
      </c>
      <c r="O67">
        <v>64.649999999999977</v>
      </c>
    </row>
    <row r="68" spans="7:15" x14ac:dyDescent="0.3">
      <c r="G68">
        <v>897</v>
      </c>
      <c r="N68">
        <v>919.35</v>
      </c>
      <c r="O68">
        <v>-22.350000000000023</v>
      </c>
    </row>
    <row r="69" spans="7:15" x14ac:dyDescent="0.3">
      <c r="G69">
        <v>822</v>
      </c>
      <c r="N69">
        <v>919.35</v>
      </c>
      <c r="O69">
        <v>-97.350000000000023</v>
      </c>
    </row>
    <row r="70" spans="7:15" x14ac:dyDescent="0.3">
      <c r="G70">
        <v>1010</v>
      </c>
      <c r="N70">
        <v>919.35</v>
      </c>
      <c r="O70">
        <v>90.649999999999977</v>
      </c>
    </row>
    <row r="71" spans="7:15" x14ac:dyDescent="0.3">
      <c r="G71">
        <v>771</v>
      </c>
      <c r="N71">
        <v>919.35</v>
      </c>
      <c r="O71">
        <v>-148.35000000000002</v>
      </c>
    </row>
    <row r="72" spans="7:15" x14ac:dyDescent="0.3">
      <c r="G72">
        <v>676</v>
      </c>
      <c r="N72">
        <v>919.35</v>
      </c>
      <c r="O72">
        <v>-243.35000000000002</v>
      </c>
    </row>
    <row r="73" spans="7:15" x14ac:dyDescent="0.3">
      <c r="G73">
        <v>649</v>
      </c>
      <c r="N73">
        <v>919.35</v>
      </c>
      <c r="O73">
        <v>-270.35000000000002</v>
      </c>
    </row>
    <row r="74" spans="7:15" x14ac:dyDescent="0.3">
      <c r="G74">
        <v>846</v>
      </c>
      <c r="N74">
        <v>919.35</v>
      </c>
      <c r="O74">
        <v>-73.350000000000023</v>
      </c>
    </row>
    <row r="75" spans="7:15" x14ac:dyDescent="0.3">
      <c r="G75">
        <v>812</v>
      </c>
      <c r="N75">
        <v>919.35</v>
      </c>
      <c r="O75">
        <v>-107.35000000000002</v>
      </c>
    </row>
    <row r="76" spans="7:15" x14ac:dyDescent="0.3">
      <c r="G76">
        <v>742</v>
      </c>
      <c r="N76">
        <v>919.35</v>
      </c>
      <c r="O76">
        <v>-177.35000000000002</v>
      </c>
    </row>
    <row r="77" spans="7:15" x14ac:dyDescent="0.3">
      <c r="G77">
        <v>801</v>
      </c>
      <c r="N77">
        <v>919.35</v>
      </c>
      <c r="O77">
        <v>-118.35000000000002</v>
      </c>
    </row>
    <row r="78" spans="7:15" x14ac:dyDescent="0.3">
      <c r="G78">
        <v>1040</v>
      </c>
      <c r="N78">
        <v>919.35</v>
      </c>
      <c r="O78">
        <v>120.64999999999998</v>
      </c>
    </row>
    <row r="79" spans="7:15" x14ac:dyDescent="0.3">
      <c r="G79">
        <v>860</v>
      </c>
      <c r="N79">
        <v>919.35</v>
      </c>
      <c r="O79">
        <v>-59.350000000000023</v>
      </c>
    </row>
    <row r="80" spans="7:15" x14ac:dyDescent="0.3">
      <c r="G80">
        <v>874</v>
      </c>
      <c r="N80">
        <v>919.35</v>
      </c>
      <c r="O80">
        <v>-45.350000000000023</v>
      </c>
    </row>
    <row r="81" spans="7:15" x14ac:dyDescent="0.3">
      <c r="G81">
        <v>848</v>
      </c>
      <c r="N81">
        <v>919.35</v>
      </c>
      <c r="O81">
        <v>-71.350000000000023</v>
      </c>
    </row>
    <row r="82" spans="7:15" x14ac:dyDescent="0.3">
      <c r="G82">
        <v>890</v>
      </c>
      <c r="N82">
        <v>919.35</v>
      </c>
      <c r="O82">
        <v>-29.350000000000023</v>
      </c>
    </row>
    <row r="83" spans="7:15" x14ac:dyDescent="0.3">
      <c r="G83">
        <v>744</v>
      </c>
      <c r="N83">
        <v>919.35</v>
      </c>
      <c r="O83">
        <v>-175.35000000000002</v>
      </c>
    </row>
    <row r="84" spans="7:15" x14ac:dyDescent="0.3">
      <c r="G84">
        <v>749</v>
      </c>
      <c r="N84">
        <v>919.35</v>
      </c>
      <c r="O84">
        <v>-170.35000000000002</v>
      </c>
    </row>
    <row r="85" spans="7:15" x14ac:dyDescent="0.3">
      <c r="G85">
        <v>838</v>
      </c>
      <c r="N85">
        <v>919.35</v>
      </c>
      <c r="O85">
        <v>-81.350000000000023</v>
      </c>
    </row>
    <row r="86" spans="7:15" x14ac:dyDescent="0.3">
      <c r="G86">
        <v>1050</v>
      </c>
      <c r="N86">
        <v>919.35</v>
      </c>
      <c r="O86">
        <v>130.64999999999998</v>
      </c>
    </row>
    <row r="87" spans="7:15" x14ac:dyDescent="0.3">
      <c r="G87">
        <v>918</v>
      </c>
      <c r="N87">
        <v>919.35</v>
      </c>
      <c r="O87">
        <v>-1.3500000000000227</v>
      </c>
    </row>
    <row r="88" spans="7:15" x14ac:dyDescent="0.3">
      <c r="G88">
        <v>986</v>
      </c>
      <c r="N88">
        <v>919.35</v>
      </c>
      <c r="O88">
        <v>66.649999999999977</v>
      </c>
    </row>
    <row r="89" spans="7:15" x14ac:dyDescent="0.3">
      <c r="G89">
        <v>797</v>
      </c>
      <c r="N89">
        <v>919.35</v>
      </c>
      <c r="O89">
        <v>-122.35000000000002</v>
      </c>
    </row>
    <row r="90" spans="7:15" x14ac:dyDescent="0.3">
      <c r="G90">
        <v>923</v>
      </c>
      <c r="N90">
        <v>919.35</v>
      </c>
      <c r="O90">
        <v>3.6499999999999773</v>
      </c>
    </row>
    <row r="91" spans="7:15" x14ac:dyDescent="0.3">
      <c r="G91">
        <v>975</v>
      </c>
      <c r="N91">
        <v>919.35</v>
      </c>
      <c r="O91">
        <v>55.649999999999977</v>
      </c>
    </row>
    <row r="92" spans="7:15" x14ac:dyDescent="0.3">
      <c r="G92">
        <v>815</v>
      </c>
      <c r="N92">
        <v>919.35</v>
      </c>
      <c r="O92">
        <v>-104.35000000000002</v>
      </c>
    </row>
    <row r="93" spans="7:15" x14ac:dyDescent="0.3">
      <c r="G93">
        <v>1020</v>
      </c>
      <c r="N93">
        <v>919.35</v>
      </c>
      <c r="O93">
        <v>100.64999999999998</v>
      </c>
    </row>
    <row r="94" spans="7:15" x14ac:dyDescent="0.3">
      <c r="G94">
        <v>906</v>
      </c>
      <c r="N94">
        <v>919.35</v>
      </c>
      <c r="O94">
        <v>-13.350000000000023</v>
      </c>
    </row>
    <row r="95" spans="7:15" x14ac:dyDescent="0.3">
      <c r="G95">
        <v>901</v>
      </c>
      <c r="N95">
        <v>919.35</v>
      </c>
      <c r="O95">
        <v>-18.350000000000023</v>
      </c>
    </row>
    <row r="96" spans="7:15" x14ac:dyDescent="0.3">
      <c r="G96">
        <v>1170</v>
      </c>
      <c r="N96">
        <v>919.35</v>
      </c>
      <c r="O96">
        <v>250.64999999999998</v>
      </c>
    </row>
    <row r="97" spans="7:15" x14ac:dyDescent="0.3">
      <c r="G97">
        <v>912</v>
      </c>
      <c r="N97">
        <v>919.35</v>
      </c>
      <c r="O97">
        <v>-7.3500000000000227</v>
      </c>
    </row>
    <row r="98" spans="7:15" x14ac:dyDescent="0.3">
      <c r="G98">
        <v>746</v>
      </c>
      <c r="N98">
        <v>919.35</v>
      </c>
      <c r="O98">
        <v>-173.35000000000002</v>
      </c>
    </row>
    <row r="99" spans="7:15" x14ac:dyDescent="0.3">
      <c r="G99">
        <v>919</v>
      </c>
      <c r="N99">
        <v>919.35</v>
      </c>
      <c r="O99">
        <v>-0.35000000000002274</v>
      </c>
    </row>
    <row r="100" spans="7:15" x14ac:dyDescent="0.3">
      <c r="G100">
        <v>718</v>
      </c>
      <c r="N100">
        <v>919.35</v>
      </c>
      <c r="O100">
        <v>-201.35000000000002</v>
      </c>
    </row>
    <row r="101" spans="7:15" x14ac:dyDescent="0.3">
      <c r="G101">
        <v>714</v>
      </c>
      <c r="N101">
        <v>919.35</v>
      </c>
      <c r="O101">
        <v>-205.35000000000002</v>
      </c>
    </row>
    <row r="102" spans="7:15" x14ac:dyDescent="0.3">
      <c r="G102">
        <v>740</v>
      </c>
      <c r="N102">
        <v>919.35</v>
      </c>
      <c r="O102">
        <v>-179.35000000000002</v>
      </c>
    </row>
  </sheetData>
  <mergeCells count="1"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0C4-2C97-4F64-AE55-5DABBB3F8692}">
  <dimension ref="B2:CF69"/>
  <sheetViews>
    <sheetView workbookViewId="0">
      <selection activeCell="C10" sqref="C10"/>
    </sheetView>
  </sheetViews>
  <sheetFormatPr defaultRowHeight="14.4" x14ac:dyDescent="0.3"/>
  <cols>
    <col min="5" max="5" width="12.5546875" customWidth="1"/>
  </cols>
  <sheetData>
    <row r="2" spans="2:84" x14ac:dyDescent="0.3">
      <c r="B2" s="37" t="s">
        <v>9</v>
      </c>
      <c r="C2" s="37"/>
      <c r="E2" t="str" cm="1">
        <f t="array" ref="E2:O2">TRANSPOSE(_xll.Model.Results(C9))</f>
        <v>method</v>
      </c>
      <c r="F2" t="str">
        <v>model</v>
      </c>
      <c r="G2" t="str">
        <v>lambda</v>
      </c>
      <c r="H2" t="str">
        <v>x</v>
      </c>
      <c r="I2" t="str">
        <v>fitted</v>
      </c>
      <c r="J2" t="str">
        <v>residuals</v>
      </c>
      <c r="K2" t="str">
        <v>series</v>
      </c>
      <c r="L2" t="str">
        <v>mean</v>
      </c>
      <c r="M2" t="str">
        <v>level</v>
      </c>
      <c r="N2" t="str">
        <v>lower</v>
      </c>
      <c r="O2" t="str">
        <v>upper</v>
      </c>
      <c r="Q2" t="str" cm="1">
        <f t="array" ref="Q2:Q11">_xll.Model.Result($C$9,F2)</f>
        <v>x</v>
      </c>
      <c r="R2" cm="1">
        <f t="array" ref="R2:CF2">TRANSPOSE(_xll.Model.Result($C$9,$F$2,Q2))</f>
        <v>306.25</v>
      </c>
      <c r="S2">
        <v>299.5</v>
      </c>
      <c r="T2">
        <v>303.45</v>
      </c>
      <c r="U2">
        <v>296.75</v>
      </c>
      <c r="V2">
        <v>304.39999999999998</v>
      </c>
      <c r="W2">
        <v>298.35000000000002</v>
      </c>
      <c r="X2">
        <v>304</v>
      </c>
      <c r="Y2">
        <v>304</v>
      </c>
      <c r="Z2">
        <v>301.25</v>
      </c>
      <c r="AA2">
        <v>302.5</v>
      </c>
      <c r="AB2">
        <v>302.45</v>
      </c>
      <c r="AC2">
        <v>305.8</v>
      </c>
      <c r="AD2">
        <v>306.89999999999998</v>
      </c>
      <c r="AE2">
        <v>307</v>
      </c>
      <c r="AF2">
        <v>306.85000000000002</v>
      </c>
      <c r="AG2">
        <v>302.14999999999998</v>
      </c>
      <c r="AH2">
        <v>301.89999999999998</v>
      </c>
      <c r="AI2">
        <v>299.25</v>
      </c>
      <c r="AJ2">
        <v>298.60000000000002</v>
      </c>
      <c r="AK2">
        <v>303.5</v>
      </c>
      <c r="AL2">
        <v>303</v>
      </c>
      <c r="AM2">
        <v>304.89999999999998</v>
      </c>
      <c r="AN2">
        <v>304.8</v>
      </c>
      <c r="AO2">
        <v>301.25</v>
      </c>
      <c r="AP2">
        <v>301.75</v>
      </c>
      <c r="AQ2">
        <v>303.45</v>
      </c>
      <c r="AR2">
        <v>302.5</v>
      </c>
      <c r="AS2">
        <v>300.60000000000002</v>
      </c>
      <c r="AT2">
        <v>300</v>
      </c>
      <c r="AU2">
        <v>303.45</v>
      </c>
      <c r="AV2">
        <v>302.8</v>
      </c>
      <c r="AW2">
        <v>303.39999999999998</v>
      </c>
      <c r="AX2">
        <v>304.89999999999998</v>
      </c>
      <c r="AY2">
        <v>304.95</v>
      </c>
      <c r="AZ2">
        <v>302.89999999999998</v>
      </c>
      <c r="BA2">
        <v>302.85000000000002</v>
      </c>
      <c r="BB2">
        <v>302</v>
      </c>
      <c r="BC2">
        <v>298.8</v>
      </c>
      <c r="BD2">
        <v>290</v>
      </c>
      <c r="BE2">
        <v>285</v>
      </c>
      <c r="BF2">
        <v>290.75</v>
      </c>
      <c r="BG2">
        <v>290.5</v>
      </c>
      <c r="BH2">
        <v>288.10000000000002</v>
      </c>
      <c r="BI2">
        <v>288.3</v>
      </c>
      <c r="BJ2">
        <v>288.85000000000002</v>
      </c>
      <c r="BK2">
        <v>286.7</v>
      </c>
      <c r="BL2">
        <v>289.3</v>
      </c>
      <c r="BM2">
        <v>289</v>
      </c>
      <c r="BN2">
        <v>290.25</v>
      </c>
      <c r="BO2">
        <v>288.75</v>
      </c>
      <c r="BP2">
        <v>290.10000000000002</v>
      </c>
      <c r="BQ2">
        <v>290.25</v>
      </c>
      <c r="BR2">
        <v>289.89999999999998</v>
      </c>
      <c r="BS2">
        <v>293.7</v>
      </c>
      <c r="BT2">
        <v>307.25</v>
      </c>
      <c r="BU2">
        <v>333.25</v>
      </c>
      <c r="BV2">
        <v>312.5</v>
      </c>
      <c r="BW2">
        <v>320.75</v>
      </c>
      <c r="BX2">
        <v>315.89999999999998</v>
      </c>
      <c r="BY2">
        <v>316</v>
      </c>
      <c r="BZ2">
        <v>329.9</v>
      </c>
      <c r="CA2">
        <v>328.75</v>
      </c>
      <c r="CB2">
        <v>329.8</v>
      </c>
      <c r="CC2">
        <v>324.64999999999998</v>
      </c>
      <c r="CD2">
        <v>317</v>
      </c>
      <c r="CE2">
        <v>321.10000000000002</v>
      </c>
      <c r="CF2">
        <v>317</v>
      </c>
    </row>
    <row r="3" spans="2:84" x14ac:dyDescent="0.3">
      <c r="B3" s="3" t="s">
        <v>11</v>
      </c>
      <c r="C3" s="4" t="str">
        <f>"rwf"&amp;C5</f>
        <v>rwf10</v>
      </c>
      <c r="E3" t="str" cm="1">
        <f t="array" ref="E3">_xll.Model.Result($C$9, E2)</f>
        <v>Random walk</v>
      </c>
      <c r="G3" t="str" cm="1">
        <f t="array" ref="G3">_xll.Model.Result($C$9,G2)</f>
        <v>OK</v>
      </c>
      <c r="H3" cm="1">
        <f t="array" ref="H3:H69">_xll.Model.Result($C$9,H2)</f>
        <v>306.25</v>
      </c>
      <c r="I3" t="str" cm="1">
        <f t="array" ref="I3:I69">_xll.Model.Result($C$9,I2)</f>
        <v/>
      </c>
      <c r="J3" t="str" cm="1">
        <f t="array" ref="J3:J69">_xll.Model.Result($C$9,J2)</f>
        <v/>
      </c>
      <c r="K3" t="str" cm="1">
        <f t="array" ref="K3">_xll.Model.Result($C$9,K2)</f>
        <v>Gold</v>
      </c>
      <c r="L3" cm="1">
        <f t="array" ref="L3:L12">_xll.Model.Result($C$9,L2)</f>
        <v>317</v>
      </c>
      <c r="M3" cm="1">
        <f t="array" ref="M3:M4">_xll.Model.Result($C$9,M2)</f>
        <v>80</v>
      </c>
      <c r="Q3" t="str">
        <v>fitted</v>
      </c>
      <c r="R3" t="str" cm="1">
        <f t="array" ref="R3:CF3">TRANSPOSE(_xll.Model.Result($C$9,$F$2,Q3))</f>
        <v/>
      </c>
      <c r="S3">
        <v>306.25</v>
      </c>
      <c r="T3">
        <v>299.5</v>
      </c>
      <c r="U3">
        <v>303.45</v>
      </c>
      <c r="V3">
        <v>296.75</v>
      </c>
      <c r="W3">
        <v>304.39999999999998</v>
      </c>
      <c r="X3">
        <v>298.35000000000002</v>
      </c>
      <c r="Y3">
        <v>304</v>
      </c>
      <c r="Z3">
        <v>304</v>
      </c>
      <c r="AA3">
        <v>301.25</v>
      </c>
      <c r="AB3">
        <v>302.5</v>
      </c>
      <c r="AC3">
        <v>302.45</v>
      </c>
      <c r="AD3">
        <v>305.8</v>
      </c>
      <c r="AE3">
        <v>306.89999999999998</v>
      </c>
      <c r="AF3">
        <v>307</v>
      </c>
      <c r="AG3">
        <v>306.85000000000002</v>
      </c>
      <c r="AH3">
        <v>302.14999999999998</v>
      </c>
      <c r="AI3">
        <v>301.89999999999998</v>
      </c>
      <c r="AJ3">
        <v>299.25</v>
      </c>
      <c r="AK3">
        <v>298.60000000000002</v>
      </c>
      <c r="AL3">
        <v>303.5</v>
      </c>
      <c r="AM3">
        <v>303</v>
      </c>
      <c r="AN3">
        <v>304.89999999999998</v>
      </c>
      <c r="AO3">
        <v>304.8</v>
      </c>
      <c r="AP3">
        <v>301.25</v>
      </c>
      <c r="AQ3">
        <v>301.75</v>
      </c>
      <c r="AR3">
        <v>303.45</v>
      </c>
      <c r="AS3">
        <v>302.5</v>
      </c>
      <c r="AT3">
        <v>300.60000000000002</v>
      </c>
      <c r="AU3">
        <v>300</v>
      </c>
      <c r="AV3">
        <v>303.45</v>
      </c>
      <c r="AW3">
        <v>302.8</v>
      </c>
      <c r="AX3">
        <v>303.39999999999998</v>
      </c>
      <c r="AY3">
        <v>304.89999999999998</v>
      </c>
      <c r="AZ3">
        <v>304.95</v>
      </c>
      <c r="BA3">
        <v>302.89999999999998</v>
      </c>
      <c r="BB3">
        <v>302.85000000000002</v>
      </c>
      <c r="BC3">
        <v>302</v>
      </c>
      <c r="BD3">
        <v>298.8</v>
      </c>
      <c r="BE3">
        <v>290</v>
      </c>
      <c r="BF3">
        <v>285</v>
      </c>
      <c r="BG3">
        <v>290.75</v>
      </c>
      <c r="BH3">
        <v>290.5</v>
      </c>
      <c r="BI3">
        <v>288.10000000000002</v>
      </c>
      <c r="BJ3">
        <v>288.3</v>
      </c>
      <c r="BK3">
        <v>288.85000000000002</v>
      </c>
      <c r="BL3">
        <v>286.7</v>
      </c>
      <c r="BM3">
        <v>289.3</v>
      </c>
      <c r="BN3">
        <v>289</v>
      </c>
      <c r="BO3">
        <v>290.25</v>
      </c>
      <c r="BP3">
        <v>288.75</v>
      </c>
      <c r="BQ3">
        <v>290.10000000000002</v>
      </c>
      <c r="BR3">
        <v>290.25</v>
      </c>
      <c r="BS3">
        <v>289.89999999999998</v>
      </c>
      <c r="BT3">
        <v>293.7</v>
      </c>
      <c r="BU3">
        <v>307.25</v>
      </c>
      <c r="BV3">
        <v>333.25</v>
      </c>
      <c r="BW3">
        <v>312.5</v>
      </c>
      <c r="BX3">
        <v>320.75</v>
      </c>
      <c r="BY3">
        <v>315.89999999999998</v>
      </c>
      <c r="BZ3">
        <v>316</v>
      </c>
      <c r="CA3">
        <v>329.9</v>
      </c>
      <c r="CB3">
        <v>328.75</v>
      </c>
      <c r="CC3">
        <v>329.8</v>
      </c>
      <c r="CD3">
        <v>324.64999999999998</v>
      </c>
      <c r="CE3">
        <v>317</v>
      </c>
      <c r="CF3">
        <v>321.10000000000002</v>
      </c>
    </row>
    <row r="4" spans="2:84" x14ac:dyDescent="0.3">
      <c r="B4" s="3" t="s">
        <v>10</v>
      </c>
      <c r="C4" s="4" t="str" cm="1">
        <f t="array" ref="C4">_xll.RScript.CreateVector(tGold[[#Headers],[Gold]],Datasets!D3:D69,"numeric")</f>
        <v>Gold</v>
      </c>
      <c r="H4">
        <v>299.5</v>
      </c>
      <c r="I4">
        <v>306.25</v>
      </c>
      <c r="J4">
        <v>-6.75</v>
      </c>
      <c r="L4">
        <v>317</v>
      </c>
      <c r="M4">
        <v>95</v>
      </c>
      <c r="Q4" t="str">
        <v>future</v>
      </c>
      <c r="R4" cm="1">
        <f t="array" ref="R4">TRANSPOSE(_xll.Model.Result($C$9,$F$2,Q4))</f>
        <v>317</v>
      </c>
    </row>
    <row r="5" spans="2:84" x14ac:dyDescent="0.3">
      <c r="B5" s="3" t="s">
        <v>65</v>
      </c>
      <c r="C5" s="4">
        <v>10</v>
      </c>
      <c r="H5">
        <v>303.45</v>
      </c>
      <c r="I5">
        <v>299.5</v>
      </c>
      <c r="J5">
        <v>3.9499999999999886</v>
      </c>
      <c r="L5">
        <v>317</v>
      </c>
      <c r="Q5" t="str">
        <v>residuals</v>
      </c>
      <c r="R5" t="str" cm="1">
        <f t="array" ref="R5:CF5">TRANSPOSE(_xll.Model.Result($C$9,$F$2,Q5))</f>
        <v/>
      </c>
      <c r="S5">
        <v>-6.75</v>
      </c>
      <c r="T5">
        <v>3.9499999999999886</v>
      </c>
      <c r="U5">
        <v>-6.6999999999999886</v>
      </c>
      <c r="V5">
        <v>7.6499999999999773</v>
      </c>
      <c r="W5">
        <v>-6.0499999999999545</v>
      </c>
      <c r="X5">
        <v>5.6499999999999773</v>
      </c>
      <c r="Y5">
        <v>0</v>
      </c>
      <c r="Z5">
        <v>-2.75</v>
      </c>
      <c r="AA5">
        <v>1.25</v>
      </c>
      <c r="AB5">
        <v>-5.0000000000011369E-2</v>
      </c>
      <c r="AC5">
        <v>3.3500000000000227</v>
      </c>
      <c r="AD5">
        <v>1.0999999999999659</v>
      </c>
      <c r="AE5">
        <v>0.10000000000002274</v>
      </c>
      <c r="AF5">
        <v>-0.14999999999997726</v>
      </c>
      <c r="AG5">
        <v>-4.7000000000000455</v>
      </c>
      <c r="AH5">
        <v>-0.25</v>
      </c>
      <c r="AI5">
        <v>-2.6499999999999773</v>
      </c>
      <c r="AJ5">
        <v>-0.64999999999997726</v>
      </c>
      <c r="AK5">
        <v>4.8999999999999773</v>
      </c>
      <c r="AL5">
        <v>-0.5</v>
      </c>
      <c r="AM5">
        <v>1.8999999999999773</v>
      </c>
      <c r="AN5">
        <v>-9.9999999999965894E-2</v>
      </c>
      <c r="AO5">
        <v>-3.5500000000000114</v>
      </c>
      <c r="AP5">
        <v>0.5</v>
      </c>
      <c r="AQ5">
        <v>1.6999999999999886</v>
      </c>
      <c r="AR5">
        <v>-0.94999999999998863</v>
      </c>
      <c r="AS5">
        <v>-1.8999999999999773</v>
      </c>
      <c r="AT5">
        <v>-0.60000000000002274</v>
      </c>
      <c r="AU5">
        <v>3.4499999999999886</v>
      </c>
      <c r="AV5">
        <v>-0.64999999999997726</v>
      </c>
      <c r="AW5">
        <v>0.59999999999996589</v>
      </c>
      <c r="AX5">
        <v>1.5</v>
      </c>
      <c r="AY5">
        <v>5.0000000000011369E-2</v>
      </c>
      <c r="AZ5">
        <v>-2.0500000000000114</v>
      </c>
      <c r="BA5">
        <v>-4.9999999999954525E-2</v>
      </c>
      <c r="BB5">
        <v>-0.85000000000002274</v>
      </c>
      <c r="BC5">
        <v>-3.1999999999999886</v>
      </c>
      <c r="BD5">
        <v>-8.8000000000000114</v>
      </c>
      <c r="BE5">
        <v>-5</v>
      </c>
      <c r="BF5">
        <v>5.75</v>
      </c>
      <c r="BG5">
        <v>-0.25</v>
      </c>
      <c r="BH5">
        <v>-2.3999999999999773</v>
      </c>
      <c r="BI5">
        <v>0.19999999999998863</v>
      </c>
      <c r="BJ5">
        <v>0.55000000000001137</v>
      </c>
      <c r="BK5">
        <v>-2.1500000000000341</v>
      </c>
      <c r="BL5">
        <v>2.6000000000000227</v>
      </c>
      <c r="BM5">
        <v>-0.30000000000001137</v>
      </c>
      <c r="BN5">
        <v>1.25</v>
      </c>
      <c r="BO5">
        <v>-1.5</v>
      </c>
      <c r="BP5">
        <v>1.3500000000000227</v>
      </c>
      <c r="BQ5">
        <v>0.14999999999997726</v>
      </c>
      <c r="BR5">
        <v>-0.35000000000002274</v>
      </c>
      <c r="BS5">
        <v>3.8000000000000114</v>
      </c>
      <c r="BT5">
        <v>13.550000000000011</v>
      </c>
      <c r="BU5">
        <v>26</v>
      </c>
      <c r="BV5">
        <v>-20.75</v>
      </c>
      <c r="BW5">
        <v>8.25</v>
      </c>
      <c r="BX5">
        <v>-4.8500000000000227</v>
      </c>
      <c r="BY5">
        <v>0.10000000000002274</v>
      </c>
      <c r="BZ5">
        <v>13.899999999999977</v>
      </c>
      <c r="CA5">
        <v>-1.1499999999999773</v>
      </c>
      <c r="CB5">
        <v>1.0500000000000114</v>
      </c>
      <c r="CC5">
        <v>-5.1500000000000341</v>
      </c>
      <c r="CD5">
        <v>-7.6499999999999773</v>
      </c>
      <c r="CE5">
        <v>4.1000000000000227</v>
      </c>
      <c r="CF5">
        <v>-4.1000000000000227</v>
      </c>
    </row>
    <row r="6" spans="2:84" x14ac:dyDescent="0.3">
      <c r="B6" s="10"/>
      <c r="H6">
        <v>296.75</v>
      </c>
      <c r="I6">
        <v>303.45</v>
      </c>
      <c r="J6">
        <v>-6.6999999999999886</v>
      </c>
      <c r="L6">
        <v>317</v>
      </c>
      <c r="Q6" t="str">
        <v>method</v>
      </c>
      <c r="R6" t="str" cm="1">
        <f t="array" ref="R6">TRANSPOSE(_xll.Model.Result($C$9,$F$2,Q6))</f>
        <v>Lag walk</v>
      </c>
    </row>
    <row r="7" spans="2:84" x14ac:dyDescent="0.3">
      <c r="H7">
        <v>304.39999999999998</v>
      </c>
      <c r="I7">
        <v>296.75</v>
      </c>
      <c r="J7">
        <v>7.6499999999999773</v>
      </c>
      <c r="L7">
        <v>317</v>
      </c>
      <c r="Q7" t="str">
        <v>series</v>
      </c>
      <c r="R7" t="str" cm="1">
        <f t="array" ref="R7:Y7">TRANSPOSE(_xll.Model.Result($C$9,$F$2,Q7))</f>
        <v xml:space="preserve">structure(c(306.25, 299.5, 303.45, 296.75, 304.4, 298.35, 304, </v>
      </c>
      <c r="S7" t="str">
        <v xml:space="preserve">304, 301.25, 302.5, 302.45, 305.8, 306.9, 307, 306.85, 302.15, </v>
      </c>
      <c r="T7" t="str">
        <v xml:space="preserve">301.9, 299.25, 298.6, 303.5, 303, 304.9, 304.8, 301.25, 301.75, </v>
      </c>
      <c r="U7" t="str">
        <v xml:space="preserve">303.45, 302.5, 300.6, 300, 303.45, 302.8, 303.4, 304.9, 304.95, </v>
      </c>
      <c r="V7" t="str">
        <v xml:space="preserve">302.9, 302.85, 302, 298.8, 290, 285, 290.75, 290.5, 288.1, 288.3, </v>
      </c>
      <c r="W7" t="str">
        <v xml:space="preserve">288.85, 286.7, 289.3, 289, 290.25, 288.75, 290.1, 290.25, 289.9, </v>
      </c>
      <c r="X7" t="str">
        <v xml:space="preserve">293.7, 307.25, 333.25, 312.5, 320.75, 315.9, 316, 329.9, 328.75, </v>
      </c>
      <c r="Y7" t="str">
        <v>329.8, 324.65, 317, 321.1, 317), tsp = c(1, 67, 1), class = "ts")</v>
      </c>
    </row>
    <row r="8" spans="2:84" x14ac:dyDescent="0.3">
      <c r="H8">
        <v>298.35000000000002</v>
      </c>
      <c r="I8">
        <v>304.39999999999998</v>
      </c>
      <c r="J8">
        <v>-6.0499999999999545</v>
      </c>
      <c r="L8">
        <v>317</v>
      </c>
      <c r="Q8" t="str">
        <v>sigma2</v>
      </c>
      <c r="R8" cm="1">
        <f t="array" ref="R8">TRANSPOSE(_xll.Model.Result($C$9,$F$2,Q8))</f>
        <v>33.822916666666657</v>
      </c>
    </row>
    <row r="9" spans="2:84" x14ac:dyDescent="0.3">
      <c r="B9" s="7" t="s">
        <v>24</v>
      </c>
      <c r="C9" s="5" t="str" cm="1">
        <f t="array" ref="C9">_xll.Forecast.rwf(C3,C4, B5:C5)</f>
        <v>rwf10</v>
      </c>
      <c r="H9">
        <v>304</v>
      </c>
      <c r="I9">
        <v>298.35000000000002</v>
      </c>
      <c r="J9">
        <v>5.6499999999999773</v>
      </c>
      <c r="L9">
        <v>317</v>
      </c>
      <c r="Q9" t="str">
        <v>par</v>
      </c>
      <c r="U9" t="str" cm="1">
        <f t="array" ref="U9:Y10">_xll.Model.Result($C$9,$F$2,Q9,TRUE)</f>
        <v>Index</v>
      </c>
      <c r="V9" t="str">
        <v>includedrift</v>
      </c>
      <c r="W9" t="str">
        <v>drift</v>
      </c>
      <c r="X9" t="str">
        <v>drift.se</v>
      </c>
      <c r="Y9" t="str">
        <v>lag</v>
      </c>
    </row>
    <row r="10" spans="2:84" x14ac:dyDescent="0.3">
      <c r="H10">
        <v>304</v>
      </c>
      <c r="I10">
        <v>304</v>
      </c>
      <c r="J10">
        <v>0</v>
      </c>
      <c r="L10">
        <v>317</v>
      </c>
      <c r="Q10" t="str">
        <v>lambda</v>
      </c>
      <c r="R10" t="str" cm="1">
        <f t="array" ref="R10">TRANSPOSE(_xll.Model.Result($C$9,$F$2,Q10))</f>
        <v>OK</v>
      </c>
      <c r="U10" t="str">
        <v>1</v>
      </c>
      <c r="V10" t="b">
        <v>0</v>
      </c>
      <c r="W10">
        <v>0</v>
      </c>
      <c r="X10">
        <v>0</v>
      </c>
      <c r="Y10">
        <v>1</v>
      </c>
    </row>
    <row r="11" spans="2:84" x14ac:dyDescent="0.3">
      <c r="H11">
        <v>301.25</v>
      </c>
      <c r="I11">
        <v>304</v>
      </c>
      <c r="J11">
        <v>-2.75</v>
      </c>
      <c r="L11">
        <v>317</v>
      </c>
      <c r="Q11" t="str">
        <v>call</v>
      </c>
      <c r="R11" t="str" cm="1">
        <f t="array" ref="R11">TRANSPOSE(_xll.Model.Result($C$9,$F$2,Q11))</f>
        <v>rwf(y = Gold, h = 10)</v>
      </c>
    </row>
    <row r="12" spans="2:84" x14ac:dyDescent="0.3">
      <c r="H12">
        <v>302.5</v>
      </c>
      <c r="I12">
        <v>301.25</v>
      </c>
      <c r="J12">
        <v>1.25</v>
      </c>
      <c r="L12">
        <v>317</v>
      </c>
    </row>
    <row r="13" spans="2:84" x14ac:dyDescent="0.3">
      <c r="H13">
        <v>302.45</v>
      </c>
      <c r="I13">
        <v>302.5</v>
      </c>
      <c r="J13">
        <v>-5.0000000000011369E-2</v>
      </c>
    </row>
    <row r="14" spans="2:84" x14ac:dyDescent="0.3">
      <c r="H14">
        <v>305.8</v>
      </c>
      <c r="I14">
        <v>302.45</v>
      </c>
      <c r="J14">
        <v>3.3500000000000227</v>
      </c>
    </row>
    <row r="15" spans="2:84" x14ac:dyDescent="0.3">
      <c r="H15">
        <v>306.89999999999998</v>
      </c>
      <c r="I15">
        <v>305.8</v>
      </c>
      <c r="J15">
        <v>1.0999999999999659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84" x14ac:dyDescent="0.3">
      <c r="H16">
        <v>307</v>
      </c>
      <c r="I16">
        <v>306.89999999999998</v>
      </c>
      <c r="J16">
        <v>0.10000000000002274</v>
      </c>
      <c r="M16" t="str">
        <v>68</v>
      </c>
      <c r="N16">
        <v>317</v>
      </c>
      <c r="O16">
        <v>309.54681994185853</v>
      </c>
      <c r="P16">
        <v>324.45318005814147</v>
      </c>
      <c r="Q16">
        <v>305.60134474726215</v>
      </c>
      <c r="R16">
        <v>328.39865525273785</v>
      </c>
    </row>
    <row r="17" spans="8:18" x14ac:dyDescent="0.3">
      <c r="H17">
        <v>306.85000000000002</v>
      </c>
      <c r="I17">
        <v>307</v>
      </c>
      <c r="J17">
        <v>-0.14999999999997726</v>
      </c>
      <c r="M17" t="str">
        <v>69</v>
      </c>
      <c r="N17">
        <v>317</v>
      </c>
      <c r="O17">
        <v>306.45961167896763</v>
      </c>
      <c r="P17">
        <v>327.54038832103237</v>
      </c>
      <c r="Q17">
        <v>300.87986714876274</v>
      </c>
      <c r="R17">
        <v>333.12013285123726</v>
      </c>
    </row>
    <row r="18" spans="8:18" x14ac:dyDescent="0.3">
      <c r="H18">
        <v>302.14999999999998</v>
      </c>
      <c r="I18">
        <v>306.85000000000002</v>
      </c>
      <c r="J18">
        <v>-4.7000000000000455</v>
      </c>
      <c r="M18" t="str">
        <v>70</v>
      </c>
      <c r="N18">
        <v>317</v>
      </c>
      <c r="O18">
        <v>304.09071346133982</v>
      </c>
      <c r="P18">
        <v>329.90928653866018</v>
      </c>
      <c r="Q18">
        <v>297.25694996429615</v>
      </c>
      <c r="R18">
        <v>336.74305003570385</v>
      </c>
    </row>
    <row r="19" spans="8:18" x14ac:dyDescent="0.3">
      <c r="H19">
        <v>301.89999999999998</v>
      </c>
      <c r="I19">
        <v>302.14999999999998</v>
      </c>
      <c r="J19">
        <v>-0.25</v>
      </c>
      <c r="M19" t="str">
        <v>71</v>
      </c>
      <c r="N19">
        <v>317</v>
      </c>
      <c r="O19">
        <v>302.09363988371706</v>
      </c>
      <c r="P19">
        <v>331.90636011628294</v>
      </c>
      <c r="Q19">
        <v>294.20268949452424</v>
      </c>
      <c r="R19">
        <v>339.79731050547576</v>
      </c>
    </row>
    <row r="20" spans="8:18" x14ac:dyDescent="0.3">
      <c r="H20">
        <v>299.25</v>
      </c>
      <c r="I20">
        <v>301.89999999999998</v>
      </c>
      <c r="J20">
        <v>-2.6499999999999773</v>
      </c>
      <c r="M20" t="str">
        <v>72</v>
      </c>
      <c r="N20">
        <v>317</v>
      </c>
      <c r="O20">
        <v>300.33418274144987</v>
      </c>
      <c r="P20">
        <v>333.66581725855013</v>
      </c>
      <c r="Q20">
        <v>291.51183200279303</v>
      </c>
      <c r="R20">
        <v>342.48816799720697</v>
      </c>
    </row>
    <row r="21" spans="8:18" x14ac:dyDescent="0.3">
      <c r="H21">
        <v>298.60000000000002</v>
      </c>
      <c r="I21">
        <v>299.25</v>
      </c>
      <c r="J21">
        <v>-0.64999999999997726</v>
      </c>
      <c r="M21" t="str">
        <v>73</v>
      </c>
      <c r="N21">
        <v>317</v>
      </c>
      <c r="O21">
        <v>298.74351189646632</v>
      </c>
      <c r="P21">
        <v>335.25648810353368</v>
      </c>
      <c r="Q21">
        <v>289.07911087689695</v>
      </c>
      <c r="R21">
        <v>344.92088912310305</v>
      </c>
    </row>
    <row r="22" spans="8:18" x14ac:dyDescent="0.3">
      <c r="H22">
        <v>303.5</v>
      </c>
      <c r="I22">
        <v>298.60000000000002</v>
      </c>
      <c r="J22">
        <v>4.8999999999999773</v>
      </c>
      <c r="M22" t="str">
        <v>74</v>
      </c>
      <c r="N22">
        <v>317</v>
      </c>
      <c r="O22">
        <v>297.28073908957174</v>
      </c>
      <c r="P22">
        <v>336.71926091042826</v>
      </c>
      <c r="Q22">
        <v>286.84199292069547</v>
      </c>
      <c r="R22">
        <v>347.15800707930453</v>
      </c>
    </row>
    <row r="23" spans="8:18" x14ac:dyDescent="0.3">
      <c r="H23">
        <v>303</v>
      </c>
      <c r="I23">
        <v>303.5</v>
      </c>
      <c r="J23">
        <v>-0.5</v>
      </c>
      <c r="M23" t="str">
        <v>75</v>
      </c>
      <c r="N23">
        <v>317</v>
      </c>
      <c r="O23">
        <v>295.91922335793527</v>
      </c>
      <c r="P23">
        <v>338.08077664206473</v>
      </c>
      <c r="Q23">
        <v>284.75973429752554</v>
      </c>
      <c r="R23">
        <v>349.24026570247446</v>
      </c>
    </row>
    <row r="24" spans="8:18" x14ac:dyDescent="0.3">
      <c r="H24">
        <v>304.89999999999998</v>
      </c>
      <c r="I24">
        <v>303</v>
      </c>
      <c r="J24">
        <v>1.8999999999999773</v>
      </c>
      <c r="M24" t="str">
        <v>76</v>
      </c>
      <c r="N24">
        <v>317</v>
      </c>
      <c r="O24">
        <v>294.64045982557559</v>
      </c>
      <c r="P24">
        <v>339.35954017442441</v>
      </c>
      <c r="Q24">
        <v>282.80403424178633</v>
      </c>
      <c r="R24">
        <v>351.19596575821367</v>
      </c>
    </row>
    <row r="25" spans="8:18" x14ac:dyDescent="0.3">
      <c r="H25">
        <v>304.8</v>
      </c>
      <c r="I25">
        <v>304.89999999999998</v>
      </c>
      <c r="J25">
        <v>-9.9999999999965894E-2</v>
      </c>
      <c r="M25" t="str">
        <v>77</v>
      </c>
      <c r="N25">
        <v>317</v>
      </c>
      <c r="O25">
        <v>293.43097520492677</v>
      </c>
      <c r="P25">
        <v>340.56902479507323</v>
      </c>
      <c r="Q25">
        <v>280.95428713830603</v>
      </c>
      <c r="R25">
        <v>353.04571286169397</v>
      </c>
    </row>
    <row r="26" spans="8:18" x14ac:dyDescent="0.3">
      <c r="H26">
        <v>301.25</v>
      </c>
      <c r="I26">
        <v>304.8</v>
      </c>
      <c r="J26">
        <v>-3.5500000000000114</v>
      </c>
    </row>
    <row r="27" spans="8:18" x14ac:dyDescent="0.3">
      <c r="H27">
        <v>301.75</v>
      </c>
      <c r="I27">
        <v>301.25</v>
      </c>
      <c r="J27">
        <v>0.5</v>
      </c>
    </row>
    <row r="28" spans="8:18" x14ac:dyDescent="0.3">
      <c r="H28">
        <v>303.45</v>
      </c>
      <c r="I28">
        <v>301.75</v>
      </c>
      <c r="J28">
        <v>1.6999999999999886</v>
      </c>
    </row>
    <row r="29" spans="8:18" x14ac:dyDescent="0.3">
      <c r="H29">
        <v>302.5</v>
      </c>
      <c r="I29">
        <v>303.45</v>
      </c>
      <c r="J29">
        <v>-0.94999999999998863</v>
      </c>
    </row>
    <row r="30" spans="8:18" x14ac:dyDescent="0.3">
      <c r="H30">
        <v>300.60000000000002</v>
      </c>
      <c r="I30">
        <v>302.5</v>
      </c>
      <c r="J30">
        <v>-1.8999999999999773</v>
      </c>
    </row>
    <row r="31" spans="8:18" x14ac:dyDescent="0.3">
      <c r="H31">
        <v>300</v>
      </c>
      <c r="I31">
        <v>300.60000000000002</v>
      </c>
      <c r="J31">
        <v>-0.60000000000002274</v>
      </c>
    </row>
    <row r="32" spans="8:18" x14ac:dyDescent="0.3">
      <c r="H32">
        <v>303.45</v>
      </c>
      <c r="I32">
        <v>300</v>
      </c>
      <c r="J32">
        <v>3.4499999999999886</v>
      </c>
    </row>
    <row r="33" spans="8:10" x14ac:dyDescent="0.3">
      <c r="H33">
        <v>302.8</v>
      </c>
      <c r="I33">
        <v>303.45</v>
      </c>
      <c r="J33">
        <v>-0.64999999999997726</v>
      </c>
    </row>
    <row r="34" spans="8:10" x14ac:dyDescent="0.3">
      <c r="H34">
        <v>303.39999999999998</v>
      </c>
      <c r="I34">
        <v>302.8</v>
      </c>
      <c r="J34">
        <v>0.59999999999996589</v>
      </c>
    </row>
    <row r="35" spans="8:10" x14ac:dyDescent="0.3">
      <c r="H35">
        <v>304.89999999999998</v>
      </c>
      <c r="I35">
        <v>303.39999999999998</v>
      </c>
      <c r="J35">
        <v>1.5</v>
      </c>
    </row>
    <row r="36" spans="8:10" x14ac:dyDescent="0.3">
      <c r="H36">
        <v>304.95</v>
      </c>
      <c r="I36">
        <v>304.89999999999998</v>
      </c>
      <c r="J36">
        <v>5.0000000000011369E-2</v>
      </c>
    </row>
    <row r="37" spans="8:10" x14ac:dyDescent="0.3">
      <c r="H37">
        <v>302.89999999999998</v>
      </c>
      <c r="I37">
        <v>304.95</v>
      </c>
      <c r="J37">
        <v>-2.0500000000000114</v>
      </c>
    </row>
    <row r="38" spans="8:10" x14ac:dyDescent="0.3">
      <c r="H38">
        <v>302.85000000000002</v>
      </c>
      <c r="I38">
        <v>302.89999999999998</v>
      </c>
      <c r="J38">
        <v>-4.9999999999954525E-2</v>
      </c>
    </row>
    <row r="39" spans="8:10" x14ac:dyDescent="0.3">
      <c r="H39">
        <v>302</v>
      </c>
      <c r="I39">
        <v>302.85000000000002</v>
      </c>
      <c r="J39">
        <v>-0.85000000000002274</v>
      </c>
    </row>
    <row r="40" spans="8:10" x14ac:dyDescent="0.3">
      <c r="H40">
        <v>298.8</v>
      </c>
      <c r="I40">
        <v>302</v>
      </c>
      <c r="J40">
        <v>-3.1999999999999886</v>
      </c>
    </row>
    <row r="41" spans="8:10" x14ac:dyDescent="0.3">
      <c r="H41">
        <v>290</v>
      </c>
      <c r="I41">
        <v>298.8</v>
      </c>
      <c r="J41">
        <v>-8.8000000000000114</v>
      </c>
    </row>
    <row r="42" spans="8:10" x14ac:dyDescent="0.3">
      <c r="H42">
        <v>285</v>
      </c>
      <c r="I42">
        <v>290</v>
      </c>
      <c r="J42">
        <v>-5</v>
      </c>
    </row>
    <row r="43" spans="8:10" x14ac:dyDescent="0.3">
      <c r="H43">
        <v>290.75</v>
      </c>
      <c r="I43">
        <v>285</v>
      </c>
      <c r="J43">
        <v>5.75</v>
      </c>
    </row>
    <row r="44" spans="8:10" x14ac:dyDescent="0.3">
      <c r="H44">
        <v>290.5</v>
      </c>
      <c r="I44">
        <v>290.75</v>
      </c>
      <c r="J44">
        <v>-0.25</v>
      </c>
    </row>
    <row r="45" spans="8:10" x14ac:dyDescent="0.3">
      <c r="H45">
        <v>288.10000000000002</v>
      </c>
      <c r="I45">
        <v>290.5</v>
      </c>
      <c r="J45">
        <v>-2.3999999999999773</v>
      </c>
    </row>
    <row r="46" spans="8:10" x14ac:dyDescent="0.3">
      <c r="H46">
        <v>288.3</v>
      </c>
      <c r="I46">
        <v>288.10000000000002</v>
      </c>
      <c r="J46">
        <v>0.19999999999998863</v>
      </c>
    </row>
    <row r="47" spans="8:10" x14ac:dyDescent="0.3">
      <c r="H47">
        <v>288.85000000000002</v>
      </c>
      <c r="I47">
        <v>288.3</v>
      </c>
      <c r="J47">
        <v>0.55000000000001137</v>
      </c>
    </row>
    <row r="48" spans="8:10" x14ac:dyDescent="0.3">
      <c r="H48">
        <v>286.7</v>
      </c>
      <c r="I48">
        <v>288.85000000000002</v>
      </c>
      <c r="J48">
        <v>-2.1500000000000341</v>
      </c>
    </row>
    <row r="49" spans="8:10" x14ac:dyDescent="0.3">
      <c r="H49">
        <v>289.3</v>
      </c>
      <c r="I49">
        <v>286.7</v>
      </c>
      <c r="J49">
        <v>2.6000000000000227</v>
      </c>
    </row>
    <row r="50" spans="8:10" x14ac:dyDescent="0.3">
      <c r="H50">
        <v>289</v>
      </c>
      <c r="I50">
        <v>289.3</v>
      </c>
      <c r="J50">
        <v>-0.30000000000001137</v>
      </c>
    </row>
    <row r="51" spans="8:10" x14ac:dyDescent="0.3">
      <c r="H51">
        <v>290.25</v>
      </c>
      <c r="I51">
        <v>289</v>
      </c>
      <c r="J51">
        <v>1.25</v>
      </c>
    </row>
    <row r="52" spans="8:10" x14ac:dyDescent="0.3">
      <c r="H52">
        <v>288.75</v>
      </c>
      <c r="I52">
        <v>290.25</v>
      </c>
      <c r="J52">
        <v>-1.5</v>
      </c>
    </row>
    <row r="53" spans="8:10" x14ac:dyDescent="0.3">
      <c r="H53">
        <v>290.10000000000002</v>
      </c>
      <c r="I53">
        <v>288.75</v>
      </c>
      <c r="J53">
        <v>1.3500000000000227</v>
      </c>
    </row>
    <row r="54" spans="8:10" x14ac:dyDescent="0.3">
      <c r="H54">
        <v>290.25</v>
      </c>
      <c r="I54">
        <v>290.10000000000002</v>
      </c>
      <c r="J54">
        <v>0.14999999999997726</v>
      </c>
    </row>
    <row r="55" spans="8:10" x14ac:dyDescent="0.3">
      <c r="H55">
        <v>289.89999999999998</v>
      </c>
      <c r="I55">
        <v>290.25</v>
      </c>
      <c r="J55">
        <v>-0.35000000000002274</v>
      </c>
    </row>
    <row r="56" spans="8:10" x14ac:dyDescent="0.3">
      <c r="H56">
        <v>293.7</v>
      </c>
      <c r="I56">
        <v>289.89999999999998</v>
      </c>
      <c r="J56">
        <v>3.8000000000000114</v>
      </c>
    </row>
    <row r="57" spans="8:10" x14ac:dyDescent="0.3">
      <c r="H57">
        <v>307.25</v>
      </c>
      <c r="I57">
        <v>293.7</v>
      </c>
      <c r="J57">
        <v>13.550000000000011</v>
      </c>
    </row>
    <row r="58" spans="8:10" x14ac:dyDescent="0.3">
      <c r="H58">
        <v>333.25</v>
      </c>
      <c r="I58">
        <v>307.25</v>
      </c>
      <c r="J58">
        <v>26</v>
      </c>
    </row>
    <row r="59" spans="8:10" x14ac:dyDescent="0.3">
      <c r="H59">
        <v>312.5</v>
      </c>
      <c r="I59">
        <v>333.25</v>
      </c>
      <c r="J59">
        <v>-20.75</v>
      </c>
    </row>
    <row r="60" spans="8:10" x14ac:dyDescent="0.3">
      <c r="H60">
        <v>320.75</v>
      </c>
      <c r="I60">
        <v>312.5</v>
      </c>
      <c r="J60">
        <v>8.25</v>
      </c>
    </row>
    <row r="61" spans="8:10" x14ac:dyDescent="0.3">
      <c r="H61">
        <v>315.89999999999998</v>
      </c>
      <c r="I61">
        <v>320.75</v>
      </c>
      <c r="J61">
        <v>-4.8500000000000227</v>
      </c>
    </row>
    <row r="62" spans="8:10" x14ac:dyDescent="0.3">
      <c r="H62">
        <v>316</v>
      </c>
      <c r="I62">
        <v>315.89999999999998</v>
      </c>
      <c r="J62">
        <v>0.10000000000002274</v>
      </c>
    </row>
    <row r="63" spans="8:10" x14ac:dyDescent="0.3">
      <c r="H63">
        <v>329.9</v>
      </c>
      <c r="I63">
        <v>316</v>
      </c>
      <c r="J63">
        <v>13.899999999999977</v>
      </c>
    </row>
    <row r="64" spans="8:10" x14ac:dyDescent="0.3">
      <c r="H64">
        <v>328.75</v>
      </c>
      <c r="I64">
        <v>329.9</v>
      </c>
      <c r="J64">
        <v>-1.1499999999999773</v>
      </c>
    </row>
    <row r="65" spans="8:10" x14ac:dyDescent="0.3">
      <c r="H65">
        <v>329.8</v>
      </c>
      <c r="I65">
        <v>328.75</v>
      </c>
      <c r="J65">
        <v>1.0500000000000114</v>
      </c>
    </row>
    <row r="66" spans="8:10" x14ac:dyDescent="0.3">
      <c r="H66">
        <v>324.64999999999998</v>
      </c>
      <c r="I66">
        <v>329.8</v>
      </c>
      <c r="J66">
        <v>-5.1500000000000341</v>
      </c>
    </row>
    <row r="67" spans="8:10" x14ac:dyDescent="0.3">
      <c r="H67">
        <v>317</v>
      </c>
      <c r="I67">
        <v>324.64999999999998</v>
      </c>
      <c r="J67">
        <v>-7.6499999999999773</v>
      </c>
    </row>
    <row r="68" spans="8:10" x14ac:dyDescent="0.3">
      <c r="H68">
        <v>321.10000000000002</v>
      </c>
      <c r="I68">
        <v>317</v>
      </c>
      <c r="J68">
        <v>4.1000000000000227</v>
      </c>
    </row>
    <row r="69" spans="8:10" x14ac:dyDescent="0.3">
      <c r="H69">
        <v>317</v>
      </c>
      <c r="I69">
        <v>321.10000000000002</v>
      </c>
      <c r="J69">
        <v>-4.1000000000000227</v>
      </c>
    </row>
  </sheetData>
  <mergeCells count="1"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B8A-899A-4275-AE63-16934FF4867E}">
  <dimension ref="B2:R21"/>
  <sheetViews>
    <sheetView workbookViewId="0">
      <selection activeCell="L15" sqref="L15"/>
    </sheetView>
  </sheetViews>
  <sheetFormatPr defaultRowHeight="14.4" x14ac:dyDescent="0.3"/>
  <cols>
    <col min="5" max="5" width="12.5546875" customWidth="1"/>
  </cols>
  <sheetData>
    <row r="2" spans="2:18" x14ac:dyDescent="0.3">
      <c r="B2" s="37" t="s">
        <v>9</v>
      </c>
      <c r="C2" s="37"/>
      <c r="E2" t="str" cm="1">
        <f t="array" ref="E2:P2">TRANSPOSE(_xll.Model.Results(C9))</f>
        <v>method</v>
      </c>
      <c r="F2" t="str">
        <v>level</v>
      </c>
      <c r="G2" t="str">
        <v>x</v>
      </c>
      <c r="H2" t="str">
        <v>series</v>
      </c>
      <c r="I2" t="str">
        <v>mean</v>
      </c>
      <c r="J2" t="str">
        <v>upper</v>
      </c>
      <c r="K2" t="str">
        <v>lower</v>
      </c>
      <c r="L2" t="str">
        <v>model</v>
      </c>
      <c r="M2" t="str">
        <v>fitted</v>
      </c>
      <c r="N2" t="str">
        <v>residuals</v>
      </c>
      <c r="O2" t="str">
        <v>standardizedresiduals</v>
      </c>
      <c r="P2" t="str">
        <v>onestepf</v>
      </c>
      <c r="Q2" t="str" cm="1">
        <f t="array" ref="Q2:Q3">_xll.Model.Result($C$9,L2)</f>
        <v>beta</v>
      </c>
      <c r="R2" cm="1">
        <f t="array" ref="R2">TRANSPOSE(_xll.Model.Result($C$9,$L$2,Q2))</f>
        <v>6.8589999999999992E-4</v>
      </c>
    </row>
    <row r="3" spans="2:18" x14ac:dyDescent="0.3">
      <c r="B3" s="3" t="s">
        <v>11</v>
      </c>
      <c r="C3" s="4" t="str">
        <f>"splinef"&amp;C5</f>
        <v>splinef5</v>
      </c>
      <c r="E3" t="str" cm="1">
        <f t="array" ref="E3">_xll.Model.Result($C$9, E2)</f>
        <v>Cubic Smoothing Spline</v>
      </c>
      <c r="G3" cm="1">
        <f t="array" ref="G3:G21">_xll.Model.Result($C$9,G2)</f>
        <v>3.93</v>
      </c>
      <c r="H3" t="str" cm="1">
        <f t="array" ref="H3">_xll.Model.Result($C$9,H2)</f>
        <v>uspop</v>
      </c>
      <c r="I3" cm="1">
        <f t="array" ref="I3:I7">_xll.Model.Result($C$9,I2)</f>
        <v>225.69366857959511</v>
      </c>
      <c r="Q3" t="str">
        <v>call</v>
      </c>
      <c r="R3" t="str" cm="1">
        <f t="array" ref="R3">TRANSPOSE(_xll.Model.Result($C$9,$L$2,Q3))</f>
        <v>splinef(y = uspop, h = 5)</v>
      </c>
    </row>
    <row r="4" spans="2:18" x14ac:dyDescent="0.3">
      <c r="B4" s="3" t="s">
        <v>10</v>
      </c>
      <c r="C4" s="4" t="str" cm="1">
        <f t="array" ref="C4">_xll.RScript.CreateVector(tUSPop[[#Headers],[uspop]],tUSPop[uspop])</f>
        <v>uspop</v>
      </c>
      <c r="G4">
        <v>5.31</v>
      </c>
      <c r="I4">
        <v>248.18142342236592</v>
      </c>
    </row>
    <row r="5" spans="2:18" x14ac:dyDescent="0.3">
      <c r="B5" s="3" t="s">
        <v>65</v>
      </c>
      <c r="C5" s="4">
        <v>5</v>
      </c>
      <c r="G5">
        <v>7.24</v>
      </c>
      <c r="I5">
        <v>270.66917826505437</v>
      </c>
    </row>
    <row r="6" spans="2:18" x14ac:dyDescent="0.3">
      <c r="B6" s="10"/>
      <c r="G6">
        <v>9.64</v>
      </c>
      <c r="I6">
        <v>293.15693310685583</v>
      </c>
    </row>
    <row r="7" spans="2:18" x14ac:dyDescent="0.3">
      <c r="G7">
        <v>12.9</v>
      </c>
      <c r="I7">
        <v>315.64468794849495</v>
      </c>
    </row>
    <row r="8" spans="2:18" x14ac:dyDescent="0.3">
      <c r="G8">
        <v>17.100000000000001</v>
      </c>
    </row>
    <row r="9" spans="2:18" x14ac:dyDescent="0.3">
      <c r="B9" s="7" t="s">
        <v>24</v>
      </c>
      <c r="C9" s="5" t="str" cm="1">
        <f t="array" ref="C9">_xll.Forecast.splinef(C3,C4, B5:C5)</f>
        <v>splinef5</v>
      </c>
      <c r="G9">
        <v>23.2</v>
      </c>
    </row>
    <row r="10" spans="2:18" x14ac:dyDescent="0.3">
      <c r="G10">
        <v>31.4</v>
      </c>
    </row>
    <row r="11" spans="2:18" x14ac:dyDescent="0.3">
      <c r="G11">
        <v>39.799999999999997</v>
      </c>
    </row>
    <row r="12" spans="2:18" x14ac:dyDescent="0.3">
      <c r="G12">
        <v>50.2</v>
      </c>
    </row>
    <row r="13" spans="2:18" x14ac:dyDescent="0.3">
      <c r="G13">
        <v>62.9</v>
      </c>
    </row>
    <row r="14" spans="2:18" x14ac:dyDescent="0.3">
      <c r="G14">
        <v>76</v>
      </c>
    </row>
    <row r="15" spans="2:18" x14ac:dyDescent="0.3">
      <c r="G15">
        <v>92</v>
      </c>
      <c r="M15" s="6" t="str" cm="1">
        <f t="array" ref="M15:R20">_xll.Model.Result(C9,,,TRUE)</f>
        <v>Index</v>
      </c>
      <c r="N15" s="6" t="str">
        <v>Point Forecast</v>
      </c>
      <c r="O15" s="6" t="str">
        <v>Lo 80</v>
      </c>
      <c r="P15" s="6" t="str">
        <v>Hi 80</v>
      </c>
      <c r="Q15" s="6" t="str">
        <v>Lo 95</v>
      </c>
      <c r="R15" s="6" t="str">
        <v>Hi 95</v>
      </c>
    </row>
    <row r="16" spans="2:18" x14ac:dyDescent="0.3">
      <c r="G16">
        <v>105.7</v>
      </c>
      <c r="M16" s="6" t="str">
        <v>20</v>
      </c>
      <c r="N16" s="6">
        <v>225.69366857959511</v>
      </c>
      <c r="O16" s="6">
        <v>219.84544644926672</v>
      </c>
      <c r="P16" s="6">
        <v>231.54189070992351</v>
      </c>
      <c r="Q16" s="6">
        <v>216.74958466037893</v>
      </c>
      <c r="R16" s="6">
        <v>234.6377524988113</v>
      </c>
    </row>
    <row r="17" spans="7:18" x14ac:dyDescent="0.3">
      <c r="G17">
        <v>122.8</v>
      </c>
      <c r="M17" s="6" t="str">
        <v>21</v>
      </c>
      <c r="N17" s="6">
        <v>248.18142342236592</v>
      </c>
      <c r="O17" s="6">
        <v>233.72463828435619</v>
      </c>
      <c r="P17" s="6">
        <v>262.63820856037569</v>
      </c>
      <c r="Q17" s="6">
        <v>226.07167851273206</v>
      </c>
      <c r="R17" s="6">
        <v>270.29116833199976</v>
      </c>
    </row>
    <row r="18" spans="7:18" x14ac:dyDescent="0.3">
      <c r="G18">
        <v>131.69999999999999</v>
      </c>
      <c r="M18" s="6" t="str">
        <v>22</v>
      </c>
      <c r="N18" s="6">
        <v>270.66917826505437</v>
      </c>
      <c r="O18" s="6">
        <v>245.50229656376928</v>
      </c>
      <c r="P18" s="6">
        <v>295.83605996633946</v>
      </c>
      <c r="Q18" s="6">
        <v>232.17975414520822</v>
      </c>
      <c r="R18" s="6">
        <v>309.15860238490052</v>
      </c>
    </row>
    <row r="19" spans="7:18" x14ac:dyDescent="0.3">
      <c r="G19">
        <v>151.30000000000001</v>
      </c>
      <c r="M19" s="6" t="str">
        <v>23</v>
      </c>
      <c r="N19" s="6">
        <v>293.15693310685583</v>
      </c>
      <c r="O19" s="6">
        <v>255.52412735202455</v>
      </c>
      <c r="P19" s="6">
        <v>330.78973886168711</v>
      </c>
      <c r="Q19" s="6">
        <v>235.60252335876515</v>
      </c>
      <c r="R19" s="6">
        <v>350.71134285494651</v>
      </c>
    </row>
    <row r="20" spans="7:18" x14ac:dyDescent="0.3">
      <c r="G20">
        <v>179.3</v>
      </c>
      <c r="M20" s="6" t="str">
        <v>24</v>
      </c>
      <c r="N20" s="6">
        <v>315.64468794849495</v>
      </c>
      <c r="O20" s="6">
        <v>264.0067802525511</v>
      </c>
      <c r="P20" s="6">
        <v>367.2825956444388</v>
      </c>
      <c r="Q20" s="6">
        <v>236.67132312876197</v>
      </c>
      <c r="R20" s="6">
        <v>394.61805276822793</v>
      </c>
    </row>
    <row r="21" spans="7:18" x14ac:dyDescent="0.3">
      <c r="G21">
        <v>203.2</v>
      </c>
    </row>
  </sheetData>
  <mergeCells count="1"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197-BF08-4D10-BCFB-64225CCCCA05}">
  <dimension ref="B2:R102"/>
  <sheetViews>
    <sheetView workbookViewId="0">
      <selection activeCell="A10" sqref="A10"/>
    </sheetView>
  </sheetViews>
  <sheetFormatPr defaultRowHeight="14.4" x14ac:dyDescent="0.3"/>
  <cols>
    <col min="5" max="5" width="12.5546875" customWidth="1"/>
  </cols>
  <sheetData>
    <row r="2" spans="2:18" x14ac:dyDescent="0.3">
      <c r="B2" s="37" t="s">
        <v>9</v>
      </c>
      <c r="C2" s="37"/>
      <c r="E2" t="str" cm="1">
        <f t="array" ref="E2:N2">TRANSPOSE(_xll.Model.Results(C9))</f>
        <v>model</v>
      </c>
      <c r="F2" t="str">
        <v>mean</v>
      </c>
      <c r="G2" t="str">
        <v>level</v>
      </c>
      <c r="H2" t="str">
        <v>x</v>
      </c>
      <c r="I2" t="str">
        <v>upper</v>
      </c>
      <c r="J2" t="str">
        <v>lower</v>
      </c>
      <c r="K2" t="str">
        <v>fitted</v>
      </c>
      <c r="L2" t="str">
        <v>method</v>
      </c>
      <c r="M2" t="str">
        <v>series</v>
      </c>
      <c r="N2" t="str">
        <v>residuals</v>
      </c>
      <c r="P2" t="str" cm="1">
        <f t="array" ref="P2:P5">_xll.Model.Result($C$9, E2)</f>
        <v>alpha</v>
      </c>
      <c r="Q2" cm="1">
        <f t="array" ref="Q2">_xll.Model.Result($C$9, $E$2, P2)</f>
        <v>0.24566815365311614</v>
      </c>
    </row>
    <row r="3" spans="2:18" x14ac:dyDescent="0.3">
      <c r="B3" s="3" t="s">
        <v>11</v>
      </c>
      <c r="C3" s="4" t="str">
        <f>"thetaf"&amp;C5</f>
        <v>thetaf10</v>
      </c>
      <c r="G3" cm="1">
        <f t="array" ref="G3:G4">_xll.Model.Result($C$9,G2)</f>
        <v>80</v>
      </c>
      <c r="H3" cm="1">
        <f t="array" ref="H3:H102">_xll.Model.Result($C$9,H2)</f>
        <v>1120</v>
      </c>
      <c r="I3" cm="1">
        <f t="array" ref="I3:J12">_xll.Model.Result($C$9,I2)</f>
        <v>984.65243314674603</v>
      </c>
      <c r="J3">
        <v>1082.5010498687529</v>
      </c>
      <c r="P3" t="str">
        <v>drift</v>
      </c>
      <c r="Q3" cm="1">
        <f t="array" ref="Q3">_xll.Model.Result($C$9, $E$2, P3)</f>
        <v>-1.3571527152715268</v>
      </c>
    </row>
    <row r="4" spans="2:18" x14ac:dyDescent="0.3">
      <c r="B4" s="3" t="s">
        <v>10</v>
      </c>
      <c r="C4" s="4" t="s">
        <v>102</v>
      </c>
      <c r="G4">
        <v>95</v>
      </c>
      <c r="H4">
        <v>1160</v>
      </c>
      <c r="I4">
        <v>988.79139158825535</v>
      </c>
      <c r="J4">
        <v>1089.5494738091047</v>
      </c>
      <c r="P4" t="str">
        <v>sigma</v>
      </c>
      <c r="Q4" cm="1">
        <f t="array" ref="Q4">_xll.Model.Result($C$9, $E$2, P4)</f>
        <v>20802.800390485656</v>
      </c>
    </row>
    <row r="5" spans="2:18" x14ac:dyDescent="0.3">
      <c r="B5" s="3" t="s">
        <v>65</v>
      </c>
      <c r="C5" s="4">
        <v>10</v>
      </c>
      <c r="H5">
        <v>963</v>
      </c>
      <c r="I5">
        <v>992.77603897707922</v>
      </c>
      <c r="J5">
        <v>1096.3618993598393</v>
      </c>
      <c r="P5" t="str">
        <v>call</v>
      </c>
      <c r="Q5" t="str" cm="1">
        <f t="array" ref="Q5">_xll.Model.Result($C$9, $E$2, P5)</f>
        <v>thetaf(y = Nile, h = 10)</v>
      </c>
    </row>
    <row r="6" spans="2:18" x14ac:dyDescent="0.3">
      <c r="B6" s="10"/>
      <c r="H6">
        <v>1210</v>
      </c>
      <c r="I6">
        <v>996.61868612051012</v>
      </c>
      <c r="J6">
        <v>1102.9571542759707</v>
      </c>
    </row>
    <row r="7" spans="2:18" x14ac:dyDescent="0.3">
      <c r="H7">
        <v>1160</v>
      </c>
      <c r="I7">
        <v>1000.3300890849193</v>
      </c>
      <c r="J7">
        <v>1109.3516885414633</v>
      </c>
    </row>
    <row r="8" spans="2:18" x14ac:dyDescent="0.3">
      <c r="H8">
        <v>1160</v>
      </c>
      <c r="I8">
        <v>1003.9197109417963</v>
      </c>
      <c r="J8">
        <v>1115.5599746752555</v>
      </c>
    </row>
    <row r="9" spans="2:18" x14ac:dyDescent="0.3">
      <c r="B9" s="7" t="s">
        <v>24</v>
      </c>
      <c r="C9" s="5" t="str" cm="1">
        <f t="array" ref="C9">_xll.Forecast.thetaf(C3,C4, B5:C5)</f>
        <v>thetaf10</v>
      </c>
      <c r="H9">
        <v>813</v>
      </c>
      <c r="I9">
        <v>1007.3959294436359</v>
      </c>
      <c r="J9">
        <v>1121.5948253441197</v>
      </c>
    </row>
    <row r="10" spans="2:18" x14ac:dyDescent="0.3">
      <c r="H10">
        <v>1230</v>
      </c>
      <c r="I10">
        <v>1010.7662036852751</v>
      </c>
      <c r="J10">
        <v>1127.4676482491827</v>
      </c>
    </row>
    <row r="11" spans="2:18" x14ac:dyDescent="0.3">
      <c r="H11">
        <v>1370</v>
      </c>
      <c r="I11">
        <v>1014.0372092366587</v>
      </c>
      <c r="J11">
        <v>1133.1886527936549</v>
      </c>
    </row>
    <row r="12" spans="2:18" x14ac:dyDescent="0.3">
      <c r="H12">
        <v>1140</v>
      </c>
      <c r="I12">
        <v>1017.214948744287</v>
      </c>
      <c r="J12">
        <v>1138.7670192331489</v>
      </c>
    </row>
    <row r="13" spans="2:18" x14ac:dyDescent="0.3">
      <c r="H13">
        <v>995</v>
      </c>
    </row>
    <row r="14" spans="2:18" x14ac:dyDescent="0.3">
      <c r="H14">
        <v>935</v>
      </c>
    </row>
    <row r="15" spans="2:18" x14ac:dyDescent="0.3">
      <c r="H15">
        <v>1110</v>
      </c>
      <c r="M15" t="str" cm="1">
        <f t="array" ref="M15:R25">_xll.Model.Result(C9,,,TRUE)</f>
        <v>Index</v>
      </c>
      <c r="N15" t="str">
        <v>Point Forecast</v>
      </c>
      <c r="O15" t="str">
        <v>Lo 80</v>
      </c>
      <c r="P15" t="str">
        <v>Hi 80</v>
      </c>
      <c r="Q15" t="str">
        <v>Lo 95</v>
      </c>
      <c r="R15" t="str">
        <v>Hi 95</v>
      </c>
    </row>
    <row r="16" spans="2:18" x14ac:dyDescent="0.3">
      <c r="H16">
        <v>994</v>
      </c>
      <c r="M16" t="str">
        <v>1971</v>
      </c>
      <c r="N16">
        <v>799.8119962158562</v>
      </c>
      <c r="O16">
        <v>614.97155928496636</v>
      </c>
      <c r="P16">
        <v>984.65243314674603</v>
      </c>
      <c r="Q16">
        <v>517.12294256295945</v>
      </c>
      <c r="R16">
        <v>1082.5010498687529</v>
      </c>
    </row>
    <row r="17" spans="8:18" x14ac:dyDescent="0.3">
      <c r="H17">
        <v>1020</v>
      </c>
      <c r="M17" t="str">
        <v>1972</v>
      </c>
      <c r="N17">
        <v>798.45484350058473</v>
      </c>
      <c r="O17">
        <v>608.11829541291411</v>
      </c>
      <c r="P17">
        <v>988.79139158825535</v>
      </c>
      <c r="Q17">
        <v>507.3602131920648</v>
      </c>
      <c r="R17">
        <v>1089.5494738091047</v>
      </c>
    </row>
    <row r="18" spans="8:18" x14ac:dyDescent="0.3">
      <c r="H18">
        <v>960</v>
      </c>
      <c r="M18" t="str">
        <v>1973</v>
      </c>
      <c r="N18">
        <v>797.09769078531315</v>
      </c>
      <c r="O18">
        <v>601.41934259354707</v>
      </c>
      <c r="P18">
        <v>992.77603897707922</v>
      </c>
      <c r="Q18">
        <v>497.833482210787</v>
      </c>
      <c r="R18">
        <v>1096.3618993598393</v>
      </c>
    </row>
    <row r="19" spans="8:18" x14ac:dyDescent="0.3">
      <c r="H19">
        <v>1180</v>
      </c>
      <c r="M19" t="str">
        <v>1974</v>
      </c>
      <c r="N19">
        <v>795.74053807004157</v>
      </c>
      <c r="O19">
        <v>594.86239001957301</v>
      </c>
      <c r="P19">
        <v>996.61868612051012</v>
      </c>
      <c r="Q19">
        <v>488.52392186411254</v>
      </c>
      <c r="R19">
        <v>1102.9571542759707</v>
      </c>
    </row>
    <row r="20" spans="8:18" x14ac:dyDescent="0.3">
      <c r="H20">
        <v>799</v>
      </c>
      <c r="M20" t="str">
        <v>1975</v>
      </c>
      <c r="N20">
        <v>794.3833853547701</v>
      </c>
      <c r="O20">
        <v>588.43668162462086</v>
      </c>
      <c r="P20">
        <v>1000.3300890849193</v>
      </c>
      <c r="Q20">
        <v>479.41508216807694</v>
      </c>
      <c r="R20">
        <v>1109.3516885414633</v>
      </c>
    </row>
    <row r="21" spans="8:18" x14ac:dyDescent="0.3">
      <c r="H21">
        <v>958</v>
      </c>
      <c r="M21" t="str">
        <v>1976</v>
      </c>
      <c r="N21">
        <v>793.02623263949852</v>
      </c>
      <c r="O21">
        <v>582.13275433720071</v>
      </c>
      <c r="P21">
        <v>1003.9197109417963</v>
      </c>
      <c r="Q21">
        <v>470.49249060374143</v>
      </c>
      <c r="R21">
        <v>1115.5599746752555</v>
      </c>
    </row>
    <row r="22" spans="8:18" x14ac:dyDescent="0.3">
      <c r="H22">
        <v>1140</v>
      </c>
      <c r="M22" t="str">
        <v>1977</v>
      </c>
      <c r="N22">
        <v>791.66907992422705</v>
      </c>
      <c r="O22">
        <v>575.94223040481825</v>
      </c>
      <c r="P22">
        <v>1007.3959294436359</v>
      </c>
      <c r="Q22">
        <v>461.74333450433431</v>
      </c>
      <c r="R22">
        <v>1121.5948253441197</v>
      </c>
    </row>
    <row r="23" spans="8:18" x14ac:dyDescent="0.3">
      <c r="H23">
        <v>1100</v>
      </c>
      <c r="M23" t="str">
        <v>1978</v>
      </c>
      <c r="N23">
        <v>790.31192720895547</v>
      </c>
      <c r="O23">
        <v>569.85765073263588</v>
      </c>
      <c r="P23">
        <v>1010.7662036852751</v>
      </c>
      <c r="Q23">
        <v>453.15620616872826</v>
      </c>
      <c r="R23">
        <v>1127.4676482491827</v>
      </c>
    </row>
    <row r="24" spans="8:18" x14ac:dyDescent="0.3">
      <c r="H24">
        <v>1210</v>
      </c>
      <c r="M24" t="str">
        <v>1979</v>
      </c>
      <c r="N24">
        <v>788.954774493684</v>
      </c>
      <c r="O24">
        <v>563.87233975070933</v>
      </c>
      <c r="P24">
        <v>1014.0372092366587</v>
      </c>
      <c r="Q24">
        <v>444.7208961937132</v>
      </c>
      <c r="R24">
        <v>1133.1886527936549</v>
      </c>
    </row>
    <row r="25" spans="8:18" x14ac:dyDescent="0.3">
      <c r="H25">
        <v>1150</v>
      </c>
      <c r="M25" t="str">
        <v>1980</v>
      </c>
      <c r="N25">
        <v>787.59762177841242</v>
      </c>
      <c r="O25">
        <v>557.98029481253786</v>
      </c>
      <c r="P25">
        <v>1017.214948744287</v>
      </c>
      <c r="Q25">
        <v>436.42822432367586</v>
      </c>
      <c r="R25">
        <v>1138.7670192331489</v>
      </c>
    </row>
    <row r="26" spans="8:18" x14ac:dyDescent="0.3">
      <c r="H26">
        <v>1250</v>
      </c>
    </row>
    <row r="27" spans="8:18" x14ac:dyDescent="0.3">
      <c r="H27">
        <v>1260</v>
      </c>
    </row>
    <row r="28" spans="8:18" x14ac:dyDescent="0.3">
      <c r="H28">
        <v>1220</v>
      </c>
    </row>
    <row r="29" spans="8:18" x14ac:dyDescent="0.3">
      <c r="H29">
        <v>1030</v>
      </c>
    </row>
    <row r="30" spans="8:18" x14ac:dyDescent="0.3">
      <c r="H30">
        <v>1100</v>
      </c>
    </row>
    <row r="31" spans="8:18" x14ac:dyDescent="0.3">
      <c r="H31">
        <v>774</v>
      </c>
    </row>
    <row r="32" spans="8:18" x14ac:dyDescent="0.3">
      <c r="H32">
        <v>840</v>
      </c>
    </row>
    <row r="33" spans="8:8" x14ac:dyDescent="0.3">
      <c r="H33">
        <v>874</v>
      </c>
    </row>
    <row r="34" spans="8:8" x14ac:dyDescent="0.3">
      <c r="H34">
        <v>694</v>
      </c>
    </row>
    <row r="35" spans="8:8" x14ac:dyDescent="0.3">
      <c r="H35">
        <v>940</v>
      </c>
    </row>
    <row r="36" spans="8:8" x14ac:dyDescent="0.3">
      <c r="H36">
        <v>833</v>
      </c>
    </row>
    <row r="37" spans="8:8" x14ac:dyDescent="0.3">
      <c r="H37">
        <v>701</v>
      </c>
    </row>
    <row r="38" spans="8:8" x14ac:dyDescent="0.3">
      <c r="H38">
        <v>916</v>
      </c>
    </row>
    <row r="39" spans="8:8" x14ac:dyDescent="0.3">
      <c r="H39">
        <v>692</v>
      </c>
    </row>
    <row r="40" spans="8:8" x14ac:dyDescent="0.3">
      <c r="H40">
        <v>1020</v>
      </c>
    </row>
    <row r="41" spans="8:8" x14ac:dyDescent="0.3">
      <c r="H41">
        <v>1050</v>
      </c>
    </row>
    <row r="42" spans="8:8" x14ac:dyDescent="0.3">
      <c r="H42">
        <v>969</v>
      </c>
    </row>
    <row r="43" spans="8:8" x14ac:dyDescent="0.3">
      <c r="H43">
        <v>831</v>
      </c>
    </row>
    <row r="44" spans="8:8" x14ac:dyDescent="0.3">
      <c r="H44">
        <v>726</v>
      </c>
    </row>
    <row r="45" spans="8:8" x14ac:dyDescent="0.3">
      <c r="H45">
        <v>456</v>
      </c>
    </row>
    <row r="46" spans="8:8" x14ac:dyDescent="0.3">
      <c r="H46">
        <v>824</v>
      </c>
    </row>
    <row r="47" spans="8:8" x14ac:dyDescent="0.3">
      <c r="H47">
        <v>702</v>
      </c>
    </row>
    <row r="48" spans="8:8" x14ac:dyDescent="0.3">
      <c r="H48">
        <v>1120</v>
      </c>
    </row>
    <row r="49" spans="8:8" x14ac:dyDescent="0.3">
      <c r="H49">
        <v>1100</v>
      </c>
    </row>
    <row r="50" spans="8:8" x14ac:dyDescent="0.3">
      <c r="H50">
        <v>832</v>
      </c>
    </row>
    <row r="51" spans="8:8" x14ac:dyDescent="0.3">
      <c r="H51">
        <v>764</v>
      </c>
    </row>
    <row r="52" spans="8:8" x14ac:dyDescent="0.3">
      <c r="H52">
        <v>821</v>
      </c>
    </row>
    <row r="53" spans="8:8" x14ac:dyDescent="0.3">
      <c r="H53">
        <v>768</v>
      </c>
    </row>
    <row r="54" spans="8:8" x14ac:dyDescent="0.3">
      <c r="H54">
        <v>845</v>
      </c>
    </row>
    <row r="55" spans="8:8" x14ac:dyDescent="0.3">
      <c r="H55">
        <v>864</v>
      </c>
    </row>
    <row r="56" spans="8:8" x14ac:dyDescent="0.3">
      <c r="H56">
        <v>862</v>
      </c>
    </row>
    <row r="57" spans="8:8" x14ac:dyDescent="0.3">
      <c r="H57">
        <v>698</v>
      </c>
    </row>
    <row r="58" spans="8:8" x14ac:dyDescent="0.3">
      <c r="H58">
        <v>845</v>
      </c>
    </row>
    <row r="59" spans="8:8" x14ac:dyDescent="0.3">
      <c r="H59">
        <v>744</v>
      </c>
    </row>
    <row r="60" spans="8:8" x14ac:dyDescent="0.3">
      <c r="H60">
        <v>796</v>
      </c>
    </row>
    <row r="61" spans="8:8" x14ac:dyDescent="0.3">
      <c r="H61">
        <v>1040</v>
      </c>
    </row>
    <row r="62" spans="8:8" x14ac:dyDescent="0.3">
      <c r="H62">
        <v>759</v>
      </c>
    </row>
    <row r="63" spans="8:8" x14ac:dyDescent="0.3">
      <c r="H63">
        <v>781</v>
      </c>
    </row>
    <row r="64" spans="8:8" x14ac:dyDescent="0.3">
      <c r="H64">
        <v>865</v>
      </c>
    </row>
    <row r="65" spans="8:8" x14ac:dyDescent="0.3">
      <c r="H65">
        <v>845</v>
      </c>
    </row>
    <row r="66" spans="8:8" x14ac:dyDescent="0.3">
      <c r="H66">
        <v>944</v>
      </c>
    </row>
    <row r="67" spans="8:8" x14ac:dyDescent="0.3">
      <c r="H67">
        <v>984</v>
      </c>
    </row>
    <row r="68" spans="8:8" x14ac:dyDescent="0.3">
      <c r="H68">
        <v>897</v>
      </c>
    </row>
    <row r="69" spans="8:8" x14ac:dyDescent="0.3">
      <c r="H69">
        <v>822</v>
      </c>
    </row>
    <row r="70" spans="8:8" x14ac:dyDescent="0.3">
      <c r="H70">
        <v>1010</v>
      </c>
    </row>
    <row r="71" spans="8:8" x14ac:dyDescent="0.3">
      <c r="H71">
        <v>771</v>
      </c>
    </row>
    <row r="72" spans="8:8" x14ac:dyDescent="0.3">
      <c r="H72">
        <v>676</v>
      </c>
    </row>
    <row r="73" spans="8:8" x14ac:dyDescent="0.3">
      <c r="H73">
        <v>649</v>
      </c>
    </row>
    <row r="74" spans="8:8" x14ac:dyDescent="0.3">
      <c r="H74">
        <v>846</v>
      </c>
    </row>
    <row r="75" spans="8:8" x14ac:dyDescent="0.3">
      <c r="H75">
        <v>812</v>
      </c>
    </row>
    <row r="76" spans="8:8" x14ac:dyDescent="0.3">
      <c r="H76">
        <v>742</v>
      </c>
    </row>
    <row r="77" spans="8:8" x14ac:dyDescent="0.3">
      <c r="H77">
        <v>801</v>
      </c>
    </row>
    <row r="78" spans="8:8" x14ac:dyDescent="0.3">
      <c r="H78">
        <v>1040</v>
      </c>
    </row>
    <row r="79" spans="8:8" x14ac:dyDescent="0.3">
      <c r="H79">
        <v>860</v>
      </c>
    </row>
    <row r="80" spans="8:8" x14ac:dyDescent="0.3">
      <c r="H80">
        <v>874</v>
      </c>
    </row>
    <row r="81" spans="8:8" x14ac:dyDescent="0.3">
      <c r="H81">
        <v>848</v>
      </c>
    </row>
    <row r="82" spans="8:8" x14ac:dyDescent="0.3">
      <c r="H82">
        <v>890</v>
      </c>
    </row>
    <row r="83" spans="8:8" x14ac:dyDescent="0.3">
      <c r="H83">
        <v>744</v>
      </c>
    </row>
    <row r="84" spans="8:8" x14ac:dyDescent="0.3">
      <c r="H84">
        <v>749</v>
      </c>
    </row>
    <row r="85" spans="8:8" x14ac:dyDescent="0.3">
      <c r="H85">
        <v>838</v>
      </c>
    </row>
    <row r="86" spans="8:8" x14ac:dyDescent="0.3">
      <c r="H86">
        <v>1050</v>
      </c>
    </row>
    <row r="87" spans="8:8" x14ac:dyDescent="0.3">
      <c r="H87">
        <v>918</v>
      </c>
    </row>
    <row r="88" spans="8:8" x14ac:dyDescent="0.3">
      <c r="H88">
        <v>986</v>
      </c>
    </row>
    <row r="89" spans="8:8" x14ac:dyDescent="0.3">
      <c r="H89">
        <v>797</v>
      </c>
    </row>
    <row r="90" spans="8:8" x14ac:dyDescent="0.3">
      <c r="H90">
        <v>923</v>
      </c>
    </row>
    <row r="91" spans="8:8" x14ac:dyDescent="0.3">
      <c r="H91">
        <v>975</v>
      </c>
    </row>
    <row r="92" spans="8:8" x14ac:dyDescent="0.3">
      <c r="H92">
        <v>815</v>
      </c>
    </row>
    <row r="93" spans="8:8" x14ac:dyDescent="0.3">
      <c r="H93">
        <v>1020</v>
      </c>
    </row>
    <row r="94" spans="8:8" x14ac:dyDescent="0.3">
      <c r="H94">
        <v>906</v>
      </c>
    </row>
    <row r="95" spans="8:8" x14ac:dyDescent="0.3">
      <c r="H95">
        <v>901</v>
      </c>
    </row>
    <row r="96" spans="8:8" x14ac:dyDescent="0.3">
      <c r="H96">
        <v>1170</v>
      </c>
    </row>
    <row r="97" spans="8:8" x14ac:dyDescent="0.3">
      <c r="H97">
        <v>912</v>
      </c>
    </row>
    <row r="98" spans="8:8" x14ac:dyDescent="0.3">
      <c r="H98">
        <v>746</v>
      </c>
    </row>
    <row r="99" spans="8:8" x14ac:dyDescent="0.3">
      <c r="H99">
        <v>919</v>
      </c>
    </row>
    <row r="100" spans="8:8" x14ac:dyDescent="0.3">
      <c r="H100">
        <v>718</v>
      </c>
    </row>
    <row r="101" spans="8:8" x14ac:dyDescent="0.3">
      <c r="H101">
        <v>714</v>
      </c>
    </row>
    <row r="102" spans="8:8" x14ac:dyDescent="0.3">
      <c r="H102">
        <v>740</v>
      </c>
    </row>
  </sheetData>
  <mergeCells count="1">
    <mergeCell ref="B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19D-675F-4993-83DB-CED3FAA74B62}">
  <dimension ref="B3:Q55"/>
  <sheetViews>
    <sheetView workbookViewId="0"/>
  </sheetViews>
  <sheetFormatPr defaultRowHeight="14.4" x14ac:dyDescent="0.3"/>
  <cols>
    <col min="2" max="2" width="10.77734375" bestFit="1" customWidth="1"/>
    <col min="3" max="3" width="19.77734375" customWidth="1"/>
    <col min="7" max="7" width="14.88671875" customWidth="1"/>
    <col min="9" max="9" width="8.77734375" customWidth="1"/>
    <col min="10" max="10" width="20" customWidth="1"/>
    <col min="11" max="11" width="12.21875" bestFit="1" customWidth="1"/>
    <col min="12" max="17" width="11" customWidth="1"/>
  </cols>
  <sheetData>
    <row r="3" spans="2:17" x14ac:dyDescent="0.3">
      <c r="B3" s="37" t="s">
        <v>9</v>
      </c>
      <c r="C3" s="37"/>
    </row>
    <row r="4" spans="2:17" x14ac:dyDescent="0.3">
      <c r="B4" s="4" t="s">
        <v>11</v>
      </c>
      <c r="C4" s="4" t="s">
        <v>154</v>
      </c>
    </row>
    <row r="5" spans="2:17" x14ac:dyDescent="0.3">
      <c r="B5" s="4" t="s">
        <v>150</v>
      </c>
      <c r="C5" s="4" t="s">
        <v>152</v>
      </c>
      <c r="D5" s="8"/>
      <c r="E5" s="8"/>
      <c r="F5" s="8"/>
      <c r="G5" s="8"/>
      <c r="H5" s="8"/>
      <c r="J5" s="16"/>
      <c r="K5" s="16"/>
      <c r="L5" s="16"/>
      <c r="M5" s="16"/>
      <c r="N5" s="16"/>
    </row>
    <row r="6" spans="2:17" x14ac:dyDescent="0.3">
      <c r="B6" s="4" t="s">
        <v>151</v>
      </c>
      <c r="C6" s="4" t="str" cm="1">
        <f t="array" ref="C6">_xll.RScript.CreateDataFrame("gala",tGalapagosData[],tGalapagosData[#Headers])</f>
        <v>gala</v>
      </c>
      <c r="D6" s="8"/>
      <c r="E6" s="8"/>
      <c r="F6" s="8"/>
      <c r="G6" s="8"/>
      <c r="H6" s="8"/>
      <c r="J6" s="16"/>
      <c r="K6" s="26" t="s">
        <v>159</v>
      </c>
      <c r="L6" s="27"/>
      <c r="M6" s="27"/>
      <c r="N6" s="27"/>
      <c r="O6" s="28"/>
      <c r="P6" s="28"/>
      <c r="Q6" s="28"/>
    </row>
    <row r="7" spans="2:17" x14ac:dyDescent="0.3">
      <c r="B7" s="4"/>
      <c r="D7" s="8"/>
      <c r="E7" s="8"/>
      <c r="F7" s="8"/>
      <c r="G7" s="8"/>
      <c r="H7" s="8"/>
      <c r="J7" s="16"/>
      <c r="K7" s="31" t="str" cm="1">
        <f t="array" ref="K7:Q8">_xll.Model.Accuracy(C8)</f>
        <v>Index</v>
      </c>
      <c r="L7" s="32" t="str">
        <v>ME</v>
      </c>
      <c r="M7" s="32" t="str">
        <v>RMSE</v>
      </c>
      <c r="N7" s="32" t="str">
        <v>MAE</v>
      </c>
      <c r="O7" s="32" t="str">
        <v>MPE</v>
      </c>
      <c r="P7" s="32" t="str">
        <v>MAPE</v>
      </c>
      <c r="Q7" s="32" t="str">
        <v>MASE</v>
      </c>
    </row>
    <row r="8" spans="2:17" x14ac:dyDescent="0.3">
      <c r="B8" s="4" t="s">
        <v>24</v>
      </c>
      <c r="C8" s="6" t="str" cm="1">
        <f t="array" ref="C8">_xll.Regression.LM(C4,C5,C6)</f>
        <v>baseModel</v>
      </c>
      <c r="D8" s="15"/>
      <c r="E8" s="15"/>
      <c r="F8" s="15"/>
      <c r="G8" s="15"/>
      <c r="H8" s="15"/>
      <c r="J8" s="16"/>
      <c r="K8" s="33" t="str">
        <v>Training set</v>
      </c>
      <c r="L8" s="34">
        <v>-2.3728125945569426E-16</v>
      </c>
      <c r="M8" s="34">
        <v>54.534506468374872</v>
      </c>
      <c r="N8" s="34">
        <v>40.47955300968804</v>
      </c>
      <c r="O8" s="34">
        <v>-75.33900029820343</v>
      </c>
      <c r="P8" s="34">
        <v>251.9938767537096</v>
      </c>
      <c r="Q8" s="34">
        <v>0.49449734925101435</v>
      </c>
    </row>
    <row r="9" spans="2:17" x14ac:dyDescent="0.3">
      <c r="C9" s="8"/>
      <c r="D9" s="8"/>
      <c r="E9" s="8"/>
      <c r="F9" s="8"/>
      <c r="G9" s="8"/>
      <c r="H9" s="8"/>
      <c r="J9" s="16"/>
    </row>
    <row r="10" spans="2:17" x14ac:dyDescent="0.3">
      <c r="B10" s="18" t="s">
        <v>29</v>
      </c>
      <c r="D10" s="8"/>
      <c r="E10" s="8"/>
      <c r="F10" s="8"/>
      <c r="G10" s="8"/>
      <c r="H10" s="8"/>
      <c r="K10" s="7" t="str" cm="1">
        <f t="array" ref="K10:P16">_xll.RScript.Evaluate("anova("&amp;C8&amp;")")</f>
        <v>Index</v>
      </c>
      <c r="L10" s="7" t="str">
        <v>Df</v>
      </c>
      <c r="M10" s="7" t="str">
        <v>Sum Sq</v>
      </c>
      <c r="N10" s="7" t="str">
        <v>Mean Sq</v>
      </c>
      <c r="O10" s="7" t="str">
        <v>F value</v>
      </c>
      <c r="P10" s="7" t="str">
        <v>Pr(&gt;F)</v>
      </c>
    </row>
    <row r="11" spans="2:17" x14ac:dyDescent="0.3">
      <c r="B11" t="str" cm="1">
        <f t="array" ref="B11:B22">_xll.Model.Results(C8)</f>
        <v>coefficients</v>
      </c>
      <c r="D11" s="8"/>
      <c r="E11" s="8"/>
      <c r="F11" s="8"/>
      <c r="G11" s="8"/>
      <c r="H11" s="8"/>
      <c r="K11" s="29" t="str">
        <v>Area</v>
      </c>
      <c r="L11" s="30">
        <v>1</v>
      </c>
      <c r="M11" s="30">
        <v>145465.08832562366</v>
      </c>
      <c r="N11" s="30">
        <v>145465.08832562366</v>
      </c>
      <c r="O11" s="30">
        <v>39.129652192045477</v>
      </c>
      <c r="P11" s="30">
        <v>1.8246037566969249E-6</v>
      </c>
    </row>
    <row r="12" spans="2:17" x14ac:dyDescent="0.3">
      <c r="B12" s="8" t="str">
        <v>residuals</v>
      </c>
      <c r="D12" s="8"/>
      <c r="E12" s="8"/>
      <c r="F12" s="8"/>
      <c r="G12" s="8"/>
      <c r="H12" s="8"/>
      <c r="K12" s="29" t="str">
        <v>Elevation</v>
      </c>
      <c r="L12" s="30">
        <v>1</v>
      </c>
      <c r="M12" s="30">
        <v>65666.629692837261</v>
      </c>
      <c r="N12" s="30">
        <v>65666.629692837261</v>
      </c>
      <c r="O12" s="30">
        <v>17.664117281204366</v>
      </c>
      <c r="P12" s="30">
        <v>3.1520105175534223E-4</v>
      </c>
    </row>
    <row r="13" spans="2:17" x14ac:dyDescent="0.3">
      <c r="B13" s="8" t="str">
        <v>effects</v>
      </c>
      <c r="D13" s="8"/>
      <c r="E13" s="8"/>
      <c r="F13" s="8"/>
      <c r="G13" s="8"/>
      <c r="H13" s="8"/>
      <c r="K13" s="29" t="str">
        <v>Nearest</v>
      </c>
      <c r="L13" s="30">
        <v>1</v>
      </c>
      <c r="M13" s="30">
        <v>29.309994088102041</v>
      </c>
      <c r="N13" s="30">
        <v>29.309994088102041</v>
      </c>
      <c r="O13" s="30">
        <v>7.8842964151716495E-3</v>
      </c>
      <c r="P13" s="30">
        <v>0.92998278059540307</v>
      </c>
    </row>
    <row r="14" spans="2:17" x14ac:dyDescent="0.3">
      <c r="B14" s="8" t="str">
        <v>rank</v>
      </c>
      <c r="D14" s="15"/>
      <c r="E14" s="15"/>
      <c r="F14" s="15"/>
      <c r="G14" s="15"/>
      <c r="H14" s="15"/>
      <c r="I14" s="17"/>
      <c r="K14" s="29" t="str">
        <v>Scruz</v>
      </c>
      <c r="L14" s="30">
        <v>1</v>
      </c>
      <c r="M14" s="30">
        <v>14278.485641368316</v>
      </c>
      <c r="N14" s="30">
        <v>14278.485641368316</v>
      </c>
      <c r="O14" s="30">
        <v>3.8408678220108738</v>
      </c>
      <c r="P14" s="30">
        <v>6.1729080849071229E-2</v>
      </c>
    </row>
    <row r="15" spans="2:17" x14ac:dyDescent="0.3">
      <c r="B15" s="8" t="str">
        <v>fitted.values</v>
      </c>
      <c r="D15" s="8"/>
      <c r="E15" s="8"/>
      <c r="F15" s="8"/>
      <c r="G15" s="8"/>
      <c r="H15" s="8"/>
      <c r="K15" s="29" t="str">
        <v>Adjacent</v>
      </c>
      <c r="L15" s="30">
        <v>1</v>
      </c>
      <c r="M15" s="30">
        <v>66421.481140272663</v>
      </c>
      <c r="N15" s="30">
        <v>66421.481140272663</v>
      </c>
      <c r="O15" s="30">
        <v>17.867169951331583</v>
      </c>
      <c r="P15" s="30">
        <v>2.9650744889825993E-4</v>
      </c>
    </row>
    <row r="16" spans="2:17" x14ac:dyDescent="0.3">
      <c r="B16" s="8" t="str">
        <v>assign</v>
      </c>
      <c r="D16" s="8"/>
      <c r="E16" s="8"/>
      <c r="F16" s="8"/>
      <c r="G16" s="8"/>
      <c r="H16" s="8"/>
      <c r="K16" s="29" t="str">
        <v>Residuals</v>
      </c>
      <c r="L16" s="30">
        <v>24</v>
      </c>
      <c r="M16" s="30">
        <v>89220.371872476637</v>
      </c>
      <c r="N16" s="30">
        <v>3717.5154946865264</v>
      </c>
      <c r="O16" s="30" t="str">
        <v/>
      </c>
      <c r="P16" s="30" t="str">
        <v/>
      </c>
    </row>
    <row r="17" spans="2:13" x14ac:dyDescent="0.3">
      <c r="B17" s="8" t="str">
        <v>qr</v>
      </c>
      <c r="D17" s="8"/>
      <c r="E17" s="8"/>
      <c r="F17" s="8"/>
      <c r="G17" s="8"/>
      <c r="H17" s="8"/>
    </row>
    <row r="18" spans="2:13" x14ac:dyDescent="0.3">
      <c r="B18" s="8" t="str">
        <v>df.residual</v>
      </c>
      <c r="C18" cm="1">
        <f t="array" ref="C18">_xll.Model.Result($C$8,B18)</f>
        <v>24</v>
      </c>
      <c r="D18" s="8"/>
      <c r="E18" s="8"/>
      <c r="F18" s="8"/>
      <c r="G18" s="8"/>
      <c r="H18" s="8"/>
    </row>
    <row r="19" spans="2:13" x14ac:dyDescent="0.3">
      <c r="B19" s="8" t="str">
        <v>xlevels</v>
      </c>
      <c r="D19" s="15"/>
      <c r="E19" s="15"/>
      <c r="F19" s="15"/>
      <c r="G19" s="15"/>
      <c r="H19" s="15"/>
      <c r="I19" s="17"/>
      <c r="J19" s="17"/>
      <c r="K19" s="17"/>
      <c r="L19" s="17"/>
      <c r="M19" s="17"/>
    </row>
    <row r="20" spans="2:13" x14ac:dyDescent="0.3">
      <c r="B20" s="8" t="str">
        <v>call</v>
      </c>
      <c r="D20" s="8"/>
      <c r="E20" s="8"/>
      <c r="F20" s="8"/>
      <c r="G20" s="8"/>
      <c r="H20" s="8"/>
      <c r="K20" s="35" t="s">
        <v>183</v>
      </c>
      <c r="L20" s="36"/>
      <c r="M20" s="14"/>
    </row>
    <row r="21" spans="2:13" x14ac:dyDescent="0.3">
      <c r="B21" t="str">
        <v>terms</v>
      </c>
      <c r="H21" s="8"/>
      <c r="K21" s="14" t="str" cm="1">
        <f t="array" ref="K21:M34">_xll.RScript.Params("lm", TRUE, TRUE)</f>
        <v>formula</v>
      </c>
      <c r="L21" s="29" t="str">
        <v>symbol</v>
      </c>
      <c r="M21" s="14" t="str">
        <v>&lt;missing&gt;</v>
      </c>
    </row>
    <row r="22" spans="2:13" x14ac:dyDescent="0.3">
      <c r="B22" t="str">
        <v>model</v>
      </c>
      <c r="H22" s="8"/>
      <c r="K22" s="14" t="str">
        <v>data</v>
      </c>
      <c r="L22" s="14" t="str">
        <v>symbol</v>
      </c>
      <c r="M22" s="14" t="str">
        <v>&lt;missing&gt;</v>
      </c>
    </row>
    <row r="23" spans="2:13" x14ac:dyDescent="0.3">
      <c r="H23" s="8"/>
      <c r="K23" s="14" t="str">
        <v>subset</v>
      </c>
      <c r="L23" s="14" t="str">
        <v>symbol</v>
      </c>
      <c r="M23" s="14" t="str">
        <v>&lt;missing&gt;</v>
      </c>
    </row>
    <row r="24" spans="2:13" x14ac:dyDescent="0.3">
      <c r="B24" s="10" t="str" cm="1">
        <f t="array" ref="B24">_xll.RScript.Evaluate("summary = summary("&amp;C8&amp;")")</f>
        <v>summary</v>
      </c>
      <c r="H24" s="8"/>
      <c r="K24" s="14" t="str">
        <v>weights</v>
      </c>
      <c r="L24" s="14" t="str">
        <v>symbol</v>
      </c>
      <c r="M24" s="14" t="str">
        <v>&lt;missing&gt;</v>
      </c>
    </row>
    <row r="25" spans="2:13" x14ac:dyDescent="0.3">
      <c r="B25" t="str" cm="1">
        <f t="array" ref="B25:B35">_xll.Model.Result(B24)</f>
        <v>call</v>
      </c>
      <c r="C25" t="str" cm="1">
        <f t="array" ref="C25">_xll.Model.Result($B$24,B25)</f>
        <v xml:space="preserve">lm(formula = Species ~ Area + Elevation + Nearest + Scruz + Adjacent, </v>
      </c>
      <c r="H25" s="8"/>
      <c r="K25" s="14" t="str">
        <v>na.action</v>
      </c>
      <c r="L25" s="14" t="str">
        <v>symbol</v>
      </c>
      <c r="M25" s="14" t="str">
        <v>&lt;missing&gt;</v>
      </c>
    </row>
    <row r="26" spans="2:13" x14ac:dyDescent="0.3">
      <c r="B26" t="str">
        <v>terms</v>
      </c>
      <c r="C26" t="str" cm="1">
        <f t="array" ref="C26">_xll.Model.Result($B$24,B26)</f>
        <v>Species ~ Area + Elevation + Nearest + Scruz + Adjacent</v>
      </c>
      <c r="H26" s="8"/>
      <c r="K26" s="14" t="str">
        <v>method</v>
      </c>
      <c r="L26" s="14" t="str">
        <v>character</v>
      </c>
      <c r="M26" s="14" t="str">
        <v>qr</v>
      </c>
    </row>
    <row r="27" spans="2:13" x14ac:dyDescent="0.3">
      <c r="B27" t="str">
        <v>residuals</v>
      </c>
      <c r="H27" s="8"/>
      <c r="K27" s="14" t="str">
        <v>model</v>
      </c>
      <c r="L27" s="14" t="str">
        <v>logical</v>
      </c>
      <c r="M27" s="14" t="b">
        <v>1</v>
      </c>
    </row>
    <row r="28" spans="2:13" x14ac:dyDescent="0.3">
      <c r="B28" t="str">
        <v>coefficients</v>
      </c>
      <c r="H28" s="8"/>
      <c r="K28" s="14" t="str">
        <v>x</v>
      </c>
      <c r="L28" s="14" t="str">
        <v>logical</v>
      </c>
      <c r="M28" s="14" t="b">
        <v>0</v>
      </c>
    </row>
    <row r="29" spans="2:13" x14ac:dyDescent="0.3">
      <c r="B29" t="str">
        <v>aliased</v>
      </c>
      <c r="H29" s="8"/>
      <c r="K29" s="14" t="str">
        <v>y</v>
      </c>
      <c r="L29" s="14" t="str">
        <v>logical</v>
      </c>
      <c r="M29" s="14" t="b">
        <v>0</v>
      </c>
    </row>
    <row r="30" spans="2:13" x14ac:dyDescent="0.3">
      <c r="B30" t="str">
        <v>sigma</v>
      </c>
      <c r="C30" cm="1">
        <f t="array" ref="C30">TRANSPOSE(_xll.Model.Result($B$24,B30))</f>
        <v>60.971431791344102</v>
      </c>
      <c r="H30" s="8"/>
      <c r="K30" s="14" t="str">
        <v>qr</v>
      </c>
      <c r="L30" s="14" t="str">
        <v>logical</v>
      </c>
      <c r="M30" s="14" t="b">
        <v>1</v>
      </c>
    </row>
    <row r="31" spans="2:13" x14ac:dyDescent="0.3">
      <c r="B31" t="str">
        <v>df</v>
      </c>
      <c r="C31" cm="1">
        <f t="array" ref="C31:E31">TRANSPOSE(_xll.Model.Result($B$24,B31))</f>
        <v>6</v>
      </c>
      <c r="D31">
        <v>24</v>
      </c>
      <c r="E31">
        <v>6</v>
      </c>
      <c r="H31" s="8"/>
      <c r="K31" s="14" t="str">
        <v>singular.ok</v>
      </c>
      <c r="L31" s="14" t="str">
        <v>logical</v>
      </c>
      <c r="M31" s="14" t="b">
        <v>1</v>
      </c>
    </row>
    <row r="32" spans="2:13" x14ac:dyDescent="0.3">
      <c r="B32" t="str">
        <v>r.squared</v>
      </c>
      <c r="C32" cm="1">
        <f t="array" ref="C32">TRANSPOSE(_xll.Model.Result($B$24,B32))</f>
        <v>0.76587579536388606</v>
      </c>
      <c r="H32" s="8"/>
      <c r="K32" s="14" t="str">
        <v>contrasts</v>
      </c>
      <c r="L32" s="14" t="str">
        <v>NULL</v>
      </c>
      <c r="M32" s="14" t="str">
        <v>&lt;missing&gt;</v>
      </c>
    </row>
    <row r="33" spans="2:16" x14ac:dyDescent="0.3">
      <c r="B33" t="str">
        <v>adj.r.squared</v>
      </c>
      <c r="C33" cm="1">
        <f t="array" ref="C33">TRANSPOSE(_xll.Model.Result($B$24,B33))</f>
        <v>0.71709991939802897</v>
      </c>
      <c r="H33" s="8"/>
      <c r="K33" s="14" t="str">
        <v>offset</v>
      </c>
      <c r="L33" s="14" t="str">
        <v>symbol</v>
      </c>
      <c r="M33" s="14" t="str">
        <v>&lt;missing&gt;</v>
      </c>
    </row>
    <row r="34" spans="2:16" x14ac:dyDescent="0.3">
      <c r="B34" t="str">
        <v>fstatistic</v>
      </c>
      <c r="C34" cm="1">
        <f t="array" ref="C34:E34">TRANSPOSE(_xll.Model.Result($B$24,B34))</f>
        <v>15.701938308601491</v>
      </c>
      <c r="D34">
        <v>5</v>
      </c>
      <c r="E34">
        <v>24</v>
      </c>
      <c r="H34" s="8"/>
      <c r="K34" s="14" t="str">
        <v>...</v>
      </c>
      <c r="L34" s="14" t="str">
        <v>symbol</v>
      </c>
      <c r="M34" s="14" t="str">
        <v>&lt;missing&gt;</v>
      </c>
    </row>
    <row r="35" spans="2:16" x14ac:dyDescent="0.3">
      <c r="B35" t="str">
        <v>cov.unscaled</v>
      </c>
    </row>
    <row r="38" spans="2:16" x14ac:dyDescent="0.3">
      <c r="B38" s="6" t="s">
        <v>31</v>
      </c>
      <c r="C38" s="6" t="str" cm="1">
        <f t="array" ref="C38">_xll.Model.Result($C$8,B20)</f>
        <v xml:space="preserve">lm(formula = Species ~ Area + Elevation + Nearest + Scruz + Adjacent, </v>
      </c>
      <c r="D38" s="6"/>
      <c r="E38" s="6"/>
      <c r="F38" s="6"/>
      <c r="G38" s="6"/>
      <c r="H38" s="6"/>
      <c r="I38" s="6"/>
    </row>
    <row r="40" spans="2:16" x14ac:dyDescent="0.3">
      <c r="B40" s="6" t="s">
        <v>156</v>
      </c>
      <c r="C40" s="6" t="s">
        <v>155</v>
      </c>
      <c r="D40" s="6"/>
      <c r="E40" s="6"/>
      <c r="F40" s="6"/>
      <c r="G40" s="6"/>
      <c r="H40" s="6"/>
      <c r="I40" s="6"/>
      <c r="K40" t="s">
        <v>186</v>
      </c>
    </row>
    <row r="41" spans="2:16" x14ac:dyDescent="0.3">
      <c r="B41" s="6"/>
      <c r="C41" s="6" t="str" cm="1">
        <f t="array" ref="C41:I43">TRANSPOSE(_xll.RScript.Evaluate(C40))</f>
        <v>Index</v>
      </c>
      <c r="D41" s="6" t="str">
        <v>1</v>
      </c>
      <c r="E41" s="6" t="str">
        <v>2</v>
      </c>
      <c r="F41" s="6" t="str">
        <v>3</v>
      </c>
      <c r="G41" s="6" t="str">
        <v>4</v>
      </c>
      <c r="H41" s="6" t="str">
        <v>5</v>
      </c>
      <c r="I41" s="6" t="str">
        <v>6</v>
      </c>
      <c r="K41" t="str" cm="1">
        <f t="array" ref="K41">TRANSPOSE(_xll.RScript.Evaluate(K40))</f>
        <v>l</v>
      </c>
    </row>
    <row r="42" spans="2:16" x14ac:dyDescent="0.3">
      <c r="B42" s="6"/>
      <c r="C42" s="6" t="str">
        <v>Var1</v>
      </c>
      <c r="D42" s="6" t="str">
        <v>Min.</v>
      </c>
      <c r="E42" s="6" t="str">
        <v>1st Qu.</v>
      </c>
      <c r="F42" s="6" t="str">
        <v>Median</v>
      </c>
      <c r="G42" s="6" t="str">
        <v>Mean</v>
      </c>
      <c r="H42" s="6" t="str">
        <v>3rd Qu.</v>
      </c>
      <c r="I42" s="6" t="str">
        <v>Max.</v>
      </c>
      <c r="K42" t="str" cm="1">
        <f t="array" ref="K42:P42">TRANSPOSE(_xll.RScript.Evaluate(K41))</f>
        <v>Min.</v>
      </c>
      <c r="L42" t="str">
        <v>1st Qu.</v>
      </c>
      <c r="M42" t="str">
        <v>Median</v>
      </c>
      <c r="N42" t="str">
        <v>Mean</v>
      </c>
      <c r="O42" t="str">
        <v>3rd Qu.</v>
      </c>
      <c r="P42" t="str">
        <v>Max.</v>
      </c>
    </row>
    <row r="43" spans="2:16" x14ac:dyDescent="0.3">
      <c r="B43" s="6"/>
      <c r="C43" s="6" t="str">
        <v>Freq</v>
      </c>
      <c r="D43" s="23">
        <v>-111.71094905064064</v>
      </c>
      <c r="E43" s="23">
        <v>-34.902043560992595</v>
      </c>
      <c r="F43" s="23">
        <v>-7.8645084828279774</v>
      </c>
      <c r="G43" s="23">
        <v>-2.6648243796797053E-16</v>
      </c>
      <c r="H43" s="23">
        <v>33.466533399757409</v>
      </c>
      <c r="I43" s="23">
        <v>182.56060337392722</v>
      </c>
      <c r="K43" cm="1">
        <f t="array" ref="K43">_xll.Model.Result($K$41,"'"&amp;K42&amp;"'")</f>
        <v>-111.71094905064064</v>
      </c>
      <c r="L43" cm="1">
        <f t="array" ref="L43">_xll.Model.Result($K$41,"'"&amp;L42&amp;"'")</f>
        <v>-34.902043560992595</v>
      </c>
      <c r="M43" cm="1">
        <f t="array" ref="M43">_xll.Model.Result($K$41,"'"&amp;M42&amp;"'")</f>
        <v>-7.8645084828279774</v>
      </c>
      <c r="N43" cm="1">
        <f t="array" ref="N43">_xll.Model.Result($K$41,"'"&amp;N42&amp;"'")</f>
        <v>-2.6648243796797053E-16</v>
      </c>
      <c r="O43" cm="1">
        <f t="array" ref="O43">_xll.Model.Result($K$41,"'"&amp;O42&amp;"'")</f>
        <v>33.466533399757409</v>
      </c>
      <c r="P43" cm="1">
        <f t="array" ref="P43">_xll.Model.Result($K$41,"'"&amp;P42&amp;"'")</f>
        <v>182.56060337392722</v>
      </c>
    </row>
    <row r="45" spans="2:16" x14ac:dyDescent="0.3">
      <c r="B45" s="6" t="s">
        <v>157</v>
      </c>
      <c r="C45" s="6" t="str" cm="1">
        <f t="array" ref="C45:G51">_xll.Model.Result($B$24,B28, , TRUE)</f>
        <v>Index</v>
      </c>
      <c r="D45" s="6" t="str">
        <v>Estimate</v>
      </c>
      <c r="E45" s="6" t="str">
        <v>Std. Error</v>
      </c>
      <c r="F45" s="6" t="str">
        <v>t value</v>
      </c>
      <c r="G45" s="6" t="str">
        <v>Pr(&gt;|t|)</v>
      </c>
    </row>
    <row r="46" spans="2:16" x14ac:dyDescent="0.3">
      <c r="B46" s="6"/>
      <c r="C46" s="6" t="str">
        <v>(Intercept)</v>
      </c>
      <c r="D46" s="24">
        <v>7.0637987276726024</v>
      </c>
      <c r="E46" s="24">
        <v>19.151718218698395</v>
      </c>
      <c r="F46" s="24">
        <v>0.36883368097886926</v>
      </c>
      <c r="G46" s="24">
        <v>0.71548552319534875</v>
      </c>
    </row>
    <row r="47" spans="2:16" x14ac:dyDescent="0.3">
      <c r="B47" s="6"/>
      <c r="C47" s="6" t="str">
        <v>Area</v>
      </c>
      <c r="D47" s="24">
        <v>-2.3973822786884355E-2</v>
      </c>
      <c r="E47" s="24">
        <v>2.2425133221648137E-2</v>
      </c>
      <c r="F47" s="24">
        <v>-1.0690604399059349</v>
      </c>
      <c r="G47" s="24">
        <v>0.29567746043933185</v>
      </c>
      <c r="K47" t="s">
        <v>187</v>
      </c>
    </row>
    <row r="48" spans="2:16" x14ac:dyDescent="0.3">
      <c r="B48" s="6"/>
      <c r="C48" s="6" t="str">
        <v>Elevation</v>
      </c>
      <c r="D48" s="24">
        <v>0.31953389710516372</v>
      </c>
      <c r="E48" s="24">
        <v>5.3666706073942548E-2</v>
      </c>
      <c r="F48" s="24">
        <v>5.9540434001093079</v>
      </c>
      <c r="G48" s="24">
        <v>3.8153600356177622E-6</v>
      </c>
      <c r="K48" t="str" cm="1">
        <f t="array" ref="K48">_xll.RScript.Evaluate(K47)</f>
        <v>c</v>
      </c>
    </row>
    <row r="49" spans="2:12" x14ac:dyDescent="0.3">
      <c r="B49" s="6"/>
      <c r="C49" s="6" t="str">
        <v>Nearest</v>
      </c>
      <c r="D49" s="24">
        <v>8.7281225883695229E-3</v>
      </c>
      <c r="E49" s="24">
        <v>1.0540936448163494</v>
      </c>
      <c r="F49" s="24">
        <v>8.2802155494355427E-3</v>
      </c>
      <c r="G49" s="24">
        <v>0.99346186415354265</v>
      </c>
      <c r="K49" t="str" cm="1">
        <f t="array" ref="K49:K54">_xll.RScript.Evaluate(K48)</f>
        <v>(Intercept)</v>
      </c>
      <c r="L49" cm="1">
        <f t="array" ref="L49">_xll.Model.Result($K$48,"'"&amp;K49&amp;"'")</f>
        <v>7.0637987276726024</v>
      </c>
    </row>
    <row r="50" spans="2:12" x14ac:dyDescent="0.3">
      <c r="B50" s="6"/>
      <c r="C50" s="6" t="str">
        <v>Scruz</v>
      </c>
      <c r="D50" s="24">
        <v>-0.24053981518087014</v>
      </c>
      <c r="E50" s="24">
        <v>0.2153880290222972</v>
      </c>
      <c r="F50" s="24">
        <v>-1.1167742992623291</v>
      </c>
      <c r="G50" s="24">
        <v>0.27514698561900564</v>
      </c>
      <c r="K50" t="str">
        <v>Area</v>
      </c>
      <c r="L50" cm="1">
        <f t="array" ref="L50">_xll.Model.Result($K$48,"'"&amp;K50&amp;"'")</f>
        <v>-2.3973822786884355E-2</v>
      </c>
    </row>
    <row r="51" spans="2:12" x14ac:dyDescent="0.3">
      <c r="B51" s="6"/>
      <c r="C51" s="6" t="str">
        <v>Adjacent</v>
      </c>
      <c r="D51" s="24">
        <v>-7.4818389947075972E-2</v>
      </c>
      <c r="E51" s="24">
        <v>1.7700293753865205E-2</v>
      </c>
      <c r="F51" s="24">
        <v>-4.2269575289245083</v>
      </c>
      <c r="G51" s="24">
        <v>2.9650744889825993E-4</v>
      </c>
      <c r="K51" t="str">
        <v>Elevation</v>
      </c>
      <c r="L51" cm="1">
        <f t="array" ref="L51">_xll.Model.Result($K$48,"'"&amp;K51&amp;"'")</f>
        <v>0.31953389710516372</v>
      </c>
    </row>
    <row r="52" spans="2:12" x14ac:dyDescent="0.3">
      <c r="K52" t="str">
        <v>Nearest</v>
      </c>
      <c r="L52" cm="1">
        <f t="array" ref="L52">_xll.Model.Result($K$48,"'"&amp;K52&amp;"'")</f>
        <v>8.7281225883695229E-3</v>
      </c>
    </row>
    <row r="53" spans="2:12" x14ac:dyDescent="0.3">
      <c r="B53" s="6" t="s">
        <v>158</v>
      </c>
      <c r="C53" s="6" t="str">
        <f>"Residual standard error: "&amp;ROUND(C30, 3)&amp;" on "&amp;C18&amp;" degrees of freedom"</f>
        <v>Residual standard error: 60.971 on 24 degrees of freedom</v>
      </c>
      <c r="D53" s="6"/>
      <c r="E53" s="6"/>
      <c r="F53" s="6"/>
      <c r="G53" s="6"/>
      <c r="K53" t="str">
        <v>Scruz</v>
      </c>
      <c r="L53" cm="1">
        <f t="array" ref="L53">_xll.Model.Result($K$48,"'"&amp;K53&amp;"'")</f>
        <v>-0.24053981518087014</v>
      </c>
    </row>
    <row r="54" spans="2:12" x14ac:dyDescent="0.3">
      <c r="B54" s="6"/>
      <c r="C54" s="6" t="str">
        <f>"Multiple R-squared: "&amp;ROUND(C32, 4)</f>
        <v>Multiple R-squared: 0.7659</v>
      </c>
      <c r="D54" s="6"/>
      <c r="E54" s="6"/>
      <c r="F54" s="6" t="str">
        <f>"Adjusted R-squared: "&amp;ROUND(C33,4)</f>
        <v>Adjusted R-squared: 0.7171</v>
      </c>
      <c r="G54" s="6"/>
      <c r="K54" t="str">
        <v>Adjacent</v>
      </c>
      <c r="L54" cm="1">
        <f t="array" ref="L54">_xll.Model.Result($K$48,"'"&amp;K54&amp;"'")</f>
        <v>-7.4818389947075972E-2</v>
      </c>
    </row>
    <row r="55" spans="2:12" x14ac:dyDescent="0.3">
      <c r="B55" s="6"/>
      <c r="C55" s="6" t="str">
        <f>"F-statistic: "&amp;ROUND(C34, 2)&amp;" on "&amp;D34&amp;" and "&amp;E34&amp;" DF"</f>
        <v>F-statistic: 15.7 on 5 and 24 DF</v>
      </c>
      <c r="D55" s="6"/>
      <c r="E55" s="6"/>
      <c r="F55" s="6" t="str">
        <f>"p-value: "</f>
        <v xml:space="preserve">p-value: </v>
      </c>
      <c r="G55" s="6">
        <f>_xlfn.F.DIST.RT(C34,D34,E34)</f>
        <v>6.8281372424990243E-7</v>
      </c>
    </row>
  </sheetData>
  <mergeCells count="1">
    <mergeCell ref="B3:C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2DA7-7958-4E93-99D4-1625C4C8E1B7}">
  <dimension ref="B3:AP64"/>
  <sheetViews>
    <sheetView workbookViewId="0"/>
  </sheetViews>
  <sheetFormatPr defaultRowHeight="14.4" x14ac:dyDescent="0.3"/>
  <cols>
    <col min="3" max="3" width="27.44140625" customWidth="1"/>
    <col min="5" max="5" width="12" customWidth="1"/>
    <col min="6" max="6" width="14.5546875" customWidth="1"/>
    <col min="7" max="7" width="11.109375" customWidth="1"/>
    <col min="9" max="9" width="12.21875" customWidth="1"/>
    <col min="10" max="10" width="13.5546875" customWidth="1"/>
    <col min="12" max="12" width="18.44140625" customWidth="1"/>
  </cols>
  <sheetData>
    <row r="3" spans="2:42" x14ac:dyDescent="0.3">
      <c r="B3" s="37" t="s">
        <v>9</v>
      </c>
      <c r="C3" s="37"/>
      <c r="F3" s="10" t="s">
        <v>28</v>
      </c>
    </row>
    <row r="4" spans="2:42" x14ac:dyDescent="0.3">
      <c r="B4" s="4" t="s">
        <v>11</v>
      </c>
      <c r="C4" s="4" t="s">
        <v>178</v>
      </c>
      <c r="F4" t="str" cm="1">
        <f t="array" ref="F4:F33">_xll.Model.Results(C9)</f>
        <v>coefficients</v>
      </c>
      <c r="G4" cm="1">
        <f t="array" ref="G4:J4">TRANSPOSE(_xll.Model.Result($C$9,F4))</f>
        <v>-20.000500830964402</v>
      </c>
      <c r="H4">
        <v>9.1115172006735259E-2</v>
      </c>
      <c r="I4">
        <v>0.12668570001229473</v>
      </c>
      <c r="J4">
        <v>2.5843070753697637</v>
      </c>
      <c r="S4" s="13"/>
    </row>
    <row r="5" spans="2:42" x14ac:dyDescent="0.3">
      <c r="B5" s="4" t="s">
        <v>150</v>
      </c>
      <c r="C5" s="4" t="s">
        <v>179</v>
      </c>
      <c r="F5" t="str">
        <v>residuals</v>
      </c>
      <c r="G5" cm="1">
        <f t="array" ref="G5:AP5">TRANSPOSE(_xll.Model.Result($C$9,F5))</f>
        <v>-1.0206004277494101</v>
      </c>
      <c r="H5">
        <v>-1.022324292198475</v>
      </c>
      <c r="I5">
        <v>-1.0199208264394322</v>
      </c>
      <c r="J5">
        <v>-1.0242820917750088</v>
      </c>
      <c r="K5">
        <v>-1.0164307148729743</v>
      </c>
      <c r="L5">
        <v>-1.0266523869653394</v>
      </c>
      <c r="M5">
        <v>-1.0314018286998354</v>
      </c>
      <c r="N5">
        <v>-1.0553678109900602</v>
      </c>
      <c r="O5">
        <v>-1.0446323836124065</v>
      </c>
      <c r="P5">
        <v>-1.0761782098895503</v>
      </c>
      <c r="Q5">
        <v>-1.0542631969842671</v>
      </c>
      <c r="R5">
        <v>-1.1194525632600403</v>
      </c>
      <c r="S5">
        <v>8.9560014948888025</v>
      </c>
      <c r="T5">
        <v>-1.2076516052038668</v>
      </c>
      <c r="U5">
        <v>5.4790967416567442</v>
      </c>
      <c r="V5">
        <v>-1.1979633157078708</v>
      </c>
      <c r="W5">
        <v>-1.2624216025487522</v>
      </c>
      <c r="X5">
        <v>-1.5026371564922989</v>
      </c>
      <c r="Y5">
        <v>-1.3905388987445002</v>
      </c>
      <c r="Z5">
        <v>-1.5294654798636995</v>
      </c>
      <c r="AA5">
        <v>1.8463008075087211</v>
      </c>
      <c r="AB5">
        <v>-2.1173897473056047</v>
      </c>
      <c r="AC5">
        <v>-2.5400147738963579</v>
      </c>
      <c r="AD5">
        <v>2.013566596521132</v>
      </c>
      <c r="AE5">
        <v>1.4494659489744037</v>
      </c>
      <c r="AF5">
        <v>1.4516218999653783</v>
      </c>
      <c r="AG5">
        <v>1.672487100855208</v>
      </c>
      <c r="AH5">
        <v>1.1844958800405025</v>
      </c>
      <c r="AI5">
        <v>-7.4633177215523885</v>
      </c>
      <c r="AJ5">
        <v>1.1997011371901645</v>
      </c>
      <c r="AK5">
        <v>1.0874103436621931</v>
      </c>
      <c r="AL5">
        <v>1.0591022966875399</v>
      </c>
      <c r="AM5">
        <v>-2.2303526594714618</v>
      </c>
      <c r="AN5">
        <v>1.0530132106324839</v>
      </c>
      <c r="AO5">
        <v>1.418624211032433</v>
      </c>
      <c r="AP5">
        <v>1.047718683525386</v>
      </c>
    </row>
    <row r="6" spans="2:42" x14ac:dyDescent="0.3">
      <c r="B6" s="4" t="s">
        <v>151</v>
      </c>
      <c r="C6" s="4" t="str" cm="1">
        <f t="array" ref="C6">_xll.RScript.CreateDataFrame("purchase",tPurchaseData[],tPurchaseData[#Headers])</f>
        <v>purchase</v>
      </c>
      <c r="F6" t="str">
        <v>fitted.values</v>
      </c>
      <c r="G6" cm="1">
        <f t="array" ref="G6:AP6">TRANSPOSE(_xll.Model.Result($C$9,F6))</f>
        <v>2.018461602533057E-2</v>
      </c>
      <c r="H6">
        <v>2.1836801070693024E-2</v>
      </c>
      <c r="I6">
        <v>1.9531738075176084E-2</v>
      </c>
      <c r="J6">
        <v>2.3706449590395324E-2</v>
      </c>
      <c r="K6">
        <v>1.6165110550626763E-2</v>
      </c>
      <c r="L6">
        <v>2.5960478253131768E-2</v>
      </c>
      <c r="M6">
        <v>3.0445775667685131E-2</v>
      </c>
      <c r="N6">
        <v>5.2463046924008994E-2</v>
      </c>
      <c r="O6">
        <v>4.2725445154270299E-2</v>
      </c>
      <c r="P6">
        <v>7.0785869096317025E-2</v>
      </c>
      <c r="Q6">
        <v>5.1470256326397075E-2</v>
      </c>
      <c r="R6">
        <v>0.10670623050982503</v>
      </c>
      <c r="S6">
        <v>0.11165697109035777</v>
      </c>
      <c r="T6">
        <v>0.17194661466028732</v>
      </c>
      <c r="U6">
        <v>0.182511834915626</v>
      </c>
      <c r="V6">
        <v>0.1652498979828069</v>
      </c>
      <c r="W6">
        <v>0.20787160328921736</v>
      </c>
      <c r="X6">
        <v>0.33450334588134145</v>
      </c>
      <c r="Y6">
        <v>0.28085435013512589</v>
      </c>
      <c r="Z6">
        <v>0.34617680937191447</v>
      </c>
      <c r="AA6">
        <v>0.54162355122908457</v>
      </c>
      <c r="AB6">
        <v>0.5277203919247706</v>
      </c>
      <c r="AC6">
        <v>0.60630150254362114</v>
      </c>
      <c r="AD6">
        <v>0.49663120242842451</v>
      </c>
      <c r="AE6">
        <v>0.68990927362423948</v>
      </c>
      <c r="AF6">
        <v>0.688884619351534</v>
      </c>
      <c r="AG6">
        <v>0.59791193575643165</v>
      </c>
      <c r="AH6">
        <v>0.84424101159879605</v>
      </c>
      <c r="AI6">
        <v>0.86601133204979008</v>
      </c>
      <c r="AJ6">
        <v>0.83354092865337515</v>
      </c>
      <c r="AK6">
        <v>0.91961604543156017</v>
      </c>
      <c r="AL6">
        <v>0.9441958563659163</v>
      </c>
      <c r="AM6">
        <v>0.55164041177372602</v>
      </c>
      <c r="AN6">
        <v>0.94965570222937468</v>
      </c>
      <c r="AO6">
        <v>0.7049083134371642</v>
      </c>
      <c r="AP6">
        <v>0.95445467922284133</v>
      </c>
    </row>
    <row r="7" spans="2:42" x14ac:dyDescent="0.3">
      <c r="B7" s="4" t="s">
        <v>180</v>
      </c>
      <c r="C7" s="4" t="s">
        <v>181</v>
      </c>
      <c r="F7" t="str">
        <v>effects</v>
      </c>
      <c r="G7" cm="1">
        <f t="array" ref="G7:AP7">TRANSPOSE(_xll.Model.Result($C$9,F7))</f>
        <v>0.39782191742868711</v>
      </c>
      <c r="H7">
        <v>1.8003662296789067</v>
      </c>
      <c r="I7">
        <v>0.62370865257049912</v>
      </c>
      <c r="J7">
        <v>2.4440762922480315</v>
      </c>
      <c r="K7">
        <v>-8.560668819263656E-2</v>
      </c>
      <c r="L7">
        <v>-0.11962119131388549</v>
      </c>
      <c r="M7">
        <v>-0.13409742362920279</v>
      </c>
      <c r="N7">
        <v>-0.19609217479152541</v>
      </c>
      <c r="O7">
        <v>-0.16757147887062518</v>
      </c>
      <c r="P7">
        <v>-0.22176281990721311</v>
      </c>
      <c r="Q7">
        <v>-0.18932207198035089</v>
      </c>
      <c r="R7">
        <v>-0.30570424889553727</v>
      </c>
      <c r="S7">
        <v>2.884000329339762</v>
      </c>
      <c r="T7">
        <v>-0.41698765701334972</v>
      </c>
      <c r="U7">
        <v>2.1516527642376047</v>
      </c>
      <c r="V7">
        <v>-0.40324546834378194</v>
      </c>
      <c r="W7">
        <v>-0.43485269920769787</v>
      </c>
      <c r="X7">
        <v>-0.66951333161383531</v>
      </c>
      <c r="Y7">
        <v>-0.59298944490944083</v>
      </c>
      <c r="Z7">
        <v>-0.71227625905270198</v>
      </c>
      <c r="AA7">
        <v>0.92568397266266944</v>
      </c>
      <c r="AB7">
        <v>-1.0293255085968775</v>
      </c>
      <c r="AC7">
        <v>-1.2299391820009404</v>
      </c>
      <c r="AD7">
        <v>1.0210057801081771</v>
      </c>
      <c r="AE7">
        <v>0.66428950895687322</v>
      </c>
      <c r="AF7">
        <v>0.63744583905370633</v>
      </c>
      <c r="AG7">
        <v>0.85210702207638434</v>
      </c>
      <c r="AH7">
        <v>0.40761899671519342</v>
      </c>
      <c r="AI7">
        <v>-2.571082803666132</v>
      </c>
      <c r="AJ7">
        <v>0.43373468318456587</v>
      </c>
      <c r="AK7">
        <v>0.25954713116181061</v>
      </c>
      <c r="AL7">
        <v>0.2149655849211492</v>
      </c>
      <c r="AM7">
        <v>-1.0848393876786029</v>
      </c>
      <c r="AN7">
        <v>0.21978404468106211</v>
      </c>
      <c r="AO7">
        <v>0.64485333815655377</v>
      </c>
      <c r="AP7">
        <v>0.20431427993108381</v>
      </c>
    </row>
    <row r="8" spans="2:42" x14ac:dyDescent="0.3">
      <c r="F8" t="str">
        <v>R</v>
      </c>
    </row>
    <row r="9" spans="2:42" x14ac:dyDescent="0.3">
      <c r="B9" s="4" t="s">
        <v>24</v>
      </c>
      <c r="C9" s="6" t="str" cm="1">
        <f t="array" ref="C9">_xll.Regression.GLM(C4,C5,C6,B7:C7)</f>
        <v>logModel</v>
      </c>
      <c r="F9" t="str">
        <v>rank</v>
      </c>
      <c r="G9" cm="1">
        <f t="array" ref="G9">TRANSPOSE(_xll.Model.Result($C$9,F9))</f>
        <v>4</v>
      </c>
    </row>
    <row r="10" spans="2:42" x14ac:dyDescent="0.3">
      <c r="F10" t="str">
        <v>qr</v>
      </c>
      <c r="G10" t="str" cm="1">
        <f t="array" ref="G10:K10">TRANSPOSE(_xll.Model.Result($C$9,F10))</f>
        <v>qr</v>
      </c>
      <c r="H10" t="str">
        <v>rank</v>
      </c>
      <c r="I10" t="str">
        <v>qraux</v>
      </c>
      <c r="J10" t="str">
        <v>pivot</v>
      </c>
      <c r="K10" t="str">
        <v>tol</v>
      </c>
    </row>
    <row r="11" spans="2:42" x14ac:dyDescent="0.3">
      <c r="F11" t="str">
        <v>family</v>
      </c>
    </row>
    <row r="12" spans="2:42" x14ac:dyDescent="0.3">
      <c r="F12" t="str">
        <v>linear.predictors</v>
      </c>
      <c r="G12" cm="1">
        <f t="array" ref="G12:AP12">TRANSPOSE(_xll.Model.Result($C$9,F12))</f>
        <v>-3.8824434388677167</v>
      </c>
      <c r="H12">
        <v>-3.8020798571577741</v>
      </c>
      <c r="I12">
        <v>-3.915989539762986</v>
      </c>
      <c r="J12">
        <v>-3.7180161643184917</v>
      </c>
      <c r="K12">
        <v>-4.1086028376558739</v>
      </c>
      <c r="L12">
        <v>-3.6248765652014647</v>
      </c>
      <c r="M12">
        <v>-3.4608891489154843</v>
      </c>
      <c r="N12">
        <v>-2.8937568831519815</v>
      </c>
      <c r="O12">
        <v>-3.1092955934676345</v>
      </c>
      <c r="P12">
        <v>-2.5746798166384552</v>
      </c>
      <c r="Q12">
        <v>-2.9139090537622607</v>
      </c>
      <c r="R12">
        <v>-2.124835946587142</v>
      </c>
      <c r="S12">
        <v>-2.0739265488862282</v>
      </c>
      <c r="T12">
        <v>-1.5718935786011974</v>
      </c>
      <c r="U12">
        <v>-1.4994214059329103</v>
      </c>
      <c r="V12">
        <v>-1.6196735396556603</v>
      </c>
      <c r="W12">
        <v>-1.3378028985144637</v>
      </c>
      <c r="X12">
        <v>-0.68788672804912032</v>
      </c>
      <c r="Y12">
        <v>-0.94022770200143579</v>
      </c>
      <c r="Z12">
        <v>-0.63588730990214781</v>
      </c>
      <c r="AA12">
        <v>0.16688041814285359</v>
      </c>
      <c r="AB12">
        <v>0.11099538250914343</v>
      </c>
      <c r="AC12">
        <v>0.43179200981871446</v>
      </c>
      <c r="AD12">
        <v>-1.3475394194789381E-2</v>
      </c>
      <c r="AE12">
        <v>0.79969518105577198</v>
      </c>
      <c r="AF12">
        <v>0.79490995371640683</v>
      </c>
      <c r="AG12">
        <v>0.39677234857454646</v>
      </c>
      <c r="AH12">
        <v>1.6901281461546631</v>
      </c>
      <c r="AI12">
        <v>1.8661427651455327</v>
      </c>
      <c r="AJ12">
        <v>1.6109333440840192</v>
      </c>
      <c r="AK12">
        <v>2.4371416547856022</v>
      </c>
      <c r="AL12">
        <v>2.8284854942838802</v>
      </c>
      <c r="AM12">
        <v>0.20730084330687948</v>
      </c>
      <c r="AN12">
        <v>2.9372141392727551</v>
      </c>
      <c r="AO12">
        <v>0.8707816325337836</v>
      </c>
      <c r="AP12">
        <v>3.0424322696143946</v>
      </c>
    </row>
    <row r="13" spans="2:42" x14ac:dyDescent="0.3">
      <c r="F13" t="str">
        <v>deviance</v>
      </c>
      <c r="G13" cm="1">
        <f t="array" ref="G13">TRANSPOSE(_xll.Model.Result($C$9,F13))</f>
        <v>28.320298357628907</v>
      </c>
      <c r="M13" cm="1">
        <f t="array" ref="M13:P16">TRANSPOSE(_xll.Model.Result($C$9,F8))</f>
        <v>-2.1244881466940089</v>
      </c>
      <c r="N13">
        <v>0</v>
      </c>
      <c r="O13">
        <v>0</v>
      </c>
      <c r="P13">
        <v>0</v>
      </c>
    </row>
    <row r="14" spans="2:42" x14ac:dyDescent="0.3">
      <c r="F14" t="str">
        <v>aic</v>
      </c>
      <c r="G14" cm="1">
        <f t="array" ref="G14">TRANSPOSE(_xll.Model.Result($C$9,F14))</f>
        <v>36.320298357628907</v>
      </c>
      <c r="M14">
        <v>-216.55283399378698</v>
      </c>
      <c r="N14">
        <v>35.388248157513715</v>
      </c>
      <c r="O14">
        <v>0</v>
      </c>
      <c r="P14">
        <v>0</v>
      </c>
    </row>
    <row r="15" spans="2:42" x14ac:dyDescent="0.3">
      <c r="F15" t="str">
        <v>null.deviance</v>
      </c>
      <c r="G15" cm="1">
        <f t="array" ref="G15">TRANSPOSE(_xll.Model.Result($C$9,F15))</f>
        <v>48.113890391846773</v>
      </c>
      <c r="M15">
        <v>-110.63948427596482</v>
      </c>
      <c r="N15">
        <v>-2.052994763178015</v>
      </c>
      <c r="O15">
        <v>8.4140581403831067</v>
      </c>
      <c r="P15">
        <v>0</v>
      </c>
    </row>
    <row r="16" spans="2:42" x14ac:dyDescent="0.3">
      <c r="F16" t="str">
        <v>iter</v>
      </c>
      <c r="G16" cm="1">
        <f t="array" ref="G16">TRANSPOSE(_xll.Model.Result($C$9,F16))</f>
        <v>5</v>
      </c>
      <c r="M16">
        <v>-3.2292276227719747</v>
      </c>
      <c r="N16">
        <v>-0.45039346160079163</v>
      </c>
      <c r="O16">
        <v>-0.17112215382717505</v>
      </c>
      <c r="P16">
        <v>0.94573756947917342</v>
      </c>
    </row>
    <row r="17" spans="2:42" x14ac:dyDescent="0.3">
      <c r="F17" t="str">
        <v>weights</v>
      </c>
      <c r="G17" cm="1">
        <f t="array" ref="G17:AP17">TRANSPOSE(_xll.Model.Result($C$9,F17))</f>
        <v>1.977957814437914E-2</v>
      </c>
      <c r="H17">
        <v>2.1362468896358788E-2</v>
      </c>
      <c r="I17">
        <v>1.9152681886893601E-2</v>
      </c>
      <c r="J17">
        <v>2.314715401028155E-2</v>
      </c>
      <c r="K17">
        <v>1.59060696628807E-2</v>
      </c>
      <c r="L17">
        <v>2.5289493370712356E-2</v>
      </c>
      <c r="M17">
        <v>2.9522013550399479E-2</v>
      </c>
      <c r="N17">
        <v>4.9714523037113871E-2</v>
      </c>
      <c r="O17">
        <v>4.0903742177617726E-2</v>
      </c>
      <c r="P17">
        <v>6.5780183327131161E-2</v>
      </c>
      <c r="Q17">
        <v>4.8825133859049068E-2</v>
      </c>
      <c r="R17">
        <v>9.5324779671559362E-2</v>
      </c>
      <c r="S17">
        <v>9.9195745923280274E-2</v>
      </c>
      <c r="T17">
        <v>0.14238556084575196</v>
      </c>
      <c r="U17">
        <v>0.14920552878823934</v>
      </c>
      <c r="V17">
        <v>0.13794720951134926</v>
      </c>
      <c r="W17">
        <v>0.16466737518478833</v>
      </c>
      <c r="X17">
        <v>0.22261290525805724</v>
      </c>
      <c r="Y17">
        <v>0.20197803525703911</v>
      </c>
      <c r="Z17">
        <v>0.22633963848456007</v>
      </c>
      <c r="AA17">
        <v>0.24826754962638628</v>
      </c>
      <c r="AB17">
        <v>0.24923144469225805</v>
      </c>
      <c r="AC17">
        <v>0.23870017256426876</v>
      </c>
      <c r="AD17">
        <v>0.24998866548236717</v>
      </c>
      <c r="AE17">
        <v>0.21393595935287782</v>
      </c>
      <c r="AF17">
        <v>0.21432510055513576</v>
      </c>
      <c r="AG17">
        <v>0.24041283168966454</v>
      </c>
      <c r="AH17">
        <v>0.13150201154557919</v>
      </c>
      <c r="AI17">
        <v>0.11604012029600612</v>
      </c>
      <c r="AJ17">
        <v>0.13875367163407085</v>
      </c>
      <c r="AK17">
        <v>7.3926890369309481E-2</v>
      </c>
      <c r="AL17">
        <v>5.2693545096890053E-2</v>
      </c>
      <c r="AM17">
        <v>0.24733297432223353</v>
      </c>
      <c r="AN17">
        <v>4.7812118765078113E-2</v>
      </c>
      <c r="AO17">
        <v>0.20801361181683301</v>
      </c>
      <c r="AP17">
        <v>4.3473396786943154E-2</v>
      </c>
    </row>
    <row r="18" spans="2:42" x14ac:dyDescent="0.3">
      <c r="F18" t="str">
        <v>prior.weights</v>
      </c>
      <c r="G18" cm="1">
        <f t="array" ref="G18:AP18">TRANSPOSE(_xll.Model.Result($C$9,F18))</f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2:42" x14ac:dyDescent="0.3">
      <c r="F19" t="str">
        <v>df.residual</v>
      </c>
      <c r="G19" cm="1">
        <f t="array" ref="G19">TRANSPOSE(_xll.Model.Result($C$9,F19))</f>
        <v>32</v>
      </c>
    </row>
    <row r="20" spans="2:42" x14ac:dyDescent="0.3">
      <c r="F20" t="str">
        <v>df.null</v>
      </c>
      <c r="G20" cm="1">
        <f t="array" ref="G20">TRANSPOSE(_xll.Model.Result($C$9,F20))</f>
        <v>35</v>
      </c>
    </row>
    <row r="21" spans="2:42" x14ac:dyDescent="0.3">
      <c r="F21" t="str">
        <v>y</v>
      </c>
      <c r="G21" cm="1">
        <f t="array" ref="G21:AP21">TRANSPOSE(_xll.Model.Result($C$9,F21))</f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</row>
    <row r="22" spans="2:42" x14ac:dyDescent="0.3">
      <c r="F22" t="str">
        <v>converged</v>
      </c>
      <c r="G22" t="b" cm="1">
        <f t="array" ref="G22">TRANSPOSE(_xll.Model.Result($C$9,F22))</f>
        <v>1</v>
      </c>
    </row>
    <row r="23" spans="2:42" x14ac:dyDescent="0.3">
      <c r="B23" t="s">
        <v>169</v>
      </c>
      <c r="C23" t="s">
        <v>182</v>
      </c>
      <c r="F23" t="str">
        <v>boundary</v>
      </c>
      <c r="G23" t="b" cm="1">
        <f t="array" ref="G23">TRANSPOSE(_xll.Model.Result($C$9,F23))</f>
        <v>0</v>
      </c>
    </row>
    <row r="24" spans="2:42" x14ac:dyDescent="0.3">
      <c r="F24" t="str">
        <v>model</v>
      </c>
    </row>
    <row r="25" spans="2:42" x14ac:dyDescent="0.3">
      <c r="B25" t="str" cm="1">
        <f t="array" ref="B25:D42">_xll.RScript.Params("glm", TRUE, TRUE)</f>
        <v>formula</v>
      </c>
      <c r="C25" t="str">
        <v>symbol</v>
      </c>
      <c r="D25" t="str">
        <v>&lt;missing&gt;</v>
      </c>
      <c r="F25" t="str">
        <v>call</v>
      </c>
      <c r="G25" t="str" cm="1">
        <f t="array" ref="G25">TRANSPOSE(_xll.Model.Result($C$9,F25))</f>
        <v xml:space="preserve">glm(formula = Purchase ~ Income + Age + ZipCode, family = binomial(link = "logit"), </v>
      </c>
    </row>
    <row r="26" spans="2:42" x14ac:dyDescent="0.3">
      <c r="B26" t="str">
        <v>family</v>
      </c>
      <c r="C26" t="str">
        <v>symbol</v>
      </c>
      <c r="D26" t="str">
        <v>gaussian</v>
      </c>
      <c r="F26" t="str">
        <v>formula</v>
      </c>
      <c r="G26" t="str" cm="1">
        <f t="array" ref="G26">TRANSPOSE(_xll.Model.Result($C$9,F26))</f>
        <v>Purchase ~ Income + Age + ZipCode</v>
      </c>
    </row>
    <row r="27" spans="2:42" x14ac:dyDescent="0.3">
      <c r="B27" t="str">
        <v>data</v>
      </c>
      <c r="C27" t="str">
        <v>symbol</v>
      </c>
      <c r="D27" t="str">
        <v>&lt;missing&gt;</v>
      </c>
      <c r="F27" t="str">
        <v>terms</v>
      </c>
      <c r="G27" t="str" cm="1">
        <f t="array" ref="G27">TRANSPOSE(_xll.Model.Result($C$9,F27))</f>
        <v>Purchase ~ Income + Age + ZipCode</v>
      </c>
    </row>
    <row r="28" spans="2:42" x14ac:dyDescent="0.3">
      <c r="B28" t="str">
        <v>weights</v>
      </c>
      <c r="C28" t="str">
        <v>symbol</v>
      </c>
      <c r="D28" t="str">
        <v>&lt;missing&gt;</v>
      </c>
      <c r="F28" t="str">
        <v>data</v>
      </c>
    </row>
    <row r="29" spans="2:42" x14ac:dyDescent="0.3">
      <c r="B29" t="str">
        <v>subset</v>
      </c>
      <c r="C29" t="str">
        <v>symbol</v>
      </c>
      <c r="D29" t="str">
        <v>&lt;missing&gt;</v>
      </c>
      <c r="F29" t="str">
        <v>offset</v>
      </c>
      <c r="G29" t="str" cm="1">
        <f t="array" ref="G29">TRANSPOSE(_xll.Model.Result($C$9,F29))</f>
        <v>OK</v>
      </c>
    </row>
    <row r="30" spans="2:42" x14ac:dyDescent="0.3">
      <c r="B30" t="str">
        <v>na.action</v>
      </c>
      <c r="C30" t="str">
        <v>symbol</v>
      </c>
      <c r="D30" t="str">
        <v>&lt;missing&gt;</v>
      </c>
      <c r="F30" t="str">
        <v>control</v>
      </c>
      <c r="G30" t="str" cm="1">
        <f t="array" ref="G30:I30">TRANSPOSE(_xll.Model.Result($C$9,F30))</f>
        <v>epsilon</v>
      </c>
      <c r="H30" t="str">
        <v>maxit</v>
      </c>
      <c r="I30" t="str">
        <v>trace</v>
      </c>
    </row>
    <row r="31" spans="2:42" x14ac:dyDescent="0.3">
      <c r="B31" t="str">
        <v>start</v>
      </c>
      <c r="C31" t="str">
        <v>NULL</v>
      </c>
      <c r="D31" t="str">
        <v>&lt;missing&gt;</v>
      </c>
      <c r="F31" t="str">
        <v>method</v>
      </c>
      <c r="G31" t="str" cm="1">
        <f t="array" ref="G31">TRANSPOSE(_xll.Model.Result($C$9,F31))</f>
        <v>glm.fit</v>
      </c>
    </row>
    <row r="32" spans="2:42" x14ac:dyDescent="0.3">
      <c r="B32" t="str">
        <v>etastart</v>
      </c>
      <c r="C32" t="str">
        <v>symbol</v>
      </c>
      <c r="D32" t="str">
        <v>&lt;missing&gt;</v>
      </c>
      <c r="F32" t="str">
        <v>contrasts</v>
      </c>
      <c r="G32" t="str" cm="1">
        <f t="array" ref="G32">TRANSPOSE(_xll.Model.Result($C$9,F32))</f>
        <v>OK</v>
      </c>
    </row>
    <row r="33" spans="2:19" x14ac:dyDescent="0.3">
      <c r="B33" t="str">
        <v>mustart</v>
      </c>
      <c r="C33" t="str">
        <v>symbol</v>
      </c>
      <c r="D33" t="str">
        <v>&lt;missing&gt;</v>
      </c>
      <c r="F33" t="str">
        <v>xlevels</v>
      </c>
      <c r="G33" t="str" cm="1">
        <f t="array" ref="G33">TRANSPOSE(_xll.Model.Result($C$9,F33))</f>
        <v>List of 0 objects.</v>
      </c>
    </row>
    <row r="34" spans="2:19" x14ac:dyDescent="0.3">
      <c r="B34" t="str">
        <v>offset</v>
      </c>
      <c r="C34" t="str">
        <v>symbol</v>
      </c>
      <c r="D34" t="str">
        <v>&lt;missing&gt;</v>
      </c>
    </row>
    <row r="35" spans="2:19" x14ac:dyDescent="0.3">
      <c r="B35" t="str">
        <v>control</v>
      </c>
      <c r="C35" t="str">
        <v>language</v>
      </c>
      <c r="D35" t="str">
        <v>list(...)</v>
      </c>
      <c r="G35" t="str" cm="1">
        <f t="array" ref="G35:S35">TRANSPOSE(_xll.Model.Result($C$9,F11))</f>
        <v>family</v>
      </c>
      <c r="H35" t="str">
        <v>link</v>
      </c>
      <c r="I35" t="str">
        <v>linkfun</v>
      </c>
      <c r="J35" t="str">
        <v>linkinv</v>
      </c>
      <c r="K35" t="str">
        <v>variance</v>
      </c>
      <c r="L35" t="str">
        <v>dev.resids</v>
      </c>
      <c r="M35" t="str">
        <v>aic</v>
      </c>
      <c r="N35" t="str">
        <v>mu.eta</v>
      </c>
      <c r="O35" t="str">
        <v>initialize</v>
      </c>
      <c r="P35" t="str">
        <v>validmu</v>
      </c>
      <c r="Q35" t="str">
        <v>valideta</v>
      </c>
      <c r="R35" t="str">
        <v>simulate</v>
      </c>
      <c r="S35" t="str">
        <v>dispersion</v>
      </c>
    </row>
    <row r="36" spans="2:19" x14ac:dyDescent="0.3">
      <c r="B36" t="str">
        <v>model</v>
      </c>
      <c r="C36" t="str">
        <v>logical</v>
      </c>
      <c r="D36" t="b">
        <v>1</v>
      </c>
      <c r="G36" t="str" cm="1">
        <f t="array" ref="G36">_xll.Model.Result($C$9,$F$11,G35)</f>
        <v>binomial</v>
      </c>
      <c r="H36" t="str" cm="1">
        <f t="array" ref="H36">_xll.Model.Result($C$9,$F$11,H35)</f>
        <v>logit</v>
      </c>
      <c r="I36" t="str" cm="1">
        <f t="array" ref="I36:I37">_xll.Model.Result($C$9,$F$11,I35)</f>
        <v xml:space="preserve">function (mu) </v>
      </c>
      <c r="J36" t="str" cm="1">
        <f t="array" ref="J36:J37">_xll.Model.Result($C$9,$F$11,J35)</f>
        <v xml:space="preserve">function (eta) </v>
      </c>
      <c r="K36" t="str" cm="1">
        <f t="array" ref="K36:K37">_xll.Model.Result($C$9,$F$11,K35)</f>
        <v xml:space="preserve">function (mu) </v>
      </c>
      <c r="L36" t="str" cm="1">
        <f t="array" ref="L36:L37">_xll.Model.Result($C$9,$F$11,L35)</f>
        <v xml:space="preserve">function (y, mu, wt) </v>
      </c>
      <c r="M36" t="str" cm="1">
        <f t="array" ref="M36:M43">_xll.Model.Result($C$9,$F$11,M35)</f>
        <v xml:space="preserve">function (y, n, mu, wt, dev) </v>
      </c>
      <c r="N36" t="str" cm="1">
        <f t="array" ref="N36:N37">_xll.Model.Result($C$9,$F$11,N35)</f>
        <v xml:space="preserve">function (eta) </v>
      </c>
      <c r="O36" t="str" cm="1">
        <f t="array" ref="O36">_xll.Model.Result($C$9,$F$11,O35)</f>
        <v>{</v>
      </c>
      <c r="P36" t="str" cm="1">
        <f t="array" ref="P36:P37">_xll.Model.Result($C$9,$F$11,P35)</f>
        <v xml:space="preserve">function (mu) </v>
      </c>
      <c r="Q36" t="str" cm="1">
        <f t="array" ref="Q36:Q37">_xll.Model.Result($C$9,$F$11,Q35)</f>
        <v xml:space="preserve">function (eta) </v>
      </c>
      <c r="R36" t="str" cm="1">
        <f t="array" ref="R36:R64">_xll.Model.Result($C$9,$F$11,R35)</f>
        <v xml:space="preserve">function (object, nsim) </v>
      </c>
      <c r="S36" cm="1">
        <f t="array" ref="S36">_xll.Model.Result($C$9,$F$11,S35)</f>
        <v>1</v>
      </c>
    </row>
    <row r="37" spans="2:19" x14ac:dyDescent="0.3">
      <c r="B37" t="str">
        <v>method</v>
      </c>
      <c r="C37" t="str">
        <v>character</v>
      </c>
      <c r="D37" t="str">
        <v>glm.fit</v>
      </c>
      <c r="I37" t="str">
        <v>.Call(C_logit_link, mu)</v>
      </c>
      <c r="J37" t="str">
        <v>.Call(C_logit_linkinv, eta)</v>
      </c>
      <c r="K37" t="str">
        <v>mu * (1 - mu)</v>
      </c>
      <c r="L37" t="str">
        <v>.Call(C_binomial_dev_resids, y, mu, wt)</v>
      </c>
      <c r="M37" t="str">
        <v>{</v>
      </c>
      <c r="N37" t="str">
        <v>.Call(C_logit_mu_eta, eta)</v>
      </c>
      <c r="P37" t="str">
        <v>all(is.finite(mu)) &amp;&amp; all(mu &gt; 0 &amp; mu &lt; 1)</v>
      </c>
      <c r="Q37" t="str">
        <v>TRUE</v>
      </c>
      <c r="R37" t="str">
        <v>{</v>
      </c>
    </row>
    <row r="38" spans="2:19" x14ac:dyDescent="0.3">
      <c r="B38" t="str">
        <v>x</v>
      </c>
      <c r="C38" t="str">
        <v>logical</v>
      </c>
      <c r="D38" t="b">
        <v>0</v>
      </c>
      <c r="M38" t="str">
        <v xml:space="preserve">    m &lt;- if (any(n &gt; 1)) </v>
      </c>
      <c r="R38" t="str">
        <v xml:space="preserve">    ftd &lt;- fitted(object)</v>
      </c>
    </row>
    <row r="39" spans="2:19" x14ac:dyDescent="0.3">
      <c r="B39" t="str">
        <v>y</v>
      </c>
      <c r="C39" t="str">
        <v>logical</v>
      </c>
      <c r="D39" t="b">
        <v>1</v>
      </c>
      <c r="M39" t="str">
        <v xml:space="preserve">        n</v>
      </c>
      <c r="R39" t="str">
        <v xml:space="preserve">    n &lt;- length(ftd)</v>
      </c>
    </row>
    <row r="40" spans="2:19" x14ac:dyDescent="0.3">
      <c r="B40" t="str">
        <v>singular.ok</v>
      </c>
      <c r="C40" t="str">
        <v>logical</v>
      </c>
      <c r="D40" t="b">
        <v>1</v>
      </c>
      <c r="M40" t="str">
        <v xml:space="preserve">    else wt</v>
      </c>
      <c r="R40" t="str">
        <v xml:space="preserve">    ntot &lt;- n * nsim</v>
      </c>
    </row>
    <row r="41" spans="2:19" x14ac:dyDescent="0.3">
      <c r="B41" t="str">
        <v>contrasts</v>
      </c>
      <c r="C41" t="str">
        <v>NULL</v>
      </c>
      <c r="D41" t="str">
        <v>&lt;missing&gt;</v>
      </c>
      <c r="M41" t="str">
        <v xml:space="preserve">    -2 * sum(ifelse(m &gt; 0, (wt/m), 0) * dbinom(round(m * y), </v>
      </c>
      <c r="R41" t="str">
        <v xml:space="preserve">    wts &lt;- object$prior.weights</v>
      </c>
    </row>
    <row r="42" spans="2:19" x14ac:dyDescent="0.3">
      <c r="B42" t="str">
        <v>...</v>
      </c>
      <c r="C42" t="str">
        <v>symbol</v>
      </c>
      <c r="D42" t="str">
        <v>&lt;missing&gt;</v>
      </c>
      <c r="M42" t="str">
        <v xml:space="preserve">        round(m), mu, log = TRUE))</v>
      </c>
      <c r="R42" t="str">
        <v xml:space="preserve">    if (any(wts%%1 != 0)) </v>
      </c>
    </row>
    <row r="43" spans="2:19" x14ac:dyDescent="0.3">
      <c r="M43" t="str">
        <v>}</v>
      </c>
      <c r="R43" t="str">
        <v xml:space="preserve">        stop("cannot simulate from non-integer prior.weights")</v>
      </c>
    </row>
    <row r="44" spans="2:19" x14ac:dyDescent="0.3">
      <c r="B44" s="4" t="s">
        <v>163</v>
      </c>
      <c r="C44" s="4" t="s">
        <v>182</v>
      </c>
      <c r="R44" t="str">
        <v xml:space="preserve">    if (!is.null(m &lt;- object$model)) {</v>
      </c>
    </row>
    <row r="45" spans="2:19" x14ac:dyDescent="0.3">
      <c r="R45" t="str">
        <v xml:space="preserve">        y &lt;- model.response(m)</v>
      </c>
    </row>
    <row r="46" spans="2:19" x14ac:dyDescent="0.3">
      <c r="B46" s="37" t="s">
        <v>9</v>
      </c>
      <c r="C46" s="37"/>
      <c r="R46" t="str">
        <v xml:space="preserve">        if (is.factor(y)) {</v>
      </c>
    </row>
    <row r="47" spans="2:19" x14ac:dyDescent="0.3">
      <c r="B47" s="4" t="s">
        <v>11</v>
      </c>
      <c r="C47" s="4" t="s">
        <v>184</v>
      </c>
      <c r="R47" t="str">
        <v xml:space="preserve">            yy &lt;- factor(1 + rbinom(ntot, size = 1, prob = ftd), </v>
      </c>
    </row>
    <row r="48" spans="2:19" x14ac:dyDescent="0.3">
      <c r="B48" s="4" t="s">
        <v>150</v>
      </c>
      <c r="C48" s="4" t="s">
        <v>179</v>
      </c>
      <c r="F48" s="10" t="str" cm="1">
        <f t="array" ref="F48:J52">_xll.RScript.Evaluate("anova("&amp;C9&amp;")")</f>
        <v>Index</v>
      </c>
      <c r="G48" s="10" t="str">
        <v>Df</v>
      </c>
      <c r="H48" s="10" t="str">
        <v>Deviance</v>
      </c>
      <c r="I48" s="10" t="str">
        <v>Resid. Df</v>
      </c>
      <c r="J48" s="10" t="str">
        <v>Resid. Dev</v>
      </c>
      <c r="K48" s="10"/>
      <c r="R48" t="str">
        <v xml:space="preserve">                labels = levels(y))</v>
      </c>
    </row>
    <row r="49" spans="2:18" x14ac:dyDescent="0.3">
      <c r="B49" s="4" t="s">
        <v>180</v>
      </c>
      <c r="C49" s="4" t="s">
        <v>181</v>
      </c>
      <c r="F49" s="19" t="str">
        <v>NULL</v>
      </c>
      <c r="G49" s="8">
        <v>-2147483648</v>
      </c>
      <c r="H49" s="8" t="str">
        <v/>
      </c>
      <c r="I49" s="8">
        <v>35</v>
      </c>
      <c r="J49" s="8">
        <v>48.113890391846773</v>
      </c>
      <c r="K49" s="8"/>
      <c r="R49" t="str">
        <v xml:space="preserve">            split(yy, rep(seq_len(nsim), each = n))</v>
      </c>
    </row>
    <row r="50" spans="2:18" x14ac:dyDescent="0.3">
      <c r="B50" s="4" t="s">
        <v>151</v>
      </c>
      <c r="C50" s="4" t="str">
        <f>"^"&amp;C6</f>
        <v>^purchase</v>
      </c>
      <c r="F50" s="19" t="str">
        <v>Income</v>
      </c>
      <c r="G50" s="8">
        <v>1</v>
      </c>
      <c r="H50" s="8">
        <v>10.90992825008535</v>
      </c>
      <c r="I50" s="8">
        <v>34</v>
      </c>
      <c r="J50" s="8">
        <v>37.203962141761423</v>
      </c>
      <c r="K50" s="8"/>
      <c r="R50" t="str">
        <v xml:space="preserve">        }</v>
      </c>
    </row>
    <row r="51" spans="2:18" x14ac:dyDescent="0.3">
      <c r="F51" s="19" t="str">
        <v>Age</v>
      </c>
      <c r="G51" s="8">
        <v>1</v>
      </c>
      <c r="H51" s="8">
        <v>1.0299937438739661</v>
      </c>
      <c r="I51" s="8">
        <v>33</v>
      </c>
      <c r="J51" s="8">
        <v>36.173968397887457</v>
      </c>
      <c r="K51" s="8"/>
      <c r="R51" t="str">
        <v xml:space="preserve">        else if (is.matrix(y) &amp;&amp; ncol(y) == 2) {</v>
      </c>
    </row>
    <row r="52" spans="2:18" x14ac:dyDescent="0.3">
      <c r="B52" s="4" t="s">
        <v>24</v>
      </c>
      <c r="C52" s="22" t="str" cm="1">
        <f t="array" ref="C52">_xll.RScript.Function(C47,C44,B48:C50)</f>
        <v>logModel2</v>
      </c>
      <c r="F52" s="19" t="str">
        <v>ZipCode</v>
      </c>
      <c r="G52" s="8">
        <v>1</v>
      </c>
      <c r="H52" s="8">
        <v>7.8536700402585495</v>
      </c>
      <c r="I52" s="8">
        <v>32</v>
      </c>
      <c r="J52" s="8">
        <v>28.320298357628907</v>
      </c>
      <c r="K52" s="8"/>
      <c r="R52" t="str">
        <v xml:space="preserve">            yy &lt;- vector("list", nsim)</v>
      </c>
    </row>
    <row r="53" spans="2:18" x14ac:dyDescent="0.3">
      <c r="F53" s="19"/>
      <c r="G53" s="8"/>
      <c r="H53" s="8"/>
      <c r="I53" s="8"/>
      <c r="J53" s="8"/>
      <c r="K53" s="8"/>
      <c r="R53" t="str">
        <v xml:space="preserve">            for (i in seq_len(nsim)) {</v>
      </c>
    </row>
    <row r="54" spans="2:18" x14ac:dyDescent="0.3">
      <c r="F54" s="19"/>
      <c r="G54" s="8"/>
      <c r="H54" s="8"/>
      <c r="I54" s="8"/>
      <c r="J54" s="8"/>
      <c r="K54" s="8"/>
      <c r="R54" t="str">
        <v xml:space="preserve">                Y &lt;- rbinom(n, size = wts, prob = ftd)</v>
      </c>
    </row>
    <row r="55" spans="2:18" x14ac:dyDescent="0.3">
      <c r="B55" t="s">
        <v>185</v>
      </c>
      <c r="D55" t="str" cm="1">
        <f t="array" ref="D55">_xll.RScript.Evaluate(B55)</f>
        <v>pred</v>
      </c>
      <c r="R55" t="str">
        <v xml:space="preserve">                YY &lt;- cbind(Y, wts - Y)</v>
      </c>
    </row>
    <row r="56" spans="2:18" x14ac:dyDescent="0.3">
      <c r="R56" t="str">
        <v xml:space="preserve">                colnames(YY) &lt;- colnames(y)</v>
      </c>
    </row>
    <row r="57" spans="2:18" x14ac:dyDescent="0.3">
      <c r="R57" t="str">
        <v xml:space="preserve">                yy[[i]] &lt;- YY</v>
      </c>
    </row>
    <row r="58" spans="2:18" x14ac:dyDescent="0.3">
      <c r="R58" t="str">
        <v xml:space="preserve">            }</v>
      </c>
    </row>
    <row r="59" spans="2:18" x14ac:dyDescent="0.3">
      <c r="R59" t="str">
        <v xml:space="preserve">            yy</v>
      </c>
    </row>
    <row r="60" spans="2:18" x14ac:dyDescent="0.3">
      <c r="R60" t="str">
        <v xml:space="preserve">        }</v>
      </c>
    </row>
    <row r="61" spans="2:18" x14ac:dyDescent="0.3">
      <c r="R61" t="str">
        <v xml:space="preserve">        else rbinom(ntot, size = wts, prob = ftd)/wts</v>
      </c>
    </row>
    <row r="62" spans="2:18" x14ac:dyDescent="0.3">
      <c r="R62" t="str">
        <v xml:space="preserve">    }</v>
      </c>
    </row>
    <row r="63" spans="2:18" x14ac:dyDescent="0.3">
      <c r="R63" t="str">
        <v xml:space="preserve">    else rbinom(ntot, size = wts, prob = ftd)/wts</v>
      </c>
    </row>
    <row r="64" spans="2:18" x14ac:dyDescent="0.3">
      <c r="R64" t="str">
        <v>}</v>
      </c>
    </row>
  </sheetData>
  <mergeCells count="2">
    <mergeCell ref="B3:C3"/>
    <mergeCell ref="B46:C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35BF-2115-4D96-AD2D-B561EFF71C80}">
  <dimension ref="B2:H122"/>
  <sheetViews>
    <sheetView workbookViewId="0"/>
  </sheetViews>
  <sheetFormatPr defaultRowHeight="14.4" x14ac:dyDescent="0.3"/>
  <cols>
    <col min="2" max="2" width="30.109375" bestFit="1" customWidth="1"/>
    <col min="3" max="3" width="11.33203125" bestFit="1" customWidth="1"/>
    <col min="4" max="4" width="15.5546875" customWidth="1"/>
    <col min="5" max="5" width="18.109375" customWidth="1"/>
    <col min="6" max="6" width="20.44140625" customWidth="1"/>
    <col min="8" max="8" width="31.5546875" customWidth="1"/>
  </cols>
  <sheetData>
    <row r="2" spans="2:8" x14ac:dyDescent="0.3">
      <c r="B2" t="s">
        <v>161</v>
      </c>
      <c r="C2" t="str" cm="1">
        <f t="array" ref="C2">_xll.RScript.Evaluate(B2)</f>
        <v>ets_args</v>
      </c>
      <c r="D2" t="str" cm="1">
        <f t="array" ref="D2:D13">_xll.RScript.Evaluate(C2)</f>
        <v>object</v>
      </c>
      <c r="E2" t="str">
        <f>$C$2&amp;"$"&amp;D2</f>
        <v>ets_args$object</v>
      </c>
      <c r="F2" t="str">
        <f t="shared" ref="F2:F12" si="0">"typeof("&amp;E2&amp;")"</f>
        <v>typeof(ets_args$object)</v>
      </c>
      <c r="G2" t="str" cm="1">
        <f t="array" ref="G2">_xll.RScript.Evaluate(F2)</f>
        <v>symbol</v>
      </c>
      <c r="H2" t="str" cm="1">
        <f t="array" ref="H2">_xll.RScript.Evaluate(E2)</f>
        <v>&lt;missing&gt;</v>
      </c>
    </row>
    <row r="3" spans="2:8" x14ac:dyDescent="0.3">
      <c r="D3" t="str">
        <v>h</v>
      </c>
      <c r="E3" t="str">
        <f>$C$2&amp;"$"&amp;D3</f>
        <v>ets_args$h</v>
      </c>
      <c r="F3" t="str">
        <f t="shared" si="0"/>
        <v>typeof(ets_args$h)</v>
      </c>
      <c r="G3" t="str" cm="1">
        <f t="array" ref="G3">_xll.RScript.Evaluate(F3)</f>
        <v>language</v>
      </c>
      <c r="H3" t="str" cm="1">
        <f t="array" ref="H3">_xll.RScript.Evaluate(E3)</f>
        <v>ifelse(object$m &gt; 1, 2 * object$m, 10)</v>
      </c>
    </row>
    <row r="4" spans="2:8" x14ac:dyDescent="0.3">
      <c r="D4" t="str">
        <v>level</v>
      </c>
      <c r="E4" t="str">
        <f t="shared" ref="E4:E12" si="1">$C$2&amp;"$"&amp;D4</f>
        <v>ets_args$level</v>
      </c>
      <c r="F4" t="str">
        <f t="shared" si="0"/>
        <v>typeof(ets_args$level)</v>
      </c>
      <c r="G4" t="str" cm="1">
        <f t="array" ref="G4">_xll.RScript.Evaluate(F4)</f>
        <v>language</v>
      </c>
      <c r="H4" t="str" cm="1">
        <f t="array" ref="H4">_xll.RScript.Evaluate(E4)</f>
        <v>c(80, 95)</v>
      </c>
    </row>
    <row r="5" spans="2:8" x14ac:dyDescent="0.3">
      <c r="D5" t="str">
        <v>fan</v>
      </c>
      <c r="E5" t="str">
        <f t="shared" si="1"/>
        <v>ets_args$fan</v>
      </c>
      <c r="F5" t="str">
        <f t="shared" si="0"/>
        <v>typeof(ets_args$fan)</v>
      </c>
      <c r="G5" t="str" cm="1">
        <f t="array" ref="G5">_xll.RScript.Evaluate(F5)</f>
        <v>logical</v>
      </c>
      <c r="H5" t="b" cm="1">
        <f t="array" ref="H5">_xll.RScript.Evaluate(E5)</f>
        <v>0</v>
      </c>
    </row>
    <row r="6" spans="2:8" x14ac:dyDescent="0.3">
      <c r="D6" t="str">
        <v>simulate</v>
      </c>
      <c r="E6" t="str">
        <f t="shared" si="1"/>
        <v>ets_args$simulate</v>
      </c>
      <c r="F6" t="str">
        <f t="shared" si="0"/>
        <v>typeof(ets_args$simulate)</v>
      </c>
      <c r="G6" t="str" cm="1">
        <f t="array" ref="G6">_xll.RScript.Evaluate(F6)</f>
        <v>logical</v>
      </c>
      <c r="H6" t="b" cm="1">
        <f t="array" ref="H6">_xll.RScript.Evaluate(E6)</f>
        <v>0</v>
      </c>
    </row>
    <row r="7" spans="2:8" x14ac:dyDescent="0.3">
      <c r="D7" t="str">
        <v>bootstrap</v>
      </c>
      <c r="E7" t="str">
        <f t="shared" si="1"/>
        <v>ets_args$bootstrap</v>
      </c>
      <c r="F7" t="str">
        <f t="shared" si="0"/>
        <v>typeof(ets_args$bootstrap)</v>
      </c>
      <c r="G7" t="str" cm="1">
        <f t="array" ref="G7">_xll.RScript.Evaluate(F7)</f>
        <v>logical</v>
      </c>
      <c r="H7" t="b" cm="1">
        <f t="array" ref="H7">_xll.RScript.Evaluate(E7)</f>
        <v>0</v>
      </c>
    </row>
    <row r="8" spans="2:8" x14ac:dyDescent="0.3">
      <c r="D8" t="str">
        <v>npaths</v>
      </c>
      <c r="E8" t="str">
        <f t="shared" si="1"/>
        <v>ets_args$npaths</v>
      </c>
      <c r="F8" t="str">
        <f t="shared" si="0"/>
        <v>typeof(ets_args$npaths)</v>
      </c>
      <c r="G8" t="str" cm="1">
        <f t="array" ref="G8">_xll.RScript.Evaluate(F8)</f>
        <v>double</v>
      </c>
      <c r="H8" cm="1">
        <f t="array" ref="H8">_xll.RScript.Evaluate(E8)</f>
        <v>5000</v>
      </c>
    </row>
    <row r="9" spans="2:8" x14ac:dyDescent="0.3">
      <c r="D9" t="str">
        <v>PI</v>
      </c>
      <c r="E9" t="str">
        <f t="shared" si="1"/>
        <v>ets_args$PI</v>
      </c>
      <c r="F9" t="str">
        <f t="shared" si="0"/>
        <v>typeof(ets_args$PI)</v>
      </c>
      <c r="G9" t="str" cm="1">
        <f t="array" ref="G9">_xll.RScript.Evaluate(F9)</f>
        <v>logical</v>
      </c>
      <c r="H9" t="b" cm="1">
        <f t="array" ref="H9">_xll.RScript.Evaluate(E9)</f>
        <v>1</v>
      </c>
    </row>
    <row r="10" spans="2:8" x14ac:dyDescent="0.3">
      <c r="D10" t="str">
        <v>lambda</v>
      </c>
      <c r="E10" t="str">
        <f t="shared" si="1"/>
        <v>ets_args$lambda</v>
      </c>
      <c r="F10" t="str">
        <f t="shared" si="0"/>
        <v>typeof(ets_args$lambda)</v>
      </c>
      <c r="G10" t="str" cm="1">
        <f t="array" ref="G10">_xll.RScript.Evaluate(F10)</f>
        <v>language</v>
      </c>
      <c r="H10" t="str" cm="1">
        <f t="array" ref="H10">_xll.RScript.Evaluate(E10)</f>
        <v>object$lambda</v>
      </c>
    </row>
    <row r="11" spans="2:8" x14ac:dyDescent="0.3">
      <c r="D11" t="str">
        <v>biasadj</v>
      </c>
      <c r="E11" t="str">
        <f t="shared" si="1"/>
        <v>ets_args$biasadj</v>
      </c>
      <c r="F11" t="str">
        <f t="shared" si="0"/>
        <v>typeof(ets_args$biasadj)</v>
      </c>
      <c r="G11" t="str" cm="1">
        <f t="array" ref="G11">_xll.RScript.Evaluate(F11)</f>
        <v>NULL</v>
      </c>
      <c r="H11" t="str" cm="1">
        <f t="array" ref="H11">_xll.RScript.Evaluate(E11)</f>
        <v>OK</v>
      </c>
    </row>
    <row r="12" spans="2:8" x14ac:dyDescent="0.3">
      <c r="D12" t="str">
        <v>...</v>
      </c>
      <c r="E12" t="str">
        <f t="shared" si="1"/>
        <v>ets_args$...</v>
      </c>
      <c r="F12" t="str">
        <f t="shared" si="0"/>
        <v>typeof(ets_args$...)</v>
      </c>
      <c r="G12" t="str" cm="1">
        <f t="array" ref="G12">_xll.RScript.Evaluate(F12)</f>
        <v>symbol</v>
      </c>
      <c r="H12" t="str" cm="1">
        <f t="array" ref="H12">_xll.RScript.Evaluate(E12)</f>
        <v>&lt;missing&gt;</v>
      </c>
    </row>
    <row r="13" spans="2:8" x14ac:dyDescent="0.3">
      <c r="D13" t="str">
        <v/>
      </c>
    </row>
    <row r="16" spans="2:8" x14ac:dyDescent="0.3">
      <c r="B16" t="s">
        <v>160</v>
      </c>
      <c r="C16" t="str" cm="1">
        <f t="array" ref="C16">_xll.RScript.Evaluate(B16)</f>
        <v>window_args</v>
      </c>
      <c r="D16" t="str" cm="1">
        <f t="array" ref="D16:D18">_xll.RScript.Evaluate(C16)</f>
        <v>x</v>
      </c>
      <c r="E16" t="str">
        <f>$C$2&amp;"$"&amp;D16</f>
        <v>ets_args$x</v>
      </c>
      <c r="F16" t="str">
        <f t="shared" ref="F16:F17" si="2">"typeof("&amp;E16&amp;")"</f>
        <v>typeof(ets_args$x)</v>
      </c>
      <c r="G16" t="str" cm="1">
        <f t="array" ref="G16">_xll.RScript.Evaluate(F16)</f>
        <v>NULL</v>
      </c>
      <c r="H16" t="str" cm="1">
        <f t="array" ref="H16">_xll.RScript.Evaluate(E16)</f>
        <v>OK</v>
      </c>
    </row>
    <row r="17" spans="2:8" x14ac:dyDescent="0.3">
      <c r="D17" t="str">
        <v>...</v>
      </c>
      <c r="E17" t="str">
        <f>$C$2&amp;"$"&amp;D17</f>
        <v>ets_args$...</v>
      </c>
      <c r="F17" t="str">
        <f t="shared" si="2"/>
        <v>typeof(ets_args$...)</v>
      </c>
      <c r="G17" t="str" cm="1">
        <f t="array" ref="G17">_xll.RScript.Evaluate(F17)</f>
        <v>symbol</v>
      </c>
      <c r="H17" t="str" cm="1">
        <f t="array" ref="H17">_xll.RScript.Evaluate(E17)</f>
        <v>&lt;missing&gt;</v>
      </c>
    </row>
    <row r="18" spans="2:8" x14ac:dyDescent="0.3">
      <c r="D18" t="str">
        <v/>
      </c>
    </row>
    <row r="21" spans="2:8" x14ac:dyDescent="0.3">
      <c r="B21" t="str" cm="1">
        <f t="array" ref="B21:D41">_xll.RScript.Params("ets", TRUE, TRUE)</f>
        <v>y</v>
      </c>
      <c r="C21" t="str">
        <v>symbol</v>
      </c>
      <c r="D21" t="str">
        <v>&lt;missing&gt;</v>
      </c>
      <c r="F21" t="str" cm="1">
        <f t="array" ref="F21:F22">_xll.RScript.Params("window")</f>
        <v>x</v>
      </c>
      <c r="G21" t="str" cm="1">
        <f t="array" ref="G21">"^"&amp;_xll.RScript.CreateVector(tWWWusage[[#Headers],[WWWusage]],tWWWusage[WWWusage])</f>
        <v>^WWWusage</v>
      </c>
    </row>
    <row r="22" spans="2:8" x14ac:dyDescent="0.3">
      <c r="B22" t="str">
        <v>model</v>
      </c>
      <c r="C22" t="str">
        <v>character</v>
      </c>
      <c r="D22" t="str">
        <v>ZZZ</v>
      </c>
      <c r="F22" t="str">
        <v>...</v>
      </c>
    </row>
    <row r="23" spans="2:8" x14ac:dyDescent="0.3">
      <c r="B23" t="str">
        <v>damped</v>
      </c>
      <c r="C23" t="str">
        <v>NULL</v>
      </c>
      <c r="D23" t="str">
        <v>&lt;missing&gt;</v>
      </c>
    </row>
    <row r="24" spans="2:8" x14ac:dyDescent="0.3">
      <c r="B24" t="str">
        <v>alpha</v>
      </c>
      <c r="C24" t="str">
        <v>NULL</v>
      </c>
      <c r="D24" t="str">
        <v>&lt;missing&gt;</v>
      </c>
    </row>
    <row r="25" spans="2:8" x14ac:dyDescent="0.3">
      <c r="B25" t="str">
        <v>beta</v>
      </c>
      <c r="C25" t="str">
        <v>NULL</v>
      </c>
      <c r="D25" t="str">
        <v>&lt;missing&gt;</v>
      </c>
    </row>
    <row r="26" spans="2:8" x14ac:dyDescent="0.3">
      <c r="B26" t="str">
        <v>gamma</v>
      </c>
      <c r="C26" t="str">
        <v>NULL</v>
      </c>
      <c r="D26" t="str">
        <v>&lt;missing&gt;</v>
      </c>
    </row>
    <row r="27" spans="2:8" x14ac:dyDescent="0.3">
      <c r="B27" t="str">
        <v>phi</v>
      </c>
      <c r="C27" t="str">
        <v>NULL</v>
      </c>
      <c r="D27" t="str">
        <v>&lt;missing&gt;</v>
      </c>
    </row>
    <row r="28" spans="2:8" x14ac:dyDescent="0.3">
      <c r="B28" t="str">
        <v>additive.only</v>
      </c>
      <c r="C28" t="str">
        <v>logical</v>
      </c>
      <c r="D28" t="b">
        <v>0</v>
      </c>
    </row>
    <row r="29" spans="2:8" x14ac:dyDescent="0.3">
      <c r="B29" t="str">
        <v>lambda</v>
      </c>
      <c r="C29" t="str">
        <v>NULL</v>
      </c>
      <c r="D29" t="str">
        <v>&lt;missing&gt;</v>
      </c>
    </row>
    <row r="30" spans="2:8" x14ac:dyDescent="0.3">
      <c r="B30" t="str">
        <v>biasadj</v>
      </c>
      <c r="C30" t="str">
        <v>logical</v>
      </c>
      <c r="D30" t="b">
        <v>0</v>
      </c>
    </row>
    <row r="31" spans="2:8" x14ac:dyDescent="0.3">
      <c r="B31" t="str">
        <v>lower</v>
      </c>
      <c r="C31" t="str">
        <v>language</v>
      </c>
      <c r="D31" t="str">
        <v>c(rep(1e-04, 3), 0.8)</v>
      </c>
    </row>
    <row r="32" spans="2:8" x14ac:dyDescent="0.3">
      <c r="B32" t="str">
        <v>upper</v>
      </c>
      <c r="C32" t="str">
        <v>language</v>
      </c>
      <c r="D32" t="str">
        <v>c(rep(0.9999, 3), 0.98)</v>
      </c>
    </row>
    <row r="33" spans="2:5" x14ac:dyDescent="0.3">
      <c r="B33" t="str">
        <v>opt.crit</v>
      </c>
      <c r="C33" t="str">
        <v>language</v>
      </c>
      <c r="D33" t="str">
        <v>c("lik", "amse", "mse", "sigma", "mae")</v>
      </c>
    </row>
    <row r="34" spans="2:5" x14ac:dyDescent="0.3">
      <c r="B34" t="str">
        <v>nmse</v>
      </c>
      <c r="C34" t="str">
        <v>double</v>
      </c>
      <c r="D34">
        <v>3</v>
      </c>
    </row>
    <row r="35" spans="2:5" x14ac:dyDescent="0.3">
      <c r="B35" t="str">
        <v>bounds</v>
      </c>
      <c r="C35" t="str">
        <v>language</v>
      </c>
      <c r="D35" t="str">
        <v>c("both", "usual", "admissible")</v>
      </c>
    </row>
    <row r="36" spans="2:5" x14ac:dyDescent="0.3">
      <c r="B36" t="str">
        <v>ic</v>
      </c>
      <c r="C36" t="str">
        <v>language</v>
      </c>
      <c r="D36" t="str">
        <v>c("aicc", "aic", "bic")</v>
      </c>
    </row>
    <row r="37" spans="2:5" x14ac:dyDescent="0.3">
      <c r="B37" t="str">
        <v>restrict</v>
      </c>
      <c r="C37" t="str">
        <v>logical</v>
      </c>
      <c r="D37" t="b">
        <v>1</v>
      </c>
    </row>
    <row r="38" spans="2:5" x14ac:dyDescent="0.3">
      <c r="B38" t="str">
        <v>allow.multiplicative.trend</v>
      </c>
      <c r="C38" t="str">
        <v>logical</v>
      </c>
      <c r="D38" t="b">
        <v>0</v>
      </c>
    </row>
    <row r="39" spans="2:5" x14ac:dyDescent="0.3">
      <c r="B39" t="str">
        <v>use.initial.values</v>
      </c>
      <c r="C39" t="str">
        <v>logical</v>
      </c>
      <c r="D39" t="b">
        <v>0</v>
      </c>
    </row>
    <row r="40" spans="2:5" x14ac:dyDescent="0.3">
      <c r="B40" t="str">
        <v>na.action</v>
      </c>
      <c r="C40" t="str">
        <v>language</v>
      </c>
      <c r="D40" t="str">
        <v>c("na.contiguous", "na.interp", "na.fail")</v>
      </c>
    </row>
    <row r="41" spans="2:5" x14ac:dyDescent="0.3">
      <c r="B41" t="str">
        <v>...</v>
      </c>
      <c r="C41" t="str">
        <v>symbol</v>
      </c>
      <c r="D41" t="str">
        <v>&lt;missing&gt;</v>
      </c>
    </row>
    <row r="44" spans="2:5" x14ac:dyDescent="0.3">
      <c r="B44" t="str" cm="1">
        <f t="array" ref="B44:B64">_xll.RScript.Params("ets", FALSE, FALSE)</f>
        <v>y</v>
      </c>
      <c r="C44" t="str" cm="1">
        <f t="array" ref="C44">"^"&amp;_xll.RScript.CreateVector(tWWWusage[[#Headers],[WWWusage]],tWWWusage[WWWusage])</f>
        <v>^WWWusage</v>
      </c>
      <c r="E44" t="str" cm="1">
        <f t="array" ref="E44">_xll.RScript.Function("ets_mod", "ets", B44:C44)</f>
        <v>ets_mod</v>
      </c>
    </row>
    <row r="45" spans="2:5" x14ac:dyDescent="0.3">
      <c r="B45" t="str">
        <v>model</v>
      </c>
    </row>
    <row r="46" spans="2:5" x14ac:dyDescent="0.3">
      <c r="B46" t="str">
        <v>damped</v>
      </c>
    </row>
    <row r="47" spans="2:5" x14ac:dyDescent="0.3">
      <c r="B47" t="str">
        <v>alpha</v>
      </c>
    </row>
    <row r="48" spans="2:5" x14ac:dyDescent="0.3">
      <c r="B48" t="str">
        <v>beta</v>
      </c>
    </row>
    <row r="49" spans="2:2" x14ac:dyDescent="0.3">
      <c r="B49" t="str">
        <v>gamma</v>
      </c>
    </row>
    <row r="50" spans="2:2" x14ac:dyDescent="0.3">
      <c r="B50" t="str">
        <v>phi</v>
      </c>
    </row>
    <row r="51" spans="2:2" x14ac:dyDescent="0.3">
      <c r="B51" t="str">
        <v>additive.only</v>
      </c>
    </row>
    <row r="52" spans="2:2" x14ac:dyDescent="0.3">
      <c r="B52" t="str">
        <v>lambda</v>
      </c>
    </row>
    <row r="53" spans="2:2" x14ac:dyDescent="0.3">
      <c r="B53" t="str">
        <v>biasadj</v>
      </c>
    </row>
    <row r="54" spans="2:2" x14ac:dyDescent="0.3">
      <c r="B54" t="str">
        <v>lower</v>
      </c>
    </row>
    <row r="55" spans="2:2" x14ac:dyDescent="0.3">
      <c r="B55" t="str">
        <v>upper</v>
      </c>
    </row>
    <row r="56" spans="2:2" x14ac:dyDescent="0.3">
      <c r="B56" t="str">
        <v>opt.crit</v>
      </c>
    </row>
    <row r="57" spans="2:2" x14ac:dyDescent="0.3">
      <c r="B57" t="str">
        <v>nmse</v>
      </c>
    </row>
    <row r="58" spans="2:2" x14ac:dyDescent="0.3">
      <c r="B58" t="str">
        <v>bounds</v>
      </c>
    </row>
    <row r="59" spans="2:2" x14ac:dyDescent="0.3">
      <c r="B59" t="str">
        <v>ic</v>
      </c>
    </row>
    <row r="60" spans="2:2" x14ac:dyDescent="0.3">
      <c r="B60" t="str">
        <v>restrict</v>
      </c>
    </row>
    <row r="61" spans="2:2" x14ac:dyDescent="0.3">
      <c r="B61" t="str">
        <v>allow.multiplicative.trend</v>
      </c>
    </row>
    <row r="62" spans="2:2" x14ac:dyDescent="0.3">
      <c r="B62" t="str">
        <v>use.initial.values</v>
      </c>
    </row>
    <row r="63" spans="2:2" x14ac:dyDescent="0.3">
      <c r="B63" t="str">
        <v>na.action</v>
      </c>
    </row>
    <row r="64" spans="2:2" x14ac:dyDescent="0.3">
      <c r="B64" t="str">
        <v>...</v>
      </c>
    </row>
    <row r="68" spans="2:7" x14ac:dyDescent="0.3">
      <c r="B68" t="str" cm="1">
        <f t="array" ref="B68:B81">_xll.RScript.Params("lm")</f>
        <v>formula</v>
      </c>
      <c r="C68" t="s">
        <v>152</v>
      </c>
      <c r="G68" t="str" cm="1">
        <f t="array" ref="G68">_xll.RScript.Function("lm_mod", "lm", B68:C69)</f>
        <v>lm_mod</v>
      </c>
    </row>
    <row r="69" spans="2:7" x14ac:dyDescent="0.3">
      <c r="B69" t="str">
        <v>data</v>
      </c>
      <c r="C69" s="13" t="str" cm="1">
        <f t="array" ref="C69">"^"&amp;_xll.RScript.CreateDataFrame("gala",tGalapagosData[],tGalapagosData[#Headers])</f>
        <v>^gala</v>
      </c>
    </row>
    <row r="70" spans="2:7" x14ac:dyDescent="0.3">
      <c r="B70" t="str">
        <v>subset</v>
      </c>
    </row>
    <row r="71" spans="2:7" x14ac:dyDescent="0.3">
      <c r="B71" t="str">
        <v>weights</v>
      </c>
    </row>
    <row r="72" spans="2:7" x14ac:dyDescent="0.3">
      <c r="B72" t="str">
        <v>na.action</v>
      </c>
    </row>
    <row r="73" spans="2:7" x14ac:dyDescent="0.3">
      <c r="B73" t="str">
        <v>method</v>
      </c>
    </row>
    <row r="74" spans="2:7" x14ac:dyDescent="0.3">
      <c r="B74" t="str">
        <v>model</v>
      </c>
    </row>
    <row r="75" spans="2:7" x14ac:dyDescent="0.3">
      <c r="B75" t="str">
        <v>x</v>
      </c>
    </row>
    <row r="76" spans="2:7" x14ac:dyDescent="0.3">
      <c r="B76" t="str">
        <v>y</v>
      </c>
    </row>
    <row r="77" spans="2:7" x14ac:dyDescent="0.3">
      <c r="B77" t="str">
        <v>qr</v>
      </c>
    </row>
    <row r="78" spans="2:7" x14ac:dyDescent="0.3">
      <c r="B78" t="str">
        <v>singular.ok</v>
      </c>
    </row>
    <row r="79" spans="2:7" x14ac:dyDescent="0.3">
      <c r="B79" t="str">
        <v>contrasts</v>
      </c>
    </row>
    <row r="80" spans="2:7" x14ac:dyDescent="0.3">
      <c r="B80" t="str">
        <v>offset</v>
      </c>
    </row>
    <row r="81" spans="2:4" x14ac:dyDescent="0.3">
      <c r="B81" t="str">
        <v>...</v>
      </c>
    </row>
    <row r="83" spans="2:4" x14ac:dyDescent="0.3">
      <c r="B83" t="str" cm="1">
        <f t="array" ref="B83:D96">_xll.RScript.Params("lm", TRUE, TRUE)</f>
        <v>formula</v>
      </c>
      <c r="C83" t="str">
        <v>symbol</v>
      </c>
      <c r="D83" t="str">
        <v>&lt;missing&gt;</v>
      </c>
    </row>
    <row r="84" spans="2:4" x14ac:dyDescent="0.3">
      <c r="B84" t="str">
        <v>data</v>
      </c>
      <c r="C84" t="str">
        <v>symbol</v>
      </c>
      <c r="D84" t="str">
        <v>&lt;missing&gt;</v>
      </c>
    </row>
    <row r="85" spans="2:4" x14ac:dyDescent="0.3">
      <c r="B85" t="str">
        <v>subset</v>
      </c>
      <c r="C85" t="str">
        <v>symbol</v>
      </c>
      <c r="D85" t="str">
        <v>&lt;missing&gt;</v>
      </c>
    </row>
    <row r="86" spans="2:4" x14ac:dyDescent="0.3">
      <c r="B86" t="str">
        <v>weights</v>
      </c>
      <c r="C86" t="str">
        <v>symbol</v>
      </c>
      <c r="D86" t="str">
        <v>&lt;missing&gt;</v>
      </c>
    </row>
    <row r="87" spans="2:4" x14ac:dyDescent="0.3">
      <c r="B87" t="str">
        <v>na.action</v>
      </c>
      <c r="C87" t="str">
        <v>symbol</v>
      </c>
      <c r="D87" t="str">
        <v>&lt;missing&gt;</v>
      </c>
    </row>
    <row r="88" spans="2:4" x14ac:dyDescent="0.3">
      <c r="B88" t="str">
        <v>method</v>
      </c>
      <c r="C88" t="str">
        <v>character</v>
      </c>
      <c r="D88" t="str">
        <v>qr</v>
      </c>
    </row>
    <row r="89" spans="2:4" x14ac:dyDescent="0.3">
      <c r="B89" t="str">
        <v>model</v>
      </c>
      <c r="C89" t="str">
        <v>logical</v>
      </c>
      <c r="D89" t="b">
        <v>1</v>
      </c>
    </row>
    <row r="90" spans="2:4" x14ac:dyDescent="0.3">
      <c r="B90" t="str">
        <v>x</v>
      </c>
      <c r="C90" t="str">
        <v>logical</v>
      </c>
      <c r="D90" t="b">
        <v>0</v>
      </c>
    </row>
    <row r="91" spans="2:4" x14ac:dyDescent="0.3">
      <c r="B91" t="str">
        <v>y</v>
      </c>
      <c r="C91" t="str">
        <v>logical</v>
      </c>
      <c r="D91" t="b">
        <v>0</v>
      </c>
    </row>
    <row r="92" spans="2:4" x14ac:dyDescent="0.3">
      <c r="B92" t="str">
        <v>qr</v>
      </c>
      <c r="C92" t="str">
        <v>logical</v>
      </c>
      <c r="D92" t="b">
        <v>1</v>
      </c>
    </row>
    <row r="93" spans="2:4" x14ac:dyDescent="0.3">
      <c r="B93" t="str">
        <v>singular.ok</v>
      </c>
      <c r="C93" t="str">
        <v>logical</v>
      </c>
      <c r="D93" t="b">
        <v>1</v>
      </c>
    </row>
    <row r="94" spans="2:4" x14ac:dyDescent="0.3">
      <c r="B94" t="str">
        <v>contrasts</v>
      </c>
      <c r="C94" t="str">
        <v>NULL</v>
      </c>
      <c r="D94" t="str">
        <v>&lt;missing&gt;</v>
      </c>
    </row>
    <row r="95" spans="2:4" x14ac:dyDescent="0.3">
      <c r="B95" t="str">
        <v>offset</v>
      </c>
      <c r="C95" t="str">
        <v>symbol</v>
      </c>
      <c r="D95" t="str">
        <v>&lt;missing&gt;</v>
      </c>
    </row>
    <row r="96" spans="2:4" x14ac:dyDescent="0.3">
      <c r="B96" t="str">
        <v>...</v>
      </c>
      <c r="C96" t="str">
        <v>symbol</v>
      </c>
      <c r="D96" t="str">
        <v>&lt;missing&gt;</v>
      </c>
    </row>
    <row r="108" spans="2:8" x14ac:dyDescent="0.3">
      <c r="B108" t="s">
        <v>162</v>
      </c>
      <c r="C108" t="str" cm="1">
        <f t="array" ref="C108">_xll.RScript.Evaluate(B108)</f>
        <v>lm_args</v>
      </c>
      <c r="D108" t="str" cm="1">
        <f t="array" ref="D108:D122">_xll.RScript.Evaluate(C108)</f>
        <v>formula</v>
      </c>
      <c r="E108" t="str">
        <f>$C$108&amp;"$"&amp;D108</f>
        <v>lm_args$formula</v>
      </c>
      <c r="F108" t="str">
        <f t="shared" ref="F108:F118" si="3">"typeof("&amp;E108&amp;")"</f>
        <v>typeof(lm_args$formula)</v>
      </c>
      <c r="G108" t="str" cm="1">
        <f t="array" ref="G108">_xll.RScript.Evaluate(F108)</f>
        <v>symbol</v>
      </c>
      <c r="H108" t="str" cm="1">
        <f t="array" ref="H108">_xll.RScript.Evaluate(E108)</f>
        <v>&lt;missing&gt;</v>
      </c>
    </row>
    <row r="109" spans="2:8" x14ac:dyDescent="0.3">
      <c r="D109" t="str">
        <v>data</v>
      </c>
      <c r="E109" t="str">
        <f t="shared" ref="E109:E121" si="4">$C$108&amp;"$"&amp;D109</f>
        <v>lm_args$data</v>
      </c>
      <c r="F109" t="str">
        <f t="shared" si="3"/>
        <v>typeof(lm_args$data)</v>
      </c>
      <c r="G109" t="str" cm="1">
        <f t="array" ref="G109">_xll.RScript.Evaluate(F109)</f>
        <v>symbol</v>
      </c>
      <c r="H109" t="str" cm="1">
        <f t="array" ref="H109">_xll.RScript.Evaluate(E109)</f>
        <v>&lt;missing&gt;</v>
      </c>
    </row>
    <row r="110" spans="2:8" x14ac:dyDescent="0.3">
      <c r="D110" t="str">
        <v>subset</v>
      </c>
      <c r="E110" t="str">
        <f t="shared" si="4"/>
        <v>lm_args$subset</v>
      </c>
      <c r="F110" t="str">
        <f t="shared" si="3"/>
        <v>typeof(lm_args$subset)</v>
      </c>
      <c r="G110" t="str" cm="1">
        <f t="array" ref="G110">_xll.RScript.Evaluate(F110)</f>
        <v>symbol</v>
      </c>
      <c r="H110" t="str" cm="1">
        <f t="array" ref="H110">_xll.RScript.Evaluate(E110)</f>
        <v>&lt;missing&gt;</v>
      </c>
    </row>
    <row r="111" spans="2:8" x14ac:dyDescent="0.3">
      <c r="D111" t="str">
        <v>weights</v>
      </c>
      <c r="E111" t="str">
        <f t="shared" si="4"/>
        <v>lm_args$weights</v>
      </c>
      <c r="F111" t="str">
        <f t="shared" si="3"/>
        <v>typeof(lm_args$weights)</v>
      </c>
      <c r="G111" t="str" cm="1">
        <f t="array" ref="G111">_xll.RScript.Evaluate(F111)</f>
        <v>symbol</v>
      </c>
      <c r="H111" t="str" cm="1">
        <f t="array" ref="H111">_xll.RScript.Evaluate(E111)</f>
        <v>&lt;missing&gt;</v>
      </c>
    </row>
    <row r="112" spans="2:8" x14ac:dyDescent="0.3">
      <c r="D112" t="str">
        <v>na.action</v>
      </c>
      <c r="E112" t="str">
        <f t="shared" si="4"/>
        <v>lm_args$na.action</v>
      </c>
      <c r="F112" t="str">
        <f t="shared" si="3"/>
        <v>typeof(lm_args$na.action)</v>
      </c>
      <c r="G112" t="str" cm="1">
        <f t="array" ref="G112">_xll.RScript.Evaluate(F112)</f>
        <v>symbol</v>
      </c>
      <c r="H112" t="str" cm="1">
        <f t="array" ref="H112">_xll.RScript.Evaluate(E112)</f>
        <v>&lt;missing&gt;</v>
      </c>
    </row>
    <row r="113" spans="4:8" x14ac:dyDescent="0.3">
      <c r="D113" t="str">
        <v>method</v>
      </c>
      <c r="E113" t="str">
        <f t="shared" si="4"/>
        <v>lm_args$method</v>
      </c>
      <c r="F113" t="str">
        <f t="shared" si="3"/>
        <v>typeof(lm_args$method)</v>
      </c>
      <c r="G113" t="str" cm="1">
        <f t="array" ref="G113">_xll.RScript.Evaluate(F113)</f>
        <v>character</v>
      </c>
      <c r="H113" t="str" cm="1">
        <f t="array" ref="H113">_xll.RScript.Evaluate(E113)</f>
        <v>qr</v>
      </c>
    </row>
    <row r="114" spans="4:8" x14ac:dyDescent="0.3">
      <c r="D114" t="str">
        <v>model</v>
      </c>
      <c r="E114" t="str">
        <f t="shared" si="4"/>
        <v>lm_args$model</v>
      </c>
      <c r="F114" t="str">
        <f t="shared" si="3"/>
        <v>typeof(lm_args$model)</v>
      </c>
      <c r="G114" t="str" cm="1">
        <f t="array" ref="G114">_xll.RScript.Evaluate(F114)</f>
        <v>logical</v>
      </c>
      <c r="H114" t="b" cm="1">
        <f t="array" ref="H114">_xll.RScript.Evaluate(E114)</f>
        <v>1</v>
      </c>
    </row>
    <row r="115" spans="4:8" x14ac:dyDescent="0.3">
      <c r="D115" t="str">
        <v>x</v>
      </c>
      <c r="E115" t="str">
        <f t="shared" si="4"/>
        <v>lm_args$x</v>
      </c>
      <c r="F115" t="str">
        <f t="shared" si="3"/>
        <v>typeof(lm_args$x)</v>
      </c>
      <c r="G115" t="str" cm="1">
        <f t="array" ref="G115">_xll.RScript.Evaluate(F115)</f>
        <v>logical</v>
      </c>
      <c r="H115" t="b" cm="1">
        <f t="array" ref="H115">_xll.RScript.Evaluate(E115)</f>
        <v>0</v>
      </c>
    </row>
    <row r="116" spans="4:8" x14ac:dyDescent="0.3">
      <c r="D116" t="str">
        <v>y</v>
      </c>
      <c r="E116" t="str">
        <f t="shared" si="4"/>
        <v>lm_args$y</v>
      </c>
      <c r="F116" t="str">
        <f t="shared" si="3"/>
        <v>typeof(lm_args$y)</v>
      </c>
      <c r="G116" t="str" cm="1">
        <f t="array" ref="G116">_xll.RScript.Evaluate(F116)</f>
        <v>logical</v>
      </c>
      <c r="H116" t="b" cm="1">
        <f t="array" ref="H116">_xll.RScript.Evaluate(E116)</f>
        <v>0</v>
      </c>
    </row>
    <row r="117" spans="4:8" x14ac:dyDescent="0.3">
      <c r="D117" t="str">
        <v>qr</v>
      </c>
      <c r="E117" t="str">
        <f t="shared" si="4"/>
        <v>lm_args$qr</v>
      </c>
      <c r="F117" t="str">
        <f t="shared" si="3"/>
        <v>typeof(lm_args$qr)</v>
      </c>
      <c r="G117" t="str" cm="1">
        <f t="array" ref="G117">_xll.RScript.Evaluate(F117)</f>
        <v>logical</v>
      </c>
      <c r="H117" t="b" cm="1">
        <f t="array" ref="H117">_xll.RScript.Evaluate(E117)</f>
        <v>1</v>
      </c>
    </row>
    <row r="118" spans="4:8" x14ac:dyDescent="0.3">
      <c r="D118" t="str">
        <v>singular.ok</v>
      </c>
      <c r="E118" t="str">
        <f t="shared" si="4"/>
        <v>lm_args$singular.ok</v>
      </c>
      <c r="F118" t="str">
        <f t="shared" si="3"/>
        <v>typeof(lm_args$singular.ok)</v>
      </c>
      <c r="G118" t="str" cm="1">
        <f t="array" ref="G118">_xll.RScript.Evaluate(F118)</f>
        <v>logical</v>
      </c>
      <c r="H118" t="b" cm="1">
        <f t="array" ref="H118">_xll.RScript.Evaluate(E118)</f>
        <v>1</v>
      </c>
    </row>
    <row r="119" spans="4:8" x14ac:dyDescent="0.3">
      <c r="D119" t="str">
        <v>contrasts</v>
      </c>
      <c r="E119" t="str">
        <f t="shared" si="4"/>
        <v>lm_args$contrasts</v>
      </c>
    </row>
    <row r="120" spans="4:8" x14ac:dyDescent="0.3">
      <c r="D120" t="str">
        <v>offset</v>
      </c>
      <c r="E120" t="str">
        <f t="shared" si="4"/>
        <v>lm_args$offset</v>
      </c>
    </row>
    <row r="121" spans="4:8" x14ac:dyDescent="0.3">
      <c r="D121" t="str">
        <v>...</v>
      </c>
      <c r="E121" t="str">
        <f t="shared" si="4"/>
        <v>lm_args$...</v>
      </c>
    </row>
    <row r="122" spans="4:8" x14ac:dyDescent="0.3">
      <c r="D122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References</vt:lpstr>
      <vt:lpstr>Libraries</vt:lpstr>
      <vt:lpstr>Datasets</vt:lpstr>
      <vt:lpstr>MA</vt:lpstr>
      <vt:lpstr>SES</vt:lpstr>
      <vt:lpstr>Holt</vt:lpstr>
      <vt:lpstr>HW</vt:lpstr>
      <vt:lpstr>ETS</vt:lpstr>
      <vt:lpstr>Forecast</vt:lpstr>
      <vt:lpstr>ARIMA</vt:lpstr>
      <vt:lpstr>ARIMA (2)</vt:lpstr>
      <vt:lpstr>Auto ARIMA</vt:lpstr>
      <vt:lpstr>meanf</vt:lpstr>
      <vt:lpstr>rwf</vt:lpstr>
      <vt:lpstr>splinef</vt:lpstr>
      <vt:lpstr>thetaf</vt:lpstr>
      <vt:lpstr>Linear Regression</vt:lpstr>
      <vt:lpstr>Logistic Regression</vt:lpstr>
      <vt:lpstr>Function Params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2024-03-20T12:19:07Z</dcterms:created>
  <dcterms:modified xsi:type="dcterms:W3CDTF">2024-05-21T14:57:44Z</dcterms:modified>
</cp:coreProperties>
</file>