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Juan Jose\Documents\JJ\OneDrive - Universidad del Norte\Despues del Pregrado\Side Projects\Project Gaia Victory\Codename Eleuthia\data\"/>
    </mc:Choice>
  </mc:AlternateContent>
  <xr:revisionPtr revIDLastSave="0" documentId="13_ncr:1_{E067E128-98E0-46AC-A2D2-B25B57A13E5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fi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5" i="1" l="1"/>
  <c r="A1909" i="1"/>
  <c r="A1423" i="1"/>
  <c r="A1733" i="1"/>
  <c r="A1389" i="1"/>
  <c r="A644" i="1"/>
  <c r="A641" i="1"/>
  <c r="A1282" i="1"/>
  <c r="A2498" i="1"/>
  <c r="A2497" i="1"/>
  <c r="A2496" i="1"/>
  <c r="A2494" i="1"/>
  <c r="A2495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77" i="1"/>
  <c r="A2480" i="1"/>
  <c r="A2476" i="1"/>
  <c r="A2475" i="1"/>
  <c r="A2474" i="1"/>
  <c r="A2479" i="1"/>
  <c r="A2473" i="1"/>
  <c r="A2109" i="1"/>
  <c r="A2471" i="1"/>
  <c r="A2470" i="1"/>
  <c r="A2469" i="1"/>
  <c r="A2468" i="1"/>
  <c r="A2466" i="1"/>
  <c r="A2463" i="1"/>
  <c r="A2465" i="1"/>
  <c r="A1198" i="1"/>
  <c r="A2464" i="1"/>
  <c r="A2462" i="1"/>
  <c r="A2461" i="1"/>
  <c r="A2460" i="1"/>
  <c r="A2459" i="1"/>
  <c r="A2458" i="1"/>
  <c r="A2457" i="1"/>
  <c r="A2454" i="1"/>
  <c r="A2455" i="1"/>
  <c r="A2453" i="1"/>
  <c r="A2452" i="1"/>
  <c r="A2451" i="1"/>
  <c r="A63" i="1"/>
  <c r="A2450" i="1"/>
  <c r="A2449" i="1"/>
  <c r="A2448" i="1"/>
  <c r="A2447" i="1"/>
  <c r="A2445" i="1"/>
  <c r="A2444" i="1"/>
  <c r="A2443" i="1"/>
  <c r="A2442" i="1"/>
  <c r="A808" i="1"/>
  <c r="A2440" i="1"/>
  <c r="A594" i="1"/>
  <c r="A2438" i="1"/>
  <c r="A2437" i="1"/>
  <c r="A595" i="1"/>
  <c r="A2435" i="1"/>
  <c r="A2436" i="1"/>
  <c r="A2434" i="1"/>
  <c r="A2433" i="1"/>
  <c r="A1415" i="1"/>
  <c r="A2432" i="1"/>
  <c r="A2431" i="1"/>
  <c r="A909" i="1"/>
  <c r="A2430" i="1"/>
  <c r="A2429" i="1"/>
  <c r="A2428" i="1"/>
  <c r="A2427" i="1"/>
  <c r="A2426" i="1"/>
  <c r="A1817" i="1"/>
  <c r="A2425" i="1"/>
  <c r="A2424" i="1"/>
  <c r="A2423" i="1"/>
  <c r="A2422" i="1"/>
  <c r="A537" i="1"/>
  <c r="A2419" i="1"/>
  <c r="A2418" i="1"/>
  <c r="A2456" i="1"/>
  <c r="A2417" i="1"/>
  <c r="A2416" i="1"/>
  <c r="A2414" i="1"/>
  <c r="A2413" i="1"/>
  <c r="A2412" i="1"/>
  <c r="A2411" i="1"/>
  <c r="A2410" i="1"/>
  <c r="A2409" i="1"/>
  <c r="A2408" i="1"/>
  <c r="A2407" i="1"/>
  <c r="A2405" i="1"/>
  <c r="A666" i="1"/>
  <c r="A2403" i="1"/>
  <c r="A2402" i="1"/>
  <c r="A2401" i="1"/>
  <c r="A2400" i="1"/>
  <c r="A2399" i="1"/>
  <c r="A1962" i="1"/>
  <c r="A874" i="1"/>
  <c r="A2398" i="1"/>
  <c r="A2397" i="1"/>
  <c r="A2394" i="1"/>
  <c r="A2392" i="1"/>
  <c r="A2396" i="1"/>
  <c r="A2393" i="1"/>
  <c r="A2389" i="1"/>
  <c r="A2391" i="1"/>
  <c r="A2390" i="1"/>
  <c r="A2388" i="1"/>
  <c r="A322" i="1"/>
  <c r="A2385" i="1"/>
  <c r="A2386" i="1"/>
  <c r="A2384" i="1"/>
  <c r="A2387" i="1"/>
  <c r="A2383" i="1"/>
  <c r="A2382" i="1"/>
  <c r="A411" i="1"/>
  <c r="A2381" i="1"/>
  <c r="A2380" i="1"/>
  <c r="A2378" i="1"/>
  <c r="A2377" i="1"/>
  <c r="A2375" i="1"/>
  <c r="A2376" i="1"/>
  <c r="A2374" i="1"/>
  <c r="A2373" i="1"/>
  <c r="A1162" i="1"/>
  <c r="A2371" i="1"/>
  <c r="A2370" i="1"/>
  <c r="A1786" i="1"/>
  <c r="A986" i="1"/>
  <c r="A2368" i="1"/>
  <c r="A1662" i="1"/>
  <c r="A2366" i="1"/>
  <c r="A496" i="1"/>
  <c r="A2365" i="1"/>
  <c r="A2364" i="1"/>
  <c r="A2363" i="1"/>
  <c r="A2362" i="1"/>
  <c r="A2359" i="1"/>
  <c r="A2358" i="1"/>
  <c r="A2356" i="1"/>
  <c r="A2355" i="1"/>
  <c r="A2353" i="1"/>
  <c r="A2352" i="1"/>
  <c r="A2351" i="1"/>
  <c r="A2350" i="1"/>
  <c r="A2349" i="1"/>
  <c r="A2348" i="1"/>
  <c r="A2347" i="1"/>
  <c r="A2346" i="1"/>
  <c r="A2345" i="1"/>
  <c r="A2341" i="1"/>
  <c r="A2344" i="1"/>
  <c r="A2343" i="1"/>
  <c r="A2342" i="1"/>
  <c r="A2340" i="1"/>
  <c r="A1424" i="1"/>
  <c r="A2339" i="1"/>
  <c r="A2338" i="1"/>
  <c r="A2337" i="1"/>
  <c r="A2336" i="1"/>
  <c r="A2335" i="1"/>
  <c r="A2334" i="1"/>
  <c r="A2332" i="1"/>
  <c r="A2331" i="1"/>
  <c r="A2372" i="1"/>
  <c r="A2330" i="1"/>
  <c r="A2329" i="1"/>
  <c r="A2328" i="1"/>
  <c r="A2327" i="1"/>
  <c r="A2326" i="1"/>
  <c r="A2325" i="1"/>
  <c r="A2298" i="1"/>
  <c r="A2324" i="1"/>
  <c r="A2323" i="1"/>
  <c r="A2322" i="1"/>
  <c r="A2321" i="1"/>
  <c r="A2319" i="1"/>
  <c r="A2318" i="1"/>
  <c r="A2317" i="1"/>
  <c r="A2316" i="1"/>
  <c r="A2315" i="1"/>
  <c r="A2314" i="1"/>
  <c r="A2313" i="1"/>
  <c r="A2312" i="1"/>
  <c r="A2311" i="1"/>
  <c r="A2310" i="1"/>
  <c r="A2309" i="1"/>
  <c r="A1928" i="1"/>
  <c r="A2308" i="1"/>
  <c r="A2360" i="1"/>
  <c r="A2307" i="1"/>
  <c r="A2306" i="1"/>
  <c r="A2305" i="1"/>
  <c r="A2304" i="1"/>
  <c r="A2303" i="1"/>
  <c r="A473" i="1"/>
  <c r="A2301" i="1"/>
  <c r="A2299" i="1"/>
  <c r="A2296" i="1"/>
  <c r="A2295" i="1"/>
  <c r="A2297" i="1"/>
  <c r="A2294" i="1"/>
  <c r="A2293" i="1"/>
  <c r="A281" i="1"/>
  <c r="A2292" i="1"/>
  <c r="A2290" i="1"/>
  <c r="A2288" i="1"/>
  <c r="A2289" i="1"/>
  <c r="A2287" i="1"/>
  <c r="A2285" i="1"/>
  <c r="A2284" i="1"/>
  <c r="A2282" i="1"/>
  <c r="A2281" i="1"/>
  <c r="A2280" i="1"/>
  <c r="A2279" i="1"/>
  <c r="A2278" i="1"/>
  <c r="A2277" i="1"/>
  <c r="A2276" i="1"/>
  <c r="A2275" i="1"/>
  <c r="A2274" i="1"/>
  <c r="A391" i="1"/>
  <c r="A2273" i="1"/>
  <c r="A2272" i="1"/>
  <c r="A2271" i="1"/>
  <c r="A2268" i="1"/>
  <c r="A2267" i="1"/>
  <c r="A2266" i="1"/>
  <c r="A2265" i="1"/>
  <c r="A2245" i="1"/>
  <c r="A2244" i="1"/>
  <c r="A2074" i="1"/>
  <c r="A2264" i="1"/>
  <c r="A2076" i="1"/>
  <c r="A441" i="1"/>
  <c r="A2263" i="1"/>
  <c r="A2262" i="1"/>
  <c r="A721" i="1"/>
  <c r="A2286" i="1"/>
  <c r="A1708" i="1"/>
  <c r="A1900" i="1"/>
  <c r="A2261" i="1"/>
  <c r="A2259" i="1"/>
  <c r="A301" i="1"/>
  <c r="A2260" i="1"/>
  <c r="A2258" i="1"/>
  <c r="A1823" i="1"/>
  <c r="A2256" i="1"/>
  <c r="A2255" i="1"/>
  <c r="A2254" i="1"/>
  <c r="A1485" i="1"/>
  <c r="A1484" i="1"/>
  <c r="A1506" i="1"/>
  <c r="A786" i="1"/>
  <c r="A2252" i="1"/>
  <c r="A2251" i="1"/>
  <c r="A2250" i="1"/>
  <c r="A2249" i="1"/>
  <c r="A1806" i="1"/>
  <c r="A1804" i="1"/>
  <c r="A2247" i="1"/>
  <c r="A2246" i="1"/>
  <c r="A2243" i="1"/>
  <c r="A520" i="1"/>
  <c r="A2242" i="1"/>
  <c r="A1412" i="1"/>
  <c r="A2241" i="1"/>
  <c r="A2240" i="1"/>
  <c r="A339" i="1"/>
  <c r="A2239" i="1"/>
  <c r="A2236" i="1"/>
  <c r="A2235" i="1"/>
  <c r="A2234" i="1"/>
  <c r="A2233" i="1"/>
  <c r="A2231" i="1"/>
  <c r="A2229" i="1"/>
  <c r="A2228" i="1"/>
  <c r="A2232" i="1"/>
  <c r="A2227" i="1"/>
  <c r="A2226" i="1"/>
  <c r="A2225" i="1"/>
  <c r="A2221" i="1"/>
  <c r="A2220" i="1"/>
  <c r="A2219" i="1"/>
  <c r="A2218" i="1"/>
  <c r="A2217" i="1"/>
  <c r="A2216" i="1"/>
  <c r="A2215" i="1"/>
  <c r="A2214" i="1"/>
  <c r="A2213" i="1"/>
  <c r="A2062" i="1"/>
  <c r="A1157" i="1"/>
  <c r="A2211" i="1"/>
  <c r="A863" i="1"/>
  <c r="A862" i="1"/>
  <c r="A689" i="1"/>
  <c r="A529" i="1"/>
  <c r="A1489" i="1"/>
  <c r="A117" i="1"/>
  <c r="A2210" i="1"/>
  <c r="A2209" i="1"/>
  <c r="A2208" i="1"/>
  <c r="A2206" i="1"/>
  <c r="A121" i="1"/>
  <c r="A2205" i="1"/>
  <c r="A2204" i="1"/>
  <c r="A2203" i="1"/>
  <c r="A2202" i="1"/>
  <c r="A2200" i="1"/>
  <c r="A2199" i="1"/>
  <c r="A2207" i="1"/>
  <c r="A2201" i="1"/>
  <c r="A2194" i="1"/>
  <c r="A694" i="1"/>
  <c r="A2193" i="1"/>
  <c r="A2192" i="1"/>
  <c r="A2191" i="1"/>
  <c r="A1784" i="1"/>
  <c r="A2190" i="1"/>
  <c r="A2188" i="1"/>
  <c r="A1421" i="1"/>
  <c r="A2187" i="1"/>
  <c r="A2186" i="1"/>
  <c r="A2185" i="1"/>
  <c r="A2184" i="1"/>
  <c r="A951" i="1"/>
  <c r="A2183" i="1"/>
  <c r="A2182" i="1"/>
  <c r="A2181" i="1"/>
  <c r="A2180" i="1"/>
  <c r="A2179" i="1"/>
  <c r="A2178" i="1"/>
  <c r="A2177" i="1"/>
  <c r="A2420" i="1"/>
  <c r="A2176" i="1"/>
  <c r="A2175" i="1"/>
  <c r="A2174" i="1"/>
  <c r="A2173" i="1"/>
  <c r="A2172" i="1"/>
  <c r="A2107" i="1"/>
  <c r="A2171" i="1"/>
  <c r="A2170" i="1"/>
  <c r="A2169" i="1"/>
  <c r="A2168" i="1"/>
  <c r="A2167" i="1"/>
  <c r="A2166" i="1"/>
  <c r="A2165" i="1"/>
  <c r="A2164" i="1"/>
  <c r="A403" i="1"/>
  <c r="A2198" i="1"/>
  <c r="A2163" i="1"/>
  <c r="A1875" i="1"/>
  <c r="A2162" i="1"/>
  <c r="A2160" i="1"/>
  <c r="A2446" i="1"/>
  <c r="A2379" i="1"/>
  <c r="A2159" i="1"/>
  <c r="A2157" i="1"/>
  <c r="A705" i="1"/>
  <c r="A2155" i="1"/>
  <c r="A2154" i="1"/>
  <c r="A2152" i="1"/>
  <c r="A717" i="1"/>
  <c r="A2151" i="1"/>
  <c r="A2196" i="1"/>
  <c r="A2150" i="1"/>
  <c r="A2149" i="1"/>
  <c r="A2148" i="1"/>
  <c r="A2127" i="1"/>
  <c r="A2126" i="1"/>
  <c r="A2147" i="1"/>
  <c r="A2146" i="1"/>
  <c r="A2145" i="1"/>
  <c r="A2144" i="1"/>
  <c r="A2143" i="1"/>
  <c r="A2142" i="1"/>
  <c r="A2141" i="1"/>
  <c r="A2140" i="1"/>
  <c r="A2139" i="1"/>
  <c r="A2138" i="1"/>
  <c r="A2136" i="1"/>
  <c r="A2137" i="1"/>
  <c r="A2135" i="1"/>
  <c r="A2134" i="1"/>
  <c r="A2133" i="1"/>
  <c r="A2131" i="1"/>
  <c r="A2132" i="1"/>
  <c r="A2129" i="1"/>
  <c r="A2125" i="1"/>
  <c r="A2128" i="1"/>
  <c r="A2123" i="1"/>
  <c r="A2116" i="1"/>
  <c r="A809" i="1"/>
  <c r="A2122" i="1"/>
  <c r="A2121" i="1"/>
  <c r="A2120" i="1"/>
  <c r="A2119" i="1"/>
  <c r="A2118" i="1"/>
  <c r="A2089" i="1"/>
  <c r="A2114" i="1"/>
  <c r="A2115" i="1"/>
  <c r="A2113" i="1"/>
  <c r="A2112" i="1"/>
  <c r="A164" i="1"/>
  <c r="A2111" i="1"/>
  <c r="A2108" i="1"/>
  <c r="A2472" i="1"/>
  <c r="A2104" i="1"/>
  <c r="A2103" i="1"/>
  <c r="A2105" i="1"/>
  <c r="A942" i="1"/>
  <c r="A2102" i="1"/>
  <c r="A2101" i="1"/>
  <c r="A2100" i="1"/>
  <c r="A1324" i="1"/>
  <c r="A2098" i="1"/>
  <c r="A606" i="1"/>
  <c r="A601" i="1"/>
  <c r="A2097" i="1"/>
  <c r="A2096" i="1"/>
  <c r="A2003" i="1"/>
  <c r="A2094" i="1"/>
  <c r="A2095" i="1"/>
  <c r="A2093" i="1"/>
  <c r="A2091" i="1"/>
  <c r="A2090" i="1"/>
  <c r="A2092" i="1"/>
  <c r="A2088" i="1"/>
  <c r="A2087" i="1"/>
  <c r="A2086" i="1"/>
  <c r="A2084" i="1"/>
  <c r="A2083" i="1"/>
  <c r="A2082" i="1"/>
  <c r="A2080" i="1"/>
  <c r="A2079" i="1"/>
  <c r="A2077" i="1"/>
  <c r="A818" i="1"/>
  <c r="A2073" i="1"/>
  <c r="A2072" i="1"/>
  <c r="A2071" i="1"/>
  <c r="A536" i="1"/>
  <c r="A2070" i="1"/>
  <c r="A2069" i="1"/>
  <c r="A1950" i="1"/>
  <c r="A1970" i="1"/>
  <c r="A812" i="1"/>
  <c r="A2068" i="1"/>
  <c r="A2067" i="1"/>
  <c r="A2066" i="1"/>
  <c r="A347" i="1"/>
  <c r="A1271" i="1"/>
  <c r="A1269" i="1"/>
  <c r="A1075" i="1"/>
  <c r="A2065" i="1"/>
  <c r="A771" i="1"/>
  <c r="A2064" i="1"/>
  <c r="A2063" i="1"/>
  <c r="A745" i="1"/>
  <c r="A1668" i="1"/>
  <c r="A2059" i="1"/>
  <c r="A2058" i="1"/>
  <c r="A669" i="1"/>
  <c r="A246" i="1"/>
  <c r="A2054" i="1"/>
  <c r="A2057" i="1"/>
  <c r="A2056" i="1"/>
  <c r="A2055" i="1"/>
  <c r="A1901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0" i="1"/>
  <c r="A2035" i="1"/>
  <c r="A2039" i="1"/>
  <c r="A2038" i="1"/>
  <c r="A2037" i="1"/>
  <c r="A2036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1101" i="1"/>
  <c r="A2013" i="1"/>
  <c r="A1224" i="1"/>
  <c r="A2012" i="1"/>
  <c r="A2011" i="1"/>
  <c r="A2010" i="1"/>
  <c r="A2009" i="1"/>
  <c r="A2008" i="1"/>
  <c r="A2006" i="1"/>
  <c r="A2005" i="1"/>
  <c r="A2004" i="1"/>
  <c r="A2007" i="1"/>
  <c r="A2002" i="1"/>
  <c r="A1884" i="1"/>
  <c r="A2034" i="1"/>
  <c r="A1999" i="1"/>
  <c r="A1998" i="1"/>
  <c r="A1997" i="1"/>
  <c r="A1996" i="1"/>
  <c r="A1994" i="1"/>
  <c r="A1995" i="1"/>
  <c r="A1993" i="1"/>
  <c r="A1992" i="1"/>
  <c r="A1991" i="1"/>
  <c r="A1990" i="1"/>
  <c r="A1671" i="1"/>
  <c r="A1672" i="1"/>
  <c r="A91" i="1"/>
  <c r="A1988" i="1"/>
  <c r="A1987" i="1"/>
  <c r="A1985" i="1"/>
  <c r="A1984" i="1"/>
  <c r="A588" i="1"/>
  <c r="A589" i="1"/>
  <c r="A1983" i="1"/>
  <c r="A1982" i="1"/>
  <c r="A1981" i="1"/>
  <c r="A1980" i="1"/>
  <c r="A1978" i="1"/>
  <c r="A1976" i="1"/>
  <c r="A1975" i="1"/>
  <c r="A1973" i="1"/>
  <c r="A1972" i="1"/>
  <c r="A1971" i="1"/>
  <c r="A774" i="1"/>
  <c r="A2061" i="1"/>
  <c r="A1968" i="1"/>
  <c r="A1966" i="1"/>
  <c r="A1965" i="1"/>
  <c r="A1964" i="1"/>
  <c r="A1963" i="1"/>
  <c r="A1961" i="1"/>
  <c r="A1959" i="1"/>
  <c r="A1958" i="1"/>
  <c r="A1960" i="1"/>
  <c r="A2041" i="1"/>
  <c r="A1956" i="1"/>
  <c r="A1953" i="1"/>
  <c r="A1952" i="1"/>
  <c r="A1954" i="1"/>
  <c r="A1951" i="1"/>
  <c r="A1949" i="1"/>
  <c r="A1948" i="1"/>
  <c r="A1947" i="1"/>
  <c r="A1946" i="1"/>
  <c r="A1944" i="1"/>
  <c r="A1943" i="1"/>
  <c r="A653" i="1"/>
  <c r="A651" i="1"/>
  <c r="A1942" i="1"/>
  <c r="A1939" i="1"/>
  <c r="A1938" i="1"/>
  <c r="A1937" i="1"/>
  <c r="A1940" i="1"/>
  <c r="A1936" i="1"/>
  <c r="A1935" i="1"/>
  <c r="A1933" i="1"/>
  <c r="A1469" i="1"/>
  <c r="A1931" i="1"/>
  <c r="A1930" i="1"/>
  <c r="A1866" i="1"/>
  <c r="A1929" i="1"/>
  <c r="A1969" i="1"/>
  <c r="A1927" i="1"/>
  <c r="A927" i="1"/>
  <c r="A1926" i="1"/>
  <c r="A2099" i="1"/>
  <c r="A1925" i="1"/>
  <c r="A756" i="1"/>
  <c r="A1778" i="1"/>
  <c r="A1919" i="1"/>
  <c r="A1918" i="1"/>
  <c r="A1917" i="1"/>
  <c r="A1915" i="1"/>
  <c r="A1914" i="1"/>
  <c r="A1912" i="1"/>
  <c r="A1911" i="1"/>
  <c r="A1738" i="1"/>
  <c r="A1910" i="1"/>
  <c r="A1908" i="1"/>
  <c r="A1907" i="1"/>
  <c r="A1906" i="1"/>
  <c r="A1905" i="1"/>
  <c r="A789" i="1"/>
  <c r="A2222" i="1"/>
  <c r="A1904" i="1"/>
  <c r="A1370" i="1"/>
  <c r="A1903" i="1"/>
  <c r="A1902" i="1"/>
  <c r="A1934" i="1"/>
  <c r="A2001" i="1"/>
  <c r="A2237" i="1"/>
  <c r="A1899" i="1"/>
  <c r="A1898" i="1"/>
  <c r="A1896" i="1"/>
  <c r="A1895" i="1"/>
  <c r="A1892" i="1"/>
  <c r="A1891" i="1"/>
  <c r="A1890" i="1"/>
  <c r="A1304" i="1"/>
  <c r="A1889" i="1"/>
  <c r="A1887" i="1"/>
  <c r="A1888" i="1"/>
  <c r="A2395" i="1"/>
  <c r="A1885" i="1"/>
  <c r="A1116" i="1"/>
  <c r="A1108" i="1"/>
  <c r="A2075" i="1"/>
  <c r="A2320" i="1"/>
  <c r="A1881" i="1"/>
  <c r="A1880" i="1"/>
  <c r="A1877" i="1"/>
  <c r="A535" i="1"/>
  <c r="A1876" i="1"/>
  <c r="A2161" i="1"/>
  <c r="A2253" i="1"/>
  <c r="A1873" i="1"/>
  <c r="A1872" i="1"/>
  <c r="A1871" i="1"/>
  <c r="A1870" i="1"/>
  <c r="A1869" i="1"/>
  <c r="A1868" i="1"/>
  <c r="A1867" i="1"/>
  <c r="A1865" i="1"/>
  <c r="A1864" i="1"/>
  <c r="A1863" i="1"/>
  <c r="A1862" i="1"/>
  <c r="A1861" i="1"/>
  <c r="A1860" i="1"/>
  <c r="A1613" i="1"/>
  <c r="A1858" i="1"/>
  <c r="A1857" i="1"/>
  <c r="A1856" i="1"/>
  <c r="A1855" i="1"/>
  <c r="A1854" i="1"/>
  <c r="A1853" i="1"/>
  <c r="A1852" i="1"/>
  <c r="A1849" i="1"/>
  <c r="A1848" i="1"/>
  <c r="A2357" i="1"/>
  <c r="A1847" i="1"/>
  <c r="A1846" i="1"/>
  <c r="A1845" i="1"/>
  <c r="A1844" i="1"/>
  <c r="A1843" i="1"/>
  <c r="A1842" i="1"/>
  <c r="A1841" i="1"/>
  <c r="A1840" i="1"/>
  <c r="A1838" i="1"/>
  <c r="A1837" i="1"/>
  <c r="A1836" i="1"/>
  <c r="A1835" i="1"/>
  <c r="A383" i="1"/>
  <c r="A1834" i="1"/>
  <c r="A1833" i="1"/>
  <c r="A259" i="1"/>
  <c r="A1832" i="1"/>
  <c r="A1831" i="1"/>
  <c r="A1830" i="1"/>
  <c r="A1829" i="1"/>
  <c r="A1828" i="1"/>
  <c r="A1827" i="1"/>
  <c r="A1826" i="1"/>
  <c r="A1825" i="1"/>
  <c r="A1824" i="1"/>
  <c r="A1818" i="1"/>
  <c r="A1822" i="1"/>
  <c r="A1820" i="1"/>
  <c r="A1819" i="1"/>
  <c r="A1815" i="1"/>
  <c r="A1814" i="1"/>
  <c r="A1813" i="1"/>
  <c r="A1812" i="1"/>
  <c r="A1811" i="1"/>
  <c r="A1810" i="1"/>
  <c r="A1808" i="1"/>
  <c r="A1805" i="1"/>
  <c r="A1787" i="1"/>
  <c r="A1803" i="1"/>
  <c r="A1802" i="1"/>
  <c r="A1801" i="1"/>
  <c r="A1800" i="1"/>
  <c r="A1799" i="1"/>
  <c r="A1798" i="1"/>
  <c r="A1797" i="1"/>
  <c r="A318" i="1"/>
  <c r="A1859" i="1"/>
  <c r="A760" i="1"/>
  <c r="A761" i="1"/>
  <c r="A1794" i="1"/>
  <c r="A1793" i="1"/>
  <c r="A1792" i="1"/>
  <c r="A2085" i="1"/>
  <c r="A1791" i="1"/>
  <c r="A1789" i="1"/>
  <c r="A1788" i="1"/>
  <c r="A707" i="1"/>
  <c r="A1785" i="1"/>
  <c r="A1783" i="1"/>
  <c r="A1781" i="1"/>
  <c r="A1780" i="1"/>
  <c r="A1779" i="1"/>
  <c r="A1338" i="1"/>
  <c r="A1777" i="1"/>
  <c r="A1776" i="1"/>
  <c r="A1775" i="1"/>
  <c r="A1337" i="1"/>
  <c r="A1774" i="1"/>
  <c r="A1773" i="1"/>
  <c r="A1772" i="1"/>
  <c r="A1771" i="1"/>
  <c r="A1770" i="1"/>
  <c r="A1769" i="1"/>
  <c r="A1768" i="1"/>
  <c r="A1767" i="1"/>
  <c r="A486" i="1"/>
  <c r="A1766" i="1"/>
  <c r="A1763" i="1"/>
  <c r="A1765" i="1"/>
  <c r="A321" i="1"/>
  <c r="A1762" i="1"/>
  <c r="A1755" i="1"/>
  <c r="A1756" i="1"/>
  <c r="A1754" i="1"/>
  <c r="A1001" i="1"/>
  <c r="A1957" i="1"/>
  <c r="A1986" i="1"/>
  <c r="A1753" i="1"/>
  <c r="A1752" i="1"/>
  <c r="A1751" i="1"/>
  <c r="A1750" i="1"/>
  <c r="A1749" i="1"/>
  <c r="A1748" i="1"/>
  <c r="A1747" i="1"/>
  <c r="A147" i="1"/>
  <c r="A1746" i="1"/>
  <c r="A1745" i="1"/>
  <c r="A1744" i="1"/>
  <c r="A2270" i="1"/>
  <c r="A2269" i="1"/>
  <c r="A1743" i="1"/>
  <c r="A1742" i="1"/>
  <c r="A1741" i="1"/>
  <c r="A2369" i="1"/>
  <c r="A1740" i="1"/>
  <c r="A1739" i="1"/>
  <c r="A1737" i="1"/>
  <c r="A1736" i="1"/>
  <c r="A1735" i="1"/>
  <c r="A1734" i="1"/>
  <c r="A1732" i="1"/>
  <c r="A815" i="1"/>
  <c r="A1731" i="1"/>
  <c r="A1730" i="1"/>
  <c r="A1729" i="1"/>
  <c r="A1728" i="1"/>
  <c r="A2283" i="1"/>
  <c r="A1726" i="1"/>
  <c r="A1725" i="1"/>
  <c r="A1724" i="1"/>
  <c r="A1723" i="1"/>
  <c r="A1722" i="1"/>
  <c r="A1721" i="1"/>
  <c r="A1720" i="1"/>
  <c r="A1719" i="1"/>
  <c r="A1717" i="1"/>
  <c r="A1716" i="1"/>
  <c r="A1715" i="1"/>
  <c r="A1879" i="1"/>
  <c r="A1878" i="1"/>
  <c r="A1714" i="1"/>
  <c r="A1718" i="1"/>
  <c r="A1713" i="1"/>
  <c r="A1712" i="1"/>
  <c r="A1710" i="1"/>
  <c r="A1707" i="1"/>
  <c r="A1706" i="1"/>
  <c r="A1699" i="1"/>
  <c r="A1704" i="1"/>
  <c r="A926" i="1"/>
  <c r="A1703" i="1"/>
  <c r="A1701" i="1"/>
  <c r="A1700" i="1"/>
  <c r="A925" i="1"/>
  <c r="A1698" i="1"/>
  <c r="A1697" i="1"/>
  <c r="A1696" i="1"/>
  <c r="A1695" i="1"/>
  <c r="A1694" i="1"/>
  <c r="A924" i="1"/>
  <c r="A1692" i="1"/>
  <c r="A1691" i="1"/>
  <c r="A1690" i="1"/>
  <c r="A1689" i="1"/>
  <c r="A1688" i="1"/>
  <c r="A1420" i="1"/>
  <c r="A1687" i="1"/>
  <c r="A1686" i="1"/>
  <c r="A1685" i="1"/>
  <c r="A1684" i="1"/>
  <c r="A1683" i="1"/>
  <c r="A1682" i="1"/>
  <c r="A1681" i="1"/>
  <c r="A2117" i="1"/>
  <c r="A1680" i="1"/>
  <c r="A1679" i="1"/>
  <c r="A1677" i="1"/>
  <c r="A1676" i="1"/>
  <c r="A1675" i="1"/>
  <c r="A1670" i="1"/>
  <c r="A2404" i="1"/>
  <c r="A1669" i="1"/>
  <c r="A1667" i="1"/>
  <c r="A1666" i="1"/>
  <c r="A1665" i="1"/>
  <c r="A1664" i="1"/>
  <c r="A1661" i="1"/>
  <c r="A1660" i="1"/>
  <c r="A1659" i="1"/>
  <c r="A1658" i="1"/>
  <c r="A1674" i="1"/>
  <c r="A1673" i="1"/>
  <c r="A1656" i="1"/>
  <c r="A1315" i="1"/>
  <c r="A1655" i="1"/>
  <c r="A1654" i="1"/>
  <c r="A1653" i="1"/>
  <c r="A1651" i="1"/>
  <c r="A1650" i="1"/>
  <c r="A1649" i="1"/>
  <c r="A1648" i="1"/>
  <c r="A1647" i="1"/>
  <c r="A1646" i="1"/>
  <c r="A1916" i="1"/>
  <c r="A358" i="1"/>
  <c r="A2302" i="1"/>
  <c r="A1644" i="1"/>
  <c r="A1643" i="1"/>
  <c r="A1642" i="1"/>
  <c r="A1652" i="1"/>
  <c r="A1702" i="1"/>
  <c r="A1638" i="1"/>
  <c r="A1641" i="1"/>
  <c r="A1932" i="1"/>
  <c r="A1637" i="1"/>
  <c r="A1636" i="1"/>
  <c r="A1635" i="1"/>
  <c r="A1634" i="1"/>
  <c r="A1633" i="1"/>
  <c r="A1632" i="1"/>
  <c r="A1630" i="1"/>
  <c r="A1629" i="1"/>
  <c r="A1628" i="1"/>
  <c r="A1627" i="1"/>
  <c r="A1626" i="1"/>
  <c r="A132" i="1"/>
  <c r="A1625" i="1"/>
  <c r="A1624" i="1"/>
  <c r="A1623" i="1"/>
  <c r="A1622" i="1"/>
  <c r="A1621" i="1"/>
  <c r="A1620" i="1"/>
  <c r="A802" i="1"/>
  <c r="A1619" i="1"/>
  <c r="A1618" i="1"/>
  <c r="A1617" i="1"/>
  <c r="A1616" i="1"/>
  <c r="A1615" i="1"/>
  <c r="A1614" i="1"/>
  <c r="A1612" i="1"/>
  <c r="A1610" i="1"/>
  <c r="A1609" i="1"/>
  <c r="A1340" i="1"/>
  <c r="A1608" i="1"/>
  <c r="A1607" i="1"/>
  <c r="A1606" i="1"/>
  <c r="A1605" i="1"/>
  <c r="A1604" i="1"/>
  <c r="A1603" i="1"/>
  <c r="A1602" i="1"/>
  <c r="A1611" i="1"/>
  <c r="A1599" i="1"/>
  <c r="A994" i="1"/>
  <c r="A1598" i="1"/>
  <c r="A1597" i="1"/>
  <c r="A1596" i="1"/>
  <c r="A2106" i="1"/>
  <c r="A1761" i="1"/>
  <c r="A1760" i="1"/>
  <c r="A1595" i="1"/>
  <c r="A1593" i="1"/>
  <c r="A1592" i="1"/>
  <c r="A1591" i="1"/>
  <c r="A1589" i="1"/>
  <c r="A254" i="1"/>
  <c r="A1590" i="1"/>
  <c r="A1588" i="1"/>
  <c r="A1587" i="1"/>
  <c r="A2153" i="1"/>
  <c r="A1584" i="1"/>
  <c r="A2223" i="1"/>
  <c r="A2124" i="1"/>
  <c r="A2015" i="1"/>
  <c r="A167" i="1"/>
  <c r="A1709" i="1"/>
  <c r="A1583" i="1"/>
  <c r="A1582" i="1"/>
  <c r="A1581" i="1"/>
  <c r="A1580" i="1"/>
  <c r="A1579" i="1"/>
  <c r="A1578" i="1"/>
  <c r="A1663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397" i="1"/>
  <c r="A1564" i="1"/>
  <c r="A1759" i="1"/>
  <c r="A1563" i="1"/>
  <c r="A1562" i="1"/>
  <c r="A1000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533" i="1"/>
  <c r="A1543" i="1"/>
  <c r="A1546" i="1"/>
  <c r="A1545" i="1"/>
  <c r="A1542" i="1"/>
  <c r="A1544" i="1"/>
  <c r="A1541" i="1"/>
  <c r="A1540" i="1"/>
  <c r="A1539" i="1"/>
  <c r="A1537" i="1"/>
  <c r="A1538" i="1"/>
  <c r="A1536" i="1"/>
  <c r="A1534" i="1"/>
  <c r="A1533" i="1"/>
  <c r="A1532" i="1"/>
  <c r="A1529" i="1"/>
  <c r="A1531" i="1"/>
  <c r="A1530" i="1"/>
  <c r="A1528" i="1"/>
  <c r="A1527" i="1"/>
  <c r="A1526" i="1"/>
  <c r="A1525" i="1"/>
  <c r="A1524" i="1"/>
  <c r="A1522" i="1"/>
  <c r="A1521" i="1"/>
  <c r="A1520" i="1"/>
  <c r="A1519" i="1"/>
  <c r="A1518" i="1"/>
  <c r="A1517" i="1"/>
  <c r="A1516" i="1"/>
  <c r="A1514" i="1"/>
  <c r="A1515" i="1"/>
  <c r="A1512" i="1"/>
  <c r="A1513" i="1"/>
  <c r="A1511" i="1"/>
  <c r="A1758" i="1"/>
  <c r="A1510" i="1"/>
  <c r="A1509" i="1"/>
  <c r="A1508" i="1"/>
  <c r="A1507" i="1"/>
  <c r="A1505" i="1"/>
  <c r="A1504" i="1"/>
  <c r="A1503" i="1"/>
  <c r="A1502" i="1"/>
  <c r="A1501" i="1"/>
  <c r="A1640" i="1"/>
  <c r="A1500" i="1"/>
  <c r="A1499" i="1"/>
  <c r="A1498" i="1"/>
  <c r="A1497" i="1"/>
  <c r="A1496" i="1"/>
  <c r="A1495" i="1"/>
  <c r="A1494" i="1"/>
  <c r="A1493" i="1"/>
  <c r="A1492" i="1"/>
  <c r="A1491" i="1"/>
  <c r="A1490" i="1"/>
  <c r="A1488" i="1"/>
  <c r="A1487" i="1"/>
  <c r="A1486" i="1"/>
  <c r="A1483" i="1"/>
  <c r="A1482" i="1"/>
  <c r="A1481" i="1"/>
  <c r="A1480" i="1"/>
  <c r="A829" i="1"/>
  <c r="A1657" i="1"/>
  <c r="A1479" i="1"/>
  <c r="A1478" i="1"/>
  <c r="A1477" i="1"/>
  <c r="A1476" i="1"/>
  <c r="A1475" i="1"/>
  <c r="A1839" i="1"/>
  <c r="A1474" i="1"/>
  <c r="A1473" i="1"/>
  <c r="A1472" i="1"/>
  <c r="A1471" i="1"/>
  <c r="A1470" i="1"/>
  <c r="A1466" i="1"/>
  <c r="A1468" i="1"/>
  <c r="A1467" i="1"/>
  <c r="A1465" i="1"/>
  <c r="A1464" i="1"/>
  <c r="A1463" i="1"/>
  <c r="A1462" i="1"/>
  <c r="A1461" i="1"/>
  <c r="A1459" i="1"/>
  <c r="A1458" i="1"/>
  <c r="A1457" i="1"/>
  <c r="A1455" i="1"/>
  <c r="A1454" i="1"/>
  <c r="A1453" i="1"/>
  <c r="A1452" i="1"/>
  <c r="A1451" i="1"/>
  <c r="A1450" i="1"/>
  <c r="A1449" i="1"/>
  <c r="A1448" i="1"/>
  <c r="A1447" i="1"/>
  <c r="A1446" i="1"/>
  <c r="A1445" i="1"/>
  <c r="A1018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950" i="1"/>
  <c r="A1427" i="1"/>
  <c r="A1425" i="1"/>
  <c r="A1428" i="1"/>
  <c r="A1422" i="1"/>
  <c r="A1419" i="1"/>
  <c r="A1816" i="1"/>
  <c r="A1417" i="1"/>
  <c r="A1416" i="1"/>
  <c r="A1414" i="1"/>
  <c r="A1413" i="1"/>
  <c r="A1711" i="1"/>
  <c r="A1411" i="1"/>
  <c r="A1410" i="1"/>
  <c r="A1409" i="1"/>
  <c r="A1407" i="1"/>
  <c r="A1408" i="1"/>
  <c r="A1406" i="1"/>
  <c r="A1405" i="1"/>
  <c r="A1404" i="1"/>
  <c r="A1100" i="1"/>
  <c r="A1403" i="1"/>
  <c r="A1402" i="1"/>
  <c r="A1401" i="1"/>
  <c r="A1399" i="1"/>
  <c r="A1396" i="1"/>
  <c r="A1381" i="1"/>
  <c r="A1395" i="1"/>
  <c r="A1392" i="1"/>
  <c r="A1391" i="1"/>
  <c r="A1390" i="1"/>
  <c r="A1388" i="1"/>
  <c r="A1387" i="1"/>
  <c r="A1386" i="1"/>
  <c r="A1385" i="1"/>
  <c r="A1384" i="1"/>
  <c r="A1383" i="1"/>
  <c r="A1382" i="1"/>
  <c r="A1394" i="1"/>
  <c r="A1380" i="1"/>
  <c r="A1093" i="1"/>
  <c r="A1228" i="1"/>
  <c r="A1379" i="1"/>
  <c r="A1378" i="1"/>
  <c r="A1377" i="1"/>
  <c r="A1376" i="1"/>
  <c r="A1375" i="1"/>
  <c r="A1374" i="1"/>
  <c r="A1373" i="1"/>
  <c r="A1371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3" i="1"/>
  <c r="A1355" i="1"/>
  <c r="A1354" i="1"/>
  <c r="A1352" i="1"/>
  <c r="A1351" i="1"/>
  <c r="A1350" i="1"/>
  <c r="A1349" i="1"/>
  <c r="A410" i="1"/>
  <c r="A1347" i="1"/>
  <c r="A1346" i="1"/>
  <c r="A1345" i="1"/>
  <c r="A1344" i="1"/>
  <c r="A1343" i="1"/>
  <c r="A1342" i="1"/>
  <c r="A1341" i="1"/>
  <c r="A1594" i="1"/>
  <c r="A1339" i="1"/>
  <c r="A1336" i="1"/>
  <c r="A1974" i="1"/>
  <c r="A1335" i="1"/>
  <c r="A1334" i="1"/>
  <c r="A652" i="1"/>
  <c r="A1333" i="1"/>
  <c r="A1331" i="1"/>
  <c r="A1173" i="1"/>
  <c r="A1330" i="1"/>
  <c r="A1329" i="1"/>
  <c r="A1327" i="1"/>
  <c r="A1326" i="1"/>
  <c r="A1249" i="1"/>
  <c r="A1325" i="1"/>
  <c r="A1323" i="1"/>
  <c r="A1322" i="1"/>
  <c r="A1320" i="1"/>
  <c r="A1319" i="1"/>
  <c r="A1321" i="1"/>
  <c r="A1318" i="1"/>
  <c r="A1317" i="1"/>
  <c r="A1316" i="1"/>
  <c r="A1601" i="1"/>
  <c r="A1600" i="1"/>
  <c r="A2238" i="1"/>
  <c r="A1314" i="1"/>
  <c r="A1313" i="1"/>
  <c r="A1312" i="1"/>
  <c r="A2493" i="1"/>
  <c r="A46" i="1"/>
  <c r="A1311" i="1"/>
  <c r="A1310" i="1"/>
  <c r="A1309" i="1"/>
  <c r="A1308" i="1"/>
  <c r="A1307" i="1"/>
  <c r="A1306" i="1"/>
  <c r="A1305" i="1"/>
  <c r="A1303" i="1"/>
  <c r="A1301" i="1"/>
  <c r="A1300" i="1"/>
  <c r="A1299" i="1"/>
  <c r="A1298" i="1"/>
  <c r="A1297" i="1"/>
  <c r="A1296" i="1"/>
  <c r="A1295" i="1"/>
  <c r="A1294" i="1"/>
  <c r="A1293" i="1"/>
  <c r="A1292" i="1"/>
  <c r="A1290" i="1"/>
  <c r="A1289" i="1"/>
  <c r="A1291" i="1"/>
  <c r="A1288" i="1"/>
  <c r="A1287" i="1"/>
  <c r="A2467" i="1"/>
  <c r="A1284" i="1"/>
  <c r="A1285" i="1"/>
  <c r="A1286" i="1"/>
  <c r="A1283" i="1"/>
  <c r="A1281" i="1"/>
  <c r="A1280" i="1"/>
  <c r="A1279" i="1"/>
  <c r="A1278" i="1"/>
  <c r="A1277" i="1"/>
  <c r="A1276" i="1"/>
  <c r="A1275" i="1"/>
  <c r="A1274" i="1"/>
  <c r="A1272" i="1"/>
  <c r="A1270" i="1"/>
  <c r="A1268" i="1"/>
  <c r="A1267" i="1"/>
  <c r="A2361" i="1"/>
  <c r="A638" i="1"/>
  <c r="A1273" i="1"/>
  <c r="A1266" i="1"/>
  <c r="A1265" i="1"/>
  <c r="A1264" i="1"/>
  <c r="A1263" i="1"/>
  <c r="A1262" i="1"/>
  <c r="A1261" i="1"/>
  <c r="A406" i="1"/>
  <c r="A438" i="1"/>
  <c r="A1260" i="1"/>
  <c r="A1255" i="1"/>
  <c r="A1258" i="1"/>
  <c r="A1257" i="1"/>
  <c r="A1254" i="1"/>
  <c r="A1253" i="1"/>
  <c r="A1252" i="1"/>
  <c r="A1251" i="1"/>
  <c r="A1256" i="1"/>
  <c r="A1250" i="1"/>
  <c r="A1248" i="1"/>
  <c r="A1247" i="1"/>
  <c r="A1246" i="1"/>
  <c r="A1245" i="1"/>
  <c r="A1243" i="1"/>
  <c r="A1242" i="1"/>
  <c r="A1241" i="1"/>
  <c r="A1240" i="1"/>
  <c r="A1874" i="1"/>
  <c r="A1239" i="1"/>
  <c r="A1172" i="1"/>
  <c r="A1238" i="1"/>
  <c r="A1169" i="1"/>
  <c r="A1237" i="1"/>
  <c r="A1235" i="1"/>
  <c r="A1234" i="1"/>
  <c r="A1233" i="1"/>
  <c r="A1232" i="1"/>
  <c r="A1230" i="1"/>
  <c r="A1229" i="1"/>
  <c r="A482" i="1"/>
  <c r="A1227" i="1"/>
  <c r="A1226" i="1"/>
  <c r="A1225" i="1"/>
  <c r="A1223" i="1"/>
  <c r="A1222" i="1"/>
  <c r="A1221" i="1"/>
  <c r="A1220" i="1"/>
  <c r="A1219" i="1"/>
  <c r="A1218" i="1"/>
  <c r="A1217" i="1"/>
  <c r="A1216" i="1"/>
  <c r="A1215" i="1"/>
  <c r="A1212" i="1"/>
  <c r="A1214" i="1"/>
  <c r="A1211" i="1"/>
  <c r="A1210" i="1"/>
  <c r="A1209" i="1"/>
  <c r="A1208" i="1"/>
  <c r="A1205" i="1"/>
  <c r="A1207" i="1"/>
  <c r="A1206" i="1"/>
  <c r="A1204" i="1"/>
  <c r="A1203" i="1"/>
  <c r="A1202" i="1"/>
  <c r="A1201" i="1"/>
  <c r="A1200" i="1"/>
  <c r="A1199" i="1"/>
  <c r="A1197" i="1"/>
  <c r="A1757" i="1"/>
  <c r="A1196" i="1"/>
  <c r="A1195" i="1"/>
  <c r="A1194" i="1"/>
  <c r="A1193" i="1"/>
  <c r="A1191" i="1"/>
  <c r="A1192" i="1"/>
  <c r="A393" i="1"/>
  <c r="A1189" i="1"/>
  <c r="A1188" i="1"/>
  <c r="A1186" i="1"/>
  <c r="A1185" i="1"/>
  <c r="A1184" i="1"/>
  <c r="A1183" i="1"/>
  <c r="A1182" i="1"/>
  <c r="A1181" i="1"/>
  <c r="A1179" i="1"/>
  <c r="A1178" i="1"/>
  <c r="A1177" i="1"/>
  <c r="A1176" i="1"/>
  <c r="A1175" i="1"/>
  <c r="A1174" i="1"/>
  <c r="A1170" i="1"/>
  <c r="A1171" i="1"/>
  <c r="A1693" i="1"/>
  <c r="A1087" i="1"/>
  <c r="A1168" i="1"/>
  <c r="A1167" i="1"/>
  <c r="A1165" i="1"/>
  <c r="A1164" i="1"/>
  <c r="A1163" i="1"/>
  <c r="A1161" i="1"/>
  <c r="A1160" i="1"/>
  <c r="A1159" i="1"/>
  <c r="A1158" i="1"/>
  <c r="A1155" i="1"/>
  <c r="A1154" i="1"/>
  <c r="A1153" i="1"/>
  <c r="A1152" i="1"/>
  <c r="A1149" i="1"/>
  <c r="A1151" i="1"/>
  <c r="A1148" i="1"/>
  <c r="A1150" i="1"/>
  <c r="A1147" i="1"/>
  <c r="A1146" i="1"/>
  <c r="A1144" i="1"/>
  <c r="A1145" i="1"/>
  <c r="A1143" i="1"/>
  <c r="A1140" i="1"/>
  <c r="A1142" i="1"/>
  <c r="A1141" i="1"/>
  <c r="A1139" i="1"/>
  <c r="A1138" i="1"/>
  <c r="A1137" i="1"/>
  <c r="A1136" i="1"/>
  <c r="A2212" i="1"/>
  <c r="A1134" i="1"/>
  <c r="A1133" i="1"/>
  <c r="A1132" i="1"/>
  <c r="A1135" i="1"/>
  <c r="A1131" i="1"/>
  <c r="A1130" i="1"/>
  <c r="A1129" i="1"/>
  <c r="A1128" i="1"/>
  <c r="A1127" i="1"/>
  <c r="A701" i="1"/>
  <c r="A1523" i="1"/>
  <c r="A861" i="1"/>
  <c r="A1125" i="1"/>
  <c r="A1124" i="1"/>
  <c r="A1123" i="1"/>
  <c r="A1122" i="1"/>
  <c r="A1121" i="1"/>
  <c r="A1117" i="1"/>
  <c r="A1924" i="1"/>
  <c r="A1115" i="1"/>
  <c r="A1114" i="1"/>
  <c r="A1113" i="1"/>
  <c r="A1112" i="1"/>
  <c r="A1111" i="1"/>
  <c r="A1118" i="1"/>
  <c r="A1110" i="1"/>
  <c r="A1107" i="1"/>
  <c r="A1106" i="1"/>
  <c r="A1105" i="1"/>
  <c r="A1104" i="1"/>
  <c r="A1109" i="1"/>
  <c r="A2014" i="1"/>
  <c r="A1103" i="1"/>
  <c r="A1102" i="1"/>
  <c r="A1099" i="1"/>
  <c r="A1098" i="1"/>
  <c r="A1097" i="1"/>
  <c r="A345" i="1"/>
  <c r="A1096" i="1"/>
  <c r="A1095" i="1"/>
  <c r="A1094" i="1"/>
  <c r="A1092" i="1"/>
  <c r="A1091" i="1"/>
  <c r="A1090" i="1"/>
  <c r="A1187" i="1"/>
  <c r="A1089" i="1"/>
  <c r="A1086" i="1"/>
  <c r="A1085" i="1"/>
  <c r="A1084" i="1"/>
  <c r="A1083" i="1"/>
  <c r="A116" i="1"/>
  <c r="A1082" i="1"/>
  <c r="A1080" i="1"/>
  <c r="A1078" i="1"/>
  <c r="A1077" i="1"/>
  <c r="A1076" i="1"/>
  <c r="A1079" i="1"/>
  <c r="A1074" i="1"/>
  <c r="A1073" i="1"/>
  <c r="A1072" i="1"/>
  <c r="A1071" i="1"/>
  <c r="A38" i="1"/>
  <c r="A1894" i="1"/>
  <c r="A1897" i="1"/>
  <c r="A1070" i="1"/>
  <c r="A1069" i="1"/>
  <c r="A1066" i="1"/>
  <c r="A1065" i="1"/>
  <c r="A1064" i="1"/>
  <c r="A1063" i="1"/>
  <c r="A1062" i="1"/>
  <c r="A902" i="1"/>
  <c r="A658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8" i="1"/>
  <c r="A1047" i="1"/>
  <c r="A1046" i="1"/>
  <c r="A1045" i="1"/>
  <c r="A1044" i="1"/>
  <c r="A1851" i="1"/>
  <c r="A1042" i="1"/>
  <c r="A1041" i="1"/>
  <c r="A1043" i="1"/>
  <c r="A1040" i="1"/>
  <c r="A1039" i="1"/>
  <c r="A1038" i="1"/>
  <c r="A1037" i="1"/>
  <c r="A1036" i="1"/>
  <c r="A1035" i="1"/>
  <c r="A1034" i="1"/>
  <c r="A1033" i="1"/>
  <c r="A1032" i="1"/>
  <c r="A1030" i="1"/>
  <c r="A1029" i="1"/>
  <c r="A1031" i="1"/>
  <c r="A1028" i="1"/>
  <c r="A1027" i="1"/>
  <c r="A1026" i="1"/>
  <c r="A2110" i="1"/>
  <c r="A1025" i="1"/>
  <c r="A1024" i="1"/>
  <c r="A1023" i="1"/>
  <c r="A1022" i="1"/>
  <c r="A1021" i="1"/>
  <c r="A1020" i="1"/>
  <c r="A1019" i="1"/>
  <c r="A1017" i="1"/>
  <c r="A2300" i="1"/>
  <c r="A1015" i="1"/>
  <c r="A1014" i="1"/>
  <c r="A1013" i="1"/>
  <c r="A1011" i="1"/>
  <c r="A1010" i="1"/>
  <c r="A77" i="1"/>
  <c r="A2406" i="1"/>
  <c r="A1008" i="1"/>
  <c r="A1007" i="1"/>
  <c r="A1006" i="1"/>
  <c r="A1678" i="1"/>
  <c r="A1005" i="1"/>
  <c r="A1004" i="1"/>
  <c r="A1003" i="1"/>
  <c r="A1002" i="1"/>
  <c r="A1639" i="1"/>
  <c r="A999" i="1"/>
  <c r="A998" i="1"/>
  <c r="A997" i="1"/>
  <c r="A996" i="1"/>
  <c r="A995" i="1"/>
  <c r="A1213" i="1"/>
  <c r="A993" i="1"/>
  <c r="A992" i="1"/>
  <c r="A991" i="1"/>
  <c r="A990" i="1"/>
  <c r="A989" i="1"/>
  <c r="A988" i="1"/>
  <c r="A985" i="1"/>
  <c r="A984" i="1"/>
  <c r="A983" i="1"/>
  <c r="A982" i="1"/>
  <c r="A981" i="1"/>
  <c r="A980" i="1"/>
  <c r="A979" i="1"/>
  <c r="A987" i="1"/>
  <c r="A530" i="1"/>
  <c r="A978" i="1"/>
  <c r="A977" i="1"/>
  <c r="A975" i="1"/>
  <c r="A974" i="1"/>
  <c r="A976" i="1"/>
  <c r="A973" i="1"/>
  <c r="A538" i="1"/>
  <c r="A972" i="1"/>
  <c r="A971" i="1"/>
  <c r="A970" i="1"/>
  <c r="A969" i="1"/>
  <c r="A968" i="1"/>
  <c r="A967" i="1"/>
  <c r="A966" i="1"/>
  <c r="A965" i="1"/>
  <c r="A2060" i="1"/>
  <c r="A964" i="1"/>
  <c r="A963" i="1"/>
  <c r="A962" i="1"/>
  <c r="A2130" i="1"/>
  <c r="A961" i="1"/>
  <c r="A960" i="1"/>
  <c r="A959" i="1"/>
  <c r="A958" i="1"/>
  <c r="A1190" i="1"/>
  <c r="A957" i="1"/>
  <c r="A956" i="1"/>
  <c r="A955" i="1"/>
  <c r="A954" i="1"/>
  <c r="A953" i="1"/>
  <c r="A803" i="1"/>
  <c r="A949" i="1"/>
  <c r="A1727" i="1"/>
  <c r="A948" i="1"/>
  <c r="A947" i="1"/>
  <c r="A946" i="1"/>
  <c r="A944" i="1"/>
  <c r="A945" i="1"/>
  <c r="A943" i="1"/>
  <c r="A835" i="1"/>
  <c r="A1120" i="1"/>
  <c r="A941" i="1"/>
  <c r="A940" i="1"/>
  <c r="A1119" i="1"/>
  <c r="A939" i="1"/>
  <c r="A938" i="1"/>
  <c r="A937" i="1"/>
  <c r="A936" i="1"/>
  <c r="A341" i="1"/>
  <c r="A933" i="1"/>
  <c r="A932" i="1"/>
  <c r="A931" i="1"/>
  <c r="A930" i="1"/>
  <c r="A929" i="1"/>
  <c r="A928" i="1"/>
  <c r="A754" i="1"/>
  <c r="A163" i="1"/>
  <c r="A923" i="1"/>
  <c r="A922" i="1"/>
  <c r="A921" i="1"/>
  <c r="A919" i="1"/>
  <c r="A920" i="1"/>
  <c r="A1088" i="1"/>
  <c r="A918" i="1"/>
  <c r="A916" i="1"/>
  <c r="A913" i="1"/>
  <c r="A912" i="1"/>
  <c r="A911" i="1"/>
  <c r="A910" i="1"/>
  <c r="A908" i="1"/>
  <c r="A907" i="1"/>
  <c r="A906" i="1"/>
  <c r="A904" i="1"/>
  <c r="A2421" i="1"/>
  <c r="A903" i="1"/>
  <c r="A2415" i="1"/>
  <c r="A901" i="1"/>
  <c r="A1920" i="1"/>
  <c r="A900" i="1"/>
  <c r="A899" i="1"/>
  <c r="A895" i="1"/>
  <c r="A897" i="1"/>
  <c r="A896" i="1"/>
  <c r="A894" i="1"/>
  <c r="A893" i="1"/>
  <c r="A892" i="1"/>
  <c r="A891" i="1"/>
  <c r="A890" i="1"/>
  <c r="A889" i="1"/>
  <c r="A888" i="1"/>
  <c r="A887" i="1"/>
  <c r="A885" i="1"/>
  <c r="A884" i="1"/>
  <c r="A886" i="1"/>
  <c r="A883" i="1"/>
  <c r="A1821" i="1"/>
  <c r="A882" i="1"/>
  <c r="A662" i="1"/>
  <c r="A881" i="1"/>
  <c r="A879" i="1"/>
  <c r="A877" i="1"/>
  <c r="A878" i="1"/>
  <c r="A720" i="1"/>
  <c r="A876" i="1"/>
  <c r="A875" i="1"/>
  <c r="A873" i="1"/>
  <c r="A872" i="1"/>
  <c r="A870" i="1"/>
  <c r="A869" i="1"/>
  <c r="A867" i="1"/>
  <c r="A868" i="1"/>
  <c r="A866" i="1"/>
  <c r="A865" i="1"/>
  <c r="A1850" i="1"/>
  <c r="A864" i="1"/>
  <c r="A858" i="1"/>
  <c r="A857" i="1"/>
  <c r="A856" i="1"/>
  <c r="A859" i="1"/>
  <c r="A855" i="1"/>
  <c r="A854" i="1"/>
  <c r="A853" i="1"/>
  <c r="A852" i="1"/>
  <c r="A850" i="1"/>
  <c r="A2439" i="1"/>
  <c r="A228" i="1"/>
  <c r="A849" i="1"/>
  <c r="A917" i="1"/>
  <c r="A848" i="1"/>
  <c r="A847" i="1"/>
  <c r="A846" i="1"/>
  <c r="A845" i="1"/>
  <c r="A844" i="1"/>
  <c r="A843" i="1"/>
  <c r="A842" i="1"/>
  <c r="A840" i="1"/>
  <c r="A839" i="1"/>
  <c r="A838" i="1"/>
  <c r="A837" i="1"/>
  <c r="A1535" i="1"/>
  <c r="A834" i="1"/>
  <c r="A833" i="1"/>
  <c r="A832" i="1"/>
  <c r="A831" i="1"/>
  <c r="A256" i="1"/>
  <c r="A830" i="1"/>
  <c r="A828" i="1"/>
  <c r="A827" i="1"/>
  <c r="A823" i="1"/>
  <c r="A826" i="1"/>
  <c r="A825" i="1"/>
  <c r="A824" i="1"/>
  <c r="A822" i="1"/>
  <c r="A821" i="1"/>
  <c r="A820" i="1"/>
  <c r="A819" i="1"/>
  <c r="A476" i="1"/>
  <c r="A817" i="1"/>
  <c r="A816" i="1"/>
  <c r="A814" i="1"/>
  <c r="A813" i="1"/>
  <c r="A810" i="1"/>
  <c r="A1790" i="1"/>
  <c r="A807" i="1"/>
  <c r="A806" i="1"/>
  <c r="A805" i="1"/>
  <c r="A804" i="1"/>
  <c r="A801" i="1"/>
  <c r="A800" i="1"/>
  <c r="A799" i="1"/>
  <c r="A798" i="1"/>
  <c r="A797" i="1"/>
  <c r="A796" i="1"/>
  <c r="A795" i="1"/>
  <c r="A793" i="1"/>
  <c r="A794" i="1"/>
  <c r="A792" i="1"/>
  <c r="A791" i="1"/>
  <c r="A790" i="1"/>
  <c r="A2156" i="1"/>
  <c r="A788" i="1"/>
  <c r="A787" i="1"/>
  <c r="A785" i="1"/>
  <c r="A784" i="1"/>
  <c r="A783" i="1"/>
  <c r="A782" i="1"/>
  <c r="A781" i="1"/>
  <c r="A780" i="1"/>
  <c r="A779" i="1"/>
  <c r="A778" i="1"/>
  <c r="A770" i="1"/>
  <c r="A777" i="1"/>
  <c r="A776" i="1"/>
  <c r="A775" i="1"/>
  <c r="A769" i="1"/>
  <c r="A768" i="1"/>
  <c r="A767" i="1"/>
  <c r="A766" i="1"/>
  <c r="A765" i="1"/>
  <c r="A764" i="1"/>
  <c r="A763" i="1"/>
  <c r="A762" i="1"/>
  <c r="A759" i="1"/>
  <c r="A758" i="1"/>
  <c r="A757" i="1"/>
  <c r="A534" i="1"/>
  <c r="A731" i="1"/>
  <c r="A755" i="1"/>
  <c r="A751" i="1"/>
  <c r="A753" i="1"/>
  <c r="A752" i="1"/>
  <c r="A750" i="1"/>
  <c r="A749" i="1"/>
  <c r="A748" i="1"/>
  <c r="A747" i="1"/>
  <c r="A746" i="1"/>
  <c r="A338" i="1"/>
  <c r="A744" i="1"/>
  <c r="A772" i="1"/>
  <c r="A773" i="1"/>
  <c r="A743" i="1"/>
  <c r="A741" i="1"/>
  <c r="A742" i="1"/>
  <c r="A740" i="1"/>
  <c r="A715" i="1"/>
  <c r="A739" i="1"/>
  <c r="A738" i="1"/>
  <c r="A737" i="1"/>
  <c r="A736" i="1"/>
  <c r="A735" i="1"/>
  <c r="A734" i="1"/>
  <c r="A733" i="1"/>
  <c r="A732" i="1"/>
  <c r="A730" i="1"/>
  <c r="A729" i="1"/>
  <c r="A726" i="1"/>
  <c r="A722" i="1"/>
  <c r="A724" i="1"/>
  <c r="A723" i="1"/>
  <c r="A719" i="1"/>
  <c r="A716" i="1"/>
  <c r="A725" i="1"/>
  <c r="A714" i="1"/>
  <c r="A401" i="1"/>
  <c r="A713" i="1"/>
  <c r="A712" i="1"/>
  <c r="A711" i="1"/>
  <c r="A708" i="1"/>
  <c r="A709" i="1"/>
  <c r="A706" i="1"/>
  <c r="A704" i="1"/>
  <c r="A703" i="1"/>
  <c r="A702" i="1"/>
  <c r="A700" i="1"/>
  <c r="A1913" i="1"/>
  <c r="A699" i="1"/>
  <c r="A698" i="1"/>
  <c r="A696" i="1"/>
  <c r="A693" i="1"/>
  <c r="A692" i="1"/>
  <c r="A691" i="1"/>
  <c r="A690" i="1"/>
  <c r="A1372" i="1"/>
  <c r="A728" i="1"/>
  <c r="A727" i="1"/>
  <c r="A2195" i="1"/>
  <c r="A688" i="1"/>
  <c r="A687" i="1"/>
  <c r="A1068" i="1"/>
  <c r="A106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8" i="1"/>
  <c r="A667" i="1"/>
  <c r="A665" i="1"/>
  <c r="A664" i="1"/>
  <c r="A663" i="1"/>
  <c r="A661" i="1"/>
  <c r="A660" i="1"/>
  <c r="A45" i="1"/>
  <c r="A657" i="1"/>
  <c r="A656" i="1"/>
  <c r="A898" i="1"/>
  <c r="A655" i="1"/>
  <c r="A654" i="1"/>
  <c r="A369" i="1"/>
  <c r="A650" i="1"/>
  <c r="A649" i="1"/>
  <c r="A2078" i="1"/>
  <c r="A647" i="1"/>
  <c r="A646" i="1"/>
  <c r="A643" i="1"/>
  <c r="A645" i="1"/>
  <c r="A642" i="1"/>
  <c r="A640" i="1"/>
  <c r="A639" i="1"/>
  <c r="A637" i="1"/>
  <c r="A636" i="1"/>
  <c r="A634" i="1"/>
  <c r="A633" i="1"/>
  <c r="A632" i="1"/>
  <c r="A631" i="1"/>
  <c r="A630" i="1"/>
  <c r="A629" i="1"/>
  <c r="A628" i="1"/>
  <c r="A626" i="1"/>
  <c r="A625" i="1"/>
  <c r="A624" i="1"/>
  <c r="A623" i="1"/>
  <c r="A620" i="1"/>
  <c r="A622" i="1"/>
  <c r="A619" i="1"/>
  <c r="A618" i="1"/>
  <c r="A621" i="1"/>
  <c r="A617" i="1"/>
  <c r="A616" i="1"/>
  <c r="A695" i="1"/>
  <c r="A697" i="1"/>
  <c r="A615" i="1"/>
  <c r="A614" i="1"/>
  <c r="A613" i="1"/>
  <c r="A612" i="1"/>
  <c r="A611" i="1"/>
  <c r="A610" i="1"/>
  <c r="A609" i="1"/>
  <c r="A608" i="1"/>
  <c r="A607" i="1"/>
  <c r="A604" i="1"/>
  <c r="A603" i="1"/>
  <c r="A602" i="1"/>
  <c r="A597" i="1"/>
  <c r="A596" i="1"/>
  <c r="A564" i="1"/>
  <c r="A563" i="1"/>
  <c r="A48" i="1"/>
  <c r="A1809" i="1"/>
  <c r="A592" i="1"/>
  <c r="A591" i="1"/>
  <c r="A590" i="1"/>
  <c r="A524" i="1"/>
  <c r="A587" i="1"/>
  <c r="A572" i="1"/>
  <c r="A586" i="1"/>
  <c r="A584" i="1"/>
  <c r="A573" i="1"/>
  <c r="A583" i="1"/>
  <c r="A582" i="1"/>
  <c r="A581" i="1"/>
  <c r="A580" i="1"/>
  <c r="A578" i="1"/>
  <c r="A577" i="1"/>
  <c r="A579" i="1"/>
  <c r="A576" i="1"/>
  <c r="A575" i="1"/>
  <c r="A574" i="1"/>
  <c r="A1645" i="1"/>
  <c r="A571" i="1"/>
  <c r="A570" i="1"/>
  <c r="A569" i="1"/>
  <c r="A568" i="1"/>
  <c r="A567" i="1"/>
  <c r="A565" i="1"/>
  <c r="A566" i="1"/>
  <c r="A562" i="1"/>
  <c r="A560" i="1"/>
  <c r="A557" i="1"/>
  <c r="A559" i="1"/>
  <c r="A558" i="1"/>
  <c r="A556" i="1"/>
  <c r="A555" i="1"/>
  <c r="A554" i="1"/>
  <c r="A2224" i="1"/>
  <c r="A553" i="1"/>
  <c r="A552" i="1"/>
  <c r="A551" i="1"/>
  <c r="A550" i="1"/>
  <c r="A549" i="1"/>
  <c r="A548" i="1"/>
  <c r="A2230" i="1"/>
  <c r="A547" i="1"/>
  <c r="A546" i="1"/>
  <c r="A545" i="1"/>
  <c r="A544" i="1"/>
  <c r="A543" i="1"/>
  <c r="A540" i="1"/>
  <c r="A542" i="1"/>
  <c r="A541" i="1"/>
  <c r="A539" i="1"/>
  <c r="A1882" i="1"/>
  <c r="A1883" i="1"/>
  <c r="A1886" i="1"/>
  <c r="A528" i="1"/>
  <c r="A527" i="1"/>
  <c r="A526" i="1"/>
  <c r="A880" i="1"/>
  <c r="A523" i="1"/>
  <c r="A522" i="1"/>
  <c r="A521" i="1"/>
  <c r="A648" i="1"/>
  <c r="A519" i="1"/>
  <c r="A518" i="1"/>
  <c r="A1967" i="1"/>
  <c r="A517" i="1"/>
  <c r="A516" i="1"/>
  <c r="A515" i="1"/>
  <c r="A514" i="1"/>
  <c r="A525" i="1"/>
  <c r="A513" i="1"/>
  <c r="A512" i="1"/>
  <c r="A511" i="1"/>
  <c r="A510" i="1"/>
  <c r="A509" i="1"/>
  <c r="A508" i="1"/>
  <c r="A481" i="1"/>
  <c r="A507" i="1"/>
  <c r="A506" i="1"/>
  <c r="A505" i="1"/>
  <c r="A504" i="1"/>
  <c r="A503" i="1"/>
  <c r="A502" i="1"/>
  <c r="A501" i="1"/>
  <c r="A333" i="1"/>
  <c r="A500" i="1"/>
  <c r="A412" i="1"/>
  <c r="A499" i="1"/>
  <c r="A498" i="1"/>
  <c r="A497" i="1"/>
  <c r="A1236" i="1"/>
  <c r="A495" i="1"/>
  <c r="A494" i="1"/>
  <c r="A493" i="1"/>
  <c r="A492" i="1"/>
  <c r="A491" i="1"/>
  <c r="A490" i="1"/>
  <c r="A489" i="1"/>
  <c r="A836" i="1"/>
  <c r="A488" i="1"/>
  <c r="A487" i="1"/>
  <c r="A485" i="1"/>
  <c r="A218" i="1"/>
  <c r="A484" i="1"/>
  <c r="A561" i="1"/>
  <c r="A480" i="1"/>
  <c r="A483" i="1"/>
  <c r="A479" i="1"/>
  <c r="A1400" i="1"/>
  <c r="A478" i="1"/>
  <c r="A190" i="1"/>
  <c r="A394" i="1"/>
  <c r="A475" i="1"/>
  <c r="A474" i="1"/>
  <c r="A871" i="1"/>
  <c r="A472" i="1"/>
  <c r="A262" i="1"/>
  <c r="A471" i="1"/>
  <c r="A470" i="1"/>
  <c r="A469" i="1"/>
  <c r="A468" i="1"/>
  <c r="A467" i="1"/>
  <c r="A466" i="1"/>
  <c r="A1012" i="1"/>
  <c r="A465" i="1"/>
  <c r="A464" i="1"/>
  <c r="A462" i="1"/>
  <c r="A461" i="1"/>
  <c r="A463" i="1"/>
  <c r="A460" i="1"/>
  <c r="A459" i="1"/>
  <c r="A2000" i="1"/>
  <c r="A458" i="1"/>
  <c r="A457" i="1"/>
  <c r="A456" i="1"/>
  <c r="A455" i="1"/>
  <c r="A452" i="1"/>
  <c r="A451" i="1"/>
  <c r="A450" i="1"/>
  <c r="A454" i="1"/>
  <c r="A453" i="1"/>
  <c r="A2257" i="1"/>
  <c r="A449" i="1"/>
  <c r="A448" i="1"/>
  <c r="A447" i="1"/>
  <c r="A445" i="1"/>
  <c r="A444" i="1"/>
  <c r="A443" i="1"/>
  <c r="A440" i="1"/>
  <c r="A439" i="1"/>
  <c r="A437" i="1"/>
  <c r="A436" i="1"/>
  <c r="A1332" i="1"/>
  <c r="A435" i="1"/>
  <c r="A434" i="1"/>
  <c r="A433" i="1"/>
  <c r="A432" i="1"/>
  <c r="A431" i="1"/>
  <c r="A430" i="1"/>
  <c r="A428" i="1"/>
  <c r="A427" i="1"/>
  <c r="A426" i="1"/>
  <c r="A429" i="1"/>
  <c r="A425" i="1"/>
  <c r="A424" i="1"/>
  <c r="A423" i="1"/>
  <c r="A422" i="1"/>
  <c r="A421" i="1"/>
  <c r="A419" i="1"/>
  <c r="A418" i="1"/>
  <c r="A417" i="1"/>
  <c r="A416" i="1"/>
  <c r="A1244" i="1"/>
  <c r="A415" i="1"/>
  <c r="A414" i="1"/>
  <c r="A306" i="1"/>
  <c r="A413" i="1"/>
  <c r="A1393" i="1"/>
  <c r="A409" i="1"/>
  <c r="A408" i="1"/>
  <c r="A407" i="1"/>
  <c r="A477" i="1"/>
  <c r="A405" i="1"/>
  <c r="A404" i="1"/>
  <c r="A1398" i="1"/>
  <c r="A402" i="1"/>
  <c r="A2248" i="1"/>
  <c r="A400" i="1"/>
  <c r="A399" i="1"/>
  <c r="A398" i="1"/>
  <c r="A397" i="1"/>
  <c r="A395" i="1"/>
  <c r="A392" i="1"/>
  <c r="A390" i="1"/>
  <c r="A389" i="1"/>
  <c r="A388" i="1"/>
  <c r="A387" i="1"/>
  <c r="A386" i="1"/>
  <c r="A384" i="1"/>
  <c r="A382" i="1"/>
  <c r="A811" i="1"/>
  <c r="A381" i="1"/>
  <c r="A352" i="1"/>
  <c r="A380" i="1"/>
  <c r="A379" i="1"/>
  <c r="A378" i="1"/>
  <c r="A377" i="1"/>
  <c r="A375" i="1"/>
  <c r="A376" i="1"/>
  <c r="A373" i="1"/>
  <c r="A372" i="1"/>
  <c r="A627" i="1"/>
  <c r="A371" i="1"/>
  <c r="A370" i="1"/>
  <c r="A54" i="1"/>
  <c r="A368" i="1"/>
  <c r="A915" i="1"/>
  <c r="A914" i="1"/>
  <c r="A367" i="1"/>
  <c r="A366" i="1"/>
  <c r="A365" i="1"/>
  <c r="A364" i="1"/>
  <c r="A362" i="1"/>
  <c r="A361" i="1"/>
  <c r="A363" i="1"/>
  <c r="A360" i="1"/>
  <c r="A359" i="1"/>
  <c r="A357" i="1"/>
  <c r="A356" i="1"/>
  <c r="A355" i="1"/>
  <c r="A354" i="1"/>
  <c r="A353" i="1"/>
  <c r="A351" i="1"/>
  <c r="A605" i="1"/>
  <c r="A350" i="1"/>
  <c r="A349" i="1"/>
  <c r="A1259" i="1"/>
  <c r="A348" i="1"/>
  <c r="A344" i="1"/>
  <c r="A346" i="1"/>
  <c r="A1979" i="1"/>
  <c r="A85" i="1"/>
  <c r="A343" i="1"/>
  <c r="A342" i="1"/>
  <c r="A340" i="1"/>
  <c r="A337" i="1"/>
  <c r="A336" i="1"/>
  <c r="A335" i="1"/>
  <c r="A334" i="1"/>
  <c r="A332" i="1"/>
  <c r="A330" i="1"/>
  <c r="A1945" i="1"/>
  <c r="A329" i="1"/>
  <c r="A331" i="1"/>
  <c r="A328" i="1"/>
  <c r="A327" i="1"/>
  <c r="A1180" i="1"/>
  <c r="A325" i="1"/>
  <c r="A326" i="1"/>
  <c r="A1426" i="1"/>
  <c r="A324" i="1"/>
  <c r="A323" i="1"/>
  <c r="A320" i="1"/>
  <c r="A1460" i="1"/>
  <c r="A317" i="1"/>
  <c r="A311" i="1"/>
  <c r="A315" i="1"/>
  <c r="A314" i="1"/>
  <c r="A313" i="1"/>
  <c r="A312" i="1"/>
  <c r="A310" i="1"/>
  <c r="A309" i="1"/>
  <c r="A308" i="1"/>
  <c r="A307" i="1"/>
  <c r="A305" i="1"/>
  <c r="A304" i="1"/>
  <c r="A303" i="1"/>
  <c r="A302" i="1"/>
  <c r="A2354" i="1"/>
  <c r="A300" i="1"/>
  <c r="A1049" i="1"/>
  <c r="A297" i="1"/>
  <c r="A296" i="1"/>
  <c r="A295" i="1"/>
  <c r="A294" i="1"/>
  <c r="A293" i="1"/>
  <c r="A299" i="1"/>
  <c r="A298" i="1"/>
  <c r="A292" i="1"/>
  <c r="A291" i="1"/>
  <c r="A290" i="1"/>
  <c r="A289" i="1"/>
  <c r="A319" i="1"/>
  <c r="A288" i="1"/>
  <c r="A718" i="1"/>
  <c r="A287" i="1"/>
  <c r="A285" i="1"/>
  <c r="A284" i="1"/>
  <c r="A1418" i="1"/>
  <c r="A283" i="1"/>
  <c r="A282" i="1"/>
  <c r="A280" i="1"/>
  <c r="A279" i="1"/>
  <c r="A278" i="1"/>
  <c r="A286" i="1"/>
  <c r="A277" i="1"/>
  <c r="A276" i="1"/>
  <c r="A275" i="1"/>
  <c r="A274" i="1"/>
  <c r="A273" i="1"/>
  <c r="A272" i="1"/>
  <c r="A271" i="1"/>
  <c r="A270" i="1"/>
  <c r="A269" i="1"/>
  <c r="A267" i="1"/>
  <c r="A266" i="1"/>
  <c r="A264" i="1"/>
  <c r="A265" i="1"/>
  <c r="A263" i="1"/>
  <c r="A2189" i="1"/>
  <c r="A261" i="1"/>
  <c r="A260" i="1"/>
  <c r="A258" i="1"/>
  <c r="A257" i="1"/>
  <c r="A255" i="1"/>
  <c r="A253" i="1"/>
  <c r="A252" i="1"/>
  <c r="A250" i="1"/>
  <c r="A249" i="1"/>
  <c r="A248" i="1"/>
  <c r="A905" i="1"/>
  <c r="A247" i="1"/>
  <c r="A244" i="1"/>
  <c r="A242" i="1"/>
  <c r="A243" i="1"/>
  <c r="A241" i="1"/>
  <c r="A240" i="1"/>
  <c r="A239" i="1"/>
  <c r="A237" i="1"/>
  <c r="A2441" i="1"/>
  <c r="A39" i="1"/>
  <c r="A238" i="1"/>
  <c r="A1807" i="1"/>
  <c r="A235" i="1"/>
  <c r="A234" i="1"/>
  <c r="A233" i="1"/>
  <c r="A232" i="1"/>
  <c r="A2291" i="1"/>
  <c r="A231" i="1"/>
  <c r="A230" i="1"/>
  <c r="A229" i="1"/>
  <c r="A227" i="1"/>
  <c r="A226" i="1"/>
  <c r="A225" i="1"/>
  <c r="A224" i="1"/>
  <c r="A222" i="1"/>
  <c r="A223" i="1"/>
  <c r="A1955" i="1"/>
  <c r="A221" i="1"/>
  <c r="A220" i="1"/>
  <c r="A1081" i="1"/>
  <c r="A251" i="1"/>
  <c r="A219" i="1"/>
  <c r="A217" i="1"/>
  <c r="A216" i="1"/>
  <c r="A215" i="1"/>
  <c r="A214" i="1"/>
  <c r="A1977" i="1"/>
  <c r="A1016" i="1"/>
  <c r="A213" i="1"/>
  <c r="A211" i="1"/>
  <c r="A212" i="1"/>
  <c r="A210" i="1"/>
  <c r="A209" i="1"/>
  <c r="A208" i="1"/>
  <c r="A207" i="1"/>
  <c r="A206" i="1"/>
  <c r="A205" i="1"/>
  <c r="A204" i="1"/>
  <c r="A203" i="1"/>
  <c r="A152" i="1"/>
  <c r="A202" i="1"/>
  <c r="A851" i="1"/>
  <c r="A201" i="1"/>
  <c r="A200" i="1"/>
  <c r="A199" i="1"/>
  <c r="A198" i="1"/>
  <c r="A197" i="1"/>
  <c r="A195" i="1"/>
  <c r="A196" i="1"/>
  <c r="A194" i="1"/>
  <c r="A193" i="1"/>
  <c r="A192" i="1"/>
  <c r="A191" i="1"/>
  <c r="A1156" i="1"/>
  <c r="A189" i="1"/>
  <c r="A188" i="1"/>
  <c r="A170" i="1"/>
  <c r="A187" i="1"/>
  <c r="A186" i="1"/>
  <c r="A185" i="1"/>
  <c r="A184" i="1"/>
  <c r="A183" i="1"/>
  <c r="A182" i="1"/>
  <c r="A180" i="1"/>
  <c r="A179" i="1"/>
  <c r="A178" i="1"/>
  <c r="A181" i="1"/>
  <c r="A177" i="1"/>
  <c r="A176" i="1"/>
  <c r="A175" i="1"/>
  <c r="A174" i="1"/>
  <c r="A173" i="1"/>
  <c r="A172" i="1"/>
  <c r="A171" i="1"/>
  <c r="A169" i="1"/>
  <c r="A168" i="1"/>
  <c r="A166" i="1"/>
  <c r="A162" i="1"/>
  <c r="A420" i="1"/>
  <c r="A161" i="1"/>
  <c r="A1231" i="1"/>
  <c r="A160" i="1"/>
  <c r="A159" i="1"/>
  <c r="A158" i="1"/>
  <c r="A157" i="1"/>
  <c r="A156" i="1"/>
  <c r="A155" i="1"/>
  <c r="A154" i="1"/>
  <c r="A153" i="1"/>
  <c r="A151" i="1"/>
  <c r="A150" i="1"/>
  <c r="A149" i="1"/>
  <c r="A148" i="1"/>
  <c r="A146" i="1"/>
  <c r="A145" i="1"/>
  <c r="A144" i="1"/>
  <c r="A143" i="1"/>
  <c r="A142" i="1"/>
  <c r="A141" i="1"/>
  <c r="A140" i="1"/>
  <c r="A585" i="1"/>
  <c r="A139" i="1"/>
  <c r="A138" i="1"/>
  <c r="A137" i="1"/>
  <c r="A136" i="1"/>
  <c r="A135" i="1"/>
  <c r="A165" i="1"/>
  <c r="A133" i="1"/>
  <c r="A134" i="1"/>
  <c r="A131" i="1"/>
  <c r="A130" i="1"/>
  <c r="A129" i="1"/>
  <c r="A128" i="1"/>
  <c r="A127" i="1"/>
  <c r="A126" i="1"/>
  <c r="A125" i="1"/>
  <c r="A935" i="1"/>
  <c r="A934" i="1"/>
  <c r="A124" i="1"/>
  <c r="A952" i="1"/>
  <c r="A123" i="1"/>
  <c r="A122" i="1"/>
  <c r="A120" i="1"/>
  <c r="A119" i="1"/>
  <c r="A118" i="1"/>
  <c r="A115" i="1"/>
  <c r="A114" i="1"/>
  <c r="A113" i="1"/>
  <c r="A112" i="1"/>
  <c r="A111" i="1"/>
  <c r="A109" i="1"/>
  <c r="A107" i="1"/>
  <c r="A106" i="1"/>
  <c r="A108" i="1"/>
  <c r="A105" i="1"/>
  <c r="A104" i="1"/>
  <c r="A103" i="1"/>
  <c r="A102" i="1"/>
  <c r="A1126" i="1"/>
  <c r="A101" i="1"/>
  <c r="A100" i="1"/>
  <c r="A99" i="1"/>
  <c r="A97" i="1"/>
  <c r="A96" i="1"/>
  <c r="A95" i="1"/>
  <c r="A94" i="1"/>
  <c r="A98" i="1"/>
  <c r="A93" i="1"/>
  <c r="A442" i="1"/>
  <c r="A316" i="1"/>
  <c r="A92" i="1"/>
  <c r="A90" i="1"/>
  <c r="A89" i="1"/>
  <c r="A88" i="1"/>
  <c r="A87" i="1"/>
  <c r="A86" i="1"/>
  <c r="A1009" i="1"/>
  <c r="A84" i="1"/>
  <c r="A446" i="1"/>
  <c r="A83" i="1"/>
  <c r="A82" i="1"/>
  <c r="A79" i="1"/>
  <c r="A81" i="1"/>
  <c r="A80" i="1"/>
  <c r="A78" i="1"/>
  <c r="A76" i="1"/>
  <c r="A75" i="1"/>
  <c r="A74" i="1"/>
  <c r="A73" i="1"/>
  <c r="A1565" i="1"/>
  <c r="A72" i="1"/>
  <c r="A71" i="1"/>
  <c r="A659" i="1"/>
  <c r="A70" i="1"/>
  <c r="A69" i="1"/>
  <c r="A1456" i="1"/>
  <c r="A68" i="1"/>
  <c r="A67" i="1"/>
  <c r="A66" i="1"/>
  <c r="A65" i="1"/>
  <c r="A64" i="1"/>
  <c r="A62" i="1"/>
  <c r="A61" i="1"/>
  <c r="A60" i="1"/>
  <c r="A59" i="1"/>
  <c r="A58" i="1"/>
  <c r="A56" i="1"/>
  <c r="A57" i="1"/>
  <c r="A593" i="1"/>
  <c r="A245" i="1"/>
  <c r="A53" i="1"/>
  <c r="A52" i="1"/>
  <c r="A51" i="1"/>
  <c r="A50" i="1"/>
  <c r="A49" i="1"/>
  <c r="A47" i="1"/>
  <c r="A2197" i="1"/>
  <c r="A41" i="1"/>
  <c r="A44" i="1"/>
  <c r="A43" i="1"/>
  <c r="A42" i="1"/>
  <c r="A40" i="1"/>
  <c r="A37" i="1"/>
  <c r="A36" i="1"/>
  <c r="A35" i="1"/>
  <c r="A34" i="1"/>
  <c r="A1764" i="1"/>
  <c r="A33" i="1"/>
  <c r="A32" i="1"/>
  <c r="A31" i="1"/>
  <c r="A30" i="1"/>
  <c r="A29" i="1"/>
  <c r="A28" i="1"/>
  <c r="A2333" i="1"/>
  <c r="A27" i="1"/>
  <c r="A26" i="1"/>
  <c r="A23" i="1"/>
  <c r="A110" i="1"/>
  <c r="A22" i="1"/>
  <c r="A21" i="1"/>
  <c r="A19" i="1"/>
  <c r="A16" i="1"/>
  <c r="A20" i="1"/>
  <c r="A18" i="1"/>
  <c r="A17" i="1"/>
  <c r="A236" i="1"/>
  <c r="A15" i="1"/>
  <c r="A14" i="1"/>
  <c r="A7" i="1"/>
  <c r="A13" i="1"/>
  <c r="A12" i="1"/>
  <c r="A11" i="1"/>
  <c r="A10" i="1"/>
  <c r="A9" i="1"/>
  <c r="A8" i="1"/>
  <c r="A5" i="1"/>
  <c r="A4" i="1"/>
  <c r="A6" i="1"/>
  <c r="A2" i="1"/>
</calcChain>
</file>

<file path=xl/sharedStrings.xml><?xml version="1.0" encoding="utf-8"?>
<sst xmlns="http://schemas.openxmlformats.org/spreadsheetml/2006/main" count="2548" uniqueCount="2532">
  <si>
    <t>palabra</t>
  </si>
  <si>
    <t>points</t>
  </si>
  <si>
    <t>word</t>
  </si>
  <si>
    <t>aboard</t>
  </si>
  <si>
    <t>abandons</t>
  </si>
  <si>
    <t>abandoned</t>
  </si>
  <si>
    <t>abandon</t>
  </si>
  <si>
    <t>dejected</t>
  </si>
  <si>
    <t>despondent</t>
  </si>
  <si>
    <t>abhors</t>
  </si>
  <si>
    <t>abhor</t>
  </si>
  <si>
    <t>abhorrent</t>
  </si>
  <si>
    <t>abhorred</t>
  </si>
  <si>
    <t>embrace</t>
  </si>
  <si>
    <t>hug</t>
  </si>
  <si>
    <t>hugs</t>
  </si>
  <si>
    <t>cherishes</t>
  </si>
  <si>
    <t>absolve</t>
  </si>
  <si>
    <t>acquit</t>
  </si>
  <si>
    <t>absolving</t>
  </si>
  <si>
    <t>acquitting</t>
  </si>
  <si>
    <t>absorbed</t>
  </si>
  <si>
    <t>engrossed</t>
  </si>
  <si>
    <t>absolved</t>
  </si>
  <si>
    <t>absolves</t>
  </si>
  <si>
    <t>bored</t>
  </si>
  <si>
    <t>boring</t>
  </si>
  <si>
    <t>dull</t>
  </si>
  <si>
    <t>bore</t>
  </si>
  <si>
    <t>abused</t>
  </si>
  <si>
    <t>abusive</t>
  </si>
  <si>
    <t>abuse</t>
  </si>
  <si>
    <t>abuses</t>
  </si>
  <si>
    <t>profiteer</t>
  </si>
  <si>
    <t>monopolizing</t>
  </si>
  <si>
    <t>accidental</t>
  </si>
  <si>
    <t>accidentally</t>
  </si>
  <si>
    <t>accident</t>
  </si>
  <si>
    <t>accidents</t>
  </si>
  <si>
    <t>accepts</t>
  </si>
  <si>
    <t>accepted</t>
  </si>
  <si>
    <t>admitted</t>
  </si>
  <si>
    <t>accept</t>
  </si>
  <si>
    <t>accepting</t>
  </si>
  <si>
    <t>cheers</t>
  </si>
  <si>
    <t>clarifies</t>
  </si>
  <si>
    <t>bullied</t>
  </si>
  <si>
    <t>harried</t>
  </si>
  <si>
    <t>bullying</t>
  </si>
  <si>
    <t>active</t>
  </si>
  <si>
    <t>asset</t>
  </si>
  <si>
    <t>stabbed</t>
  </si>
  <si>
    <t>agreement</t>
  </si>
  <si>
    <t>accuses</t>
  </si>
  <si>
    <t>accusation</t>
  </si>
  <si>
    <t>accusations</t>
  </si>
  <si>
    <t>accused</t>
  </si>
  <si>
    <t>accusing</t>
  </si>
  <si>
    <t>accuse</t>
  </si>
  <si>
    <t>adequate</t>
  </si>
  <si>
    <t>admires</t>
  </si>
  <si>
    <t>admire</t>
  </si>
  <si>
    <t>admiring</t>
  </si>
  <si>
    <t>admits</t>
  </si>
  <si>
    <t>admit</t>
  </si>
  <si>
    <t>indoctrinates</t>
  </si>
  <si>
    <t>indoctrinated</t>
  </si>
  <si>
    <t>indoctrinate</t>
  </si>
  <si>
    <t>indoctrinating</t>
  </si>
  <si>
    <t>adopts</t>
  </si>
  <si>
    <t>adopt</t>
  </si>
  <si>
    <t>adores</t>
  </si>
  <si>
    <t>adorable</t>
  </si>
  <si>
    <t>adored</t>
  </si>
  <si>
    <t>worshiped</t>
  </si>
  <si>
    <t>adore</t>
  </si>
  <si>
    <t>warning</t>
  </si>
  <si>
    <t>warnings</t>
  </si>
  <si>
    <t>warn</t>
  </si>
  <si>
    <t>warns</t>
  </si>
  <si>
    <t>suave</t>
  </si>
  <si>
    <t>affected</t>
  </si>
  <si>
    <t>affection</t>
  </si>
  <si>
    <t>fond</t>
  </si>
  <si>
    <t>keen</t>
  </si>
  <si>
    <t>positively</t>
  </si>
  <si>
    <t>afflicted</t>
  </si>
  <si>
    <t>bereaved</t>
  </si>
  <si>
    <t>distressed</t>
  </si>
  <si>
    <t>stricken</t>
  </si>
  <si>
    <t>fortunate</t>
  </si>
  <si>
    <t>affronted</t>
  </si>
  <si>
    <t>burdened</t>
  </si>
  <si>
    <t>agonises</t>
  </si>
  <si>
    <t>agonizes</t>
  </si>
  <si>
    <t>agonised</t>
  </si>
  <si>
    <t>agonized</t>
  </si>
  <si>
    <t>agonising</t>
  </si>
  <si>
    <t>agonizing</t>
  </si>
  <si>
    <t>agonise</t>
  </si>
  <si>
    <t>agonize</t>
  </si>
  <si>
    <t>drained</t>
  </si>
  <si>
    <t>exhausted</t>
  </si>
  <si>
    <t>agreeable</t>
  </si>
  <si>
    <t>pleasant</t>
  </si>
  <si>
    <t>grateful</t>
  </si>
  <si>
    <t>thankful</t>
  </si>
  <si>
    <t>aggravates</t>
  </si>
  <si>
    <t>aggravated</t>
  </si>
  <si>
    <t>aggravating</t>
  </si>
  <si>
    <t>aggravate</t>
  </si>
  <si>
    <t>aggression</t>
  </si>
  <si>
    <t>aggressions</t>
  </si>
  <si>
    <t>aggressive</t>
  </si>
  <si>
    <t>attacking</t>
  </si>
  <si>
    <t>stamina</t>
  </si>
  <si>
    <t>drown</t>
  </si>
  <si>
    <t>choke</t>
  </si>
  <si>
    <t>drowned</t>
  </si>
  <si>
    <t>irate</t>
  </si>
  <si>
    <t>isolated</t>
  </si>
  <si>
    <t>fit</t>
  </si>
  <si>
    <t>praised</t>
  </si>
  <si>
    <t>praising</t>
  </si>
  <si>
    <t>praise</t>
  </si>
  <si>
    <t>praises</t>
  </si>
  <si>
    <t>alarm</t>
  </si>
  <si>
    <t>alarmed</t>
  </si>
  <si>
    <t>alarmist</t>
  </si>
  <si>
    <t>alarmists</t>
  </si>
  <si>
    <t>riot</t>
  </si>
  <si>
    <t>reaches</t>
  </si>
  <si>
    <t>reached</t>
  </si>
  <si>
    <t>reach</t>
  </si>
  <si>
    <t>sobering</t>
  </si>
  <si>
    <t>rejoice</t>
  </si>
  <si>
    <t>blithe</t>
  </si>
  <si>
    <t>cheerful</t>
  </si>
  <si>
    <t>cheery</t>
  </si>
  <si>
    <t>convivial</t>
  </si>
  <si>
    <t>glad</t>
  </si>
  <si>
    <t>jaunty</t>
  </si>
  <si>
    <t>jolly</t>
  </si>
  <si>
    <t>joyful</t>
  </si>
  <si>
    <t>lighthearted</t>
  </si>
  <si>
    <t>merry</t>
  </si>
  <si>
    <t>mirthful</t>
  </si>
  <si>
    <t>joyfully</t>
  </si>
  <si>
    <t>glee</t>
  </si>
  <si>
    <t>joy</t>
  </si>
  <si>
    <t>mirth</t>
  </si>
  <si>
    <t>rejoicing</t>
  </si>
  <si>
    <t>encouraged</t>
  </si>
  <si>
    <t>encourage</t>
  </si>
  <si>
    <t>allergic</t>
  </si>
  <si>
    <t>alert</t>
  </si>
  <si>
    <t>lurking</t>
  </si>
  <si>
    <t>some kind</t>
  </si>
  <si>
    <t>downcast</t>
  </si>
  <si>
    <t>alienation</t>
  </si>
  <si>
    <t>encourages</t>
  </si>
  <si>
    <t>relieved</t>
  </si>
  <si>
    <t>soothed</t>
  </si>
  <si>
    <t>relieve</t>
  </si>
  <si>
    <t>lovable</t>
  </si>
  <si>
    <t>beloved</t>
  </si>
  <si>
    <t>loved</t>
  </si>
  <si>
    <t>embittered</t>
  </si>
  <si>
    <t>bitterly</t>
  </si>
  <si>
    <t>bitter</t>
  </si>
  <si>
    <t>ambitious</t>
  </si>
  <si>
    <t>ambivalent</t>
  </si>
  <si>
    <t>menace</t>
  </si>
  <si>
    <t>threat</t>
  </si>
  <si>
    <t>threatens</t>
  </si>
  <si>
    <t>menaced</t>
  </si>
  <si>
    <t>threatened</t>
  </si>
  <si>
    <t>threatening</t>
  </si>
  <si>
    <t>threaten</t>
  </si>
  <si>
    <t>threats</t>
  </si>
  <si>
    <t>friendly</t>
  </si>
  <si>
    <t>admonished</t>
  </si>
  <si>
    <t>admonish</t>
  </si>
  <si>
    <t>pileup</t>
  </si>
  <si>
    <t>love</t>
  </si>
  <si>
    <t>gagged</t>
  </si>
  <si>
    <t>loving</t>
  </si>
  <si>
    <t>extend</t>
  </si>
  <si>
    <t>illiteracy</t>
  </si>
  <si>
    <t>angers</t>
  </si>
  <si>
    <t>anguish</t>
  </si>
  <si>
    <t>distress</t>
  </si>
  <si>
    <t>anguished</t>
  </si>
  <si>
    <t>distresses</t>
  </si>
  <si>
    <t>distressing</t>
  </si>
  <si>
    <t>heartbreaking</t>
  </si>
  <si>
    <t>longing</t>
  </si>
  <si>
    <t>yearning</t>
  </si>
  <si>
    <t>cheered</t>
  </si>
  <si>
    <t>lively</t>
  </si>
  <si>
    <t>sprightly</t>
  </si>
  <si>
    <t>cheer</t>
  </si>
  <si>
    <t>encouragement</t>
  </si>
  <si>
    <t>animosity</t>
  </si>
  <si>
    <t>anxiety</t>
  </si>
  <si>
    <t>anxious</t>
  </si>
  <si>
    <t>eager</t>
  </si>
  <si>
    <t>antagonistic</t>
  </si>
  <si>
    <t>anti</t>
  </si>
  <si>
    <t>anticipation</t>
  </si>
  <si>
    <t>appeased</t>
  </si>
  <si>
    <t>appeasing</t>
  </si>
  <si>
    <t>appease</t>
  </si>
  <si>
    <t>rigged</t>
  </si>
  <si>
    <t>rig</t>
  </si>
  <si>
    <t>passionate</t>
  </si>
  <si>
    <t>apathy</t>
  </si>
  <si>
    <t>apathetic</t>
  </si>
  <si>
    <t>grieved</t>
  </si>
  <si>
    <t>apeshit</t>
  </si>
  <si>
    <t>appeases</t>
  </si>
  <si>
    <t>crushes</t>
  </si>
  <si>
    <t>crushed</t>
  </si>
  <si>
    <t>crushing</t>
  </si>
  <si>
    <t>crush</t>
  </si>
  <si>
    <t>applauds</t>
  </si>
  <si>
    <t>applauded</t>
  </si>
  <si>
    <t>applauding</t>
  </si>
  <si>
    <t>applaud</t>
  </si>
  <si>
    <t>applause</t>
  </si>
  <si>
    <t>cheering</t>
  </si>
  <si>
    <t>defer</t>
  </si>
  <si>
    <t>apocalyptic</t>
  </si>
  <si>
    <t>backing</t>
  </si>
  <si>
    <t>support</t>
  </si>
  <si>
    <t>supportive</t>
  </si>
  <si>
    <t>appreciates</t>
  </si>
  <si>
    <t>appreciation</t>
  </si>
  <si>
    <t>appreciated</t>
  </si>
  <si>
    <t>unappreciated</t>
  </si>
  <si>
    <t>appreciating</t>
  </si>
  <si>
    <t>cherishing</t>
  </si>
  <si>
    <t>appreciate</t>
  </si>
  <si>
    <t>cherish</t>
  </si>
  <si>
    <t>apprehensive</t>
  </si>
  <si>
    <t>approval</t>
  </si>
  <si>
    <t>endorsement</t>
  </si>
  <si>
    <t>approved</t>
  </si>
  <si>
    <t>approves</t>
  </si>
  <si>
    <t>fitness</t>
  </si>
  <si>
    <t>ardent</t>
  </si>
  <si>
    <t>drags</t>
  </si>
  <si>
    <t>dragged</t>
  </si>
  <si>
    <t>drag</t>
  </si>
  <si>
    <t>made-up</t>
  </si>
  <si>
    <t>regretful</t>
  </si>
  <si>
    <t>regrets</t>
  </si>
  <si>
    <t>arrest</t>
  </si>
  <si>
    <t>cornered</t>
  </si>
  <si>
    <t>arrogant</t>
  </si>
  <si>
    <t>bankrupt</t>
  </si>
  <si>
    <t>ruined</t>
  </si>
  <si>
    <t>ruining</t>
  </si>
  <si>
    <t>disgust</t>
  </si>
  <si>
    <t>secures</t>
  </si>
  <si>
    <t>secured</t>
  </si>
  <si>
    <t>ensuring</t>
  </si>
  <si>
    <t>ensure</t>
  </si>
  <si>
    <t>assassination</t>
  </si>
  <si>
    <t>killing</t>
  </si>
  <si>
    <t>murder</t>
  </si>
  <si>
    <t>murdering</t>
  </si>
  <si>
    <t>assassinations</t>
  </si>
  <si>
    <t>murders</t>
  </si>
  <si>
    <t>murderer</t>
  </si>
  <si>
    <t>murderous</t>
  </si>
  <si>
    <t>choking</t>
  </si>
  <si>
    <t>astounds</t>
  </si>
  <si>
    <t>amazed</t>
  </si>
  <si>
    <t>astonished</t>
  </si>
  <si>
    <t>astounded</t>
  </si>
  <si>
    <t>astound</t>
  </si>
  <si>
    <t>amaze</t>
  </si>
  <si>
    <t>amazing</t>
  </si>
  <si>
    <t>astounding</t>
  </si>
  <si>
    <t>breathtaking</t>
  </si>
  <si>
    <t>disgusting</t>
  </si>
  <si>
    <t>nasty</t>
  </si>
  <si>
    <t>yucky</t>
  </si>
  <si>
    <t>assfucking</t>
  </si>
  <si>
    <t>trickery</t>
  </si>
  <si>
    <t>dodgy</t>
  </si>
  <si>
    <t>matters</t>
  </si>
  <si>
    <t>jumpy</t>
  </si>
  <si>
    <t>afraid</t>
  </si>
  <si>
    <t>frightened</t>
  </si>
  <si>
    <t>scared</t>
  </si>
  <si>
    <t>attacked</t>
  </si>
  <si>
    <t>attack</t>
  </si>
  <si>
    <t>attacks</t>
  </si>
  <si>
    <t>stuck</t>
  </si>
  <si>
    <t>appalled</t>
  </si>
  <si>
    <t>frightening</t>
  </si>
  <si>
    <t>terrorizes</t>
  </si>
  <si>
    <t>terrified</t>
  </si>
  <si>
    <t>terrorized</t>
  </si>
  <si>
    <t>terrorize</t>
  </si>
  <si>
    <t>screwed</t>
  </si>
  <si>
    <t>attraction</t>
  </si>
  <si>
    <t>attractions</t>
  </si>
  <si>
    <t>glamorous</t>
  </si>
  <si>
    <t>inviting</t>
  </si>
  <si>
    <t>attracts</t>
  </si>
  <si>
    <t>attract</t>
  </si>
  <si>
    <t>attracted</t>
  </si>
  <si>
    <t>trapped</t>
  </si>
  <si>
    <t>attracting</t>
  </si>
  <si>
    <t>daring</t>
  </si>
  <si>
    <t>outrage</t>
  </si>
  <si>
    <t>stunned</t>
  </si>
  <si>
    <t>audacious</t>
  </si>
  <si>
    <t>fearless</t>
  </si>
  <si>
    <t>boosts</t>
  </si>
  <si>
    <t>increased</t>
  </si>
  <si>
    <t>boost</t>
  </si>
  <si>
    <t>lack</t>
  </si>
  <si>
    <t>absentee</t>
  </si>
  <si>
    <t>absentees</t>
  </si>
  <si>
    <t>self-deluded</t>
  </si>
  <si>
    <t>perpetrator</t>
  </si>
  <si>
    <t>perpetrators</t>
  </si>
  <si>
    <t>authority</t>
  </si>
  <si>
    <t>advanced</t>
  </si>
  <si>
    <t>adventure</t>
  </si>
  <si>
    <t>adventures</t>
  </si>
  <si>
    <t>adventurous</t>
  </si>
  <si>
    <t>ashamed</t>
  </si>
  <si>
    <t>embarrass</t>
  </si>
  <si>
    <t>loathing</t>
  </si>
  <si>
    <t>avid</t>
  </si>
  <si>
    <t>axed</t>
  </si>
  <si>
    <t>alas</t>
  </si>
  <si>
    <t>help</t>
  </si>
  <si>
    <t>helps</t>
  </si>
  <si>
    <t>bamboozles</t>
  </si>
  <si>
    <t>thwarts</t>
  </si>
  <si>
    <t>bankster</t>
  </si>
  <si>
    <t>slash</t>
  </si>
  <si>
    <t>slashes</t>
  </si>
  <si>
    <t>barrier</t>
  </si>
  <si>
    <t>bastard</t>
  </si>
  <si>
    <t>bastards</t>
  </si>
  <si>
    <t>battle</t>
  </si>
  <si>
    <t>battles</t>
  </si>
  <si>
    <t>beatific</t>
  </si>
  <si>
    <t>beauties</t>
  </si>
  <si>
    <t>bless</t>
  </si>
  <si>
    <t>blesses</t>
  </si>
  <si>
    <t>blessing</t>
  </si>
  <si>
    <t>godsend</t>
  </si>
  <si>
    <t>benefitted</t>
  </si>
  <si>
    <t>benefitting</t>
  </si>
  <si>
    <t>benefit</t>
  </si>
  <si>
    <t>benefits</t>
  </si>
  <si>
    <t>bereaves</t>
  </si>
  <si>
    <t>bereaving</t>
  </si>
  <si>
    <t>kiss</t>
  </si>
  <si>
    <t>assets</t>
  </si>
  <si>
    <t>welcomed</t>
  </si>
  <si>
    <t>welcome</t>
  </si>
  <si>
    <t>block</t>
  </si>
  <si>
    <t>blocking</t>
  </si>
  <si>
    <t>blocks</t>
  </si>
  <si>
    <t>boycotted</t>
  </si>
  <si>
    <t>boycotting</t>
  </si>
  <si>
    <t>boycott</t>
  </si>
  <si>
    <t>boycotts</t>
  </si>
  <si>
    <t>bomb</t>
  </si>
  <si>
    <t>goodness</t>
  </si>
  <si>
    <t>pretty</t>
  </si>
  <si>
    <t>nice</t>
  </si>
  <si>
    <t>clears</t>
  </si>
  <si>
    <t>drunk</t>
  </si>
  <si>
    <t>blurry</t>
  </si>
  <si>
    <t>buoyant</t>
  </si>
  <si>
    <t>bright</t>
  </si>
  <si>
    <t>brilliant</t>
  </si>
  <si>
    <t>sparkle</t>
  </si>
  <si>
    <t>brightness</t>
  </si>
  <si>
    <t>joke</t>
  </si>
  <si>
    <t>gross</t>
  </si>
  <si>
    <t>good</t>
  </si>
  <si>
    <t>flagship</t>
  </si>
  <si>
    <t>tricked</t>
  </si>
  <si>
    <t>derision</t>
  </si>
  <si>
    <t>mocks</t>
  </si>
  <si>
    <t>mocked</t>
  </si>
  <si>
    <t>mock</t>
  </si>
  <si>
    <t>mocking</t>
  </si>
  <si>
    <t>jackass</t>
  </si>
  <si>
    <t>scapegoats</t>
  </si>
  <si>
    <t>lobbying</t>
  </si>
  <si>
    <t>crestfallen</t>
  </si>
  <si>
    <t>fucker</t>
  </si>
  <si>
    <t>dumbass</t>
  </si>
  <si>
    <t>corpse</t>
  </si>
  <si>
    <t>screwed up</t>
  </si>
  <si>
    <t>droopy</t>
  </si>
  <si>
    <t>fallen</t>
  </si>
  <si>
    <t>disgraced</t>
  </si>
  <si>
    <t>cramp</t>
  </si>
  <si>
    <t>warm</t>
  </si>
  <si>
    <t>calm</t>
  </si>
  <si>
    <t>calms</t>
  </si>
  <si>
    <t>calmed</t>
  </si>
  <si>
    <t>calming</t>
  </si>
  <si>
    <t>soothing</t>
  </si>
  <si>
    <t>soothe</t>
  </si>
  <si>
    <t>warmth</t>
  </si>
  <si>
    <t>cancels</t>
  </si>
  <si>
    <t>cancelled</t>
  </si>
  <si>
    <t>cancelling</t>
  </si>
  <si>
    <t>cancel</t>
  </si>
  <si>
    <t>cancer</t>
  </si>
  <si>
    <t>gullibility</t>
  </si>
  <si>
    <t>tired</t>
  </si>
  <si>
    <t>weary</t>
  </si>
  <si>
    <t>chaos</t>
  </si>
  <si>
    <t>chaotic</t>
  </si>
  <si>
    <t>ability</t>
  </si>
  <si>
    <t>capable</t>
  </si>
  <si>
    <t>whimsical</t>
  </si>
  <si>
    <t>screams</t>
  </si>
  <si>
    <t>burden</t>
  </si>
  <si>
    <t>charged</t>
  </si>
  <si>
    <t>burdens</t>
  </si>
  <si>
    <t>charges</t>
  </si>
  <si>
    <t>fondness</t>
  </si>
  <si>
    <t>affectionate</t>
  </si>
  <si>
    <t>dearly</t>
  </si>
  <si>
    <t>disregarding</t>
  </si>
  <si>
    <t>chastises</t>
  </si>
  <si>
    <t>punishes</t>
  </si>
  <si>
    <t>chastised</t>
  </si>
  <si>
    <t>punished</t>
  </si>
  <si>
    <t>chastising</t>
  </si>
  <si>
    <t>chastise</t>
  </si>
  <si>
    <t>punish</t>
  </si>
  <si>
    <t>catastrophe</t>
  </si>
  <si>
    <t>catastrophic</t>
  </si>
  <si>
    <t>cautious</t>
  </si>
  <si>
    <t>captivated</t>
  </si>
  <si>
    <t>enthral</t>
  </si>
  <si>
    <t>celebrates</t>
  </si>
  <si>
    <t>celebrated</t>
  </si>
  <si>
    <t>celebrating</t>
  </si>
  <si>
    <t>celebrate</t>
  </si>
  <si>
    <t>heavenly</t>
  </si>
  <si>
    <t>envying</t>
  </si>
  <si>
    <t>jealous</t>
  </si>
  <si>
    <t>zealous</t>
  </si>
  <si>
    <t>censors</t>
  </si>
  <si>
    <t>censored</t>
  </si>
  <si>
    <t>censor</t>
  </si>
  <si>
    <t>frowning</t>
  </si>
  <si>
    <t>loomed</t>
  </si>
  <si>
    <t>stout</t>
  </si>
  <si>
    <t>chagrined</t>
  </si>
  <si>
    <t>infatuated</t>
  </si>
  <si>
    <t>spark</t>
  </si>
  <si>
    <t>jokes</t>
  </si>
  <si>
    <t>humourous</t>
  </si>
  <si>
    <t>scapegoat</t>
  </si>
  <si>
    <t>shocking</t>
  </si>
  <si>
    <t>collide</t>
  </si>
  <si>
    <t>clash</t>
  </si>
  <si>
    <t>crash</t>
  </si>
  <si>
    <t>shock</t>
  </si>
  <si>
    <t>shocks</t>
  </si>
  <si>
    <t>sucks</t>
  </si>
  <si>
    <t>suck</t>
  </si>
  <si>
    <t>blind</t>
  </si>
  <si>
    <t>heaven</t>
  </si>
  <si>
    <t>certain</t>
  </si>
  <si>
    <t>cynic</t>
  </si>
  <si>
    <t>cynical</t>
  </si>
  <si>
    <t>cynicism</t>
  </si>
  <si>
    <t>clearly</t>
  </si>
  <si>
    <t>clarity</t>
  </si>
  <si>
    <t>clear</t>
  </si>
  <si>
    <t>coerced</t>
  </si>
  <si>
    <t>coward</t>
  </si>
  <si>
    <t>cowardly</t>
  </si>
  <si>
    <t>cashing in</t>
  </si>
  <si>
    <t>cocksuckers</t>
  </si>
  <si>
    <t>greed</t>
  </si>
  <si>
    <t>greedy</t>
  </si>
  <si>
    <t>lame</t>
  </si>
  <si>
    <t>collapsed</t>
  </si>
  <si>
    <t>collapse</t>
  </si>
  <si>
    <t>collapsing</t>
  </si>
  <si>
    <t>collapses</t>
  </si>
  <si>
    <t>wrathful</t>
  </si>
  <si>
    <t>collision</t>
  </si>
  <si>
    <t>collides</t>
  </si>
  <si>
    <t>colliding</t>
  </si>
  <si>
    <t>collisions</t>
  </si>
  <si>
    <t>colluding</t>
  </si>
  <si>
    <t>combat</t>
  </si>
  <si>
    <t>combats</t>
  </si>
  <si>
    <t>comedy</t>
  </si>
  <si>
    <t>commit</t>
  </si>
  <si>
    <t>comfort</t>
  </si>
  <si>
    <t>coziness</t>
  </si>
  <si>
    <t>comforts</t>
  </si>
  <si>
    <t>comfortable</t>
  </si>
  <si>
    <t>pitied</t>
  </si>
  <si>
    <t>shares</t>
  </si>
  <si>
    <t>shared</t>
  </si>
  <si>
    <t>share</t>
  </si>
  <si>
    <t>compassionate</t>
  </si>
  <si>
    <t>competent</t>
  </si>
  <si>
    <t>competitive</t>
  </si>
  <si>
    <t>willingness</t>
  </si>
  <si>
    <t>committed</t>
  </si>
  <si>
    <t>committing</t>
  </si>
  <si>
    <t>commitment</t>
  </si>
  <si>
    <t>peacefully</t>
  </si>
  <si>
    <t>grant</t>
  </si>
  <si>
    <t>granted</t>
  </si>
  <si>
    <t>granting</t>
  </si>
  <si>
    <t>conciliates</t>
  </si>
  <si>
    <t>conciliated</t>
  </si>
  <si>
    <t>conciliating</t>
  </si>
  <si>
    <t>conciliate</t>
  </si>
  <si>
    <t>condemns</t>
  </si>
  <si>
    <t>condemnation</t>
  </si>
  <si>
    <t>condemned</t>
  </si>
  <si>
    <t>doomed</t>
  </si>
  <si>
    <t>sentenced</t>
  </si>
  <si>
    <t>condemn</t>
  </si>
  <si>
    <t>doom</t>
  </si>
  <si>
    <t>entrusted</t>
  </si>
  <si>
    <t>reliant</t>
  </si>
  <si>
    <t>confidence</t>
  </si>
  <si>
    <t>trust</t>
  </si>
  <si>
    <t>confident</t>
  </si>
  <si>
    <t>conflictive</t>
  </si>
  <si>
    <t>conflict</t>
  </si>
  <si>
    <t>conflicts</t>
  </si>
  <si>
    <t>confuse</t>
  </si>
  <si>
    <t>mistaking</t>
  </si>
  <si>
    <t>confused</t>
  </si>
  <si>
    <t>confusing</t>
  </si>
  <si>
    <t>shocked</t>
  </si>
  <si>
    <t>consent</t>
  </si>
  <si>
    <t>consents</t>
  </si>
  <si>
    <t>consolable</t>
  </si>
  <si>
    <t>comforting</t>
  </si>
  <si>
    <t>conspiracy</t>
  </si>
  <si>
    <t>dismayed</t>
  </si>
  <si>
    <t>constrained</t>
  </si>
  <si>
    <t>accomplished</t>
  </si>
  <si>
    <t>contagion</t>
  </si>
  <si>
    <t>contagions</t>
  </si>
  <si>
    <t>contagious</t>
  </si>
  <si>
    <t>polluter</t>
  </si>
  <si>
    <t>pollutes</t>
  </si>
  <si>
    <t>polluted</t>
  </si>
  <si>
    <t>polluters</t>
  </si>
  <si>
    <t>pollute</t>
  </si>
  <si>
    <t>contentious</t>
  </si>
  <si>
    <t>contend</t>
  </si>
  <si>
    <t>contending</t>
  </si>
  <si>
    <t>contender</t>
  </si>
  <si>
    <t>happy</t>
  </si>
  <si>
    <t>contestable</t>
  </si>
  <si>
    <t>conflicting</t>
  </si>
  <si>
    <t>engage</t>
  </si>
  <si>
    <t>convinces</t>
  </si>
  <si>
    <t>convince</t>
  </si>
  <si>
    <t>convinced</t>
  </si>
  <si>
    <t>unconvinced</t>
  </si>
  <si>
    <t>agreed</t>
  </si>
  <si>
    <t>cunt</t>
  </si>
  <si>
    <t>twat</t>
  </si>
  <si>
    <t>heavyhearted</t>
  </si>
  <si>
    <t>spam</t>
  </si>
  <si>
    <t>cut</t>
  </si>
  <si>
    <t>cutting</t>
  </si>
  <si>
    <t>woo</t>
  </si>
  <si>
    <t>courteous</t>
  </si>
  <si>
    <t>gracious</t>
  </si>
  <si>
    <t>courtesy</t>
  </si>
  <si>
    <t>cool stuff</t>
  </si>
  <si>
    <t>costly</t>
  </si>
  <si>
    <t>creative</t>
  </si>
  <si>
    <t>growing</t>
  </si>
  <si>
    <t>growth</t>
  </si>
  <si>
    <t>gullible</t>
  </si>
  <si>
    <t>crime</t>
  </si>
  <si>
    <t>criminal</t>
  </si>
  <si>
    <t>criminals</t>
  </si>
  <si>
    <t>crisis</t>
  </si>
  <si>
    <t>criticizes</t>
  </si>
  <si>
    <t>criticism</t>
  </si>
  <si>
    <t>criticized</t>
  </si>
  <si>
    <t>criticize</t>
  </si>
  <si>
    <t>criticizing</t>
  </si>
  <si>
    <t>critic</t>
  </si>
  <si>
    <t>critics</t>
  </si>
  <si>
    <t>cruel</t>
  </si>
  <si>
    <t>cruelty</t>
  </si>
  <si>
    <t>cover-up</t>
  </si>
  <si>
    <t>scoop</t>
  </si>
  <si>
    <t>slashing</t>
  </si>
  <si>
    <t>questionable</t>
  </si>
  <si>
    <t>disputed</t>
  </si>
  <si>
    <t>questioned</t>
  </si>
  <si>
    <t>care</t>
  </si>
  <si>
    <t>cares</t>
  </si>
  <si>
    <t>carefully</t>
  </si>
  <si>
    <t>cuidado</t>
  </si>
  <si>
    <t>careful</t>
  </si>
  <si>
    <t>ass</t>
  </si>
  <si>
    <t>guilt</t>
  </si>
  <si>
    <t>guilty</t>
  </si>
  <si>
    <t>blamed</t>
  </si>
  <si>
    <t>blaming</t>
  </si>
  <si>
    <t>fulfills</t>
  </si>
  <si>
    <t>fulfilled</t>
  </si>
  <si>
    <t>fulfill</t>
  </si>
  <si>
    <t>curious</t>
  </si>
  <si>
    <t>nosey</t>
  </si>
  <si>
    <t>welcomes</t>
  </si>
  <si>
    <t>damage</t>
  </si>
  <si>
    <t>harm</t>
  </si>
  <si>
    <t>hurting</t>
  </si>
  <si>
    <t>harms</t>
  </si>
  <si>
    <t>damages</t>
  </si>
  <si>
    <t>agree</t>
  </si>
  <si>
    <t>classy</t>
  </si>
  <si>
    <t>trusted</t>
  </si>
  <si>
    <t>scary</t>
  </si>
  <si>
    <t>shitty</t>
  </si>
  <si>
    <t>undeserving</t>
  </si>
  <si>
    <t>feeble</t>
  </si>
  <si>
    <t>weak</t>
  </si>
  <si>
    <t>weakness</t>
  </si>
  <si>
    <t>wasting</t>
  </si>
  <si>
    <t>disappointment</t>
  </si>
  <si>
    <t>disappoints</t>
  </si>
  <si>
    <t>disappointed</t>
  </si>
  <si>
    <t>disappointing</t>
  </si>
  <si>
    <t>disappoint</t>
  </si>
  <si>
    <t>disappointments</t>
  </si>
  <si>
    <t>ha</t>
  </si>
  <si>
    <t>decisive</t>
  </si>
  <si>
    <t>dedicated</t>
  </si>
  <si>
    <t>defect</t>
  </si>
  <si>
    <t>failing</t>
  </si>
  <si>
    <t>defects</t>
  </si>
  <si>
    <t>defender</t>
  </si>
  <si>
    <t>defenders</t>
  </si>
  <si>
    <t>deficit</t>
  </si>
  <si>
    <t>fraudster</t>
  </si>
  <si>
    <t>fraudsters</t>
  </si>
  <si>
    <t>degraded</t>
  </si>
  <si>
    <t>degrade</t>
  </si>
  <si>
    <t>leave</t>
  </si>
  <si>
    <t>dejecting</t>
  </si>
  <si>
    <t>dejects</t>
  </si>
  <si>
    <t>strikers</t>
  </si>
  <si>
    <t>delighting</t>
  </si>
  <si>
    <t>delight</t>
  </si>
  <si>
    <t>killed</t>
  </si>
  <si>
    <t>delights</t>
  </si>
  <si>
    <t>offender</t>
  </si>
  <si>
    <t>felony</t>
  </si>
  <si>
    <t>felonies</t>
  </si>
  <si>
    <t>demand</t>
  </si>
  <si>
    <t>lawsuit</t>
  </si>
  <si>
    <t>suing</t>
  </si>
  <si>
    <t>demands</t>
  </si>
  <si>
    <t>lawsuits</t>
  </si>
  <si>
    <t>demonstration</t>
  </si>
  <si>
    <t>denounces</t>
  </si>
  <si>
    <t>denounce</t>
  </si>
  <si>
    <t>depressing</t>
  </si>
  <si>
    <t>depressed</t>
  </si>
  <si>
    <t>straight</t>
  </si>
  <si>
    <t>deriding</t>
  </si>
  <si>
    <t>defeated</t>
  </si>
  <si>
    <t>discredited</t>
  </si>
  <si>
    <t>defiant</t>
  </si>
  <si>
    <t>obnoxious</t>
  </si>
  <si>
    <t>snubbed</t>
  </si>
  <si>
    <t>snub</t>
  </si>
  <si>
    <t>snubs</t>
  </si>
  <si>
    <t>eviction</t>
  </si>
  <si>
    <t>discouraged</t>
  </si>
  <si>
    <t>downhearted</t>
  </si>
  <si>
    <t>disappears</t>
  </si>
  <si>
    <t>disappear</t>
  </si>
  <si>
    <t>disappeared</t>
  </si>
  <si>
    <t>missing</t>
  </si>
  <si>
    <t>disquiet</t>
  </si>
  <si>
    <t>disaster</t>
  </si>
  <si>
    <t>disasters</t>
  </si>
  <si>
    <t>disastrous</t>
  </si>
  <si>
    <t>disregards</t>
  </si>
  <si>
    <t>disqualified</t>
  </si>
  <si>
    <t>derails</t>
  </si>
  <si>
    <t>derailed</t>
  </si>
  <si>
    <t>discarded</t>
  </si>
  <si>
    <t>discard</t>
  </si>
  <si>
    <t>discarding</t>
  </si>
  <si>
    <t>discards</t>
  </si>
  <si>
    <t>embarrassed</t>
  </si>
  <si>
    <t>offline</t>
  </si>
  <si>
    <t>distrustful</t>
  </si>
  <si>
    <t>distrust</t>
  </si>
  <si>
    <t>inconsiderate</t>
  </si>
  <si>
    <t>thoughtless</t>
  </si>
  <si>
    <t>disconsolate</t>
  </si>
  <si>
    <t>woebegone</t>
  </si>
  <si>
    <t>disconsolation</t>
  </si>
  <si>
    <t>discontented</t>
  </si>
  <si>
    <t>disheartened</t>
  </si>
  <si>
    <t>discounted</t>
  </si>
  <si>
    <t>careless</t>
  </si>
  <si>
    <t>neglected</t>
  </si>
  <si>
    <t>neglecting</t>
  </si>
  <si>
    <t>disdain</t>
  </si>
  <si>
    <t>scorn</t>
  </si>
  <si>
    <t>contemptuously</t>
  </si>
  <si>
    <t>contemptuous</t>
  </si>
  <si>
    <t>scornful</t>
  </si>
  <si>
    <t>desirable</t>
  </si>
  <si>
    <t>desired</t>
  </si>
  <si>
    <t>wishing</t>
  </si>
  <si>
    <t>unemployment</t>
  </si>
  <si>
    <t>unfocused</t>
  </si>
  <si>
    <t>desire</t>
  </si>
  <si>
    <t>wish</t>
  </si>
  <si>
    <t>wishes</t>
  </si>
  <si>
    <t>desirous</t>
  </si>
  <si>
    <t>despair</t>
  </si>
  <si>
    <t>hopelessness</t>
  </si>
  <si>
    <t>despairs</t>
  </si>
  <si>
    <t>desperately</t>
  </si>
  <si>
    <t>despairing</t>
  </si>
  <si>
    <t>desperate</t>
  </si>
  <si>
    <t>underestimating</t>
  </si>
  <si>
    <t>disorganized</t>
  </si>
  <si>
    <t>lags</t>
  </si>
  <si>
    <t>disgrace</t>
  </si>
  <si>
    <t>dumps</t>
  </si>
  <si>
    <t>dishonest</t>
  </si>
  <si>
    <t>dehumanizes</t>
  </si>
  <si>
    <t>dehumanized</t>
  </si>
  <si>
    <t>dehumanizing</t>
  </si>
  <si>
    <t>dehumanize</t>
  </si>
  <si>
    <t>unequal</t>
  </si>
  <si>
    <t>disillusioned</t>
  </si>
  <si>
    <t>misinformation</t>
  </si>
  <si>
    <t>demoralized</t>
  </si>
  <si>
    <t>unmotivated</t>
  </si>
  <si>
    <t>disoriented</t>
  </si>
  <si>
    <t>disparaging</t>
  </si>
  <si>
    <t>fired</t>
  </si>
  <si>
    <t>cleared</t>
  </si>
  <si>
    <t>refuse</t>
  </si>
  <si>
    <t>clueless</t>
  </si>
  <si>
    <t>rant</t>
  </si>
  <si>
    <t>contempt</t>
  </si>
  <si>
    <t>carefree</t>
  </si>
  <si>
    <t>unconcerned</t>
  </si>
  <si>
    <t>sparkles</t>
  </si>
  <si>
    <t>banish</t>
  </si>
  <si>
    <t>shattered</t>
  </si>
  <si>
    <t>destruction</t>
  </si>
  <si>
    <t>destructive</t>
  </si>
  <si>
    <t>destroyed</t>
  </si>
  <si>
    <t>destroy</t>
  </si>
  <si>
    <t>destroys</t>
  </si>
  <si>
    <t>destroying</t>
  </si>
  <si>
    <t>disadvantage</t>
  </si>
  <si>
    <t>abajo</t>
  </si>
  <si>
    <t>downside</t>
  </si>
  <si>
    <t>hapless</t>
  </si>
  <si>
    <t>detention</t>
  </si>
  <si>
    <t>arrests</t>
  </si>
  <si>
    <t>detain</t>
  </si>
  <si>
    <t>stop</t>
  </si>
  <si>
    <t>arrested</t>
  </si>
  <si>
    <t>detained</t>
  </si>
  <si>
    <t>stopped</t>
  </si>
  <si>
    <t>determined</t>
  </si>
  <si>
    <t>loathed</t>
  </si>
  <si>
    <t>loathe</t>
  </si>
  <si>
    <t>debt</t>
  </si>
  <si>
    <t>devastated</t>
  </si>
  <si>
    <t>devastating</t>
  </si>
  <si>
    <t>devastate</t>
  </si>
  <si>
    <t>devoted</t>
  </si>
  <si>
    <t>diamond</t>
  </si>
  <si>
    <t>libelous</t>
  </si>
  <si>
    <t>difficult</t>
  </si>
  <si>
    <t>hard</t>
  </si>
  <si>
    <t>uneasy</t>
  </si>
  <si>
    <t>deferring</t>
  </si>
  <si>
    <t>worthy</t>
  </si>
  <si>
    <t>dilemma</t>
  </si>
  <si>
    <t>god</t>
  </si>
  <si>
    <t>dipshit</t>
  </si>
  <si>
    <t>right direction</t>
  </si>
  <si>
    <t>discord</t>
  </si>
  <si>
    <t>disculpandose</t>
  </si>
  <si>
    <t>apologising</t>
  </si>
  <si>
    <t>apologizing</t>
  </si>
  <si>
    <t>apology</t>
  </si>
  <si>
    <t>apologised</t>
  </si>
  <si>
    <t>apologized</t>
  </si>
  <si>
    <t>disguises</t>
  </si>
  <si>
    <t>disguise</t>
  </si>
  <si>
    <t>disguised</t>
  </si>
  <si>
    <t>disguising</t>
  </si>
  <si>
    <t>enjoys</t>
  </si>
  <si>
    <t>enjoying</t>
  </si>
  <si>
    <t>enjoy</t>
  </si>
  <si>
    <t>dysfunction</t>
  </si>
  <si>
    <t>disgusted</t>
  </si>
  <si>
    <t>displeased</t>
  </si>
  <si>
    <t>chagrin</t>
  </si>
  <si>
    <t>dislike</t>
  </si>
  <si>
    <t>disinclined</t>
  </si>
  <si>
    <t>shoot</t>
  </si>
  <si>
    <t>nonsense</t>
  </si>
  <si>
    <t>firing</t>
  </si>
  <si>
    <t>dispute</t>
  </si>
  <si>
    <t>disputing</t>
  </si>
  <si>
    <t>disputes</t>
  </si>
  <si>
    <t>disrespected</t>
  </si>
  <si>
    <t>disruptive</t>
  </si>
  <si>
    <t>distorts</t>
  </si>
  <si>
    <t>distorted</t>
  </si>
  <si>
    <t>distort</t>
  </si>
  <si>
    <t>distorting</t>
  </si>
  <si>
    <t>distraction</t>
  </si>
  <si>
    <t>distracts</t>
  </si>
  <si>
    <t>distract</t>
  </si>
  <si>
    <t>distracted</t>
  </si>
  <si>
    <t>riots</t>
  </si>
  <si>
    <t>amusement</t>
  </si>
  <si>
    <t>amusements</t>
  </si>
  <si>
    <t>hilarious</t>
  </si>
  <si>
    <t>amused</t>
  </si>
  <si>
    <t>fun</t>
  </si>
  <si>
    <t>ache</t>
  </si>
  <si>
    <t>aching</t>
  </si>
  <si>
    <t>grief</t>
  </si>
  <si>
    <t>pain</t>
  </si>
  <si>
    <t>sorrow</t>
  </si>
  <si>
    <t>pained</t>
  </si>
  <si>
    <t>sore</t>
  </si>
  <si>
    <t>dolorous</t>
  </si>
  <si>
    <t>douche</t>
  </si>
  <si>
    <t>doubt</t>
  </si>
  <si>
    <t>doubted</t>
  </si>
  <si>
    <t>doubts</t>
  </si>
  <si>
    <t>doubtful</t>
  </si>
  <si>
    <t>dubious</t>
  </si>
  <si>
    <t>hurts</t>
  </si>
  <si>
    <t>sweet</t>
  </si>
  <si>
    <t>harsh</t>
  </si>
  <si>
    <t>messing up</t>
  </si>
  <si>
    <t>effective</t>
  </si>
  <si>
    <t>effectively</t>
  </si>
  <si>
    <t>selfishness</t>
  </si>
  <si>
    <t>selfish</t>
  </si>
  <si>
    <t>foreclosures</t>
  </si>
  <si>
    <t>relieving</t>
  </si>
  <si>
    <t>heartbroken</t>
  </si>
  <si>
    <t>elation</t>
  </si>
  <si>
    <t>chic</t>
  </si>
  <si>
    <t>debonair</t>
  </si>
  <si>
    <t>elegant</t>
  </si>
  <si>
    <t>commended</t>
  </si>
  <si>
    <t>commend</t>
  </si>
  <si>
    <t>embarrasses</t>
  </si>
  <si>
    <t>embarrassing</t>
  </si>
  <si>
    <t>bamboozle</t>
  </si>
  <si>
    <t>beautify</t>
  </si>
  <si>
    <t>emergency</t>
  </si>
  <si>
    <t>excitement</t>
  </si>
  <si>
    <t>agog</t>
  </si>
  <si>
    <t>excited</t>
  </si>
  <si>
    <t>exciting</t>
  </si>
  <si>
    <t>loathes</t>
  </si>
  <si>
    <t>empathetic</t>
  </si>
  <si>
    <t>worsens</t>
  </si>
  <si>
    <t>worsened</t>
  </si>
  <si>
    <t>worsening</t>
  </si>
  <si>
    <t>worsen</t>
  </si>
  <si>
    <t>belittle</t>
  </si>
  <si>
    <t>brooding</t>
  </si>
  <si>
    <t>enterprising</t>
  </si>
  <si>
    <t>messed</t>
  </si>
  <si>
    <t>whitewash</t>
  </si>
  <si>
    <t>enchanted</t>
  </si>
  <si>
    <t>delighted</t>
  </si>
  <si>
    <t>charming</t>
  </si>
  <si>
    <t>lovely</t>
  </si>
  <si>
    <t>thrilled</t>
  </si>
  <si>
    <t>charm</t>
  </si>
  <si>
    <t>imprisoned</t>
  </si>
  <si>
    <t>jailed</t>
  </si>
  <si>
    <t>inflamed</t>
  </si>
  <si>
    <t>endorsed</t>
  </si>
  <si>
    <t>endorse</t>
  </si>
  <si>
    <t>enemy</t>
  </si>
  <si>
    <t>enemies</t>
  </si>
  <si>
    <t>haters</t>
  </si>
  <si>
    <t>energetic</t>
  </si>
  <si>
    <t>brisk</t>
  </si>
  <si>
    <t>spirited</t>
  </si>
  <si>
    <t>anger</t>
  </si>
  <si>
    <t>illness</t>
  </si>
  <si>
    <t>illnesses</t>
  </si>
  <si>
    <t>ill</t>
  </si>
  <si>
    <t>sick</t>
  </si>
  <si>
    <t>focused</t>
  </si>
  <si>
    <t>infuriates</t>
  </si>
  <si>
    <t>enraging</t>
  </si>
  <si>
    <t>enrage</t>
  </si>
  <si>
    <t>infuriate</t>
  </si>
  <si>
    <t>enraged</t>
  </si>
  <si>
    <t>infuriated</t>
  </si>
  <si>
    <t>engages</t>
  </si>
  <si>
    <t>deceives</t>
  </si>
  <si>
    <t>bamboozled</t>
  </si>
  <si>
    <t>cheated</t>
  </si>
  <si>
    <t>deceived</t>
  </si>
  <si>
    <t>duped</t>
  </si>
  <si>
    <t>cheat</t>
  </si>
  <si>
    <t>deceive</t>
  </si>
  <si>
    <t>dupe</t>
  </si>
  <si>
    <t>deceit</t>
  </si>
  <si>
    <t>deception</t>
  </si>
  <si>
    <t>deceitful</t>
  </si>
  <si>
    <t>deceiving</t>
  </si>
  <si>
    <t>misleading</t>
  </si>
  <si>
    <t>cocky</t>
  </si>
  <si>
    <t>congratulation</t>
  </si>
  <si>
    <t>prosecutes</t>
  </si>
  <si>
    <t>prosecution</t>
  </si>
  <si>
    <t>prosecute</t>
  </si>
  <si>
    <t>maddening</t>
  </si>
  <si>
    <t>angry</t>
  </si>
  <si>
    <t>mad</t>
  </si>
  <si>
    <t>huge</t>
  </si>
  <si>
    <t>enrages</t>
  </si>
  <si>
    <t>deafening</t>
  </si>
  <si>
    <t>misunderstand</t>
  </si>
  <si>
    <t>misunderstands</t>
  </si>
  <si>
    <t>amuse</t>
  </si>
  <si>
    <t>entertaining</t>
  </si>
  <si>
    <t>sadden</t>
  </si>
  <si>
    <t>saddened</t>
  </si>
  <si>
    <t>numb</t>
  </si>
  <si>
    <t>enthusiastic</t>
  </si>
  <si>
    <t>poisoned</t>
  </si>
  <si>
    <t>envy</t>
  </si>
  <si>
    <t>envies</t>
  </si>
  <si>
    <t>envious</t>
  </si>
  <si>
    <t>spamming</t>
  </si>
  <si>
    <t>mistaken</t>
  </si>
  <si>
    <t>erroneous</t>
  </si>
  <si>
    <t>error</t>
  </si>
  <si>
    <t>mistake</t>
  </si>
  <si>
    <t>errors</t>
  </si>
  <si>
    <t>mistakes</t>
  </si>
  <si>
    <t>rash</t>
  </si>
  <si>
    <t>ashame</t>
  </si>
  <si>
    <t>chilling</t>
  </si>
  <si>
    <t>scandal</t>
  </si>
  <si>
    <t>scandals</t>
  </si>
  <si>
    <t>scandalous</t>
  </si>
  <si>
    <t>escapes</t>
  </si>
  <si>
    <t>escape</t>
  </si>
  <si>
    <t>escaping</t>
  </si>
  <si>
    <t>shortage</t>
  </si>
  <si>
    <t>shortages</t>
  </si>
  <si>
    <t>skepticism</t>
  </si>
  <si>
    <t>sceptical</t>
  </si>
  <si>
    <t>skeptic</t>
  </si>
  <si>
    <t>skeptical</t>
  </si>
  <si>
    <t>skeptics</t>
  </si>
  <si>
    <t>enlightening</t>
  </si>
  <si>
    <t>slavery</t>
  </si>
  <si>
    <t>enslaves</t>
  </si>
  <si>
    <t>enslaved</t>
  </si>
  <si>
    <t>enslave</t>
  </si>
  <si>
    <t>hide</t>
  </si>
  <si>
    <t>hid</t>
  </si>
  <si>
    <t>scumbag</t>
  </si>
  <si>
    <t>elegantly</t>
  </si>
  <si>
    <t>backs</t>
  </si>
  <si>
    <t>aghast</t>
  </si>
  <si>
    <t>speculative</t>
  </si>
  <si>
    <t>awaits</t>
  </si>
  <si>
    <t>awaited</t>
  </si>
  <si>
    <t>hoping</t>
  </si>
  <si>
    <t>hope</t>
  </si>
  <si>
    <t>hopeful</t>
  </si>
  <si>
    <t>hopes</t>
  </si>
  <si>
    <t>await</t>
  </si>
  <si>
    <t>thorny</t>
  </si>
  <si>
    <t>spirit</t>
  </si>
  <si>
    <t>splendid</t>
  </si>
  <si>
    <t>sparkling</t>
  </si>
  <si>
    <t>agrees</t>
  </si>
  <si>
    <t>mourns</t>
  </si>
  <si>
    <t>stable</t>
  </si>
  <si>
    <t>vested</t>
  </si>
  <si>
    <t>scam</t>
  </si>
  <si>
    <t>swindle</t>
  </si>
  <si>
    <t>scams</t>
  </si>
  <si>
    <t>swindles</t>
  </si>
  <si>
    <t>stampede</t>
  </si>
  <si>
    <t>stalled</t>
  </si>
  <si>
    <t>stalling</t>
  </si>
  <si>
    <t>lurk</t>
  </si>
  <si>
    <t>stereotype</t>
  </si>
  <si>
    <t>stereotyped</t>
  </si>
  <si>
    <t>admired</t>
  </si>
  <si>
    <t>esteemed</t>
  </si>
  <si>
    <t>stimulates</t>
  </si>
  <si>
    <t>stimulated</t>
  </si>
  <si>
    <t>exhilarating</t>
  </si>
  <si>
    <t>stimulating</t>
  </si>
  <si>
    <t>stimulate</t>
  </si>
  <si>
    <t>havoc</t>
  </si>
  <si>
    <t>choked</t>
  </si>
  <si>
    <t>strangled</t>
  </si>
  <si>
    <t>chokes</t>
  </si>
  <si>
    <t>stressed</t>
  </si>
  <si>
    <t>stressor</t>
  </si>
  <si>
    <t>great</t>
  </si>
  <si>
    <t>terrific</t>
  </si>
  <si>
    <t>stupidly</t>
  </si>
  <si>
    <t>asshole</t>
  </si>
  <si>
    <t>stupid</t>
  </si>
  <si>
    <t>ethical</t>
  </si>
  <si>
    <t>euphoria</t>
  </si>
  <si>
    <t>euphoric</t>
  </si>
  <si>
    <t>averts</t>
  </si>
  <si>
    <t>avoids</t>
  </si>
  <si>
    <t>averted</t>
  </si>
  <si>
    <t>avoided</t>
  </si>
  <si>
    <t>avert</t>
  </si>
  <si>
    <t>avoid</t>
  </si>
  <si>
    <t>prevent</t>
  </si>
  <si>
    <t>exaggerates</t>
  </si>
  <si>
    <t>overstatement</t>
  </si>
  <si>
    <t>overstatements</t>
  </si>
  <si>
    <t>exaggerated</t>
  </si>
  <si>
    <t>exaggerating</t>
  </si>
  <si>
    <t>exaggerate</t>
  </si>
  <si>
    <t>oversell</t>
  </si>
  <si>
    <t>elated</t>
  </si>
  <si>
    <t>exasperated</t>
  </si>
  <si>
    <t>infuriating</t>
  </si>
  <si>
    <t>excellence</t>
  </si>
  <si>
    <t>excellent</t>
  </si>
  <si>
    <t>outstanding</t>
  </si>
  <si>
    <t>overweight</t>
  </si>
  <si>
    <t>excite</t>
  </si>
  <si>
    <t>excluded</t>
  </si>
  <si>
    <t>exclude</t>
  </si>
  <si>
    <t>exclusion</t>
  </si>
  <si>
    <t>exclusive</t>
  </si>
  <si>
    <t>excuse</t>
  </si>
  <si>
    <t>comprehensive</t>
  </si>
  <si>
    <t>demanding</t>
  </si>
  <si>
    <t>demanded</t>
  </si>
  <si>
    <t>exempt</t>
  </si>
  <si>
    <t>success</t>
  </si>
  <si>
    <t>blockbuster</t>
  </si>
  <si>
    <t>successful</t>
  </si>
  <si>
    <t>exonerates</t>
  </si>
  <si>
    <t>exonerated</t>
  </si>
  <si>
    <t>exonerating</t>
  </si>
  <si>
    <t>exonerate</t>
  </si>
  <si>
    <t>expands</t>
  </si>
  <si>
    <t>expand</t>
  </si>
  <si>
    <t>exploits</t>
  </si>
  <si>
    <t>exploration</t>
  </si>
  <si>
    <t>explorations</t>
  </si>
  <si>
    <t>exploited</t>
  </si>
  <si>
    <t>wronged</t>
  </si>
  <si>
    <t>exploiting</t>
  </si>
  <si>
    <t>exploit</t>
  </si>
  <si>
    <t>exposes</t>
  </si>
  <si>
    <t>expose</t>
  </si>
  <si>
    <t>exposing</t>
  </si>
  <si>
    <t>exposed</t>
  </si>
  <si>
    <t>expels</t>
  </si>
  <si>
    <t>expelled</t>
  </si>
  <si>
    <t>expelling</t>
  </si>
  <si>
    <t>expel</t>
  </si>
  <si>
    <t>enrapture</t>
  </si>
  <si>
    <t>raptures</t>
  </si>
  <si>
    <t>ecstatic</t>
  </si>
  <si>
    <t>rapturous</t>
  </si>
  <si>
    <t>strangely</t>
  </si>
  <si>
    <t>bizarre</t>
  </si>
  <si>
    <t>strange</t>
  </si>
  <si>
    <t>weird</t>
  </si>
  <si>
    <t>exuberant</t>
  </si>
  <si>
    <t>exultantly</t>
  </si>
  <si>
    <t>fabulous</t>
  </si>
  <si>
    <t>easy</t>
  </si>
  <si>
    <t>ease</t>
  </si>
  <si>
    <t>stressors</t>
  </si>
  <si>
    <t>faggots</t>
  </si>
  <si>
    <t>fails</t>
  </si>
  <si>
    <t>fail</t>
  </si>
  <si>
    <t>faking</t>
  </si>
  <si>
    <t>fakes</t>
  </si>
  <si>
    <t>falsified</t>
  </si>
  <si>
    <t>falsify</t>
  </si>
  <si>
    <t>dud</t>
  </si>
  <si>
    <t>fake</t>
  </si>
  <si>
    <t>disrespect</t>
  </si>
  <si>
    <t>fame</t>
  </si>
  <si>
    <t>starved</t>
  </si>
  <si>
    <t>zealot</t>
  </si>
  <si>
    <t>zealots</t>
  </si>
  <si>
    <t>ghost</t>
  </si>
  <si>
    <t>fantastic</t>
  </si>
  <si>
    <t>farce</t>
  </si>
  <si>
    <t>hoax</t>
  </si>
  <si>
    <t>fascinates</t>
  </si>
  <si>
    <t>fascinated</t>
  </si>
  <si>
    <t>fascinating</t>
  </si>
  <si>
    <t>fascinate</t>
  </si>
  <si>
    <t>fascist</t>
  </si>
  <si>
    <t>fascists</t>
  </si>
  <si>
    <t>bothersome</t>
  </si>
  <si>
    <t>fatality</t>
  </si>
  <si>
    <t>fatigue</t>
  </si>
  <si>
    <t>fatigued</t>
  </si>
  <si>
    <t>fatigues</t>
  </si>
  <si>
    <t>fatiguing</t>
  </si>
  <si>
    <t>favor</t>
  </si>
  <si>
    <t>favored</t>
  </si>
  <si>
    <t>favors</t>
  </si>
  <si>
    <t>favorite</t>
  </si>
  <si>
    <t>favorited</t>
  </si>
  <si>
    <t>favorites</t>
  </si>
  <si>
    <t>faith</t>
  </si>
  <si>
    <t>bliss</t>
  </si>
  <si>
    <t>happiness</t>
  </si>
  <si>
    <t>congrats</t>
  </si>
  <si>
    <t>congratulations</t>
  </si>
  <si>
    <t>congratulate</t>
  </si>
  <si>
    <t>blissful</t>
  </si>
  <si>
    <t>ugly</t>
  </si>
  <si>
    <t>fervent</t>
  </si>
  <si>
    <t>fervid</t>
  </si>
  <si>
    <t>festive</t>
  </si>
  <si>
    <t>fiasco</t>
  </si>
  <si>
    <t>faithful</t>
  </si>
  <si>
    <t>leaked</t>
  </si>
  <si>
    <t>pretends</t>
  </si>
  <si>
    <t>pretend</t>
  </si>
  <si>
    <t>steadfast</t>
  </si>
  <si>
    <t>flops</t>
  </si>
  <si>
    <t>phobic</t>
  </si>
  <si>
    <t>fucked</t>
  </si>
  <si>
    <t>strengthens</t>
  </si>
  <si>
    <t>strengthen</t>
  </si>
  <si>
    <t>strengthening</t>
  </si>
  <si>
    <t>strengthened</t>
  </si>
  <si>
    <t>forced</t>
  </si>
  <si>
    <t>failure</t>
  </si>
  <si>
    <t>flop</t>
  </si>
  <si>
    <t>failures</t>
  </si>
  <si>
    <t>sentence</t>
  </si>
  <si>
    <t>sentences</t>
  </si>
  <si>
    <t>fraud</t>
  </si>
  <si>
    <t>fraudulence</t>
  </si>
  <si>
    <t>frauds</t>
  </si>
  <si>
    <t>fraudulent</t>
  </si>
  <si>
    <t>frenzy</t>
  </si>
  <si>
    <t>frantic</t>
  </si>
  <si>
    <t>fresh</t>
  </si>
  <si>
    <t>frikin</t>
  </si>
  <si>
    <t>smear</t>
  </si>
  <si>
    <t>frustrates</t>
  </si>
  <si>
    <t>frustration</t>
  </si>
  <si>
    <t>frustrated</t>
  </si>
  <si>
    <t>thwarted</t>
  </si>
  <si>
    <t>frustrating</t>
  </si>
  <si>
    <t>frustrate</t>
  </si>
  <si>
    <t>thwart</t>
  </si>
  <si>
    <t>thwarting</t>
  </si>
  <si>
    <t>ftw</t>
  </si>
  <si>
    <t>fuckface</t>
  </si>
  <si>
    <t>fuckhead</t>
  </si>
  <si>
    <t>fucktard</t>
  </si>
  <si>
    <t>fud</t>
  </si>
  <si>
    <t>fire</t>
  </si>
  <si>
    <t>strong</t>
  </si>
  <si>
    <t>strength</t>
  </si>
  <si>
    <t>leak</t>
  </si>
  <si>
    <t>fuked</t>
  </si>
  <si>
    <t>fuking</t>
  </si>
  <si>
    <t>fuming</t>
  </si>
  <si>
    <t>funeral</t>
  </si>
  <si>
    <t>funerals</t>
  </si>
  <si>
    <t>furious</t>
  </si>
  <si>
    <t>sneaky</t>
  </si>
  <si>
    <t>futile</t>
  </si>
  <si>
    <t>gallant</t>
  </si>
  <si>
    <t>gallantry</t>
  </si>
  <si>
    <t>awarded</t>
  </si>
  <si>
    <t>gallantly</t>
  </si>
  <si>
    <t>hooliganism</t>
  </si>
  <si>
    <t>hooligan</t>
  </si>
  <si>
    <t>gained</t>
  </si>
  <si>
    <t>winner</t>
  </si>
  <si>
    <t>gain</t>
  </si>
  <si>
    <t>gains</t>
  </si>
  <si>
    <t>gaining</t>
  </si>
  <si>
    <t>win</t>
  </si>
  <si>
    <t>guarantee</t>
  </si>
  <si>
    <t>moaned</t>
  </si>
  <si>
    <t>moan</t>
  </si>
  <si>
    <t>moaning</t>
  </si>
  <si>
    <t>moans</t>
  </si>
  <si>
    <t>generous</t>
  </si>
  <si>
    <t>genial</t>
  </si>
  <si>
    <t>dickhead</t>
  </si>
  <si>
    <t>douchebag</t>
  </si>
  <si>
    <t>shithead</t>
  </si>
  <si>
    <t>wanker</t>
  </si>
  <si>
    <t>glamourous</t>
  </si>
  <si>
    <t>glory</t>
  </si>
  <si>
    <t>glorious</t>
  </si>
  <si>
    <t>slam</t>
  </si>
  <si>
    <t>struck</t>
  </si>
  <si>
    <t>bummer</t>
  </si>
  <si>
    <t>grace</t>
  </si>
  <si>
    <t>thank</t>
  </si>
  <si>
    <t>thanks</t>
  </si>
  <si>
    <t>funny</t>
  </si>
  <si>
    <t>big</t>
  </si>
  <si>
    <t>grand</t>
  </si>
  <si>
    <t>hailed</t>
  </si>
  <si>
    <t>hail</t>
  </si>
  <si>
    <t>gratification</t>
  </si>
  <si>
    <t>rewarding</t>
  </si>
  <si>
    <t>free</t>
  </si>
  <si>
    <t>severe</t>
  </si>
  <si>
    <t>greenwasher</t>
  </si>
  <si>
    <t>greenwashers</t>
  </si>
  <si>
    <t>flu</t>
  </si>
  <si>
    <t>gray</t>
  </si>
  <si>
    <t>grey</t>
  </si>
  <si>
    <t>screamed</t>
  </si>
  <si>
    <t>screaming</t>
  </si>
  <si>
    <t>scream</t>
  </si>
  <si>
    <t>outcry</t>
  </si>
  <si>
    <t>haunt</t>
  </si>
  <si>
    <t>wow</t>
  </si>
  <si>
    <t>cool</t>
  </si>
  <si>
    <t>war</t>
  </si>
  <si>
    <t>warfare</t>
  </si>
  <si>
    <t>liked</t>
  </si>
  <si>
    <t>likes</t>
  </si>
  <si>
    <t>failed</t>
  </si>
  <si>
    <t>nifty</t>
  </si>
  <si>
    <t>abilities</t>
  </si>
  <si>
    <t>harming</t>
  </si>
  <si>
    <t>derail</t>
  </si>
  <si>
    <t>axe</t>
  </si>
  <si>
    <t>hacked</t>
  </si>
  <si>
    <t>hunger</t>
  </si>
  <si>
    <t>fed up</t>
  </si>
  <si>
    <t>hurt</t>
  </si>
  <si>
    <t>beautiful</t>
  </si>
  <si>
    <t>beautifully</t>
  </si>
  <si>
    <t>hero</t>
  </si>
  <si>
    <t>heroes</t>
  </si>
  <si>
    <t>heroic</t>
  </si>
  <si>
    <t>motherfucker</t>
  </si>
  <si>
    <t>son-of-a-bitch</t>
  </si>
  <si>
    <t>fuckers</t>
  </si>
  <si>
    <t>hypocritical</t>
  </si>
  <si>
    <t>hysteria</t>
  </si>
  <si>
    <t>hysterical</t>
  </si>
  <si>
    <t>hysterics</t>
  </si>
  <si>
    <t>honoring</t>
  </si>
  <si>
    <t>honouring</t>
  </si>
  <si>
    <t>honest</t>
  </si>
  <si>
    <t>honor</t>
  </si>
  <si>
    <t>honour</t>
  </si>
  <si>
    <t>honored</t>
  </si>
  <si>
    <t>honoured</t>
  </si>
  <si>
    <t>hooligans</t>
  </si>
  <si>
    <t>horrendous</t>
  </si>
  <si>
    <t>horrific</t>
  </si>
  <si>
    <t>awful</t>
  </si>
  <si>
    <t>direful</t>
  </si>
  <si>
    <t>horrible</t>
  </si>
  <si>
    <t>horrified</t>
  </si>
  <si>
    <t>sullen</t>
  </si>
  <si>
    <t>hostile</t>
  </si>
  <si>
    <t>strike</t>
  </si>
  <si>
    <t>strikes</t>
  </si>
  <si>
    <t>humerous</t>
  </si>
  <si>
    <t>humiliation</t>
  </si>
  <si>
    <t>humiliated</t>
  </si>
  <si>
    <t>humor</t>
  </si>
  <si>
    <t>humour</t>
  </si>
  <si>
    <t>humorous</t>
  </si>
  <si>
    <t>hurrah</t>
  </si>
  <si>
    <t>flees</t>
  </si>
  <si>
    <t>idiot</t>
  </si>
  <si>
    <t>idiotic</t>
  </si>
  <si>
    <t>moron</t>
  </si>
  <si>
    <t>ignores</t>
  </si>
  <si>
    <t>disregarded</t>
  </si>
  <si>
    <t>ignored</t>
  </si>
  <si>
    <t>ignorance</t>
  </si>
  <si>
    <t>ignorant</t>
  </si>
  <si>
    <t>ignore</t>
  </si>
  <si>
    <t>illegal</t>
  </si>
  <si>
    <t>enlightens</t>
  </si>
  <si>
    <t>enlighten</t>
  </si>
  <si>
    <t>enlightened</t>
  </si>
  <si>
    <t>imbecile</t>
  </si>
  <si>
    <t>jerk</t>
  </si>
  <si>
    <t>mindless</t>
  </si>
  <si>
    <t>impatient</t>
  </si>
  <si>
    <t>odd</t>
  </si>
  <si>
    <t>unstoppable</t>
  </si>
  <si>
    <t>unbiased</t>
  </si>
  <si>
    <t>prevented</t>
  </si>
  <si>
    <t>imperfect</t>
  </si>
  <si>
    <t>slicker</t>
  </si>
  <si>
    <t>relentless</t>
  </si>
  <si>
    <t>imposes</t>
  </si>
  <si>
    <t>imposing</t>
  </si>
  <si>
    <t>impose</t>
  </si>
  <si>
    <t>importance</t>
  </si>
  <si>
    <t>important</t>
  </si>
  <si>
    <t>matter</t>
  </si>
  <si>
    <t>impotent</t>
  </si>
  <si>
    <t>powerless</t>
  </si>
  <si>
    <t>impresses</t>
  </si>
  <si>
    <t>impressed</t>
  </si>
  <si>
    <t>unimpressed</t>
  </si>
  <si>
    <t>impressive</t>
  </si>
  <si>
    <t>impress</t>
  </si>
  <si>
    <t>imposed</t>
  </si>
  <si>
    <t>boosted</t>
  </si>
  <si>
    <t>boosting</t>
  </si>
  <si>
    <t>inaction</t>
  </si>
  <si>
    <t>unacceptable</t>
  </si>
  <si>
    <t>inadequate</t>
  </si>
  <si>
    <t>inability</t>
  </si>
  <si>
    <t>incapacitated</t>
  </si>
  <si>
    <t>disabling</t>
  </si>
  <si>
    <t>incapable</t>
  </si>
  <si>
    <t>uncertain</t>
  </si>
  <si>
    <t>uncomfortable</t>
  </si>
  <si>
    <t>incompetence</t>
  </si>
  <si>
    <t>incompetent</t>
  </si>
  <si>
    <t>misunderstood</t>
  </si>
  <si>
    <t>disjointed</t>
  </si>
  <si>
    <t>unconfirmed</t>
  </si>
  <si>
    <t>unaware</t>
  </si>
  <si>
    <t>inconvenience</t>
  </si>
  <si>
    <t>inconvenient</t>
  </si>
  <si>
    <t>wrong</t>
  </si>
  <si>
    <t>unbelieving</t>
  </si>
  <si>
    <t>awesome</t>
  </si>
  <si>
    <t>unbelievable</t>
  </si>
  <si>
    <t>increase</t>
  </si>
  <si>
    <t>unfulfilled</t>
  </si>
  <si>
    <t>indecisive</t>
  </si>
  <si>
    <t>undecided</t>
  </si>
  <si>
    <t>defenseless</t>
  </si>
  <si>
    <t>helpless</t>
  </si>
  <si>
    <t>undesirable</t>
  </si>
  <si>
    <t>indestructible</t>
  </si>
  <si>
    <t>disregard</t>
  </si>
  <si>
    <t>indifference</t>
  </si>
  <si>
    <t>indifferent</t>
  </si>
  <si>
    <t>indignation</t>
  </si>
  <si>
    <t>incensed</t>
  </si>
  <si>
    <t>indignant</t>
  </si>
  <si>
    <t>outraged</t>
  </si>
  <si>
    <t>unworthy</t>
  </si>
  <si>
    <t>forgiving</t>
  </si>
  <si>
    <t>lenient</t>
  </si>
  <si>
    <t>pardons</t>
  </si>
  <si>
    <t>ineffective</t>
  </si>
  <si>
    <t>ineffectively</t>
  </si>
  <si>
    <t>unsettled</t>
  </si>
  <si>
    <t>unstable</t>
  </si>
  <si>
    <t>childish</t>
  </si>
  <si>
    <t>infatuation</t>
  </si>
  <si>
    <t>infected</t>
  </si>
  <si>
    <t>unhappy</t>
  </si>
  <si>
    <t>inferior</t>
  </si>
  <si>
    <t>hell</t>
  </si>
  <si>
    <t>influential</t>
  </si>
  <si>
    <t>misreporting</t>
  </si>
  <si>
    <t>haplessness</t>
  </si>
  <si>
    <t>infringement</t>
  </si>
  <si>
    <t>offending</t>
  </si>
  <si>
    <t>naive</t>
  </si>
  <si>
    <t>inhibit</t>
  </si>
  <si>
    <t>injustice</t>
  </si>
  <si>
    <t>unfair</t>
  </si>
  <si>
    <t>unjust</t>
  </si>
  <si>
    <t>immortal</t>
  </si>
  <si>
    <t>immobilized</t>
  </si>
  <si>
    <t>immune</t>
  </si>
  <si>
    <t>innovates</t>
  </si>
  <si>
    <t>innovation</t>
  </si>
  <si>
    <t>innovative</t>
  </si>
  <si>
    <t>innovate</t>
  </si>
  <si>
    <t>restless</t>
  </si>
  <si>
    <t>inquisition</t>
  </si>
  <si>
    <t>inquisitive</t>
  </si>
  <si>
    <t>unhealthy</t>
  </si>
  <si>
    <t>insane</t>
  </si>
  <si>
    <t>dissatisfied</t>
  </si>
  <si>
    <t>unsatisfied</t>
  </si>
  <si>
    <t>doubting</t>
  </si>
  <si>
    <t>insecure</t>
  </si>
  <si>
    <t>unsure</t>
  </si>
  <si>
    <t>insensitivity</t>
  </si>
  <si>
    <t>insensitive</t>
  </si>
  <si>
    <t>insignificant</t>
  </si>
  <si>
    <t>insipid</t>
  </si>
  <si>
    <t>pushy</t>
  </si>
  <si>
    <t>sleeplessness</t>
  </si>
  <si>
    <t>inspires</t>
  </si>
  <si>
    <t>inspiration</t>
  </si>
  <si>
    <t>inspirational</t>
  </si>
  <si>
    <t>inspired</t>
  </si>
  <si>
    <t>inspiring</t>
  </si>
  <si>
    <t>inspire</t>
  </si>
  <si>
    <t>insulted</t>
  </si>
  <si>
    <t>insulting</t>
  </si>
  <si>
    <t>insult</t>
  </si>
  <si>
    <t>insults</t>
  </si>
  <si>
    <t>intact</t>
  </si>
  <si>
    <t>integrity</t>
  </si>
  <si>
    <t>clever</t>
  </si>
  <si>
    <t>intelligent</t>
  </si>
  <si>
    <t>smart</t>
  </si>
  <si>
    <t>intense</t>
  </si>
  <si>
    <t>interested</t>
  </si>
  <si>
    <t>interesting</t>
  </si>
  <si>
    <t>interest</t>
  </si>
  <si>
    <t>interests</t>
  </si>
  <si>
    <t>interrogated</t>
  </si>
  <si>
    <t>questioning</t>
  </si>
  <si>
    <t>interrupted</t>
  </si>
  <si>
    <t>interrupting</t>
  </si>
  <si>
    <t>interrupt</t>
  </si>
  <si>
    <t>interruption</t>
  </si>
  <si>
    <t>disruptions</t>
  </si>
  <si>
    <t>interrupts</t>
  </si>
  <si>
    <t>intimidates</t>
  </si>
  <si>
    <t>intimidation</t>
  </si>
  <si>
    <t>intimidating</t>
  </si>
  <si>
    <t>intimidate</t>
  </si>
  <si>
    <t>intimidated</t>
  </si>
  <si>
    <t>entitled</t>
  </si>
  <si>
    <t>dauntless</t>
  </si>
  <si>
    <t>intrigues</t>
  </si>
  <si>
    <t>intricate</t>
  </si>
  <si>
    <t>useless</t>
  </si>
  <si>
    <t>uselessness</t>
  </si>
  <si>
    <t>invincible</t>
  </si>
  <si>
    <t>invite</t>
  </si>
  <si>
    <t>invulnerable</t>
  </si>
  <si>
    <t>irony</t>
  </si>
  <si>
    <t>ironic</t>
  </si>
  <si>
    <t>irrational</t>
  </si>
  <si>
    <t>irresistible</t>
  </si>
  <si>
    <t>irresolute</t>
  </si>
  <si>
    <t>irresponsible</t>
  </si>
  <si>
    <t>irreversible</t>
  </si>
  <si>
    <t>annoyed</t>
  </si>
  <si>
    <t>irritated</t>
  </si>
  <si>
    <t>irritating</t>
  </si>
  <si>
    <t>vexing</t>
  </si>
  <si>
    <t>irritate</t>
  </si>
  <si>
    <t>jackasses</t>
  </si>
  <si>
    <t>boastful</t>
  </si>
  <si>
    <t>jesus</t>
  </si>
  <si>
    <t>jocular</t>
  </si>
  <si>
    <t>jovial</t>
  </si>
  <si>
    <t>jewel</t>
  </si>
  <si>
    <t>jewels</t>
  </si>
  <si>
    <t>exultant</t>
  </si>
  <si>
    <t>gleeful</t>
  </si>
  <si>
    <t>joyous</t>
  </si>
  <si>
    <t>jubilant</t>
  </si>
  <si>
    <t>playful</t>
  </si>
  <si>
    <t>foreclosure</t>
  </si>
  <si>
    <t>swears</t>
  </si>
  <si>
    <t>swear</t>
  </si>
  <si>
    <t>fair</t>
  </si>
  <si>
    <t>justice</t>
  </si>
  <si>
    <t>justifiably</t>
  </si>
  <si>
    <t>justified</t>
  </si>
  <si>
    <t>youthful</t>
  </si>
  <si>
    <t>kills</t>
  </si>
  <si>
    <t>kinder</t>
  </si>
  <si>
    <t>preventing</t>
  </si>
  <si>
    <t>solving</t>
  </si>
  <si>
    <t>safety</t>
  </si>
  <si>
    <t>robber</t>
  </si>
  <si>
    <t>lagged</t>
  </si>
  <si>
    <t>tears</t>
  </si>
  <si>
    <t>woeful</t>
  </si>
  <si>
    <t>regretting</t>
  </si>
  <si>
    <t>regret</t>
  </si>
  <si>
    <t>regretted</t>
  </si>
  <si>
    <t>lackadaisical</t>
  </si>
  <si>
    <t>launched</t>
  </si>
  <si>
    <t>pity</t>
  </si>
  <si>
    <t>piteous</t>
  </si>
  <si>
    <t>annoys</t>
  </si>
  <si>
    <t>annoying</t>
  </si>
  <si>
    <t>laughting</t>
  </si>
  <si>
    <t>brainwashing</t>
  </si>
  <si>
    <t>green wash</t>
  </si>
  <si>
    <t>green washing</t>
  </si>
  <si>
    <t>greenwash</t>
  </si>
  <si>
    <t>greenwashing</t>
  </si>
  <si>
    <t>lawl</t>
  </si>
  <si>
    <t>loyal</t>
  </si>
  <si>
    <t>loyalty</t>
  </si>
  <si>
    <t>misread</t>
  </si>
  <si>
    <t>legal</t>
  </si>
  <si>
    <t>legally</t>
  </si>
  <si>
    <t>sluggish</t>
  </si>
  <si>
    <t>injury</t>
  </si>
  <si>
    <t>injured</t>
  </si>
  <si>
    <t>lethargic</t>
  </si>
  <si>
    <t>lethargy</t>
  </si>
  <si>
    <t>freedom</t>
  </si>
  <si>
    <t>limitation</t>
  </si>
  <si>
    <t>limited</t>
  </si>
  <si>
    <t>limits</t>
  </si>
  <si>
    <t>cleaner</t>
  </si>
  <si>
    <t>clean</t>
  </si>
  <si>
    <t>cute</t>
  </si>
  <si>
    <t>mess</t>
  </si>
  <si>
    <t>poised</t>
  </si>
  <si>
    <t>litigation</t>
  </si>
  <si>
    <t>litigious</t>
  </si>
  <si>
    <t>livid</t>
  </si>
  <si>
    <t>weeping</t>
  </si>
  <si>
    <t>cries</t>
  </si>
  <si>
    <t>reaching</t>
  </si>
  <si>
    <t>overjoyed</t>
  </si>
  <si>
    <t>sappy</t>
  </si>
  <si>
    <t>cried</t>
  </si>
  <si>
    <t>mourned</t>
  </si>
  <si>
    <t>crying</t>
  </si>
  <si>
    <t>cry</t>
  </si>
  <si>
    <t>mourn</t>
  </si>
  <si>
    <t>weep</t>
  </si>
  <si>
    <t>rainy</t>
  </si>
  <si>
    <t>lmao</t>
  </si>
  <si>
    <t>lmfao</t>
  </si>
  <si>
    <t>sorry</t>
  </si>
  <si>
    <t>crazy</t>
  </si>
  <si>
    <t>madly</t>
  </si>
  <si>
    <t>crazier</t>
  </si>
  <si>
    <t>lunatics</t>
  </si>
  <si>
    <t>insanity</t>
  </si>
  <si>
    <t>madness</t>
  </si>
  <si>
    <t>accomplishes</t>
  </si>
  <si>
    <t>spammers</t>
  </si>
  <si>
    <t>lovelies</t>
  </si>
  <si>
    <t>fight</t>
  </si>
  <si>
    <t>struggle</t>
  </si>
  <si>
    <t>struggled</t>
  </si>
  <si>
    <t>struggling</t>
  </si>
  <si>
    <t>struggles</t>
  </si>
  <si>
    <t>lugubrious</t>
  </si>
  <si>
    <t>lunatic</t>
  </si>
  <si>
    <t>mourning</t>
  </si>
  <si>
    <t>mature</t>
  </si>
  <si>
    <t>superb</t>
  </si>
  <si>
    <t>badly</t>
  </si>
  <si>
    <t>evil</t>
  </si>
  <si>
    <t>misbehaving</t>
  </si>
  <si>
    <t>sulking</t>
  </si>
  <si>
    <t>misinformed</t>
  </si>
  <si>
    <t>curse</t>
  </si>
  <si>
    <t>damnit</t>
  </si>
  <si>
    <t>damn</t>
  </si>
  <si>
    <t>damned</t>
  </si>
  <si>
    <t>fucking</t>
  </si>
  <si>
    <t>goddamn</t>
  </si>
  <si>
    <t>pesky</t>
  </si>
  <si>
    <t>misunderstanding</t>
  </si>
  <si>
    <t>mischiefs</t>
  </si>
  <si>
    <t>spiteful</t>
  </si>
  <si>
    <t>mumpish</t>
  </si>
  <si>
    <t>sulky</t>
  </si>
  <si>
    <t>misinterpreted</t>
  </si>
  <si>
    <t>bad</t>
  </si>
  <si>
    <t>wicked</t>
  </si>
  <si>
    <t>slick</t>
  </si>
  <si>
    <t>protesters</t>
  </si>
  <si>
    <t>manipulating</t>
  </si>
  <si>
    <t>manipulation</t>
  </si>
  <si>
    <t>manipulated</t>
  </si>
  <si>
    <t>marvel</t>
  </si>
  <si>
    <t>marvels</t>
  </si>
  <si>
    <t>marvelous</t>
  </si>
  <si>
    <t>stunning</t>
  </si>
  <si>
    <t>wonderful</t>
  </si>
  <si>
    <t>dizzy</t>
  </si>
  <si>
    <t>giddy</t>
  </si>
  <si>
    <t>fag</t>
  </si>
  <si>
    <t>faggot</t>
  </si>
  <si>
    <t>lowest</t>
  </si>
  <si>
    <t>brightest</t>
  </si>
  <si>
    <t>funnier</t>
  </si>
  <si>
    <t>harshest</t>
  </si>
  <si>
    <t>harsher</t>
  </si>
  <si>
    <t>stronger</t>
  </si>
  <si>
    <t>strongest</t>
  </si>
  <si>
    <t>smarter</t>
  </si>
  <si>
    <t>smartest</t>
  </si>
  <si>
    <t>craziest</t>
  </si>
  <si>
    <t>darkest</t>
  </si>
  <si>
    <t>más pobres</t>
  </si>
  <si>
    <t>poorer</t>
  </si>
  <si>
    <t>poorest</t>
  </si>
  <si>
    <t>hardier</t>
  </si>
  <si>
    <t>dirtier</t>
  </si>
  <si>
    <t>dirtiest</t>
  </si>
  <si>
    <t>kill</t>
  </si>
  <si>
    <t>bully</t>
  </si>
  <si>
    <t>greater</t>
  </si>
  <si>
    <t>greatest</t>
  </si>
  <si>
    <t>like</t>
  </si>
  <si>
    <t>pissing</t>
  </si>
  <si>
    <t>piss</t>
  </si>
  <si>
    <t>medal</t>
  </si>
  <si>
    <t>mediocrity</t>
  </si>
  <si>
    <t>meditative</t>
  </si>
  <si>
    <t>best</t>
  </si>
  <si>
    <t>better</t>
  </si>
  <si>
    <t>improvement</t>
  </si>
  <si>
    <t>improves</t>
  </si>
  <si>
    <t>improved</t>
  </si>
  <si>
    <t>improving</t>
  </si>
  <si>
    <t>improve</t>
  </si>
  <si>
    <t>melancholy</t>
  </si>
  <si>
    <t>gloomy</t>
  </si>
  <si>
    <t>mope</t>
  </si>
  <si>
    <t>belittled</t>
  </si>
  <si>
    <t>disparaged</t>
  </si>
  <si>
    <t>disparage</t>
  </si>
  <si>
    <t>disparages</t>
  </si>
  <si>
    <t>liar</t>
  </si>
  <si>
    <t>liars</t>
  </si>
  <si>
    <t>huckster</t>
  </si>
  <si>
    <t>methodical</t>
  </si>
  <si>
    <t>fear</t>
  </si>
  <si>
    <t>funky</t>
  </si>
  <si>
    <t>bullshit</t>
  </si>
  <si>
    <t>crap</t>
  </si>
  <si>
    <t>fuck</t>
  </si>
  <si>
    <t>shit</t>
  </si>
  <si>
    <t>miracle</t>
  </si>
  <si>
    <t>undermined</t>
  </si>
  <si>
    <t>undermining</t>
  </si>
  <si>
    <t>lied</t>
  </si>
  <si>
    <t>short-sighted</t>
  </si>
  <si>
    <t>short-sightedness</t>
  </si>
  <si>
    <t>mirthfully</t>
  </si>
  <si>
    <t>miserable</t>
  </si>
  <si>
    <t>misery</t>
  </si>
  <si>
    <t>mercy</t>
  </si>
  <si>
    <t>eerie</t>
  </si>
  <si>
    <t>eery</t>
  </si>
  <si>
    <t>myth</t>
  </si>
  <si>
    <t>fad</t>
  </si>
  <si>
    <t>bothers</t>
  </si>
  <si>
    <t>bothered</t>
  </si>
  <si>
    <t>annoy</t>
  </si>
  <si>
    <t>disturb</t>
  </si>
  <si>
    <t>annoyance</t>
  </si>
  <si>
    <t>bother</t>
  </si>
  <si>
    <t>pissed</t>
  </si>
  <si>
    <t>mongering</t>
  </si>
  <si>
    <t>monopolizes</t>
  </si>
  <si>
    <t>monopolized</t>
  </si>
  <si>
    <t>monopolize</t>
  </si>
  <si>
    <t>moping</t>
  </si>
  <si>
    <t>acrimonious</t>
  </si>
  <si>
    <t>gag</t>
  </si>
  <si>
    <t>die</t>
  </si>
  <si>
    <t>starve</t>
  </si>
  <si>
    <t>motivation</t>
  </si>
  <si>
    <t>motivated</t>
  </si>
  <si>
    <t>motivating</t>
  </si>
  <si>
    <t>motivate</t>
  </si>
  <si>
    <t>starves</t>
  </si>
  <si>
    <t>death</t>
  </si>
  <si>
    <t>dead</t>
  </si>
  <si>
    <t>fine</t>
  </si>
  <si>
    <t>starving</t>
  </si>
  <si>
    <t>died</t>
  </si>
  <si>
    <t>shrew</t>
  </si>
  <si>
    <t>n00b</t>
  </si>
  <si>
    <t>natural</t>
  </si>
  <si>
    <t>needy</t>
  </si>
  <si>
    <t>denied</t>
  </si>
  <si>
    <t>denier</t>
  </si>
  <si>
    <t>deniers</t>
  </si>
  <si>
    <t>denying</t>
  </si>
  <si>
    <t>refusing</t>
  </si>
  <si>
    <t>deny</t>
  </si>
  <si>
    <t>negativity</t>
  </si>
  <si>
    <t>negative</t>
  </si>
  <si>
    <t>neglect</t>
  </si>
  <si>
    <t>neglects</t>
  </si>
  <si>
    <t>bargain</t>
  </si>
  <si>
    <t>bold</t>
  </si>
  <si>
    <t>nigger</t>
  </si>
  <si>
    <t>nerves</t>
  </si>
  <si>
    <t>nervously</t>
  </si>
  <si>
    <t>fidgety</t>
  </si>
  <si>
    <t>flustered</t>
  </si>
  <si>
    <t>nervous</t>
  </si>
  <si>
    <t>smog</t>
  </si>
  <si>
    <t>denies</t>
  </si>
  <si>
    <t>niggas</t>
  </si>
  <si>
    <t>unlovable</t>
  </si>
  <si>
    <t>unapproved</t>
  </si>
  <si>
    <t>disbelieve</t>
  </si>
  <si>
    <t>unwanted</t>
  </si>
  <si>
    <t>no fun</t>
  </si>
  <si>
    <t>not good</t>
  </si>
  <si>
    <t>does not work</t>
  </si>
  <si>
    <t>not working</t>
  </si>
  <si>
    <t>unprofessional</t>
  </si>
  <si>
    <t>can't stand</t>
  </si>
  <si>
    <t>unsophisticated</t>
  </si>
  <si>
    <t>dont like</t>
  </si>
  <si>
    <t>noble</t>
  </si>
  <si>
    <t>homesick</t>
  </si>
  <si>
    <t>remarkable</t>
  </si>
  <si>
    <t>notorious</t>
  </si>
  <si>
    <t>noob</t>
  </si>
  <si>
    <t>novel</t>
  </si>
  <si>
    <t>troubles</t>
  </si>
  <si>
    <t>clouded</t>
  </si>
  <si>
    <t>nuts</t>
  </si>
  <si>
    <t>dumped</t>
  </si>
  <si>
    <t>compelled</t>
  </si>
  <si>
    <t>mandatory</t>
  </si>
  <si>
    <t>obliterated</t>
  </si>
  <si>
    <t>obliterate</t>
  </si>
  <si>
    <t>masterpiece</t>
  </si>
  <si>
    <t>masterpieces</t>
  </si>
  <si>
    <t>obscene</t>
  </si>
  <si>
    <t>haunted</t>
  </si>
  <si>
    <t>obsessed</t>
  </si>
  <si>
    <t>haunting</t>
  </si>
  <si>
    <t>obsolete</t>
  </si>
  <si>
    <t>hindrance</t>
  </si>
  <si>
    <t>obstacle</t>
  </si>
  <si>
    <t>obstacles</t>
  </si>
  <si>
    <t>obstinate</t>
  </si>
  <si>
    <t>stubborn</t>
  </si>
  <si>
    <t>blocked</t>
  </si>
  <si>
    <t>hiding</t>
  </si>
  <si>
    <t>hated</t>
  </si>
  <si>
    <t>hating</t>
  </si>
  <si>
    <t>hate</t>
  </si>
  <si>
    <t>hates</t>
  </si>
  <si>
    <t>offends</t>
  </si>
  <si>
    <t>offend</t>
  </si>
  <si>
    <t>offended</t>
  </si>
  <si>
    <t>tender</t>
  </si>
  <si>
    <t>hopefully</t>
  </si>
  <si>
    <t>oks</t>
  </si>
  <si>
    <t>forgetful</t>
  </si>
  <si>
    <t>forgotten</t>
  </si>
  <si>
    <t>forget</t>
  </si>
  <si>
    <t>ominous</t>
  </si>
  <si>
    <t>chance</t>
  </si>
  <si>
    <t>opportunity</t>
  </si>
  <si>
    <t>opportunities</t>
  </si>
  <si>
    <t>oppressive</t>
  </si>
  <si>
    <t>oppressed</t>
  </si>
  <si>
    <t>optimism</t>
  </si>
  <si>
    <t>optimistic</t>
  </si>
  <si>
    <t>optionless</t>
  </si>
  <si>
    <t>prays</t>
  </si>
  <si>
    <t>pray</t>
  </si>
  <si>
    <t>proudly</t>
  </si>
  <si>
    <t>proud</t>
  </si>
  <si>
    <t>darkness</t>
  </si>
  <si>
    <t>gloom</t>
  </si>
  <si>
    <t>outmaneuvered</t>
  </si>
  <si>
    <t>overreacted</t>
  </si>
  <si>
    <t>overselling</t>
  </si>
  <si>
    <t>oversells</t>
  </si>
  <si>
    <t>oxymoron</t>
  </si>
  <si>
    <t>peaceful</t>
  </si>
  <si>
    <t>pay</t>
  </si>
  <si>
    <t>acquitted</t>
  </si>
  <si>
    <t>blah</t>
  </si>
  <si>
    <t>beating</t>
  </si>
  <si>
    <t>panic</t>
  </si>
  <si>
    <t>panicked</t>
  </si>
  <si>
    <t>panics</t>
  </si>
  <si>
    <t>stopping</t>
  </si>
  <si>
    <t>stops</t>
  </si>
  <si>
    <t>paradox</t>
  </si>
  <si>
    <t>paradise</t>
  </si>
  <si>
    <t>biased</t>
  </si>
  <si>
    <t>bias</t>
  </si>
  <si>
    <t>pardoning</t>
  </si>
  <si>
    <t>parley</t>
  </si>
  <si>
    <t>travesty</t>
  </si>
  <si>
    <t>walkouts</t>
  </si>
  <si>
    <t>top</t>
  </si>
  <si>
    <t>supporters</t>
  </si>
  <si>
    <t>worn</t>
  </si>
  <si>
    <t>overlooked</t>
  </si>
  <si>
    <t>passively</t>
  </si>
  <si>
    <t>passive</t>
  </si>
  <si>
    <t>astoundingly</t>
  </si>
  <si>
    <t>pathetic</t>
  </si>
  <si>
    <t>dread</t>
  </si>
  <si>
    <t>peace</t>
  </si>
  <si>
    <t>sinful</t>
  </si>
  <si>
    <t>apologise</t>
  </si>
  <si>
    <t>apologize</t>
  </si>
  <si>
    <t>danger</t>
  </si>
  <si>
    <t>jeopardy</t>
  </si>
  <si>
    <t>peril</t>
  </si>
  <si>
    <t>penalty</t>
  </si>
  <si>
    <t>breakthrough</t>
  </si>
  <si>
    <t>pensive</t>
  </si>
  <si>
    <t>thoughtful</t>
  </si>
  <si>
    <t>worse</t>
  </si>
  <si>
    <t>worst</t>
  </si>
  <si>
    <t>loser</t>
  </si>
  <si>
    <t>miss</t>
  </si>
  <si>
    <t>loss</t>
  </si>
  <si>
    <t>missed</t>
  </si>
  <si>
    <t>losing</t>
  </si>
  <si>
    <t>lost</t>
  </si>
  <si>
    <t>pardon</t>
  </si>
  <si>
    <t>pardoned</t>
  </si>
  <si>
    <t>forgive</t>
  </si>
  <si>
    <t>lazy</t>
  </si>
  <si>
    <t>perfects</t>
  </si>
  <si>
    <t>perfected</t>
  </si>
  <si>
    <t>perfectly</t>
  </si>
  <si>
    <t>perfect</t>
  </si>
  <si>
    <t>disadvantaged</t>
  </si>
  <si>
    <t>harmed</t>
  </si>
  <si>
    <t>harmful</t>
  </si>
  <si>
    <t>perjury</t>
  </si>
  <si>
    <t>allow</t>
  </si>
  <si>
    <t>perplexed</t>
  </si>
  <si>
    <t>puzzled</t>
  </si>
  <si>
    <t>bitch</t>
  </si>
  <si>
    <t>bitches</t>
  </si>
  <si>
    <t>persecuted</t>
  </si>
  <si>
    <t>persecute</t>
  </si>
  <si>
    <t>persecuting</t>
  </si>
  <si>
    <t>persecutes</t>
  </si>
  <si>
    <t>prospect</t>
  </si>
  <si>
    <t>prospects</t>
  </si>
  <si>
    <t>disturbs</t>
  </si>
  <si>
    <t>disturbed</t>
  </si>
  <si>
    <t>perturbed</t>
  </si>
  <si>
    <t>disturbing</t>
  </si>
  <si>
    <t>pessimism</t>
  </si>
  <si>
    <t>pessimistic</t>
  </si>
  <si>
    <t>appalling</t>
  </si>
  <si>
    <t>petrified</t>
  </si>
  <si>
    <t>piqued</t>
  </si>
  <si>
    <t>itchy</t>
  </si>
  <si>
    <t>looses</t>
  </si>
  <si>
    <t>prick</t>
  </si>
  <si>
    <t>picturesque</t>
  </si>
  <si>
    <t>pique</t>
  </si>
  <si>
    <t>gun</t>
  </si>
  <si>
    <t>pleasure</t>
  </si>
  <si>
    <t>poor</t>
  </si>
  <si>
    <t>poverty</t>
  </si>
  <si>
    <t>unclear</t>
  </si>
  <si>
    <t>unethical</t>
  </si>
  <si>
    <t>powerful</t>
  </si>
  <si>
    <t>controversially</t>
  </si>
  <si>
    <t>controversial</t>
  </si>
  <si>
    <t>cock</t>
  </si>
  <si>
    <t>dick</t>
  </si>
  <si>
    <t>popular</t>
  </si>
  <si>
    <t>please</t>
  </si>
  <si>
    <t>luckily</t>
  </si>
  <si>
    <t>misbehaves</t>
  </si>
  <si>
    <t>misbehaved</t>
  </si>
  <si>
    <t>misbehave</t>
  </si>
  <si>
    <t>possessive</t>
  </si>
  <si>
    <t>chances</t>
  </si>
  <si>
    <t>positive</t>
  </si>
  <si>
    <t>postpones</t>
  </si>
  <si>
    <t>postpone</t>
  </si>
  <si>
    <t>postponing</t>
  </si>
  <si>
    <t>postponed</t>
  </si>
  <si>
    <t>prblm</t>
  </si>
  <si>
    <t>prblms</t>
  </si>
  <si>
    <t>touting</t>
  </si>
  <si>
    <t>award</t>
  </si>
  <si>
    <t>awards</t>
  </si>
  <si>
    <t>worry</t>
  </si>
  <si>
    <t>troubled</t>
  </si>
  <si>
    <t>worried</t>
  </si>
  <si>
    <t>worrying</t>
  </si>
  <si>
    <t>prepared</t>
  </si>
  <si>
    <t>deject</t>
  </si>
  <si>
    <t>pressure</t>
  </si>
  <si>
    <t>pressured</t>
  </si>
  <si>
    <t>kudos</t>
  </si>
  <si>
    <t>pretending</t>
  </si>
  <si>
    <t>warned</t>
  </si>
  <si>
    <t>prevents</t>
  </si>
  <si>
    <t>prison</t>
  </si>
  <si>
    <t>prisoner</t>
  </si>
  <si>
    <t>prisoners</t>
  </si>
  <si>
    <t>hardship</t>
  </si>
  <si>
    <t>bereave</t>
  </si>
  <si>
    <t>privileged</t>
  </si>
  <si>
    <t>proactive</t>
  </si>
  <si>
    <t>problem</t>
  </si>
  <si>
    <t>trouble</t>
  </si>
  <si>
    <t>problems</t>
  </si>
  <si>
    <t>prosecuted</t>
  </si>
  <si>
    <t>progress</t>
  </si>
  <si>
    <t>ban</t>
  </si>
  <si>
    <t>banned</t>
  </si>
  <si>
    <t>promise</t>
  </si>
  <si>
    <t>promises</t>
  </si>
  <si>
    <t>promised</t>
  </si>
  <si>
    <t>prominent</t>
  </si>
  <si>
    <t>touted</t>
  </si>
  <si>
    <t>promote</t>
  </si>
  <si>
    <t>promoted</t>
  </si>
  <si>
    <t>promoting</t>
  </si>
  <si>
    <t>promotes</t>
  </si>
  <si>
    <t>propaganda</t>
  </si>
  <si>
    <t>prosperous</t>
  </si>
  <si>
    <t>protects</t>
  </si>
  <si>
    <t>protect</t>
  </si>
  <si>
    <t>protected</t>
  </si>
  <si>
    <t>protest</t>
  </si>
  <si>
    <t>protesting</t>
  </si>
  <si>
    <t>protests</t>
  </si>
  <si>
    <t>provokes</t>
  </si>
  <si>
    <t>provoked</t>
  </si>
  <si>
    <t>provoking</t>
  </si>
  <si>
    <t>provoke</t>
  </si>
  <si>
    <t>pseudoscience</t>
  </si>
  <si>
    <t>stall</t>
  </si>
  <si>
    <t>punitive</t>
  </si>
  <si>
    <t>landmark</t>
  </si>
  <si>
    <t>deadlock</t>
  </si>
  <si>
    <t>stab</t>
  </si>
  <si>
    <t>stabs</t>
  </si>
  <si>
    <t>fainthearted</t>
  </si>
  <si>
    <t>slut</t>
  </si>
  <si>
    <t>whore</t>
  </si>
  <si>
    <t>motherfucking</t>
  </si>
  <si>
    <t>falling</t>
  </si>
  <si>
    <t>complained</t>
  </si>
  <si>
    <t>complain</t>
  </si>
  <si>
    <t>want</t>
  </si>
  <si>
    <t>cherished</t>
  </si>
  <si>
    <t>dear</t>
  </si>
  <si>
    <t>rage</t>
  </si>
  <si>
    <t>rageful</t>
  </si>
  <si>
    <t>helping</t>
  </si>
  <si>
    <t>racism</t>
  </si>
  <si>
    <t>racist</t>
  </si>
  <si>
    <t>racists</t>
  </si>
  <si>
    <t>ranter</t>
  </si>
  <si>
    <t>ranters</t>
  </si>
  <si>
    <t>rants</t>
  </si>
  <si>
    <t>swiftly</t>
  </si>
  <si>
    <t>swift</t>
  </si>
  <si>
    <t>raptured</t>
  </si>
  <si>
    <t>rapture</t>
  </si>
  <si>
    <t>torn</t>
  </si>
  <si>
    <t>ratified</t>
  </si>
  <si>
    <t>highlight</t>
  </si>
  <si>
    <t>achievable</t>
  </si>
  <si>
    <t>accomplish</t>
  </si>
  <si>
    <t>revive</t>
  </si>
  <si>
    <t>rebellion</t>
  </si>
  <si>
    <t>misgiving</t>
  </si>
  <si>
    <t>recession</t>
  </si>
  <si>
    <t>rejects</t>
  </si>
  <si>
    <t>refused</t>
  </si>
  <si>
    <t>rejected</t>
  </si>
  <si>
    <t>rejecting</t>
  </si>
  <si>
    <t>reject</t>
  </si>
  <si>
    <t>repulse</t>
  </si>
  <si>
    <t>recommended</t>
  </si>
  <si>
    <t>recommend</t>
  </si>
  <si>
    <t>recommends</t>
  </si>
  <si>
    <t>reward</t>
  </si>
  <si>
    <t>rewarded</t>
  </si>
  <si>
    <t>rewards</t>
  </si>
  <si>
    <t>slashed</t>
  </si>
  <si>
    <t>cuts</t>
  </si>
  <si>
    <t>redeemed</t>
  </si>
  <si>
    <t>haunts</t>
  </si>
  <si>
    <t>gift</t>
  </si>
  <si>
    <t>scold</t>
  </si>
  <si>
    <t>dodging</t>
  </si>
  <si>
    <t>exhilarates</t>
  </si>
  <si>
    <t>rejoices</t>
  </si>
  <si>
    <t>exhilarated</t>
  </si>
  <si>
    <t>rejoiced</t>
  </si>
  <si>
    <t>vindicates</t>
  </si>
  <si>
    <t>vindicating</t>
  </si>
  <si>
    <t>relaxed</t>
  </si>
  <si>
    <t>relieves</t>
  </si>
  <si>
    <t>remorse</t>
  </si>
  <si>
    <t>resigns</t>
  </si>
  <si>
    <t>resign</t>
  </si>
  <si>
    <t>resigning</t>
  </si>
  <si>
    <t>repulsed</t>
  </si>
  <si>
    <t>rescued</t>
  </si>
  <si>
    <t>bailout</t>
  </si>
  <si>
    <t>rescue</t>
  </si>
  <si>
    <t>rescues</t>
  </si>
  <si>
    <t>resentful</t>
  </si>
  <si>
    <t>waste</t>
  </si>
  <si>
    <t>resigned</t>
  </si>
  <si>
    <t>hardy</t>
  </si>
  <si>
    <t>resolve</t>
  </si>
  <si>
    <t>resolving</t>
  </si>
  <si>
    <t>solve</t>
  </si>
  <si>
    <t>endorses</t>
  </si>
  <si>
    <t>backed</t>
  </si>
  <si>
    <t>respected</t>
  </si>
  <si>
    <t>responsible</t>
  </si>
  <si>
    <t>restoring</t>
  </si>
  <si>
    <t>restores</t>
  </si>
  <si>
    <t>restored</t>
  </si>
  <si>
    <t>restore</t>
  </si>
  <si>
    <t>ruins</t>
  </si>
  <si>
    <t>restriction</t>
  </si>
  <si>
    <t>restricts</t>
  </si>
  <si>
    <t>restricted</t>
  </si>
  <si>
    <t>restricting</t>
  </si>
  <si>
    <t>restrict</t>
  </si>
  <si>
    <t>resolute</t>
  </si>
  <si>
    <t>resolved</t>
  </si>
  <si>
    <t>solved</t>
  </si>
  <si>
    <t>resolves</t>
  </si>
  <si>
    <t>solves</t>
  </si>
  <si>
    <t>retard</t>
  </si>
  <si>
    <t>retained</t>
  </si>
  <si>
    <t>retreat</t>
  </si>
  <si>
    <t>walkout</t>
  </si>
  <si>
    <t>withdrawal</t>
  </si>
  <si>
    <t>challenge</t>
  </si>
  <si>
    <t>frisky</t>
  </si>
  <si>
    <t>delayed</t>
  </si>
  <si>
    <t>retarded</t>
  </si>
  <si>
    <t>delay</t>
  </si>
  <si>
    <t>lag</t>
  </si>
  <si>
    <t>tout</t>
  </si>
  <si>
    <t>touts</t>
  </si>
  <si>
    <t>revered</t>
  </si>
  <si>
    <t>revives</t>
  </si>
  <si>
    <t>lagging</t>
  </si>
  <si>
    <t>praying</t>
  </si>
  <si>
    <t>rich</t>
  </si>
  <si>
    <t>wealthy</t>
  </si>
  <si>
    <t>derides</t>
  </si>
  <si>
    <t>derided</t>
  </si>
  <si>
    <t>deride</t>
  </si>
  <si>
    <t>ridiculous</t>
  </si>
  <si>
    <t>risk</t>
  </si>
  <si>
    <t>risks</t>
  </si>
  <si>
    <t>rigorously</t>
  </si>
  <si>
    <t>rigorous</t>
  </si>
  <si>
    <t>wealth</t>
  </si>
  <si>
    <t>laugh</t>
  </si>
  <si>
    <t>laughing</t>
  </si>
  <si>
    <t>laughs</t>
  </si>
  <si>
    <t>stolen</t>
  </si>
  <si>
    <t>rob</t>
  </si>
  <si>
    <t>steal</t>
  </si>
  <si>
    <t>robing</t>
  </si>
  <si>
    <t>steals</t>
  </si>
  <si>
    <t>robs</t>
  </si>
  <si>
    <t>robust</t>
  </si>
  <si>
    <t>rofl</t>
  </si>
  <si>
    <t>roflcopter</t>
  </si>
  <si>
    <t>roflmao</t>
  </si>
  <si>
    <t>romance</t>
  </si>
  <si>
    <t>broke</t>
  </si>
  <si>
    <t>rotfl</t>
  </si>
  <si>
    <t>rotflmfao</t>
  </si>
  <si>
    <t>rotflol</t>
  </si>
  <si>
    <t>broken</t>
  </si>
  <si>
    <t>badass</t>
  </si>
  <si>
    <t>noisy</t>
  </si>
  <si>
    <t>ruin</t>
  </si>
  <si>
    <t>wreck</t>
  </si>
  <si>
    <t>disruption</t>
  </si>
  <si>
    <t>relishing</t>
  </si>
  <si>
    <t>sabotage</t>
  </si>
  <si>
    <t>yummy</t>
  </si>
  <si>
    <t>salient</t>
  </si>
  <si>
    <t>greets</t>
  </si>
  <si>
    <t>healthy</t>
  </si>
  <si>
    <t>greeted</t>
  </si>
  <si>
    <t>greet</t>
  </si>
  <si>
    <t>greeting</t>
  </si>
  <si>
    <t>greetings</t>
  </si>
  <si>
    <t>saved</t>
  </si>
  <si>
    <t>lifesaver</t>
  </si>
  <si>
    <t>save</t>
  </si>
  <si>
    <t>bloody</t>
  </si>
  <si>
    <t>sarcastic</t>
  </si>
  <si>
    <t>pleased</t>
  </si>
  <si>
    <t>satisfied</t>
  </si>
  <si>
    <t>drowns</t>
  </si>
  <si>
    <t>looming</t>
  </si>
  <si>
    <t>commits</t>
  </si>
  <si>
    <t>degrades</t>
  </si>
  <si>
    <t>apologises</t>
  </si>
  <si>
    <t>apologizes</t>
  </si>
  <si>
    <t>hides</t>
  </si>
  <si>
    <t>lurks</t>
  </si>
  <si>
    <t>extends</t>
  </si>
  <si>
    <t>complains</t>
  </si>
  <si>
    <t>laughed</t>
  </si>
  <si>
    <t>abducted</t>
  </si>
  <si>
    <t>abduction</t>
  </si>
  <si>
    <t>abductions</t>
  </si>
  <si>
    <t>supporting</t>
  </si>
  <si>
    <t>sedition</t>
  </si>
  <si>
    <t>seditious</t>
  </si>
  <si>
    <t>seduced</t>
  </si>
  <si>
    <t>supporter</t>
  </si>
  <si>
    <t>safe</t>
  </si>
  <si>
    <t>secure</t>
  </si>
  <si>
    <t>self-confident</t>
  </si>
  <si>
    <t>feeling</t>
  </si>
  <si>
    <t>responsive</t>
  </si>
  <si>
    <t>sentencing</t>
  </si>
  <si>
    <t>heartfelt</t>
  </si>
  <si>
    <t>detached</t>
  </si>
  <si>
    <t>serene</t>
  </si>
  <si>
    <t>earnest</t>
  </si>
  <si>
    <t>helpful</t>
  </si>
  <si>
    <t>sexy</t>
  </si>
  <si>
    <t>shamed</t>
  </si>
  <si>
    <t>significance</t>
  </si>
  <si>
    <t>meaningful</t>
  </si>
  <si>
    <t>significant</t>
  </si>
  <si>
    <t>silencing</t>
  </si>
  <si>
    <t>sympathy</t>
  </si>
  <si>
    <t>sympathetic</t>
  </si>
  <si>
    <t>oversimplified</t>
  </si>
  <si>
    <t>oversimplify</t>
  </si>
  <si>
    <t>uncredited</t>
  </si>
  <si>
    <t>unloved</t>
  </si>
  <si>
    <t>spiritless</t>
  </si>
  <si>
    <t>unsupported</t>
  </si>
  <si>
    <t>toothless</t>
  </si>
  <si>
    <t>charmless</t>
  </si>
  <si>
    <t>hopeless</t>
  </si>
  <si>
    <t>unsecured</t>
  </si>
  <si>
    <t>unequaled</t>
  </si>
  <si>
    <t>unintelligent</t>
  </si>
  <si>
    <t>unmatched</t>
  </si>
  <si>
    <t>safely</t>
  </si>
  <si>
    <t>meaningless</t>
  </si>
  <si>
    <t>untarnished</t>
  </si>
  <si>
    <t>worthless</t>
  </si>
  <si>
    <t>sincerest</t>
  </si>
  <si>
    <t>sincerely</t>
  </si>
  <si>
    <t>sincerity</t>
  </si>
  <si>
    <t>sincere</t>
  </si>
  <si>
    <t>singleminded</t>
  </si>
  <si>
    <t>slickest</t>
  </si>
  <si>
    <t>smiled</t>
  </si>
  <si>
    <t>snubbing</t>
  </si>
  <si>
    <t>bribe</t>
  </si>
  <si>
    <t>overload</t>
  </si>
  <si>
    <t>burdening</t>
  </si>
  <si>
    <t>overreacts</t>
  </si>
  <si>
    <t>overreact</t>
  </si>
  <si>
    <t>overreaction</t>
  </si>
  <si>
    <t>oversimplifies</t>
  </si>
  <si>
    <t>oversimplification</t>
  </si>
  <si>
    <t>surviving</t>
  </si>
  <si>
    <t>survivor</t>
  </si>
  <si>
    <t>survived</t>
  </si>
  <si>
    <t>undermines</t>
  </si>
  <si>
    <t>undermine</t>
  </si>
  <si>
    <t>sophisticated</t>
  </si>
  <si>
    <t>stifled</t>
  </si>
  <si>
    <t>sunshine</t>
  </si>
  <si>
    <t>solemn</t>
  </si>
  <si>
    <t>solidarity</t>
  </si>
  <si>
    <t>solid</t>
  </si>
  <si>
    <t>lonely</t>
  </si>
  <si>
    <t>lonesome</t>
  </si>
  <si>
    <t>alone</t>
  </si>
  <si>
    <t>drop</t>
  </si>
  <si>
    <t>solution</t>
  </si>
  <si>
    <t>solutions</t>
  </si>
  <si>
    <t>glum</t>
  </si>
  <si>
    <t>somber</t>
  </si>
  <si>
    <t>smile</t>
  </si>
  <si>
    <t>smiling</t>
  </si>
  <si>
    <t>smiles</t>
  </si>
  <si>
    <t>supported</t>
  </si>
  <si>
    <t>supports</t>
  </si>
  <si>
    <t>amazes</t>
  </si>
  <si>
    <t>startled</t>
  </si>
  <si>
    <t>restful</t>
  </si>
  <si>
    <t>suspected</t>
  </si>
  <si>
    <t>suspecting</t>
  </si>
  <si>
    <t>suspect</t>
  </si>
  <si>
    <t>suspects</t>
  </si>
  <si>
    <t>spammer</t>
  </si>
  <si>
    <t>squelched</t>
  </si>
  <si>
    <t>underestimates</t>
  </si>
  <si>
    <t>underestimated</t>
  </si>
  <si>
    <t>underestimate</t>
  </si>
  <si>
    <t>grants</t>
  </si>
  <si>
    <t>subversive</t>
  </si>
  <si>
    <t>dirt</t>
  </si>
  <si>
    <t>dirty</t>
  </si>
  <si>
    <t>loose</t>
  </si>
  <si>
    <t>dream</t>
  </si>
  <si>
    <t>dreams</t>
  </si>
  <si>
    <t>luck</t>
  </si>
  <si>
    <t>lucky</t>
  </si>
  <si>
    <t>complacent</t>
  </si>
  <si>
    <t>suffers</t>
  </si>
  <si>
    <t>suffering</t>
  </si>
  <si>
    <t>suffer</t>
  </si>
  <si>
    <t>suicidal</t>
  </si>
  <si>
    <t>suicide</t>
  </si>
  <si>
    <t>super</t>
  </si>
  <si>
    <t>outreach</t>
  </si>
  <si>
    <t>superior</t>
  </si>
  <si>
    <t>suspend</t>
  </si>
  <si>
    <t>suspended</t>
  </si>
  <si>
    <t>suspicious</t>
  </si>
  <si>
    <t>sigh</t>
  </si>
  <si>
    <t>substantial</t>
  </si>
  <si>
    <t>substantially</t>
  </si>
  <si>
    <t>fright</t>
  </si>
  <si>
    <t>scare</t>
  </si>
  <si>
    <t>stingy</t>
  </si>
  <si>
    <t>tops</t>
  </si>
  <si>
    <t>tard</t>
  </si>
  <si>
    <t>ennui</t>
  </si>
  <si>
    <t>loom</t>
  </si>
  <si>
    <t>looms</t>
  </si>
  <si>
    <t>quaking</t>
  </si>
  <si>
    <t>trembling</t>
  </si>
  <si>
    <t>shaky</t>
  </si>
  <si>
    <t>daredevil</t>
  </si>
  <si>
    <t>reckless</t>
  </si>
  <si>
    <t>fearful</t>
  </si>
  <si>
    <t>fearsome</t>
  </si>
  <si>
    <t>dreaded</t>
  </si>
  <si>
    <t>dreading</t>
  </si>
  <si>
    <t>fearing</t>
  </si>
  <si>
    <t>moody</t>
  </si>
  <si>
    <t>tension</t>
  </si>
  <si>
    <t>uptight</t>
  </si>
  <si>
    <t>misrepresentation</t>
  </si>
  <si>
    <t>dire</t>
  </si>
  <si>
    <t>dreadful</t>
  </si>
  <si>
    <t>terrible</t>
  </si>
  <si>
    <t>terribly</t>
  </si>
  <si>
    <t>terror</t>
  </si>
  <si>
    <t>treasure</t>
  </si>
  <si>
    <t>treasures</t>
  </si>
  <si>
    <t>tits</t>
  </si>
  <si>
    <t>tense</t>
  </si>
  <si>
    <t>diffident</t>
  </si>
  <si>
    <t>shy</t>
  </si>
  <si>
    <t>timid</t>
  </si>
  <si>
    <t>timorous</t>
  </si>
  <si>
    <t>kind</t>
  </si>
  <si>
    <t>tolerant</t>
  </si>
  <si>
    <t>swearing</t>
  </si>
  <si>
    <t>dumb</t>
  </si>
  <si>
    <t>fool</t>
  </si>
  <si>
    <t>foolish</t>
  </si>
  <si>
    <t>silly</t>
  </si>
  <si>
    <t>fools</t>
  </si>
  <si>
    <t>awkward</t>
  </si>
  <si>
    <t>torture</t>
  </si>
  <si>
    <t>torturing</t>
  </si>
  <si>
    <t>tortured</t>
  </si>
  <si>
    <t>tortures</t>
  </si>
  <si>
    <t>totalitarian</t>
  </si>
  <si>
    <t>totalitarianism</t>
  </si>
  <si>
    <t>tragedy</t>
  </si>
  <si>
    <t>tragic</t>
  </si>
  <si>
    <t>cocksucker</t>
  </si>
  <si>
    <t>betrayal</t>
  </si>
  <si>
    <t>treason</t>
  </si>
  <si>
    <t>betrays</t>
  </si>
  <si>
    <t>betrayed</t>
  </si>
  <si>
    <t>betray</t>
  </si>
  <si>
    <t>betraying</t>
  </si>
  <si>
    <t>dithering</t>
  </si>
  <si>
    <t>trap</t>
  </si>
  <si>
    <t>cheater</t>
  </si>
  <si>
    <t>cheaters</t>
  </si>
  <si>
    <t>cheats</t>
  </si>
  <si>
    <t>reassures</t>
  </si>
  <si>
    <t>reassured</t>
  </si>
  <si>
    <t>reassuring</t>
  </si>
  <si>
    <t>reassure</t>
  </si>
  <si>
    <t>tranquil</t>
  </si>
  <si>
    <t>swindling</t>
  </si>
  <si>
    <t>upset</t>
  </si>
  <si>
    <t>upsetting</t>
  </si>
  <si>
    <t>disorder</t>
  </si>
  <si>
    <t>upsets</t>
  </si>
  <si>
    <t>trauma</t>
  </si>
  <si>
    <t>traumatic</t>
  </si>
  <si>
    <t>mischief</t>
  </si>
  <si>
    <t>treasonous</t>
  </si>
  <si>
    <t>tremulous</t>
  </si>
  <si>
    <t>cheerless</t>
  </si>
  <si>
    <t>dismal</t>
  </si>
  <si>
    <t>dreary</t>
  </si>
  <si>
    <t>joyless</t>
  </si>
  <si>
    <t>mournful</t>
  </si>
  <si>
    <t>sad</t>
  </si>
  <si>
    <t>sorrowful</t>
  </si>
  <si>
    <t>sadly</t>
  </si>
  <si>
    <t>triumphant</t>
  </si>
  <si>
    <t>triumph</t>
  </si>
  <si>
    <t>dump</t>
  </si>
  <si>
    <t>grave</t>
  </si>
  <si>
    <t>tumor</t>
  </si>
  <si>
    <t>robed</t>
  </si>
  <si>
    <t>once-in-a-lifetime</t>
  </si>
  <si>
    <t>united</t>
  </si>
  <si>
    <t>unified</t>
  </si>
  <si>
    <t>join</t>
  </si>
  <si>
    <t>unresearched</t>
  </si>
  <si>
    <t>urgent</t>
  </si>
  <si>
    <t>useful</t>
  </si>
  <si>
    <t>usefulness</t>
  </si>
  <si>
    <t>hesitant</t>
  </si>
  <si>
    <t>wavering</t>
  </si>
  <si>
    <t>hesitate</t>
  </si>
  <si>
    <t>emptiness</t>
  </si>
  <si>
    <t>empty</t>
  </si>
  <si>
    <t>vague</t>
  </si>
  <si>
    <t>validates</t>
  </si>
  <si>
    <t>validated</t>
  </si>
  <si>
    <t>validate</t>
  </si>
  <si>
    <t>validating</t>
  </si>
  <si>
    <t>brave</t>
  </si>
  <si>
    <t>courageous</t>
  </si>
  <si>
    <t>boldly</t>
  </si>
  <si>
    <t>courage</t>
  </si>
  <si>
    <t>worth</t>
  </si>
  <si>
    <t>wasted</t>
  </si>
  <si>
    <t>vexation</t>
  </si>
  <si>
    <t>beaten</t>
  </si>
  <si>
    <t>poison</t>
  </si>
  <si>
    <t>poisons</t>
  </si>
  <si>
    <t>revenge</t>
  </si>
  <si>
    <t>revengeful</t>
  </si>
  <si>
    <t>advantage</t>
  </si>
  <si>
    <t>advantages</t>
  </si>
  <si>
    <t>fan</t>
  </si>
  <si>
    <t>verdict</t>
  </si>
  <si>
    <t>verdicts</t>
  </si>
  <si>
    <t>shameful</t>
  </si>
  <si>
    <t>embarrassment</t>
  </si>
  <si>
    <t>shame</t>
  </si>
  <si>
    <t>lobby</t>
  </si>
  <si>
    <t>vibrant</t>
  </si>
  <si>
    <t>vicious</t>
  </si>
  <si>
    <t>casualty</t>
  </si>
  <si>
    <t>victim</t>
  </si>
  <si>
    <t>victimized</t>
  </si>
  <si>
    <t>victims</t>
  </si>
  <si>
    <t>fatalities</t>
  </si>
  <si>
    <t>victimizes</t>
  </si>
  <si>
    <t>victimizing</t>
  </si>
  <si>
    <t>victimize</t>
  </si>
  <si>
    <t>wins</t>
  </si>
  <si>
    <t>winning</t>
  </si>
  <si>
    <t>vigilant</t>
  </si>
  <si>
    <t>vile</t>
  </si>
  <si>
    <t>vindicated</t>
  </si>
  <si>
    <t>vindicate</t>
  </si>
  <si>
    <t>violates</t>
  </si>
  <si>
    <t>rape</t>
  </si>
  <si>
    <t>violated</t>
  </si>
  <si>
    <t>rapist</t>
  </si>
  <si>
    <t>violate</t>
  </si>
  <si>
    <t>violating</t>
  </si>
  <si>
    <t>violence</t>
  </si>
  <si>
    <t>violent</t>
  </si>
  <si>
    <t>virtuous</t>
  </si>
  <si>
    <t>virulent</t>
  </si>
  <si>
    <t>vision</t>
  </si>
  <si>
    <t>visioning</t>
  </si>
  <si>
    <t>visionary</t>
  </si>
  <si>
    <t>visions</t>
  </si>
  <si>
    <t>vitality</t>
  </si>
  <si>
    <t>vitamin</t>
  </si>
  <si>
    <t>vitriolic</t>
  </si>
  <si>
    <t>widowed</t>
  </si>
  <si>
    <t>alive</t>
  </si>
  <si>
    <t>vivacious</t>
  </si>
  <si>
    <t>vociferous</t>
  </si>
  <si>
    <t>vulnerability</t>
  </si>
  <si>
    <t>vulnerable</t>
  </si>
  <si>
    <t>won</t>
  </si>
  <si>
    <t>blame</t>
  </si>
  <si>
    <t>blames</t>
  </si>
  <si>
    <t>illegitimate</t>
  </si>
  <si>
    <t>improviser</t>
  </si>
  <si>
    <t>pasquin</t>
  </si>
  <si>
    <t>bot</t>
  </si>
  <si>
    <t>guerilla</t>
  </si>
  <si>
    <t>guerrillero</t>
  </si>
  <si>
    <t>asesina</t>
  </si>
  <si>
    <t>violadora</t>
  </si>
  <si>
    <t>absurd</t>
  </si>
  <si>
    <t>negra</t>
  </si>
  <si>
    <t>hijueputa</t>
  </si>
  <si>
    <t>tombo</t>
  </si>
  <si>
    <t>police officer</t>
  </si>
  <si>
    <t>comunista</t>
  </si>
  <si>
    <t>comunistas</t>
  </si>
  <si>
    <t>facho</t>
  </si>
  <si>
    <t>commie</t>
  </si>
  <si>
    <t>commies</t>
  </si>
  <si>
    <t>negras</t>
  </si>
  <si>
    <t>pornomiseria</t>
  </si>
  <si>
    <t>misery porn</t>
  </si>
  <si>
    <t>periodista prepago</t>
  </si>
  <si>
    <t>journalist whore</t>
  </si>
  <si>
    <t>abudinear</t>
  </si>
  <si>
    <t>abudinearon</t>
  </si>
  <si>
    <t>devaluado</t>
  </si>
  <si>
    <t>revaluado</t>
  </si>
  <si>
    <t>devaluated</t>
  </si>
  <si>
    <t>revaluated</t>
  </si>
  <si>
    <t>depreciado</t>
  </si>
  <si>
    <t>reapreciado</t>
  </si>
  <si>
    <t>depreciated</t>
  </si>
  <si>
    <t>bobo</t>
  </si>
  <si>
    <t>bruto</t>
  </si>
  <si>
    <t>llorando</t>
  </si>
  <si>
    <t>thief</t>
  </si>
  <si>
    <t>ladrón</t>
  </si>
  <si>
    <t>ladrones</t>
  </si>
  <si>
    <t>thieves</t>
  </si>
  <si>
    <t>narco</t>
  </si>
  <si>
    <t>druglord</t>
  </si>
  <si>
    <t>paraco</t>
  </si>
  <si>
    <t>pendejo</t>
  </si>
  <si>
    <t>pendejas</t>
  </si>
  <si>
    <t xml:space="preserve">pendeja </t>
  </si>
  <si>
    <t>corruption</t>
  </si>
  <si>
    <t xml:space="preserve">corrupt </t>
  </si>
  <si>
    <t>corrupción</t>
  </si>
  <si>
    <t>corrupto</t>
  </si>
  <si>
    <t>corrupta</t>
  </si>
  <si>
    <t>corrupt</t>
  </si>
  <si>
    <t xml:space="preserve">acecha </t>
  </si>
  <si>
    <t>golpear</t>
  </si>
  <si>
    <t>slams</t>
  </si>
  <si>
    <t>inflación</t>
  </si>
  <si>
    <t>inflation</t>
  </si>
  <si>
    <t>pobres</t>
  </si>
  <si>
    <t>poors</t>
  </si>
  <si>
    <t>devaluación</t>
  </si>
  <si>
    <t>depreciación</t>
  </si>
  <si>
    <t>revaluación</t>
  </si>
  <si>
    <t>apreciación</t>
  </si>
  <si>
    <t>devaluation</t>
  </si>
  <si>
    <t>depreciation</t>
  </si>
  <si>
    <t>revaluatiob</t>
  </si>
  <si>
    <t>aprecciation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</si>
</sst>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505"/>
  <sheetViews>
    <sheetView tabSelected="1" topLeftCell="A2485" workbookViewId="0">
      <selection activeCell="L2496" sqref="L2496"/>
    </sheetView>
  </sheetViews>
  <sheetFormatPr defaultColWidth="12.5703125" defaultRowHeight="15.75" customHeight="1" x14ac:dyDescent="0.2"/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x14ac:dyDescent="0.2">
      <c r="A2" s="1" t="str">
        <f ca="1">IFERROR(__xludf.DUMMYFUNCTION("GOOGLETRANSLATE(C2, ""en"", ""es"")"),"a bordo")</f>
        <v>a bordo</v>
      </c>
      <c r="B2" s="1">
        <v>1</v>
      </c>
      <c r="C2" s="1" t="s">
        <v>3</v>
      </c>
    </row>
    <row r="3" spans="1:3" ht="12.75" x14ac:dyDescent="0.2">
      <c r="A3" s="1" t="s">
        <v>788</v>
      </c>
      <c r="B3" s="1">
        <v>-2</v>
      </c>
      <c r="C3" s="1" t="s">
        <v>789</v>
      </c>
    </row>
    <row r="4" spans="1:3" ht="12.75" x14ac:dyDescent="0.2">
      <c r="A4" s="1" t="str">
        <f ca="1">IFERROR(__xludf.DUMMYFUNCTION("GOOGLETRANSLATE(C4, ""en"", ""es"")"),"abandonado")</f>
        <v>abandonado</v>
      </c>
      <c r="B4" s="1">
        <v>-2</v>
      </c>
      <c r="C4" s="1" t="s">
        <v>5</v>
      </c>
    </row>
    <row r="5" spans="1:3" ht="12.75" x14ac:dyDescent="0.2">
      <c r="A5" s="1" t="str">
        <f ca="1">IFERROR(__xludf.DUMMYFUNCTION("GOOGLETRANSLATE(C5, ""en"", ""es"")"),"abandonar")</f>
        <v>abandonar</v>
      </c>
      <c r="B5" s="1">
        <v>-2</v>
      </c>
      <c r="C5" s="1" t="s">
        <v>6</v>
      </c>
    </row>
    <row r="6" spans="1:3" ht="12.75" x14ac:dyDescent="0.2">
      <c r="A6" s="1" t="str">
        <f ca="1">IFERROR(__xludf.DUMMYFUNCTION("GOOGLETRANSLATE(C3, ""en"", ""es"")"),"abandonarse")</f>
        <v>abandonarse</v>
      </c>
      <c r="B6" s="1">
        <v>-2</v>
      </c>
      <c r="C6" s="1" t="s">
        <v>4</v>
      </c>
    </row>
    <row r="7" spans="1:3" ht="12.75" x14ac:dyDescent="0.2">
      <c r="A7" s="1" t="str">
        <f ca="1">IFERROR(__xludf.DUMMYFUNCTION("GOOGLETRANSLATE(C12, ""en"", ""es"")"),"abarcar")</f>
        <v>abarcar</v>
      </c>
      <c r="B7" s="1">
        <v>1</v>
      </c>
      <c r="C7" s="1" t="s">
        <v>13</v>
      </c>
    </row>
    <row r="8" spans="1:3" ht="12.75" x14ac:dyDescent="0.2">
      <c r="A8" s="1" t="str">
        <f ca="1">IFERROR(__xludf.DUMMYFUNCTION("GOOGLETRANSLATE(C6, ""en"", ""es"")"),"abatido")</f>
        <v>abatido</v>
      </c>
      <c r="B8" s="1">
        <v>-2</v>
      </c>
      <c r="C8" s="1" t="s">
        <v>7</v>
      </c>
    </row>
    <row r="9" spans="1:3" ht="12.75" x14ac:dyDescent="0.2">
      <c r="A9" s="1" t="str">
        <f ca="1">IFERROR(__xludf.DUMMYFUNCTION("GOOGLETRANSLATE(C7, ""en"", ""es"")"),"abatido")</f>
        <v>abatido</v>
      </c>
      <c r="B9" s="1">
        <v>-3</v>
      </c>
      <c r="C9" s="1" t="s">
        <v>8</v>
      </c>
    </row>
    <row r="10" spans="1:3" ht="12.75" x14ac:dyDescent="0.2">
      <c r="A10" s="1" t="str">
        <f ca="1">IFERROR(__xludf.DUMMYFUNCTION("GOOGLETRANSLATE(C8, ""en"", ""es"")"),"aborrecer")</f>
        <v>aborrecer</v>
      </c>
      <c r="B10" s="1">
        <v>-3</v>
      </c>
      <c r="C10" s="1" t="s">
        <v>9</v>
      </c>
    </row>
    <row r="11" spans="1:3" ht="12.75" x14ac:dyDescent="0.2">
      <c r="A11" s="1" t="str">
        <f ca="1">IFERROR(__xludf.DUMMYFUNCTION("GOOGLETRANSLATE(C9, ""en"", ""es"")"),"aborrecer")</f>
        <v>aborrecer</v>
      </c>
      <c r="B11" s="1">
        <v>-3</v>
      </c>
      <c r="C11" s="1" t="s">
        <v>10</v>
      </c>
    </row>
    <row r="12" spans="1:3" ht="12.75" x14ac:dyDescent="0.2">
      <c r="A12" s="1" t="str">
        <f ca="1">IFERROR(__xludf.DUMMYFUNCTION("GOOGLETRANSLATE(C10, ""en"", ""es"")"),"aborrecible")</f>
        <v>aborrecible</v>
      </c>
      <c r="B12" s="1">
        <v>-3</v>
      </c>
      <c r="C12" s="1" t="s">
        <v>11</v>
      </c>
    </row>
    <row r="13" spans="1:3" ht="12.75" x14ac:dyDescent="0.2">
      <c r="A13" s="1" t="str">
        <f ca="1">IFERROR(__xludf.DUMMYFUNCTION("GOOGLETRANSLATE(C11, ""en"", ""es"")"),"aborrecido")</f>
        <v>aborrecido</v>
      </c>
      <c r="B13" s="1">
        <v>-3</v>
      </c>
      <c r="C13" s="1" t="s">
        <v>12</v>
      </c>
    </row>
    <row r="14" spans="1:3" ht="12.75" x14ac:dyDescent="0.2">
      <c r="A14" s="1" t="str">
        <f ca="1">IFERROR(__xludf.DUMMYFUNCTION("GOOGLETRANSLATE(C13, ""en"", ""es"")"),"abrazo")</f>
        <v>abrazo</v>
      </c>
      <c r="B14" s="1">
        <v>2</v>
      </c>
      <c r="C14" s="1" t="s">
        <v>14</v>
      </c>
    </row>
    <row r="15" spans="1:3" ht="12.75" x14ac:dyDescent="0.2">
      <c r="A15" s="1" t="str">
        <f ca="1">IFERROR(__xludf.DUMMYFUNCTION("GOOGLETRANSLATE(C14, ""en"", ""es"")"),"abrazos")</f>
        <v>abrazos</v>
      </c>
      <c r="B15" s="1">
        <v>2</v>
      </c>
      <c r="C15" s="1" t="s">
        <v>15</v>
      </c>
    </row>
    <row r="16" spans="1:3" ht="12.75" x14ac:dyDescent="0.2">
      <c r="A16" s="1" t="str">
        <f ca="1">IFERROR(__xludf.DUMMYFUNCTION("GOOGLETRANSLATE(C19, ""en"", ""es"")"),"abreviado")</f>
        <v>abreviado</v>
      </c>
      <c r="B16" s="1">
        <v>2</v>
      </c>
      <c r="C16" s="1" t="s">
        <v>20</v>
      </c>
    </row>
    <row r="17" spans="1:3" ht="12.75" x14ac:dyDescent="0.2">
      <c r="A17" s="1" t="str">
        <f ca="1">IFERROR(__xludf.DUMMYFUNCTION("GOOGLETRANSLATE(C16, ""en"", ""es"")"),"absolver")</f>
        <v>absolver</v>
      </c>
      <c r="B17" s="1">
        <v>2</v>
      </c>
      <c r="C17" s="1" t="s">
        <v>17</v>
      </c>
    </row>
    <row r="18" spans="1:3" ht="12.75" x14ac:dyDescent="0.2">
      <c r="A18" s="1" t="str">
        <f ca="1">IFERROR(__xludf.DUMMYFUNCTION("GOOGLETRANSLATE(C17, ""en"", ""es"")"),"absolver")</f>
        <v>absolver</v>
      </c>
      <c r="B18" s="1">
        <v>2</v>
      </c>
      <c r="C18" s="1" t="s">
        <v>18</v>
      </c>
    </row>
    <row r="19" spans="1:3" ht="12.75" x14ac:dyDescent="0.2">
      <c r="A19" s="1" t="str">
        <f ca="1">IFERROR(__xludf.DUMMYFUNCTION("GOOGLETRANSLATE(C20, ""en"", ""es"")"),"absorbido")</f>
        <v>absorbido</v>
      </c>
      <c r="B19" s="1">
        <v>1</v>
      </c>
      <c r="C19" s="1" t="s">
        <v>21</v>
      </c>
    </row>
    <row r="20" spans="1:3" ht="12.75" x14ac:dyDescent="0.2">
      <c r="A20" s="1" t="str">
        <f ca="1">IFERROR(__xludf.DUMMYFUNCTION("GOOGLETRANSLATE(C18, ""en"", ""es"")"),"absorción")</f>
        <v>absorción</v>
      </c>
      <c r="B20" s="1">
        <v>2</v>
      </c>
      <c r="C20" s="1" t="s">
        <v>19</v>
      </c>
    </row>
    <row r="21" spans="1:3" ht="12.75" x14ac:dyDescent="0.2">
      <c r="A21" s="1" t="str">
        <f ca="1">IFERROR(__xludf.DUMMYFUNCTION("GOOGLETRANSLATE(C21, ""en"", ""es"")"),"absorto")</f>
        <v>absorto</v>
      </c>
      <c r="B21" s="1">
        <v>1</v>
      </c>
      <c r="C21" s="1" t="s">
        <v>22</v>
      </c>
    </row>
    <row r="22" spans="1:3" ht="12.75" x14ac:dyDescent="0.2">
      <c r="A22" s="1" t="str">
        <f ca="1">IFERROR(__xludf.DUMMYFUNCTION("GOOGLETRANSLATE(C22, ""en"", ""es"")"),"absuelto")</f>
        <v>absuelto</v>
      </c>
      <c r="B22" s="1">
        <v>2</v>
      </c>
      <c r="C22" s="1" t="s">
        <v>23</v>
      </c>
    </row>
    <row r="23" spans="1:3" ht="12.75" x14ac:dyDescent="0.2">
      <c r="A23" s="1" t="str">
        <f ca="1">IFERROR(__xludf.DUMMYFUNCTION("GOOGLETRANSLATE(C24, ""en"", ""es"")"),"absurdo")</f>
        <v>absurdo</v>
      </c>
      <c r="B23" s="1">
        <v>-2</v>
      </c>
      <c r="C23" s="1" t="s">
        <v>2474</v>
      </c>
    </row>
    <row r="24" spans="1:3" ht="12.75" x14ac:dyDescent="0.2">
      <c r="A24" s="1" t="s">
        <v>2489</v>
      </c>
      <c r="B24" s="1">
        <v>-3</v>
      </c>
      <c r="C24" s="1" t="s">
        <v>2489</v>
      </c>
    </row>
    <row r="25" spans="1:3" ht="12.75" x14ac:dyDescent="0.2">
      <c r="A25" s="1" t="s">
        <v>2490</v>
      </c>
      <c r="B25" s="1">
        <v>-3</v>
      </c>
      <c r="C25" s="1" t="s">
        <v>2490</v>
      </c>
    </row>
    <row r="26" spans="1:3" ht="12.75" x14ac:dyDescent="0.2">
      <c r="A26" s="1" t="str">
        <f ca="1">IFERROR(__xludf.DUMMYFUNCTION("GOOGLETRANSLATE(C25, ""en"", ""es"")"),"aburrido")</f>
        <v>aburrido</v>
      </c>
      <c r="B26" s="1">
        <v>-2</v>
      </c>
      <c r="C26" s="1" t="s">
        <v>25</v>
      </c>
    </row>
    <row r="27" spans="1:3" ht="12.75" x14ac:dyDescent="0.2">
      <c r="A27" s="1" t="str">
        <f ca="1">IFERROR(__xludf.DUMMYFUNCTION("GOOGLETRANSLATE(C26, ""en"", ""es"")"),"aburrido")</f>
        <v>aburrido</v>
      </c>
      <c r="B27" s="1">
        <v>-3</v>
      </c>
      <c r="C27" s="1" t="s">
        <v>26</v>
      </c>
    </row>
    <row r="28" spans="1:3" ht="12.75" x14ac:dyDescent="0.2">
      <c r="A28" s="1" t="str">
        <f ca="1">IFERROR(__xludf.DUMMYFUNCTION("GOOGLETRANSLATE(C28, ""en"", ""es"")"),"aburrir")</f>
        <v>aburrir</v>
      </c>
      <c r="B28" s="1">
        <v>-2</v>
      </c>
      <c r="C28" s="1" t="s">
        <v>28</v>
      </c>
    </row>
    <row r="29" spans="1:3" ht="12.75" x14ac:dyDescent="0.2">
      <c r="A29" s="1" t="str">
        <f ca="1">IFERROR(__xludf.DUMMYFUNCTION("GOOGLETRANSLATE(C29, ""en"", ""es"")"),"abusado")</f>
        <v>abusado</v>
      </c>
      <c r="B29" s="1">
        <v>-3</v>
      </c>
      <c r="C29" s="1" t="s">
        <v>29</v>
      </c>
    </row>
    <row r="30" spans="1:3" ht="12.75" x14ac:dyDescent="0.2">
      <c r="A30" s="1" t="str">
        <f ca="1">IFERROR(__xludf.DUMMYFUNCTION("GOOGLETRANSLATE(C30, ""en"", ""es"")"),"abusivo")</f>
        <v>abusivo</v>
      </c>
      <c r="B30" s="1">
        <v>-3</v>
      </c>
      <c r="C30" s="1" t="s">
        <v>30</v>
      </c>
    </row>
    <row r="31" spans="1:3" ht="12.75" x14ac:dyDescent="0.2">
      <c r="A31" s="1" t="str">
        <f ca="1">IFERROR(__xludf.DUMMYFUNCTION("GOOGLETRANSLATE(C31, ""en"", ""es"")"),"abuso")</f>
        <v>abuso</v>
      </c>
      <c r="B31" s="1">
        <v>-3</v>
      </c>
      <c r="C31" s="1" t="s">
        <v>31</v>
      </c>
    </row>
    <row r="32" spans="1:3" ht="12.75" x14ac:dyDescent="0.2">
      <c r="A32" s="1" t="str">
        <f ca="1">IFERROR(__xludf.DUMMYFUNCTION("GOOGLETRANSLATE(C32, ""en"", ""es"")"),"abusos")</f>
        <v>abusos</v>
      </c>
      <c r="B32" s="1">
        <v>-3</v>
      </c>
      <c r="C32" s="1" t="s">
        <v>32</v>
      </c>
    </row>
    <row r="33" spans="1:3" ht="12.75" x14ac:dyDescent="0.2">
      <c r="A33" s="1" t="str">
        <f ca="1">IFERROR(__xludf.DUMMYFUNCTION("GOOGLETRANSLATE(C33, ""en"", ""es"")"),"acaparador")</f>
        <v>acaparador</v>
      </c>
      <c r="B33" s="1">
        <v>-2</v>
      </c>
      <c r="C33" s="1" t="s">
        <v>33</v>
      </c>
    </row>
    <row r="34" spans="1:3" ht="12.75" x14ac:dyDescent="0.2">
      <c r="A34" s="1" t="str">
        <f ca="1">IFERROR(__xludf.DUMMYFUNCTION("GOOGLETRANSLATE(C35, ""en"", ""es"")"),"accidental")</f>
        <v>accidental</v>
      </c>
      <c r="B34" s="1">
        <v>-2</v>
      </c>
      <c r="C34" s="1" t="s">
        <v>35</v>
      </c>
    </row>
    <row r="35" spans="1:3" ht="12.75" x14ac:dyDescent="0.2">
      <c r="A35" s="1" t="str">
        <f ca="1">IFERROR(__xludf.DUMMYFUNCTION("GOOGLETRANSLATE(C36, ""en"", ""es"")"),"accidentalmente")</f>
        <v>accidentalmente</v>
      </c>
      <c r="B35" s="1">
        <v>-2</v>
      </c>
      <c r="C35" s="1" t="s">
        <v>36</v>
      </c>
    </row>
    <row r="36" spans="1:3" ht="12.75" x14ac:dyDescent="0.2">
      <c r="A36" s="1" t="str">
        <f ca="1">IFERROR(__xludf.DUMMYFUNCTION("GOOGLETRANSLATE(C37, ""en"", ""es"")"),"accidente")</f>
        <v>accidente</v>
      </c>
      <c r="B36" s="1">
        <v>-2</v>
      </c>
      <c r="C36" s="1" t="s">
        <v>37</v>
      </c>
    </row>
    <row r="37" spans="1:3" ht="12.75" x14ac:dyDescent="0.2">
      <c r="A37" s="1" t="str">
        <f ca="1">IFERROR(__xludf.DUMMYFUNCTION("GOOGLETRANSLATE(C38, ""en"", ""es"")"),"accidentes")</f>
        <v>accidentes</v>
      </c>
      <c r="B37" s="1">
        <v>-2</v>
      </c>
      <c r="C37" s="1" t="s">
        <v>38</v>
      </c>
    </row>
    <row r="38" spans="1:3" ht="12.75" x14ac:dyDescent="0.2">
      <c r="A38" s="1" t="str">
        <f ca="1">IFERROR(__xludf.DUMMYFUNCTION("GOOGLETRANSLATE(C1031, ""en"", ""es"")"),"Acechar")</f>
        <v>Acechar</v>
      </c>
      <c r="B38" s="1">
        <v>-1</v>
      </c>
      <c r="C38" s="1" t="s">
        <v>1033</v>
      </c>
    </row>
    <row r="39" spans="1:3" ht="12.75" x14ac:dyDescent="0.2">
      <c r="A39" s="1" t="str">
        <f ca="1">IFERROR(__xludf.DUMMYFUNCTION("GOOGLETRANSLATE(C241, ""en"", ""es"")"),"acelerado")</f>
        <v>acelerado</v>
      </c>
      <c r="B39" s="1">
        <v>2</v>
      </c>
      <c r="C39" s="1" t="s">
        <v>241</v>
      </c>
    </row>
    <row r="40" spans="1:3" ht="12.75" x14ac:dyDescent="0.2">
      <c r="A40" s="1" t="str">
        <f ca="1">IFERROR(__xludf.DUMMYFUNCTION("GOOGLETRANSLATE(C39, ""en"", ""es"")"),"aceptación")</f>
        <v>aceptación</v>
      </c>
      <c r="B40" s="1">
        <v>1</v>
      </c>
      <c r="C40" s="1" t="s">
        <v>39</v>
      </c>
    </row>
    <row r="41" spans="1:3" ht="12.75" x14ac:dyDescent="0.2">
      <c r="A41" s="1" t="str">
        <f ca="1">IFERROR(__xludf.DUMMYFUNCTION("GOOGLETRANSLATE(C43, ""en"", ""es"")"),"aceptación")</f>
        <v>aceptación</v>
      </c>
      <c r="B41" s="1">
        <v>1</v>
      </c>
      <c r="C41" s="1" t="s">
        <v>43</v>
      </c>
    </row>
    <row r="42" spans="1:3" ht="12.75" x14ac:dyDescent="0.2">
      <c r="A42" s="1" t="str">
        <f ca="1">IFERROR(__xludf.DUMMYFUNCTION("GOOGLETRANSLATE(C40, ""en"", ""es"")"),"aceptado")</f>
        <v>aceptado</v>
      </c>
      <c r="B42" s="1">
        <v>1</v>
      </c>
      <c r="C42" s="1" t="s">
        <v>40</v>
      </c>
    </row>
    <row r="43" spans="1:3" ht="12.75" x14ac:dyDescent="0.2">
      <c r="A43" s="1" t="str">
        <f ca="1">IFERROR(__xludf.DUMMYFUNCTION("GOOGLETRANSLATE(C41, ""en"", ""es"")"),"aceptado")</f>
        <v>aceptado</v>
      </c>
      <c r="B43" s="1">
        <v>-1</v>
      </c>
      <c r="C43" s="1" t="s">
        <v>41</v>
      </c>
    </row>
    <row r="44" spans="1:3" ht="12.75" x14ac:dyDescent="0.2">
      <c r="A44" s="1" t="str">
        <f ca="1">IFERROR(__xludf.DUMMYFUNCTION("GOOGLETRANSLATE(C42, ""en"", ""es"")"),"aceptar")</f>
        <v>aceptar</v>
      </c>
      <c r="B44" s="1">
        <v>1</v>
      </c>
      <c r="C44" s="1" t="s">
        <v>42</v>
      </c>
    </row>
    <row r="45" spans="1:3" ht="12.75" x14ac:dyDescent="0.2">
      <c r="A45" s="1" t="str">
        <f ca="1">IFERROR(__xludf.DUMMYFUNCTION("GOOGLETRANSLATE(C640, ""en"", ""es"")"),"aceptar")</f>
        <v>aceptar</v>
      </c>
      <c r="B45" s="1">
        <v>1</v>
      </c>
      <c r="C45" s="1" t="s">
        <v>640</v>
      </c>
    </row>
    <row r="46" spans="1:3" ht="12.75" x14ac:dyDescent="0.2">
      <c r="A46" s="1" t="str">
        <f ca="1">IFERROR(__xludf.DUMMYFUNCTION("GOOGLETRANSLATE(C1259, ""en"", ""es"")"),"aclamado")</f>
        <v>aclamado</v>
      </c>
      <c r="B46" s="1">
        <v>2</v>
      </c>
      <c r="C46" s="1" t="s">
        <v>1261</v>
      </c>
    </row>
    <row r="47" spans="1:3" ht="12.75" x14ac:dyDescent="0.2">
      <c r="A47" s="1" t="str">
        <f ca="1">IFERROR(__xludf.DUMMYFUNCTION("GOOGLETRANSLATE(C45, ""en"", ""es"")"),"aclarar")</f>
        <v>aclarar</v>
      </c>
      <c r="B47" s="1">
        <v>2</v>
      </c>
      <c r="C47" s="1" t="s">
        <v>45</v>
      </c>
    </row>
    <row r="48" spans="1:3" ht="12.75" x14ac:dyDescent="0.2">
      <c r="A48" s="1" t="str">
        <f ca="1">IFERROR(__xludf.DUMMYFUNCTION("GOOGLETRANSLATE(C584, ""en"", ""es"")"),"acordado")</f>
        <v>acordado</v>
      </c>
      <c r="B48" s="1">
        <v>1</v>
      </c>
      <c r="C48" s="1" t="s">
        <v>583</v>
      </c>
    </row>
    <row r="49" spans="1:3" ht="12.75" x14ac:dyDescent="0.2">
      <c r="A49" s="1" t="str">
        <f ca="1">IFERROR(__xludf.DUMMYFUNCTION("GOOGLETRANSLATE(C46, ""en"", ""es"")"),"acosado")</f>
        <v>acosado</v>
      </c>
      <c r="B49" s="1">
        <v>-2</v>
      </c>
      <c r="C49" s="1" t="s">
        <v>46</v>
      </c>
    </row>
    <row r="50" spans="1:3" ht="12.75" x14ac:dyDescent="0.2">
      <c r="A50" s="1" t="str">
        <f ca="1">IFERROR(__xludf.DUMMYFUNCTION("GOOGLETRANSLATE(C47, ""en"", ""es"")"),"acosado")</f>
        <v>acosado</v>
      </c>
      <c r="B50" s="1">
        <v>-2</v>
      </c>
      <c r="C50" s="1" t="s">
        <v>47</v>
      </c>
    </row>
    <row r="51" spans="1:3" ht="12.75" x14ac:dyDescent="0.2">
      <c r="A51" s="1" t="str">
        <f ca="1">IFERROR(__xludf.DUMMYFUNCTION("GOOGLETRANSLATE(C48, ""en"", ""es"")"),"acoso")</f>
        <v>acoso</v>
      </c>
      <c r="B51" s="1">
        <v>-2</v>
      </c>
      <c r="C51" s="1" t="s">
        <v>48</v>
      </c>
    </row>
    <row r="52" spans="1:3" ht="12.75" x14ac:dyDescent="0.2">
      <c r="A52" s="1" t="str">
        <f ca="1">IFERROR(__xludf.DUMMYFUNCTION("GOOGLETRANSLATE(C49, ""en"", ""es"")"),"activo")</f>
        <v>activo</v>
      </c>
      <c r="B52" s="1">
        <v>1</v>
      </c>
      <c r="C52" s="1" t="s">
        <v>49</v>
      </c>
    </row>
    <row r="53" spans="1:3" ht="12.75" x14ac:dyDescent="0.2">
      <c r="A53" s="1" t="str">
        <f ca="1">IFERROR(__xludf.DUMMYFUNCTION("GOOGLETRANSLATE(C50, ""en"", ""es"")"),"activo")</f>
        <v>activo</v>
      </c>
      <c r="B53" s="1">
        <v>2</v>
      </c>
      <c r="C53" s="1" t="s">
        <v>50</v>
      </c>
    </row>
    <row r="54" spans="1:3" ht="12.75" x14ac:dyDescent="0.2">
      <c r="A54" s="1" t="str">
        <f ca="1">IFERROR(__xludf.DUMMYFUNCTION("GOOGLETRANSLATE(C367, ""en"", ""es"")"),"activos")</f>
        <v>activos</v>
      </c>
      <c r="B54" s="1">
        <v>2</v>
      </c>
      <c r="C54" s="1" t="s">
        <v>367</v>
      </c>
    </row>
    <row r="55" spans="1:3" ht="12.75" x14ac:dyDescent="0.2">
      <c r="A55" s="1" t="s">
        <v>2517</v>
      </c>
      <c r="B55" s="1">
        <v>-1</v>
      </c>
      <c r="C55" s="1" t="s">
        <v>2168</v>
      </c>
    </row>
    <row r="56" spans="1:3" ht="12.75" x14ac:dyDescent="0.2">
      <c r="A56" s="1" t="str">
        <f ca="1">IFERROR(__xludf.DUMMYFUNCTION("GOOGLETRANSLATE(C54, ""en"", ""es"")"),"acusación")</f>
        <v>acusación</v>
      </c>
      <c r="B56" s="1">
        <v>-2</v>
      </c>
      <c r="C56" s="1" t="s">
        <v>54</v>
      </c>
    </row>
    <row r="57" spans="1:3" ht="12.75" x14ac:dyDescent="0.2">
      <c r="A57" s="1" t="str">
        <f ca="1">IFERROR(__xludf.DUMMYFUNCTION("GOOGLETRANSLATE(C53, ""en"", ""es"")"),"acusaciones")</f>
        <v>acusaciones</v>
      </c>
      <c r="B57" s="1">
        <v>-2</v>
      </c>
      <c r="C57" s="1" t="s">
        <v>53</v>
      </c>
    </row>
    <row r="58" spans="1:3" ht="12.75" x14ac:dyDescent="0.2">
      <c r="A58" s="1" t="str">
        <f ca="1">IFERROR(__xludf.DUMMYFUNCTION("GOOGLETRANSLATE(C55, ""en"", ""es"")"),"acusaciones")</f>
        <v>acusaciones</v>
      </c>
      <c r="B58" s="1">
        <v>-2</v>
      </c>
      <c r="C58" s="1" t="s">
        <v>55</v>
      </c>
    </row>
    <row r="59" spans="1:3" ht="12.75" x14ac:dyDescent="0.2">
      <c r="A59" s="1" t="str">
        <f ca="1">IFERROR(__xludf.DUMMYFUNCTION("GOOGLETRANSLATE(C56, ""en"", ""es"")"),"acusado")</f>
        <v>acusado</v>
      </c>
      <c r="B59" s="1">
        <v>-2</v>
      </c>
      <c r="C59" s="1" t="s">
        <v>56</v>
      </c>
    </row>
    <row r="60" spans="1:3" ht="12.75" x14ac:dyDescent="0.2">
      <c r="A60" s="1" t="str">
        <f ca="1">IFERROR(__xludf.DUMMYFUNCTION("GOOGLETRANSLATE(C57, ""en"", ""es"")"),"acusador")</f>
        <v>acusador</v>
      </c>
      <c r="B60" s="1">
        <v>-2</v>
      </c>
      <c r="C60" s="1" t="s">
        <v>57</v>
      </c>
    </row>
    <row r="61" spans="1:3" ht="12.75" x14ac:dyDescent="0.2">
      <c r="A61" s="1" t="str">
        <f ca="1">IFERROR(__xludf.DUMMYFUNCTION("GOOGLETRANSLATE(C58, ""en"", ""es"")"),"acusar")</f>
        <v>acusar</v>
      </c>
      <c r="B61" s="1">
        <v>-2</v>
      </c>
      <c r="C61" s="1" t="s">
        <v>58</v>
      </c>
    </row>
    <row r="62" spans="1:3" ht="12.75" x14ac:dyDescent="0.2">
      <c r="A62" s="1" t="str">
        <f ca="1">IFERROR(__xludf.DUMMYFUNCTION("GOOGLETRANSLATE(C59, ""en"", ""es"")"),"adecuado")</f>
        <v>adecuado</v>
      </c>
      <c r="B62" s="1">
        <v>1</v>
      </c>
      <c r="C62" s="1" t="s">
        <v>59</v>
      </c>
    </row>
    <row r="63" spans="1:3" ht="12.75" x14ac:dyDescent="0.2">
      <c r="A63" s="1" t="str">
        <f ca="1">IFERROR(__xludf.DUMMYFUNCTION("GOOGLETRANSLATE(C2421, ""en"", ""es"")"),"admirador")</f>
        <v>admirador</v>
      </c>
      <c r="B63" s="1">
        <v>3</v>
      </c>
      <c r="C63" s="1" t="s">
        <v>2417</v>
      </c>
    </row>
    <row r="64" spans="1:3" ht="12.75" x14ac:dyDescent="0.2">
      <c r="A64" s="1" t="str">
        <f ca="1">IFERROR(__xludf.DUMMYFUNCTION("GOOGLETRANSLATE(C60, ""en"", ""es"")"),"admirando")</f>
        <v>admirando</v>
      </c>
      <c r="B64" s="1">
        <v>3</v>
      </c>
      <c r="C64" s="1" t="s">
        <v>60</v>
      </c>
    </row>
    <row r="65" spans="1:3" ht="12.75" x14ac:dyDescent="0.2">
      <c r="A65" s="1" t="str">
        <f ca="1">IFERROR(__xludf.DUMMYFUNCTION("GOOGLETRANSLATE(C61, ""en"", ""es"")"),"admirar")</f>
        <v>admirar</v>
      </c>
      <c r="B65" s="1">
        <v>3</v>
      </c>
      <c r="C65" s="1" t="s">
        <v>61</v>
      </c>
    </row>
    <row r="66" spans="1:3" ht="12.75" x14ac:dyDescent="0.2">
      <c r="A66" s="1" t="str">
        <f ca="1">IFERROR(__xludf.DUMMYFUNCTION("GOOGLETRANSLATE(C62, ""en"", ""es"")"),"admirativo")</f>
        <v>admirativo</v>
      </c>
      <c r="B66" s="1">
        <v>3</v>
      </c>
      <c r="C66" s="1" t="s">
        <v>62</v>
      </c>
    </row>
    <row r="67" spans="1:3" ht="12.75" x14ac:dyDescent="0.2">
      <c r="A67" s="1" t="str">
        <f ca="1">IFERROR(__xludf.DUMMYFUNCTION("GOOGLETRANSLATE(C63, ""en"", ""es"")"),"admite")</f>
        <v>admite</v>
      </c>
      <c r="B67" s="1">
        <v>-1</v>
      </c>
      <c r="C67" s="1" t="s">
        <v>63</v>
      </c>
    </row>
    <row r="68" spans="1:3" ht="12.75" x14ac:dyDescent="0.2">
      <c r="A68" s="1" t="str">
        <f ca="1">IFERROR(__xludf.DUMMYFUNCTION("GOOGLETRANSLATE(C64, ""en"", ""es"")"),"admitir")</f>
        <v>admitir</v>
      </c>
      <c r="B68" s="1">
        <v>-1</v>
      </c>
      <c r="C68" s="1" t="s">
        <v>64</v>
      </c>
    </row>
    <row r="69" spans="1:3" ht="12.75" x14ac:dyDescent="0.2">
      <c r="A69" s="1" t="str">
        <f ca="1">IFERROR(__xludf.DUMMYFUNCTION("GOOGLETRANSLATE(C66, ""en"", ""es"")"),"adoctrinado")</f>
        <v>adoctrinado</v>
      </c>
      <c r="B69" s="1">
        <v>-2</v>
      </c>
      <c r="C69" s="1" t="s">
        <v>66</v>
      </c>
    </row>
    <row r="70" spans="1:3" ht="12.75" x14ac:dyDescent="0.2">
      <c r="A70" s="1" t="str">
        <f ca="1">IFERROR(__xludf.DUMMYFUNCTION("GOOGLETRANSLATE(C67, ""en"", ""es"")"),"adoctrinar")</f>
        <v>adoctrinar</v>
      </c>
      <c r="B70" s="1">
        <v>-2</v>
      </c>
      <c r="C70" s="1" t="s">
        <v>67</v>
      </c>
    </row>
    <row r="71" spans="1:3" ht="12.75" x14ac:dyDescent="0.2">
      <c r="A71" s="1" t="str">
        <f ca="1">IFERROR(__xludf.DUMMYFUNCTION("GOOGLETRANSLATE(C69, ""en"", ""es"")"),"adopta")</f>
        <v>adopta</v>
      </c>
      <c r="B71" s="1">
        <v>1</v>
      </c>
      <c r="C71" s="1" t="s">
        <v>69</v>
      </c>
    </row>
    <row r="72" spans="1:3" ht="12.75" x14ac:dyDescent="0.2">
      <c r="A72" s="1" t="str">
        <f ca="1">IFERROR(__xludf.DUMMYFUNCTION("GOOGLETRANSLATE(C70, ""en"", ""es"")"),"adoptar")</f>
        <v>adoptar</v>
      </c>
      <c r="B72" s="1">
        <v>1</v>
      </c>
      <c r="C72" s="1" t="s">
        <v>70</v>
      </c>
    </row>
    <row r="73" spans="1:3" ht="12.75" x14ac:dyDescent="0.2">
      <c r="A73" s="1" t="str">
        <f ca="1">IFERROR(__xludf.DUMMYFUNCTION("GOOGLETRANSLATE(C72, ""en"", ""es"")"),"adorable")</f>
        <v>adorable</v>
      </c>
      <c r="B73" s="1">
        <v>3</v>
      </c>
      <c r="C73" s="1" t="s">
        <v>72</v>
      </c>
    </row>
    <row r="74" spans="1:3" ht="12.75" x14ac:dyDescent="0.2">
      <c r="A74" s="1" t="str">
        <f ca="1">IFERROR(__xludf.DUMMYFUNCTION("GOOGLETRANSLATE(C73, ""en"", ""es"")"),"adorado")</f>
        <v>adorado</v>
      </c>
      <c r="B74" s="1">
        <v>3</v>
      </c>
      <c r="C74" s="1" t="s">
        <v>73</v>
      </c>
    </row>
    <row r="75" spans="1:3" ht="12.75" x14ac:dyDescent="0.2">
      <c r="A75" s="1" t="str">
        <f ca="1">IFERROR(__xludf.DUMMYFUNCTION("GOOGLETRANSLATE(C74, ""en"", ""es"")"),"adorado")</f>
        <v>adorado</v>
      </c>
      <c r="B75" s="1">
        <v>3</v>
      </c>
      <c r="C75" s="1" t="s">
        <v>74</v>
      </c>
    </row>
    <row r="76" spans="1:3" ht="12.75" x14ac:dyDescent="0.2">
      <c r="A76" s="1" t="str">
        <f ca="1">IFERROR(__xludf.DUMMYFUNCTION("GOOGLETRANSLATE(C75, ""en"", ""es"")"),"adorar")</f>
        <v>adorar</v>
      </c>
      <c r="B76" s="1">
        <v>3</v>
      </c>
      <c r="C76" s="1" t="s">
        <v>75</v>
      </c>
    </row>
    <row r="77" spans="1:3" ht="12.75" x14ac:dyDescent="0.2">
      <c r="A77" s="1" t="str">
        <f ca="1">IFERROR(__xludf.DUMMYFUNCTION("GOOGLETRANSLATE(C968, ""en"", ""es"")"),"adormecer")</f>
        <v>adormecer</v>
      </c>
      <c r="B77" s="1">
        <v>-1</v>
      </c>
      <c r="C77" s="1" t="s">
        <v>970</v>
      </c>
    </row>
    <row r="78" spans="1:3" ht="12.75" x14ac:dyDescent="0.2">
      <c r="A78" s="1" t="str">
        <f ca="1">IFERROR(__xludf.DUMMYFUNCTION("GOOGLETRANSLATE(C76, ""en"", ""es"")"),"advertencia")</f>
        <v>advertencia</v>
      </c>
      <c r="B78" s="1">
        <v>-3</v>
      </c>
      <c r="C78" s="1" t="s">
        <v>76</v>
      </c>
    </row>
    <row r="79" spans="1:3" ht="12.75" x14ac:dyDescent="0.2">
      <c r="A79" s="1" t="str">
        <f ca="1">IFERROR(__xludf.DUMMYFUNCTION("GOOGLETRANSLATE(C79, ""en"", ""es"")"),"advertencia")</f>
        <v>advertencia</v>
      </c>
      <c r="B79" s="1">
        <v>-2</v>
      </c>
      <c r="C79" s="1" t="s">
        <v>79</v>
      </c>
    </row>
    <row r="80" spans="1:3" ht="12.75" x14ac:dyDescent="0.2">
      <c r="A80" s="1" t="str">
        <f ca="1">IFERROR(__xludf.DUMMYFUNCTION("GOOGLETRANSLATE(C77, ""en"", ""es"")"),"advertencias")</f>
        <v>advertencias</v>
      </c>
      <c r="B80" s="1">
        <v>-3</v>
      </c>
      <c r="C80" s="1" t="s">
        <v>77</v>
      </c>
    </row>
    <row r="81" spans="1:3" ht="12.75" x14ac:dyDescent="0.2">
      <c r="A81" s="1" t="str">
        <f ca="1">IFERROR(__xludf.DUMMYFUNCTION("GOOGLETRANSLATE(C78, ""en"", ""es"")"),"advertir")</f>
        <v>advertir</v>
      </c>
      <c r="B81" s="1">
        <v>-2</v>
      </c>
      <c r="C81" s="1" t="s">
        <v>78</v>
      </c>
    </row>
    <row r="82" spans="1:3" ht="12.75" x14ac:dyDescent="0.2">
      <c r="A82" s="1" t="str">
        <f ca="1">IFERROR(__xludf.DUMMYFUNCTION("GOOGLETRANSLATE(C80, ""en"", ""es"")"),"afable")</f>
        <v>afable</v>
      </c>
      <c r="B82" s="1">
        <v>2</v>
      </c>
      <c r="C82" s="1" t="s">
        <v>80</v>
      </c>
    </row>
    <row r="83" spans="1:3" ht="12.75" x14ac:dyDescent="0.2">
      <c r="A83" s="1" t="str">
        <f ca="1">IFERROR(__xludf.DUMMYFUNCTION("GOOGLETRANSLATE(C81, ""en"", ""es"")"),"afectado")</f>
        <v>afectado</v>
      </c>
      <c r="B83" s="1">
        <v>-1</v>
      </c>
      <c r="C83" s="1" t="s">
        <v>81</v>
      </c>
    </row>
    <row r="84" spans="1:3" ht="12.75" x14ac:dyDescent="0.2">
      <c r="A84" s="1" t="str">
        <f ca="1">IFERROR(__xludf.DUMMYFUNCTION("GOOGLETRANSLATE(C83, ""en"", ""es"")"),"aficionado")</f>
        <v>aficionado</v>
      </c>
      <c r="B84" s="1">
        <v>2</v>
      </c>
      <c r="C84" s="1" t="s">
        <v>83</v>
      </c>
    </row>
    <row r="85" spans="1:3" ht="12.75" x14ac:dyDescent="0.2">
      <c r="A85" s="1" t="str">
        <f ca="1">IFERROR(__xludf.DUMMYFUNCTION("GOOGLETRANSLATE(C340, ""en"", ""es"")"),"afilado")</f>
        <v>afilado</v>
      </c>
      <c r="B85" s="1">
        <v>-1</v>
      </c>
      <c r="C85" s="1" t="s">
        <v>340</v>
      </c>
    </row>
    <row r="86" spans="1:3" ht="12.75" x14ac:dyDescent="0.2">
      <c r="A86" s="1" t="str">
        <f ca="1">IFERROR(__xludf.DUMMYFUNCTION("GOOGLETRANSLATE(C85, ""en"", ""es"")"),"afirmativamente")</f>
        <v>afirmativamente</v>
      </c>
      <c r="B86" s="1">
        <v>2</v>
      </c>
      <c r="C86" s="1" t="s">
        <v>85</v>
      </c>
    </row>
    <row r="87" spans="1:3" ht="12.75" x14ac:dyDescent="0.2">
      <c r="A87" s="1" t="str">
        <f ca="1">IFERROR(__xludf.DUMMYFUNCTION("GOOGLETRANSLATE(C86, ""en"", ""es"")"),"afligido")</f>
        <v>afligido</v>
      </c>
      <c r="B87" s="1">
        <v>-1</v>
      </c>
      <c r="C87" s="1" t="s">
        <v>86</v>
      </c>
    </row>
    <row r="88" spans="1:3" ht="12.75" x14ac:dyDescent="0.2">
      <c r="A88" s="1" t="str">
        <f ca="1">IFERROR(__xludf.DUMMYFUNCTION("GOOGLETRANSLATE(C87, ""en"", ""es"")"),"afligido")</f>
        <v>afligido</v>
      </c>
      <c r="B88" s="1">
        <v>-2</v>
      </c>
      <c r="C88" s="1" t="s">
        <v>87</v>
      </c>
    </row>
    <row r="89" spans="1:3" ht="12.75" x14ac:dyDescent="0.2">
      <c r="A89" s="1" t="str">
        <f ca="1">IFERROR(__xludf.DUMMYFUNCTION("GOOGLETRANSLATE(C88, ""en"", ""es"")"),"afligido")</f>
        <v>afligido</v>
      </c>
      <c r="B89" s="1">
        <v>-2</v>
      </c>
      <c r="C89" s="1" t="s">
        <v>88</v>
      </c>
    </row>
    <row r="90" spans="1:3" ht="12.75" x14ac:dyDescent="0.2">
      <c r="A90" s="1" t="str">
        <f ca="1">IFERROR(__xludf.DUMMYFUNCTION("GOOGLETRANSLATE(C89, ""en"", ""es"")"),"afligido")</f>
        <v>afligido</v>
      </c>
      <c r="B90" s="1">
        <v>-2</v>
      </c>
      <c r="C90" s="1" t="s">
        <v>89</v>
      </c>
    </row>
    <row r="91" spans="1:3" ht="12.75" x14ac:dyDescent="0.2">
      <c r="A91" s="1" t="str">
        <f ca="1">IFERROR(__xludf.DUMMYFUNCTION("GOOGLETRANSLATE(C1930, ""en"", ""es"")"),"afortunadamente")</f>
        <v>afortunadamente</v>
      </c>
      <c r="B91" s="1">
        <v>3</v>
      </c>
      <c r="C91" s="1" t="s">
        <v>1928</v>
      </c>
    </row>
    <row r="92" spans="1:3" ht="12.75" x14ac:dyDescent="0.2">
      <c r="A92" s="1" t="str">
        <f ca="1">IFERROR(__xludf.DUMMYFUNCTION("GOOGLETRANSLATE(C90, ""en"", ""es"")"),"afortunado")</f>
        <v>afortunado</v>
      </c>
      <c r="B92" s="1">
        <v>2</v>
      </c>
      <c r="C92" s="1" t="s">
        <v>90</v>
      </c>
    </row>
    <row r="93" spans="1:3" ht="12.75" x14ac:dyDescent="0.2">
      <c r="A93" s="1" t="str">
        <f ca="1">IFERROR(__xludf.DUMMYFUNCTION("GOOGLETRANSLATE(C93, ""en"", ""es"")"),"agonización")</f>
        <v>agonización</v>
      </c>
      <c r="B93" s="1">
        <v>-3</v>
      </c>
      <c r="C93" s="1" t="s">
        <v>93</v>
      </c>
    </row>
    <row r="94" spans="1:3" ht="12.75" x14ac:dyDescent="0.2">
      <c r="A94" s="1" t="str">
        <f ca="1">IFERROR(__xludf.DUMMYFUNCTION("GOOGLETRANSLATE(C95, ""en"", ""es"")"),"agonizado")</f>
        <v>agonizado</v>
      </c>
      <c r="B94" s="1">
        <v>-3</v>
      </c>
      <c r="C94" s="1" t="s">
        <v>95</v>
      </c>
    </row>
    <row r="95" spans="1:3" ht="12.75" x14ac:dyDescent="0.2">
      <c r="A95" s="1" t="str">
        <f ca="1">IFERROR(__xludf.DUMMYFUNCTION("GOOGLETRANSLATE(C96, ""en"", ""es"")"),"agonizado")</f>
        <v>agonizado</v>
      </c>
      <c r="B95" s="1">
        <v>-3</v>
      </c>
      <c r="C95" s="1" t="s">
        <v>96</v>
      </c>
    </row>
    <row r="96" spans="1:3" ht="12.75" x14ac:dyDescent="0.2">
      <c r="A96" s="1" t="str">
        <f ca="1">IFERROR(__xludf.DUMMYFUNCTION("GOOGLETRANSLATE(C97, ""en"", ""es"")"),"agonizante")</f>
        <v>agonizante</v>
      </c>
      <c r="B96" s="1">
        <v>-3</v>
      </c>
      <c r="C96" s="1" t="s">
        <v>97</v>
      </c>
    </row>
    <row r="97" spans="1:3" ht="12.75" x14ac:dyDescent="0.2">
      <c r="A97" s="1" t="str">
        <f ca="1">IFERROR(__xludf.DUMMYFUNCTION("GOOGLETRANSLATE(C98, ""en"", ""es"")"),"agonizante")</f>
        <v>agonizante</v>
      </c>
      <c r="B97" s="1">
        <v>-3</v>
      </c>
      <c r="C97" s="1" t="s">
        <v>98</v>
      </c>
    </row>
    <row r="98" spans="1:3" ht="12.75" x14ac:dyDescent="0.2">
      <c r="A98" s="1" t="str">
        <f ca="1">IFERROR(__xludf.DUMMYFUNCTION("GOOGLETRANSLATE(C94, ""en"", ""es"")"),"agonizar")</f>
        <v>agonizar</v>
      </c>
      <c r="B98" s="1">
        <v>-3</v>
      </c>
      <c r="C98" s="1" t="s">
        <v>94</v>
      </c>
    </row>
    <row r="99" spans="1:3" ht="12.75" x14ac:dyDescent="0.2">
      <c r="A99" s="1" t="str">
        <f ca="1">IFERROR(__xludf.DUMMYFUNCTION("GOOGLETRANSLATE(C99, ""en"", ""es"")"),"agonizar")</f>
        <v>agonizar</v>
      </c>
      <c r="B99" s="1">
        <v>-3</v>
      </c>
      <c r="C99" s="1" t="s">
        <v>99</v>
      </c>
    </row>
    <row r="100" spans="1:3" ht="12.75" x14ac:dyDescent="0.2">
      <c r="A100" s="1" t="str">
        <f ca="1">IFERROR(__xludf.DUMMYFUNCTION("GOOGLETRANSLATE(C100, ""en"", ""es"")"),"agonizar")</f>
        <v>agonizar</v>
      </c>
      <c r="B100" s="1">
        <v>-3</v>
      </c>
      <c r="C100" s="1" t="s">
        <v>100</v>
      </c>
    </row>
    <row r="101" spans="1:3" ht="12.75" x14ac:dyDescent="0.2">
      <c r="A101" s="1" t="str">
        <f ca="1">IFERROR(__xludf.DUMMYFUNCTION("GOOGLETRANSLATE(C101, ""en"", ""es"")"),"agotado")</f>
        <v>agotado</v>
      </c>
      <c r="B101" s="1">
        <v>-2</v>
      </c>
      <c r="C101" s="1" t="s">
        <v>101</v>
      </c>
    </row>
    <row r="102" spans="1:3" ht="12.75" x14ac:dyDescent="0.2">
      <c r="A102" s="1" t="str">
        <f ca="1">IFERROR(__xludf.DUMMYFUNCTION("GOOGLETRANSLATE(C103, ""en"", ""es"")"),"agradable")</f>
        <v>agradable</v>
      </c>
      <c r="B102" s="1">
        <v>2</v>
      </c>
      <c r="C102" s="1" t="s">
        <v>103</v>
      </c>
    </row>
    <row r="103" spans="1:3" ht="12.75" x14ac:dyDescent="0.2">
      <c r="A103" s="1" t="str">
        <f ca="1">IFERROR(__xludf.DUMMYFUNCTION("GOOGLETRANSLATE(C104, ""en"", ""es"")"),"agradable")</f>
        <v>agradable</v>
      </c>
      <c r="B103" s="1">
        <v>3</v>
      </c>
      <c r="C103" s="1" t="s">
        <v>104</v>
      </c>
    </row>
    <row r="104" spans="1:3" ht="12.75" x14ac:dyDescent="0.2">
      <c r="A104" s="1" t="str">
        <f ca="1">IFERROR(__xludf.DUMMYFUNCTION("GOOGLETRANSLATE(C105, ""en"", ""es"")"),"agradecido")</f>
        <v>agradecido</v>
      </c>
      <c r="B104" s="1">
        <v>3</v>
      </c>
      <c r="C104" s="1" t="s">
        <v>105</v>
      </c>
    </row>
    <row r="105" spans="1:3" ht="12.75" x14ac:dyDescent="0.2">
      <c r="A105" s="1" t="str">
        <f ca="1">IFERROR(__xludf.DUMMYFUNCTION("GOOGLETRANSLATE(C106, ""en"", ""es"")"),"agradecido")</f>
        <v>agradecido</v>
      </c>
      <c r="B105" s="1">
        <v>2</v>
      </c>
      <c r="C105" s="1" t="s">
        <v>106</v>
      </c>
    </row>
    <row r="106" spans="1:3" ht="12.75" x14ac:dyDescent="0.2">
      <c r="A106" s="1" t="str">
        <f ca="1">IFERROR(__xludf.DUMMYFUNCTION("GOOGLETRANSLATE(C108, ""en"", ""es"")"),"agravado")</f>
        <v>agravado</v>
      </c>
      <c r="B106" s="1">
        <v>-2</v>
      </c>
      <c r="C106" s="1" t="s">
        <v>108</v>
      </c>
    </row>
    <row r="107" spans="1:3" ht="12.75" x14ac:dyDescent="0.2">
      <c r="A107" s="1" t="str">
        <f ca="1">IFERROR(__xludf.DUMMYFUNCTION("GOOGLETRANSLATE(C109, ""en"", ""es"")"),"agravante")</f>
        <v>agravante</v>
      </c>
      <c r="B107" s="1">
        <v>-2</v>
      </c>
      <c r="C107" s="1" t="s">
        <v>109</v>
      </c>
    </row>
    <row r="108" spans="1:3" ht="12.75" x14ac:dyDescent="0.2">
      <c r="A108" s="1" t="str">
        <f ca="1">IFERROR(__xludf.DUMMYFUNCTION("GOOGLETRANSLATE(C107, ""en"", ""es"")"),"agravantes")</f>
        <v>agravantes</v>
      </c>
      <c r="B108" s="1">
        <v>-2</v>
      </c>
      <c r="C108" s="1" t="s">
        <v>107</v>
      </c>
    </row>
    <row r="109" spans="1:3" ht="12.75" x14ac:dyDescent="0.2">
      <c r="A109" s="1" t="str">
        <f ca="1">IFERROR(__xludf.DUMMYFUNCTION("GOOGLETRANSLATE(C110, ""en"", ""es"")"),"agravar")</f>
        <v>agravar</v>
      </c>
      <c r="B109" s="1">
        <v>-2</v>
      </c>
      <c r="C109" s="1" t="s">
        <v>110</v>
      </c>
    </row>
    <row r="110" spans="1:3" ht="12.75" x14ac:dyDescent="0.2">
      <c r="A110" s="1" t="str">
        <f ca="1">IFERROR(__xludf.DUMMYFUNCTION("GOOGLETRANSLATE(C23, ""en"", ""es"")"),"agraviar")</f>
        <v>agraviar</v>
      </c>
      <c r="B110" s="1">
        <v>2</v>
      </c>
      <c r="C110" s="1" t="s">
        <v>24</v>
      </c>
    </row>
    <row r="111" spans="1:3" ht="12.75" x14ac:dyDescent="0.2">
      <c r="A111" s="1" t="str">
        <f ca="1">IFERROR(__xludf.DUMMYFUNCTION("GOOGLETRANSLATE(C111, ""en"", ""es"")"),"agresión")</f>
        <v>agresión</v>
      </c>
      <c r="B111" s="1">
        <v>-2</v>
      </c>
      <c r="C111" s="1" t="s">
        <v>111</v>
      </c>
    </row>
    <row r="112" spans="1:3" ht="12.75" x14ac:dyDescent="0.2">
      <c r="A112" s="1" t="str">
        <f ca="1">IFERROR(__xludf.DUMMYFUNCTION("GOOGLETRANSLATE(C112, ""en"", ""es"")"),"agresiones")</f>
        <v>agresiones</v>
      </c>
      <c r="B112" s="1">
        <v>-2</v>
      </c>
      <c r="C112" s="1" t="s">
        <v>112</v>
      </c>
    </row>
    <row r="113" spans="1:3" ht="12.75" x14ac:dyDescent="0.2">
      <c r="A113" s="1" t="str">
        <f ca="1">IFERROR(__xludf.DUMMYFUNCTION("GOOGLETRANSLATE(C113, ""en"", ""es"")"),"agresivo")</f>
        <v>agresivo</v>
      </c>
      <c r="B113" s="1">
        <v>-2</v>
      </c>
      <c r="C113" s="1" t="s">
        <v>113</v>
      </c>
    </row>
    <row r="114" spans="1:3" ht="12.75" x14ac:dyDescent="0.2">
      <c r="A114" s="1" t="str">
        <f ca="1">IFERROR(__xludf.DUMMYFUNCTION("GOOGLETRANSLATE(C114, ""en"", ""es"")"),"agresor")</f>
        <v>agresor</v>
      </c>
      <c r="B114" s="1">
        <v>-1</v>
      </c>
      <c r="C114" s="1" t="s">
        <v>114</v>
      </c>
    </row>
    <row r="115" spans="1:3" ht="12.75" x14ac:dyDescent="0.2">
      <c r="A115" s="1" t="str">
        <f ca="1">IFERROR(__xludf.DUMMYFUNCTION("GOOGLETRANSLATE(C115, ""en"", ""es"")"),"aguante")</f>
        <v>aguante</v>
      </c>
      <c r="B115" s="1">
        <v>2</v>
      </c>
      <c r="C115" s="1" t="s">
        <v>115</v>
      </c>
    </row>
    <row r="116" spans="1:3" ht="12.75" x14ac:dyDescent="0.2">
      <c r="A116" s="1" t="str">
        <f ca="1">IFERROR(__xludf.DUMMYFUNCTION("GOOGLETRANSLATE(C1042, ""en"", ""es"")"),"ahogado")</f>
        <v>ahogado</v>
      </c>
      <c r="B116" s="1">
        <v>-2</v>
      </c>
      <c r="C116" s="1" t="s">
        <v>1044</v>
      </c>
    </row>
    <row r="117" spans="1:3" ht="12.75" x14ac:dyDescent="0.2">
      <c r="A117" s="1" t="str">
        <f ca="1">IFERROR(__xludf.DUMMYFUNCTION("GOOGLETRANSLATE(C2163, ""en"", ""es"")"),"ahogados")</f>
        <v>ahogados</v>
      </c>
      <c r="B117" s="1">
        <v>-2</v>
      </c>
      <c r="C117" s="1" t="s">
        <v>2161</v>
      </c>
    </row>
    <row r="118" spans="1:3" ht="12.75" x14ac:dyDescent="0.2">
      <c r="A118" s="1" t="str">
        <f ca="1">IFERROR(__xludf.DUMMYFUNCTION("GOOGLETRANSLATE(C116, ""en"", ""es"")"),"ahogar")</f>
        <v>ahogar</v>
      </c>
      <c r="B118" s="1">
        <v>-2</v>
      </c>
      <c r="C118" s="1" t="s">
        <v>116</v>
      </c>
    </row>
    <row r="119" spans="1:3" ht="12.75" x14ac:dyDescent="0.2">
      <c r="A119" s="1" t="str">
        <f ca="1">IFERROR(__xludf.DUMMYFUNCTION("GOOGLETRANSLATE(C117, ""en"", ""es"")"),"ahogo")</f>
        <v>ahogo</v>
      </c>
      <c r="B119" s="1">
        <v>-2</v>
      </c>
      <c r="C119" s="1" t="s">
        <v>117</v>
      </c>
    </row>
    <row r="120" spans="1:3" ht="12.75" x14ac:dyDescent="0.2">
      <c r="A120" s="1" t="str">
        <f ca="1">IFERROR(__xludf.DUMMYFUNCTION("GOOGLETRANSLATE(C118, ""en"", ""es"")"),"ahogue")</f>
        <v>ahogue</v>
      </c>
      <c r="B120" s="1">
        <v>-2</v>
      </c>
      <c r="C120" s="1" t="s">
        <v>118</v>
      </c>
    </row>
    <row r="121" spans="1:3" ht="12.75" x14ac:dyDescent="0.2">
      <c r="A121" s="1" t="str">
        <f ca="1">IFERROR(__xludf.DUMMYFUNCTION("GOOGLETRANSLATE(C2158, ""en"", ""es"")"),"ahorrar")</f>
        <v>ahorrar</v>
      </c>
      <c r="B121" s="1">
        <v>2</v>
      </c>
      <c r="C121" s="1" t="s">
        <v>2156</v>
      </c>
    </row>
    <row r="122" spans="1:3" ht="12.75" x14ac:dyDescent="0.2">
      <c r="A122" s="1" t="str">
        <f ca="1">IFERROR(__xludf.DUMMYFUNCTION("GOOGLETRANSLATE(C119, ""en"", ""es"")"),"airado")</f>
        <v>airado</v>
      </c>
      <c r="B122" s="1">
        <v>-3</v>
      </c>
      <c r="C122" s="1" t="s">
        <v>119</v>
      </c>
    </row>
    <row r="123" spans="1:3" ht="12.75" x14ac:dyDescent="0.2">
      <c r="A123" s="1" t="str">
        <f ca="1">IFERROR(__xludf.DUMMYFUNCTION("GOOGLETRANSLATE(C120, ""en"", ""es"")"),"aislado")</f>
        <v>aislado</v>
      </c>
      <c r="B123" s="1">
        <v>-1</v>
      </c>
      <c r="C123" s="1" t="s">
        <v>120</v>
      </c>
    </row>
    <row r="124" spans="1:3" ht="12.75" x14ac:dyDescent="0.2">
      <c r="A124" s="1" t="str">
        <f ca="1">IFERROR(__xludf.DUMMYFUNCTION("GOOGLETRANSLATE(C122, ""en"", ""es"")"),"alabado")</f>
        <v>alabado</v>
      </c>
      <c r="B124" s="1">
        <v>3</v>
      </c>
      <c r="C124" s="1" t="s">
        <v>122</v>
      </c>
    </row>
    <row r="125" spans="1:3" ht="12.75" x14ac:dyDescent="0.2">
      <c r="A125" s="1" t="str">
        <f ca="1">IFERROR(__xludf.DUMMYFUNCTION("GOOGLETRANSLATE(C125, ""en"", ""es"")"),"alabanza")</f>
        <v>alabanza</v>
      </c>
      <c r="B125" s="1">
        <v>3</v>
      </c>
      <c r="C125" s="1" t="s">
        <v>125</v>
      </c>
    </row>
    <row r="126" spans="1:3" ht="12.75" x14ac:dyDescent="0.2">
      <c r="A126" s="1" t="str">
        <f ca="1">IFERROR(__xludf.DUMMYFUNCTION("GOOGLETRANSLATE(C126, ""en"", ""es"")"),"alarma")</f>
        <v>alarma</v>
      </c>
      <c r="B126" s="1">
        <v>-2</v>
      </c>
      <c r="C126" s="1" t="s">
        <v>126</v>
      </c>
    </row>
    <row r="127" spans="1:3" ht="12.75" x14ac:dyDescent="0.2">
      <c r="A127" s="1" t="str">
        <f ca="1">IFERROR(__xludf.DUMMYFUNCTION("GOOGLETRANSLATE(C127, ""en"", ""es"")"),"alarmado")</f>
        <v>alarmado</v>
      </c>
      <c r="B127" s="1">
        <v>-2</v>
      </c>
      <c r="C127" s="1" t="s">
        <v>127</v>
      </c>
    </row>
    <row r="128" spans="1:3" ht="12.75" x14ac:dyDescent="0.2">
      <c r="A128" s="1" t="str">
        <f ca="1">IFERROR(__xludf.DUMMYFUNCTION("GOOGLETRANSLATE(C128, ""en"", ""es"")"),"alarmista")</f>
        <v>alarmista</v>
      </c>
      <c r="B128" s="1">
        <v>-2</v>
      </c>
      <c r="C128" s="1" t="s">
        <v>128</v>
      </c>
    </row>
    <row r="129" spans="1:3" ht="12.75" x14ac:dyDescent="0.2">
      <c r="A129" s="1" t="str">
        <f ca="1">IFERROR(__xludf.DUMMYFUNCTION("GOOGLETRANSLATE(C129, ""en"", ""es"")"),"alarmistas")</f>
        <v>alarmistas</v>
      </c>
      <c r="B129" s="1">
        <v>-2</v>
      </c>
      <c r="C129" s="1" t="s">
        <v>129</v>
      </c>
    </row>
    <row r="130" spans="1:3" ht="12.75" x14ac:dyDescent="0.2">
      <c r="A130" s="1" t="str">
        <f ca="1">IFERROR(__xludf.DUMMYFUNCTION("GOOGLETRANSLATE(C130, ""en"", ""es"")"),"alboroto")</f>
        <v>alboroto</v>
      </c>
      <c r="B130" s="1">
        <v>-2</v>
      </c>
      <c r="C130" s="1" t="s">
        <v>130</v>
      </c>
    </row>
    <row r="131" spans="1:3" ht="12.75" x14ac:dyDescent="0.2">
      <c r="A131" s="1" t="str">
        <f ca="1">IFERROR(__xludf.DUMMYFUNCTION("GOOGLETRANSLATE(C131, ""en"", ""es"")"),"alcance")</f>
        <v>alcance</v>
      </c>
      <c r="B131" s="1">
        <v>1</v>
      </c>
      <c r="C131" s="1" t="s">
        <v>131</v>
      </c>
    </row>
    <row r="132" spans="1:3" ht="12.75" x14ac:dyDescent="0.2">
      <c r="A132" s="1" t="str">
        <f ca="1">IFERROR(__xludf.DUMMYFUNCTION("GOOGLETRANSLATE(C1578, ""en"", ""es"")"),"alcance")</f>
        <v>alcance</v>
      </c>
      <c r="B132" s="1">
        <v>1</v>
      </c>
      <c r="C132" s="1" t="s">
        <v>1577</v>
      </c>
    </row>
    <row r="133" spans="1:3" ht="12.75" x14ac:dyDescent="0.2">
      <c r="A133" s="1" t="str">
        <f ca="1">IFERROR(__xludf.DUMMYFUNCTION("GOOGLETRANSLATE(C133, ""en"", ""es"")"),"alcanzar")</f>
        <v>alcanzar</v>
      </c>
      <c r="B133" s="1">
        <v>1</v>
      </c>
      <c r="C133" s="1" t="s">
        <v>133</v>
      </c>
    </row>
    <row r="134" spans="1:3" ht="12.75" x14ac:dyDescent="0.2">
      <c r="A134" s="1" t="str">
        <f ca="1">IFERROR(__xludf.DUMMYFUNCTION("GOOGLETRANSLATE(C132, ""en"", ""es"")"),"alcanzó")</f>
        <v>alcanzó</v>
      </c>
      <c r="B134" s="1">
        <v>1</v>
      </c>
      <c r="C134" s="1" t="s">
        <v>132</v>
      </c>
    </row>
    <row r="135" spans="1:3" ht="12.75" x14ac:dyDescent="0.2">
      <c r="A135" s="1" t="str">
        <f ca="1">IFERROR(__xludf.DUMMYFUNCTION("GOOGLETRANSLATE(C135, ""en"", ""es"")"),"alegrarse")</f>
        <v>alegrarse</v>
      </c>
      <c r="B135" s="1">
        <v>4</v>
      </c>
      <c r="C135" s="1" t="s">
        <v>135</v>
      </c>
    </row>
    <row r="136" spans="1:3" ht="12.75" x14ac:dyDescent="0.2">
      <c r="A136" s="1" t="str">
        <f ca="1">IFERROR(__xludf.DUMMYFUNCTION("GOOGLETRANSLATE(C136, ""en"", ""es"")"),"alegre")</f>
        <v>alegre</v>
      </c>
      <c r="B136" s="1">
        <v>2</v>
      </c>
      <c r="C136" s="1" t="s">
        <v>136</v>
      </c>
    </row>
    <row r="137" spans="1:3" ht="12.75" x14ac:dyDescent="0.2">
      <c r="A137" s="1" t="str">
        <f ca="1">IFERROR(__xludf.DUMMYFUNCTION("GOOGLETRANSLATE(C137, ""en"", ""es"")"),"alegre")</f>
        <v>alegre</v>
      </c>
      <c r="B137" s="1">
        <v>2</v>
      </c>
      <c r="C137" s="1" t="s">
        <v>137</v>
      </c>
    </row>
    <row r="138" spans="1:3" ht="12.75" x14ac:dyDescent="0.2">
      <c r="A138" s="1" t="str">
        <f ca="1">IFERROR(__xludf.DUMMYFUNCTION("GOOGLETRANSLATE(C138, ""en"", ""es"")"),"alegre")</f>
        <v>alegre</v>
      </c>
      <c r="B138" s="1">
        <v>3</v>
      </c>
      <c r="C138" s="1" t="s">
        <v>138</v>
      </c>
    </row>
    <row r="139" spans="1:3" ht="12.75" x14ac:dyDescent="0.2">
      <c r="A139" s="1" t="str">
        <f ca="1">IFERROR(__xludf.DUMMYFUNCTION("GOOGLETRANSLATE(C139, ""en"", ""es"")"),"alegre")</f>
        <v>alegre</v>
      </c>
      <c r="B139" s="1">
        <v>2</v>
      </c>
      <c r="C139" s="1" t="s">
        <v>139</v>
      </c>
    </row>
    <row r="140" spans="1:3" ht="12.75" x14ac:dyDescent="0.2">
      <c r="A140" s="1" t="str">
        <f ca="1">IFERROR(__xludf.DUMMYFUNCTION("GOOGLETRANSLATE(C141, ""en"", ""es"")"),"alegre")</f>
        <v>alegre</v>
      </c>
      <c r="B140" s="1">
        <v>2</v>
      </c>
      <c r="C140" s="1" t="s">
        <v>141</v>
      </c>
    </row>
    <row r="141" spans="1:3" ht="12.75" x14ac:dyDescent="0.2">
      <c r="A141" s="1" t="str">
        <f ca="1">IFERROR(__xludf.DUMMYFUNCTION("GOOGLETRANSLATE(C142, ""en"", ""es"")"),"alegre")</f>
        <v>alegre</v>
      </c>
      <c r="B141" s="1">
        <v>2</v>
      </c>
      <c r="C141" s="1" t="s">
        <v>142</v>
      </c>
    </row>
    <row r="142" spans="1:3" ht="12.75" x14ac:dyDescent="0.2">
      <c r="A142" s="1" t="str">
        <f ca="1">IFERROR(__xludf.DUMMYFUNCTION("GOOGLETRANSLATE(C143, ""en"", ""es"")"),"alegre")</f>
        <v>alegre</v>
      </c>
      <c r="B142" s="1">
        <v>3</v>
      </c>
      <c r="C142" s="1" t="s">
        <v>143</v>
      </c>
    </row>
    <row r="143" spans="1:3" ht="12.75" x14ac:dyDescent="0.2">
      <c r="A143" s="1" t="str">
        <f ca="1">IFERROR(__xludf.DUMMYFUNCTION("GOOGLETRANSLATE(C144, ""en"", ""es"")"),"alegre")</f>
        <v>alegre</v>
      </c>
      <c r="B143" s="1">
        <v>1</v>
      </c>
      <c r="C143" s="1" t="s">
        <v>144</v>
      </c>
    </row>
    <row r="144" spans="1:3" ht="12.75" x14ac:dyDescent="0.2">
      <c r="A144" s="1" t="str">
        <f ca="1">IFERROR(__xludf.DUMMYFUNCTION("GOOGLETRANSLATE(C145, ""en"", ""es"")"),"alegre")</f>
        <v>alegre</v>
      </c>
      <c r="B144" s="1">
        <v>3</v>
      </c>
      <c r="C144" s="1" t="s">
        <v>145</v>
      </c>
    </row>
    <row r="145" spans="1:3" ht="12.75" x14ac:dyDescent="0.2">
      <c r="A145" s="1" t="str">
        <f ca="1">IFERROR(__xludf.DUMMYFUNCTION("GOOGLETRANSLATE(C146, ""en"", ""es"")"),"alegre")</f>
        <v>alegre</v>
      </c>
      <c r="B145" s="1">
        <v>3</v>
      </c>
      <c r="C145" s="1" t="s">
        <v>146</v>
      </c>
    </row>
    <row r="146" spans="1:3" ht="12.75" x14ac:dyDescent="0.2">
      <c r="A146" s="1" t="str">
        <f ca="1">IFERROR(__xludf.DUMMYFUNCTION("GOOGLETRANSLATE(C147, ""en"", ""es"")"),"alegremente")</f>
        <v>alegremente</v>
      </c>
      <c r="B146" s="1">
        <v>3</v>
      </c>
      <c r="C146" s="1" t="s">
        <v>147</v>
      </c>
    </row>
    <row r="147" spans="1:3" ht="12.75" x14ac:dyDescent="0.2">
      <c r="A147" s="1" t="str">
        <f ca="1">IFERROR(__xludf.DUMMYFUNCTION("GOOGLETRANSLATE(C1701, ""en"", ""es"")"),"alegremente")</f>
        <v>alegremente</v>
      </c>
      <c r="B147" s="1">
        <v>3</v>
      </c>
      <c r="C147" s="1" t="s">
        <v>1700</v>
      </c>
    </row>
    <row r="148" spans="1:3" ht="12.75" x14ac:dyDescent="0.2">
      <c r="A148" s="1" t="str">
        <f ca="1">IFERROR(__xludf.DUMMYFUNCTION("GOOGLETRANSLATE(C148, ""en"", ""es"")"),"alegría")</f>
        <v>alegría</v>
      </c>
      <c r="B148" s="1">
        <v>3</v>
      </c>
      <c r="C148" s="1" t="s">
        <v>148</v>
      </c>
    </row>
    <row r="149" spans="1:3" ht="12.75" x14ac:dyDescent="0.2">
      <c r="A149" s="1" t="str">
        <f ca="1">IFERROR(__xludf.DUMMYFUNCTION("GOOGLETRANSLATE(C149, ""en"", ""es"")"),"alegría")</f>
        <v>alegría</v>
      </c>
      <c r="B149" s="1">
        <v>3</v>
      </c>
      <c r="C149" s="1" t="s">
        <v>149</v>
      </c>
    </row>
    <row r="150" spans="1:3" ht="12.75" x14ac:dyDescent="0.2">
      <c r="A150" s="1" t="str">
        <f ca="1">IFERROR(__xludf.DUMMYFUNCTION("GOOGLETRANSLATE(C150, ""en"", ""es"")"),"alegría")</f>
        <v>alegría</v>
      </c>
      <c r="B150" s="1">
        <v>3</v>
      </c>
      <c r="C150" s="1" t="s">
        <v>150</v>
      </c>
    </row>
    <row r="151" spans="1:3" ht="12.75" x14ac:dyDescent="0.2">
      <c r="A151" s="1" t="str">
        <f ca="1">IFERROR(__xludf.DUMMYFUNCTION("GOOGLETRANSLATE(C151, ""en"", ""es"")"),"alegría")</f>
        <v>alegría</v>
      </c>
      <c r="B151" s="1">
        <v>4</v>
      </c>
      <c r="C151" s="1" t="s">
        <v>151</v>
      </c>
    </row>
    <row r="152" spans="1:3" ht="12.75" x14ac:dyDescent="0.2">
      <c r="A152" s="1" t="str">
        <f ca="1">IFERROR(__xludf.DUMMYFUNCTION("GOOGLETRANSLATE(C201, ""en"", ""es"")"),"alegría")</f>
        <v>alegría</v>
      </c>
      <c r="B152" s="1">
        <v>2</v>
      </c>
      <c r="C152" s="1" t="s">
        <v>201</v>
      </c>
    </row>
    <row r="153" spans="1:3" ht="12.75" x14ac:dyDescent="0.2">
      <c r="A153" s="1" t="str">
        <f ca="1">IFERROR(__xludf.DUMMYFUNCTION("GOOGLETRANSLATE(C152, ""en"", ""es"")"),"alentado")</f>
        <v>alentado</v>
      </c>
      <c r="B153" s="1">
        <v>2</v>
      </c>
      <c r="C153" s="1" t="s">
        <v>152</v>
      </c>
    </row>
    <row r="154" spans="1:3" ht="12.75" x14ac:dyDescent="0.2">
      <c r="A154" s="1" t="str">
        <f ca="1">IFERROR(__xludf.DUMMYFUNCTION("GOOGLETRANSLATE(C153, ""en"", ""es"")"),"alentar")</f>
        <v>alentar</v>
      </c>
      <c r="B154" s="1">
        <v>2</v>
      </c>
      <c r="C154" s="1" t="s">
        <v>153</v>
      </c>
    </row>
    <row r="155" spans="1:3" ht="12.75" x14ac:dyDescent="0.2">
      <c r="A155" s="1" t="str">
        <f ca="1">IFERROR(__xludf.DUMMYFUNCTION("GOOGLETRANSLATE(C154, ""en"", ""es"")"),"alérgico")</f>
        <v>alérgico</v>
      </c>
      <c r="B155" s="1">
        <v>-2</v>
      </c>
      <c r="C155" s="1" t="s">
        <v>154</v>
      </c>
    </row>
    <row r="156" spans="1:3" ht="12.75" x14ac:dyDescent="0.2">
      <c r="A156" s="1" t="str">
        <f ca="1">IFERROR(__xludf.DUMMYFUNCTION("GOOGLETRANSLATE(C155, ""en"", ""es"")"),"alerta")</f>
        <v>alerta</v>
      </c>
      <c r="B156" s="1">
        <v>-1</v>
      </c>
      <c r="C156" s="1" t="s">
        <v>155</v>
      </c>
    </row>
    <row r="157" spans="1:3" ht="12.75" x14ac:dyDescent="0.2">
      <c r="A157" s="1" t="str">
        <f ca="1">IFERROR(__xludf.DUMMYFUNCTION("GOOGLETRANSLATE(C156, ""en"", ""es"")"),"alfombrilla de ratón")</f>
        <v>alfombrilla de ratón</v>
      </c>
      <c r="B157" s="1">
        <v>-1</v>
      </c>
      <c r="C157" s="1" t="s">
        <v>156</v>
      </c>
    </row>
    <row r="158" spans="1:3" ht="12.75" x14ac:dyDescent="0.2">
      <c r="A158" s="1" t="str">
        <f ca="1">IFERROR(__xludf.DUMMYFUNCTION("GOOGLETRANSLATE(C157, ""en"", ""es"")"),"algún tipo")</f>
        <v>algún tipo</v>
      </c>
      <c r="B158" s="1">
        <v>0</v>
      </c>
      <c r="C158" s="1" t="s">
        <v>157</v>
      </c>
    </row>
    <row r="159" spans="1:3" ht="12.75" x14ac:dyDescent="0.2">
      <c r="A159" s="1" t="str">
        <f ca="1">IFERROR(__xludf.DUMMYFUNCTION("GOOGLETRANSLATE(C158, ""en"", ""es"")"),"alicaído")</f>
        <v>alicaído</v>
      </c>
      <c r="B159" s="1">
        <v>-2</v>
      </c>
      <c r="C159" s="1" t="s">
        <v>158</v>
      </c>
    </row>
    <row r="160" spans="1:3" ht="12.75" x14ac:dyDescent="0.2">
      <c r="A160" s="1" t="str">
        <f ca="1">IFERROR(__xludf.DUMMYFUNCTION("GOOGLETRANSLATE(C159, ""en"", ""es"")"),"alienación")</f>
        <v>alienación</v>
      </c>
      <c r="B160" s="1">
        <v>-2</v>
      </c>
      <c r="C160" s="1" t="s">
        <v>159</v>
      </c>
    </row>
    <row r="161" spans="1:3" ht="12.75" x14ac:dyDescent="0.2">
      <c r="A161" s="1" t="str">
        <f ca="1">IFERROR(__xludf.DUMMYFUNCTION("GOOGLETRANSLATE(C161, ""en"", ""es"")"),"aliviado")</f>
        <v>aliviado</v>
      </c>
      <c r="B161" s="1">
        <v>2</v>
      </c>
      <c r="C161" s="1" t="s">
        <v>161</v>
      </c>
    </row>
    <row r="162" spans="1:3" ht="12.75" x14ac:dyDescent="0.2">
      <c r="A162" s="1" t="str">
        <f ca="1">IFERROR(__xludf.DUMMYFUNCTION("GOOGLETRANSLATE(C163, ""en"", ""es"")"),"aliviar")</f>
        <v>aliviar</v>
      </c>
      <c r="B162" s="1">
        <v>1</v>
      </c>
      <c r="C162" s="1" t="s">
        <v>163</v>
      </c>
    </row>
    <row r="163" spans="1:3" ht="12.75" x14ac:dyDescent="0.2">
      <c r="A163" s="1" t="str">
        <f ca="1">IFERROR(__xludf.DUMMYFUNCTION("GOOGLETRANSLATE(C880, ""en"", ""es"")"),"alivio")</f>
        <v>alivio</v>
      </c>
      <c r="B163" s="1">
        <v>2</v>
      </c>
      <c r="C163" s="1" t="s">
        <v>882</v>
      </c>
    </row>
    <row r="164" spans="1:3" ht="12.75" x14ac:dyDescent="0.2">
      <c r="A164" s="1" t="str">
        <f ca="1">IFERROR(__xludf.DUMMYFUNCTION("GOOGLETRANSLATE(C2058, ""en"", ""es"")"),"alivio")</f>
        <v>alivio</v>
      </c>
      <c r="B164" s="1">
        <v>1</v>
      </c>
      <c r="C164" s="1" t="s">
        <v>2056</v>
      </c>
    </row>
    <row r="165" spans="1:3" ht="12.75" x14ac:dyDescent="0.2">
      <c r="A165" s="1" t="str">
        <f ca="1">IFERROR(__xludf.DUMMYFUNCTION("GOOGLETRANSLATE(C134, ""en"", ""es"")"),"alucinante")</f>
        <v>alucinante</v>
      </c>
      <c r="B165" s="1">
        <v>1</v>
      </c>
      <c r="C165" s="1" t="s">
        <v>134</v>
      </c>
    </row>
    <row r="166" spans="1:3" ht="12.75" x14ac:dyDescent="0.2">
      <c r="A166" s="1" t="str">
        <f ca="1">IFERROR(__xludf.DUMMYFUNCTION("GOOGLETRANSLATE(C164, ""en"", ""es"")"),"amable")</f>
        <v>amable</v>
      </c>
      <c r="B166" s="1">
        <v>3</v>
      </c>
      <c r="C166" s="1" t="s">
        <v>164</v>
      </c>
    </row>
    <row r="167" spans="1:3" ht="12.75" x14ac:dyDescent="0.2">
      <c r="A167" s="1" t="str">
        <f ca="1">IFERROR(__xludf.DUMMYFUNCTION("GOOGLETRANSLATE(C1530, ""en"", ""es"")"),"amable")</f>
        <v>amable</v>
      </c>
      <c r="B167" s="1">
        <v>2</v>
      </c>
      <c r="C167" s="1" t="s">
        <v>1529</v>
      </c>
    </row>
    <row r="168" spans="1:3" ht="12.75" x14ac:dyDescent="0.2">
      <c r="A168" s="1" t="str">
        <f ca="1">IFERROR(__xludf.DUMMYFUNCTION("GOOGLETRANSLATE(C165, ""en"", ""es"")"),"amado")</f>
        <v>amado</v>
      </c>
      <c r="B168" s="1">
        <v>3</v>
      </c>
      <c r="C168" s="1" t="s">
        <v>165</v>
      </c>
    </row>
    <row r="169" spans="1:3" ht="12.75" x14ac:dyDescent="0.2">
      <c r="A169" s="1" t="str">
        <f ca="1">IFERROR(__xludf.DUMMYFUNCTION("GOOGLETRANSLATE(C166, ""en"", ""es"")"),"amado")</f>
        <v>amado</v>
      </c>
      <c r="B169" s="1">
        <v>3</v>
      </c>
      <c r="C169" s="1" t="s">
        <v>166</v>
      </c>
    </row>
    <row r="170" spans="1:3" ht="12.75" x14ac:dyDescent="0.2">
      <c r="A170" s="1" t="str">
        <f ca="1">IFERROR(__xludf.DUMMYFUNCTION("GOOGLETRANSLATE(C184, ""en"", ""es"")"),"amar")</f>
        <v>amar</v>
      </c>
      <c r="B170" s="1">
        <v>3</v>
      </c>
      <c r="C170" s="1" t="s">
        <v>184</v>
      </c>
    </row>
    <row r="171" spans="1:3" ht="12.75" x14ac:dyDescent="0.2">
      <c r="A171" s="1" t="str">
        <f ca="1">IFERROR(__xludf.DUMMYFUNCTION("GOOGLETRANSLATE(C167, ""en"", ""es"")"),"amargado")</f>
        <v>amargado</v>
      </c>
      <c r="B171" s="1">
        <v>-2</v>
      </c>
      <c r="C171" s="1" t="s">
        <v>167</v>
      </c>
    </row>
    <row r="172" spans="1:3" ht="12.75" x14ac:dyDescent="0.2">
      <c r="A172" s="1" t="str">
        <f ca="1">IFERROR(__xludf.DUMMYFUNCTION("GOOGLETRANSLATE(C168, ""en"", ""es"")"),"amargamente")</f>
        <v>amargamente</v>
      </c>
      <c r="B172" s="1">
        <v>-2</v>
      </c>
      <c r="C172" s="1" t="s">
        <v>168</v>
      </c>
    </row>
    <row r="173" spans="1:3" ht="12.75" x14ac:dyDescent="0.2">
      <c r="A173" s="1" t="str">
        <f ca="1">IFERROR(__xludf.DUMMYFUNCTION("GOOGLETRANSLATE(C169, ""en"", ""es"")"),"amargo")</f>
        <v>amargo</v>
      </c>
      <c r="B173" s="1">
        <v>-2</v>
      </c>
      <c r="C173" s="1" t="s">
        <v>169</v>
      </c>
    </row>
    <row r="174" spans="1:3" ht="12.75" x14ac:dyDescent="0.2">
      <c r="A174" s="1" t="str">
        <f ca="1">IFERROR(__xludf.DUMMYFUNCTION("GOOGLETRANSLATE(C170, ""en"", ""es"")"),"ambicioso")</f>
        <v>ambicioso</v>
      </c>
      <c r="B174" s="1">
        <v>2</v>
      </c>
      <c r="C174" s="1" t="s">
        <v>170</v>
      </c>
    </row>
    <row r="175" spans="1:3" ht="12.75" x14ac:dyDescent="0.2">
      <c r="A175" s="1" t="str">
        <f ca="1">IFERROR(__xludf.DUMMYFUNCTION("GOOGLETRANSLATE(C171, ""en"", ""es"")"),"ambivalente")</f>
        <v>ambivalente</v>
      </c>
      <c r="B175" s="1">
        <v>-1</v>
      </c>
      <c r="C175" s="1" t="s">
        <v>171</v>
      </c>
    </row>
    <row r="176" spans="1:3" ht="12.75" x14ac:dyDescent="0.2">
      <c r="A176" s="1" t="str">
        <f ca="1">IFERROR(__xludf.DUMMYFUNCTION("GOOGLETRANSLATE(C172, ""en"", ""es"")"),"amenaza")</f>
        <v>amenaza</v>
      </c>
      <c r="B176" s="1">
        <v>-2</v>
      </c>
      <c r="C176" s="1" t="s">
        <v>172</v>
      </c>
    </row>
    <row r="177" spans="1:3" ht="12.75" x14ac:dyDescent="0.2">
      <c r="A177" s="1" t="str">
        <f ca="1">IFERROR(__xludf.DUMMYFUNCTION("GOOGLETRANSLATE(C173, ""en"", ""es"")"),"amenaza")</f>
        <v>amenaza</v>
      </c>
      <c r="B177" s="1">
        <v>-2</v>
      </c>
      <c r="C177" s="1" t="s">
        <v>173</v>
      </c>
    </row>
    <row r="178" spans="1:3" ht="12.75" x14ac:dyDescent="0.2">
      <c r="A178" s="1" t="str">
        <f ca="1">IFERROR(__xludf.DUMMYFUNCTION("GOOGLETRANSLATE(C175, ""en"", ""es"")"),"amenazado")</f>
        <v>amenazado</v>
      </c>
      <c r="B178" s="1">
        <v>-2</v>
      </c>
      <c r="C178" s="1" t="s">
        <v>175</v>
      </c>
    </row>
    <row r="179" spans="1:3" ht="12.75" x14ac:dyDescent="0.2">
      <c r="A179" s="1" t="str">
        <f ca="1">IFERROR(__xludf.DUMMYFUNCTION("GOOGLETRANSLATE(C176, ""en"", ""es"")"),"amenazado")</f>
        <v>amenazado</v>
      </c>
      <c r="B179" s="1">
        <v>-2</v>
      </c>
      <c r="C179" s="1" t="s">
        <v>176</v>
      </c>
    </row>
    <row r="180" spans="1:3" ht="12.75" x14ac:dyDescent="0.2">
      <c r="A180" s="1" t="str">
        <f ca="1">IFERROR(__xludf.DUMMYFUNCTION("GOOGLETRANSLATE(C177, ""en"", ""es"")"),"amenazante")</f>
        <v>amenazante</v>
      </c>
      <c r="B180" s="1">
        <v>-2</v>
      </c>
      <c r="C180" s="1" t="s">
        <v>177</v>
      </c>
    </row>
    <row r="181" spans="1:3" ht="12.75" x14ac:dyDescent="0.2">
      <c r="A181" s="1" t="str">
        <f ca="1">IFERROR(__xludf.DUMMYFUNCTION("GOOGLETRANSLATE(C174, ""en"", ""es"")"),"amenazar")</f>
        <v>amenazar</v>
      </c>
      <c r="B181" s="1">
        <v>-2</v>
      </c>
      <c r="C181" s="1" t="s">
        <v>174</v>
      </c>
    </row>
    <row r="182" spans="1:3" ht="12.75" x14ac:dyDescent="0.2">
      <c r="A182" s="1" t="str">
        <f ca="1">IFERROR(__xludf.DUMMYFUNCTION("GOOGLETRANSLATE(C178, ""en"", ""es"")"),"amenazar")</f>
        <v>amenazar</v>
      </c>
      <c r="B182" s="1">
        <v>-2</v>
      </c>
      <c r="C182" s="1" t="s">
        <v>178</v>
      </c>
    </row>
    <row r="183" spans="1:3" ht="12.75" x14ac:dyDescent="0.2">
      <c r="A183" s="1" t="str">
        <f ca="1">IFERROR(__xludf.DUMMYFUNCTION("GOOGLETRANSLATE(C179, ""en"", ""es"")"),"amenazas")</f>
        <v>amenazas</v>
      </c>
      <c r="B183" s="1">
        <v>-2</v>
      </c>
      <c r="C183" s="1" t="s">
        <v>179</v>
      </c>
    </row>
    <row r="184" spans="1:3" ht="12.75" x14ac:dyDescent="0.2">
      <c r="A184" s="1" t="str">
        <f ca="1">IFERROR(__xludf.DUMMYFUNCTION("GOOGLETRANSLATE(C180, ""en"", ""es"")"),"amistoso")</f>
        <v>amistoso</v>
      </c>
      <c r="B184" s="1">
        <v>2</v>
      </c>
      <c r="C184" s="1" t="s">
        <v>180</v>
      </c>
    </row>
    <row r="185" spans="1:3" ht="12.75" x14ac:dyDescent="0.2">
      <c r="A185" s="1" t="str">
        <f ca="1">IFERROR(__xludf.DUMMYFUNCTION("GOOGLETRANSLATE(C181, ""en"", ""es"")"),"amonestado")</f>
        <v>amonestado</v>
      </c>
      <c r="B185" s="1">
        <v>-2</v>
      </c>
      <c r="C185" s="1" t="s">
        <v>181</v>
      </c>
    </row>
    <row r="186" spans="1:3" ht="12.75" x14ac:dyDescent="0.2">
      <c r="A186" s="1" t="str">
        <f ca="1">IFERROR(__xludf.DUMMYFUNCTION("GOOGLETRANSLATE(C182, ""en"", ""es"")"),"amonestar")</f>
        <v>amonestar</v>
      </c>
      <c r="B186" s="1">
        <v>-2</v>
      </c>
      <c r="C186" s="1" t="s">
        <v>182</v>
      </c>
    </row>
    <row r="187" spans="1:3" ht="12.75" x14ac:dyDescent="0.2">
      <c r="A187" s="1" t="str">
        <f ca="1">IFERROR(__xludf.DUMMYFUNCTION("GOOGLETRANSLATE(C183, ""en"", ""es"")"),"amontonar")</f>
        <v>amontonar</v>
      </c>
      <c r="B187" s="1">
        <v>-1</v>
      </c>
      <c r="C187" s="1" t="s">
        <v>183</v>
      </c>
    </row>
    <row r="188" spans="1:3" ht="12.75" x14ac:dyDescent="0.2">
      <c r="A188" s="1" t="str">
        <f ca="1">IFERROR(__xludf.DUMMYFUNCTION("GOOGLETRANSLATE(C185, ""en"", ""es"")"),"amordazado")</f>
        <v>amordazado</v>
      </c>
      <c r="B188" s="1">
        <v>-2</v>
      </c>
      <c r="C188" s="1" t="s">
        <v>185</v>
      </c>
    </row>
    <row r="189" spans="1:3" ht="12.75" x14ac:dyDescent="0.2">
      <c r="A189" s="1" t="str">
        <f ca="1">IFERROR(__xludf.DUMMYFUNCTION("GOOGLETRANSLATE(C186, ""en"", ""es"")"),"amoroso")</f>
        <v>amoroso</v>
      </c>
      <c r="B189" s="1">
        <v>2</v>
      </c>
      <c r="C189" s="1" t="s">
        <v>186</v>
      </c>
    </row>
    <row r="190" spans="1:3" ht="12.75" x14ac:dyDescent="0.2">
      <c r="A190" s="1" t="str">
        <f ca="1">IFERROR(__xludf.DUMMYFUNCTION("GOOGLETRANSLATE(C471, ""en"", ""es"")"),"amortiguación")</f>
        <v>amortiguación</v>
      </c>
      <c r="B190" s="1">
        <v>2</v>
      </c>
      <c r="C190" s="1" t="s">
        <v>471</v>
      </c>
    </row>
    <row r="191" spans="1:3" ht="12.75" x14ac:dyDescent="0.2">
      <c r="A191" s="1" t="str">
        <f ca="1">IFERROR(__xludf.DUMMYFUNCTION("GOOGLETRANSLATE(C188, ""en"", ""es"")"),"analfabetismo")</f>
        <v>analfabetismo</v>
      </c>
      <c r="B191" s="1">
        <v>-2</v>
      </c>
      <c r="C191" s="1" t="s">
        <v>188</v>
      </c>
    </row>
    <row r="192" spans="1:3" ht="12.75" x14ac:dyDescent="0.2">
      <c r="A192" s="1" t="str">
        <f ca="1">IFERROR(__xludf.DUMMYFUNCTION("GOOGLETRANSLATE(C189, ""en"", ""es"")"),"angustia")</f>
        <v>angustia</v>
      </c>
      <c r="B192" s="1">
        <v>-3</v>
      </c>
      <c r="C192" s="1" t="s">
        <v>189</v>
      </c>
    </row>
    <row r="193" spans="1:3" ht="12.75" x14ac:dyDescent="0.2">
      <c r="A193" s="1" t="str">
        <f ca="1">IFERROR(__xludf.DUMMYFUNCTION("GOOGLETRANSLATE(C190, ""en"", ""es"")"),"angustia")</f>
        <v>angustia</v>
      </c>
      <c r="B193" s="1">
        <v>-3</v>
      </c>
      <c r="C193" s="1" t="s">
        <v>190</v>
      </c>
    </row>
    <row r="194" spans="1:3" ht="12.75" x14ac:dyDescent="0.2">
      <c r="A194" s="1" t="str">
        <f ca="1">IFERROR(__xludf.DUMMYFUNCTION("GOOGLETRANSLATE(C191, ""en"", ""es"")"),"angustia")</f>
        <v>angustia</v>
      </c>
      <c r="B194" s="1">
        <v>-2</v>
      </c>
      <c r="C194" s="1" t="s">
        <v>191</v>
      </c>
    </row>
    <row r="195" spans="1:3" ht="12.75" x14ac:dyDescent="0.2">
      <c r="A195" s="1" t="str">
        <f ca="1">IFERROR(__xludf.DUMMYFUNCTION("GOOGLETRANSLATE(C193, ""en"", ""es"")"),"angustia")</f>
        <v>angustia</v>
      </c>
      <c r="B195" s="1">
        <v>-2</v>
      </c>
      <c r="C195" s="1" t="s">
        <v>193</v>
      </c>
    </row>
    <row r="196" spans="1:3" ht="12.75" x14ac:dyDescent="0.2">
      <c r="A196" s="1" t="str">
        <f ca="1">IFERROR(__xludf.DUMMYFUNCTION("GOOGLETRANSLATE(C192, ""en"", ""es"")"),"angustiado")</f>
        <v>angustiado</v>
      </c>
      <c r="B196" s="1">
        <v>-3</v>
      </c>
      <c r="C196" s="1" t="s">
        <v>192</v>
      </c>
    </row>
    <row r="197" spans="1:3" ht="12.75" x14ac:dyDescent="0.2">
      <c r="A197" s="1" t="str">
        <f ca="1">IFERROR(__xludf.DUMMYFUNCTION("GOOGLETRANSLATE(C194, ""en"", ""es"")"),"angustioso")</f>
        <v>angustioso</v>
      </c>
      <c r="B197" s="1">
        <v>-2</v>
      </c>
      <c r="C197" s="1" t="s">
        <v>194</v>
      </c>
    </row>
    <row r="198" spans="1:3" ht="12.75" x14ac:dyDescent="0.2">
      <c r="A198" s="1" t="str">
        <f ca="1">IFERROR(__xludf.DUMMYFUNCTION("GOOGLETRANSLATE(C195, ""en"", ""es"")"),"angustioso")</f>
        <v>angustioso</v>
      </c>
      <c r="B198" s="1">
        <v>-3</v>
      </c>
      <c r="C198" s="1" t="s">
        <v>195</v>
      </c>
    </row>
    <row r="199" spans="1:3" ht="12.75" x14ac:dyDescent="0.2">
      <c r="A199" s="1" t="str">
        <f ca="1">IFERROR(__xludf.DUMMYFUNCTION("GOOGLETRANSLATE(C196, ""en"", ""es"")"),"anhelo")</f>
        <v>anhelo</v>
      </c>
      <c r="B199" s="1">
        <v>-1</v>
      </c>
      <c r="C199" s="1" t="s">
        <v>196</v>
      </c>
    </row>
    <row r="200" spans="1:3" ht="12.75" x14ac:dyDescent="0.2">
      <c r="A200" s="1" t="str">
        <f ca="1">IFERROR(__xludf.DUMMYFUNCTION("GOOGLETRANSLATE(C197, ""en"", ""es"")"),"anhelo")</f>
        <v>anhelo</v>
      </c>
      <c r="B200" s="1">
        <v>1</v>
      </c>
      <c r="C200" s="1" t="s">
        <v>197</v>
      </c>
    </row>
    <row r="201" spans="1:3" ht="12.75" x14ac:dyDescent="0.2">
      <c r="A201" s="1" t="str">
        <f ca="1">IFERROR(__xludf.DUMMYFUNCTION("GOOGLETRANSLATE(C198, ""en"", ""es"")"),"animado")</f>
        <v>animado</v>
      </c>
      <c r="B201" s="1">
        <v>2</v>
      </c>
      <c r="C201" s="1" t="s">
        <v>198</v>
      </c>
    </row>
    <row r="202" spans="1:3" ht="12.75" x14ac:dyDescent="0.2">
      <c r="A202" s="1" t="str">
        <f ca="1">IFERROR(__xludf.DUMMYFUNCTION("GOOGLETRANSLATE(C200, ""en"", ""es"")"),"animado")</f>
        <v>animado</v>
      </c>
      <c r="B202" s="1">
        <v>2</v>
      </c>
      <c r="C202" s="1" t="s">
        <v>200</v>
      </c>
    </row>
    <row r="203" spans="1:3" ht="12.75" x14ac:dyDescent="0.2">
      <c r="A203" s="1" t="str">
        <f ca="1">IFERROR(__xludf.DUMMYFUNCTION("GOOGLETRANSLATE(C202, ""en"", ""es"")"),"ánimo")</f>
        <v>ánimo</v>
      </c>
      <c r="B203" s="1">
        <v>2</v>
      </c>
      <c r="C203" s="1" t="s">
        <v>202</v>
      </c>
    </row>
    <row r="204" spans="1:3" ht="12.75" x14ac:dyDescent="0.2">
      <c r="A204" s="1" t="str">
        <f ca="1">IFERROR(__xludf.DUMMYFUNCTION("GOOGLETRANSLATE(C203, ""en"", ""es"")"),"animosidad")</f>
        <v>animosidad</v>
      </c>
      <c r="B204" s="1">
        <v>-2</v>
      </c>
      <c r="C204" s="1" t="s">
        <v>203</v>
      </c>
    </row>
    <row r="205" spans="1:3" ht="12.75" x14ac:dyDescent="0.2">
      <c r="A205" s="1" t="str">
        <f ca="1">IFERROR(__xludf.DUMMYFUNCTION("GOOGLETRANSLATE(C204, ""en"", ""es"")"),"ansiedad")</f>
        <v>ansiedad</v>
      </c>
      <c r="B205" s="1">
        <v>-2</v>
      </c>
      <c r="C205" s="1" t="s">
        <v>204</v>
      </c>
    </row>
    <row r="206" spans="1:3" ht="12.75" x14ac:dyDescent="0.2">
      <c r="A206" s="1" t="str">
        <f ca="1">IFERROR(__xludf.DUMMYFUNCTION("GOOGLETRANSLATE(C205, ""en"", ""es"")"),"ansioso")</f>
        <v>ansioso</v>
      </c>
      <c r="B206" s="1">
        <v>-2</v>
      </c>
      <c r="C206" s="1" t="s">
        <v>205</v>
      </c>
    </row>
    <row r="207" spans="1:3" ht="12.75" x14ac:dyDescent="0.2">
      <c r="A207" s="1" t="str">
        <f ca="1">IFERROR(__xludf.DUMMYFUNCTION("GOOGLETRANSLATE(C206, ""en"", ""es"")"),"ansioso")</f>
        <v>ansioso</v>
      </c>
      <c r="B207" s="1">
        <v>2</v>
      </c>
      <c r="C207" s="1" t="s">
        <v>206</v>
      </c>
    </row>
    <row r="208" spans="1:3" ht="12.75" x14ac:dyDescent="0.2">
      <c r="A208" s="1" t="str">
        <f ca="1">IFERROR(__xludf.DUMMYFUNCTION("GOOGLETRANSLATE(C207, ""en"", ""es"")"),"antagonista")</f>
        <v>antagonista</v>
      </c>
      <c r="B208" s="1">
        <v>-2</v>
      </c>
      <c r="C208" s="1" t="s">
        <v>207</v>
      </c>
    </row>
    <row r="209" spans="1:3" ht="12.75" x14ac:dyDescent="0.2">
      <c r="A209" s="1" t="str">
        <f ca="1">IFERROR(__xludf.DUMMYFUNCTION("GOOGLETRANSLATE(C208, ""en"", ""es"")"),"anti")</f>
        <v>anti</v>
      </c>
      <c r="B209" s="1">
        <v>-1</v>
      </c>
      <c r="C209" s="1" t="s">
        <v>208</v>
      </c>
    </row>
    <row r="210" spans="1:3" ht="12.75" x14ac:dyDescent="0.2">
      <c r="A210" s="1" t="str">
        <f ca="1">IFERROR(__xludf.DUMMYFUNCTION("GOOGLETRANSLATE(C209, ""en"", ""es"")"),"anticipación")</f>
        <v>anticipación</v>
      </c>
      <c r="B210" s="1">
        <v>1</v>
      </c>
      <c r="C210" s="1" t="s">
        <v>209</v>
      </c>
    </row>
    <row r="211" spans="1:3" ht="12.75" x14ac:dyDescent="0.2">
      <c r="A211" s="1" t="str">
        <f ca="1">IFERROR(__xludf.DUMMYFUNCTION("GOOGLETRANSLATE(C211, ""en"", ""es"")"),"apacible")</f>
        <v>apacible</v>
      </c>
      <c r="B211" s="1">
        <v>2</v>
      </c>
      <c r="C211" s="1" t="s">
        <v>211</v>
      </c>
    </row>
    <row r="212" spans="1:3" ht="12.75" x14ac:dyDescent="0.2">
      <c r="A212" s="1" t="str">
        <f ca="1">IFERROR(__xludf.DUMMYFUNCTION("GOOGLETRANSLATE(C210, ""en"", ""es"")"),"apaciguado")</f>
        <v>apaciguado</v>
      </c>
      <c r="B212" s="1">
        <v>2</v>
      </c>
      <c r="C212" s="1" t="s">
        <v>210</v>
      </c>
    </row>
    <row r="213" spans="1:3" ht="12.75" x14ac:dyDescent="0.2">
      <c r="A213" s="1" t="str">
        <f ca="1">IFERROR(__xludf.DUMMYFUNCTION("GOOGLETRANSLATE(C212, ""en"", ""es"")"),"apaciguar")</f>
        <v>apaciguar</v>
      </c>
      <c r="B213" s="1">
        <v>2</v>
      </c>
      <c r="C213" s="1" t="s">
        <v>212</v>
      </c>
    </row>
    <row r="214" spans="1:3" ht="12.75" x14ac:dyDescent="0.2">
      <c r="A214" s="1" t="str">
        <f ca="1">IFERROR(__xludf.DUMMYFUNCTION("GOOGLETRANSLATE(C215, ""en"", ""es"")"),"apasionado")</f>
        <v>apasionado</v>
      </c>
      <c r="B214" s="1">
        <v>2</v>
      </c>
      <c r="C214" s="1" t="s">
        <v>215</v>
      </c>
    </row>
    <row r="215" spans="1:3" ht="12.75" x14ac:dyDescent="0.2">
      <c r="A215" s="1" t="str">
        <f ca="1">IFERROR(__xludf.DUMMYFUNCTION("GOOGLETRANSLATE(C216, ""en"", ""es"")"),"apatía")</f>
        <v>apatía</v>
      </c>
      <c r="B215" s="1">
        <v>-3</v>
      </c>
      <c r="C215" s="1" t="s">
        <v>216</v>
      </c>
    </row>
    <row r="216" spans="1:3" ht="12.75" x14ac:dyDescent="0.2">
      <c r="A216" s="1" t="str">
        <f ca="1">IFERROR(__xludf.DUMMYFUNCTION("GOOGLETRANSLATE(C217, ""en"", ""es"")"),"apático")</f>
        <v>apático</v>
      </c>
      <c r="B216" s="1">
        <v>-3</v>
      </c>
      <c r="C216" s="1" t="s">
        <v>217</v>
      </c>
    </row>
    <row r="217" spans="1:3" ht="12.75" x14ac:dyDescent="0.2">
      <c r="A217" s="1" t="str">
        <f ca="1">IFERROR(__xludf.DUMMYFUNCTION("GOOGLETRANSLATE(C218, ""en"", ""es"")"),"apenado")</f>
        <v>apenado</v>
      </c>
      <c r="B217" s="1">
        <v>-2</v>
      </c>
      <c r="C217" s="1" t="s">
        <v>218</v>
      </c>
    </row>
    <row r="218" spans="1:3" ht="12.75" x14ac:dyDescent="0.2">
      <c r="A218" s="1" t="str">
        <f ca="1">IFERROR(__xludf.DUMMYFUNCTION("GOOGLETRANSLATE(C479, ""en"", ""es"")"),"apesta")</f>
        <v>apesta</v>
      </c>
      <c r="B218" s="1">
        <v>-3</v>
      </c>
      <c r="C218" s="1" t="s">
        <v>479</v>
      </c>
    </row>
    <row r="219" spans="1:3" ht="12.75" x14ac:dyDescent="0.2">
      <c r="A219" s="1" t="str">
        <f ca="1">IFERROR(__xludf.DUMMYFUNCTION("GOOGLETRANSLATE(C219, ""en"", ""es"")"),"aphit")</f>
        <v>aphit</v>
      </c>
      <c r="B219" s="1">
        <v>-3</v>
      </c>
      <c r="C219" s="1" t="s">
        <v>219</v>
      </c>
    </row>
    <row r="220" spans="1:3" ht="12.75" x14ac:dyDescent="0.2">
      <c r="A220" s="1" t="str">
        <f ca="1">IFERROR(__xludf.DUMMYFUNCTION("GOOGLETRANSLATE(C222, ""en"", ""es"")"),"aplastada")</f>
        <v>aplastada</v>
      </c>
      <c r="B220" s="1">
        <v>-2</v>
      </c>
      <c r="C220" s="1" t="s">
        <v>222</v>
      </c>
    </row>
    <row r="221" spans="1:3" ht="12.75" x14ac:dyDescent="0.2">
      <c r="A221" s="1" t="str">
        <f ca="1">IFERROR(__xludf.DUMMYFUNCTION("GOOGLETRANSLATE(C223, ""en"", ""es"")"),"aplastante")</f>
        <v>aplastante</v>
      </c>
      <c r="B221" s="1">
        <v>-1</v>
      </c>
      <c r="C221" s="1" t="s">
        <v>223</v>
      </c>
    </row>
    <row r="222" spans="1:3" ht="12.75" x14ac:dyDescent="0.2">
      <c r="A222" s="1" t="str">
        <f ca="1">IFERROR(__xludf.DUMMYFUNCTION("GOOGLETRANSLATE(C226, ""en"", ""es"")"),"aplaudido")</f>
        <v>aplaudido</v>
      </c>
      <c r="B222" s="1">
        <v>2</v>
      </c>
      <c r="C222" s="1" t="s">
        <v>226</v>
      </c>
    </row>
    <row r="223" spans="1:3" ht="12.75" x14ac:dyDescent="0.2">
      <c r="A223" s="1" t="str">
        <f ca="1">IFERROR(__xludf.DUMMYFUNCTION("GOOGLETRANSLATE(C225, ""en"", ""es"")"),"aplaudidos")</f>
        <v>aplaudidos</v>
      </c>
      <c r="B223" s="1">
        <v>2</v>
      </c>
      <c r="C223" s="1" t="s">
        <v>225</v>
      </c>
    </row>
    <row r="224" spans="1:3" ht="12.75" x14ac:dyDescent="0.2">
      <c r="A224" s="1" t="str">
        <f ca="1">IFERROR(__xludf.DUMMYFUNCTION("GOOGLETRANSLATE(C227, ""en"", ""es"")"),"aplaudir")</f>
        <v>aplaudir</v>
      </c>
      <c r="B224" s="1">
        <v>2</v>
      </c>
      <c r="C224" s="1" t="s">
        <v>227</v>
      </c>
    </row>
    <row r="225" spans="1:3" ht="12.75" x14ac:dyDescent="0.2">
      <c r="A225" s="1" t="str">
        <f ca="1">IFERROR(__xludf.DUMMYFUNCTION("GOOGLETRANSLATE(C228, ""en"", ""es"")"),"aplaudir")</f>
        <v>aplaudir</v>
      </c>
      <c r="B225" s="1">
        <v>2</v>
      </c>
      <c r="C225" s="1" t="s">
        <v>228</v>
      </c>
    </row>
    <row r="226" spans="1:3" ht="12.75" x14ac:dyDescent="0.2">
      <c r="A226" s="1" t="str">
        <f ca="1">IFERROR(__xludf.DUMMYFUNCTION("GOOGLETRANSLATE(C229, ""en"", ""es"")"),"aplausos")</f>
        <v>aplausos</v>
      </c>
      <c r="B226" s="1">
        <v>2</v>
      </c>
      <c r="C226" s="1" t="s">
        <v>229</v>
      </c>
    </row>
    <row r="227" spans="1:3" ht="12.75" x14ac:dyDescent="0.2">
      <c r="A227" s="1" t="str">
        <f ca="1">IFERROR(__xludf.DUMMYFUNCTION("GOOGLETRANSLATE(C230, ""en"", ""es"")"),"aplausos")</f>
        <v>aplausos</v>
      </c>
      <c r="B227" s="1">
        <v>2</v>
      </c>
      <c r="C227" s="1" t="s">
        <v>230</v>
      </c>
    </row>
    <row r="228" spans="1:3" ht="12.75" x14ac:dyDescent="0.2">
      <c r="A228" s="1" t="str">
        <f ca="1">IFERROR(__xludf.DUMMYFUNCTION("GOOGLETRANSLATE(C810, ""en"", ""es"")"),"aplazando")</f>
        <v>aplazando</v>
      </c>
      <c r="B228" s="1">
        <v>-1</v>
      </c>
      <c r="C228" s="1" t="s">
        <v>811</v>
      </c>
    </row>
    <row r="229" spans="1:3" ht="12.75" x14ac:dyDescent="0.2">
      <c r="A229" s="1" t="str">
        <f ca="1">IFERROR(__xludf.DUMMYFUNCTION("GOOGLETRANSLATE(C231, ""en"", ""es"")"),"aplazar")</f>
        <v>aplazar</v>
      </c>
      <c r="B229" s="1">
        <v>-1</v>
      </c>
      <c r="C229" s="1" t="s">
        <v>231</v>
      </c>
    </row>
    <row r="230" spans="1:3" ht="12.75" x14ac:dyDescent="0.2">
      <c r="A230" s="1" t="str">
        <f ca="1">IFERROR(__xludf.DUMMYFUNCTION("GOOGLETRANSLATE(C232, ""en"", ""es"")"),"apocalíptico")</f>
        <v>apocalíptico</v>
      </c>
      <c r="B230" s="1">
        <v>-2</v>
      </c>
      <c r="C230" s="1" t="s">
        <v>232</v>
      </c>
    </row>
    <row r="231" spans="1:3" ht="12.75" x14ac:dyDescent="0.2">
      <c r="A231" s="1" t="str">
        <f ca="1">IFERROR(__xludf.DUMMYFUNCTION("GOOGLETRANSLATE(C233, ""en"", ""es"")"),"apoyo")</f>
        <v>apoyo</v>
      </c>
      <c r="B231" s="1">
        <v>2</v>
      </c>
      <c r="C231" s="1" t="s">
        <v>233</v>
      </c>
    </row>
    <row r="232" spans="1:3" ht="12.75" x14ac:dyDescent="0.2">
      <c r="A232" s="1" t="str">
        <f ca="1">IFERROR(__xludf.DUMMYFUNCTION("GOOGLETRANSLATE(C235, ""en"", ""es"")"),"apoyo")</f>
        <v>apoyo</v>
      </c>
      <c r="B232" s="1">
        <v>2</v>
      </c>
      <c r="C232" s="1" t="s">
        <v>235</v>
      </c>
    </row>
    <row r="233" spans="1:3" ht="12.75" x14ac:dyDescent="0.2">
      <c r="A233" s="1" t="str">
        <f ca="1">IFERROR(__xludf.DUMMYFUNCTION("GOOGLETRANSLATE(C236, ""en"", ""es"")"),"aprecia")</f>
        <v>aprecia</v>
      </c>
      <c r="B233" s="1">
        <v>2</v>
      </c>
      <c r="C233" s="1" t="s">
        <v>236</v>
      </c>
    </row>
    <row r="234" spans="1:3" ht="12.75" x14ac:dyDescent="0.2">
      <c r="A234" s="1" t="str">
        <f ca="1">IFERROR(__xludf.DUMMYFUNCTION("GOOGLETRANSLATE(C237, ""en"", ""es"")"),"apreciación")</f>
        <v>apreciación</v>
      </c>
      <c r="B234" s="1">
        <v>2</v>
      </c>
      <c r="C234" s="1" t="s">
        <v>237</v>
      </c>
    </row>
    <row r="235" spans="1:3" ht="12.75" x14ac:dyDescent="0.2">
      <c r="A235" s="1" t="str">
        <f ca="1">IFERROR(__xludf.DUMMYFUNCTION("GOOGLETRANSLATE(C238, ""en"", ""es"")"),"apreciado")</f>
        <v>apreciado</v>
      </c>
      <c r="B235" s="1">
        <v>2</v>
      </c>
      <c r="C235" s="1" t="s">
        <v>238</v>
      </c>
    </row>
    <row r="236" spans="1:3" ht="12.75" x14ac:dyDescent="0.2">
      <c r="A236" s="1" t="str">
        <f ca="1">IFERROR(__xludf.DUMMYFUNCTION("GOOGLETRANSLATE(C15, ""en"", ""es"")"),"apreciar")</f>
        <v>apreciar</v>
      </c>
      <c r="B236" s="1">
        <v>2</v>
      </c>
      <c r="C236" s="1" t="s">
        <v>16</v>
      </c>
    </row>
    <row r="237" spans="1:3" ht="12.75" x14ac:dyDescent="0.2">
      <c r="A237" s="1" t="str">
        <f ca="1">IFERROR(__xludf.DUMMYFUNCTION("GOOGLETRANSLATE(C243, ""en"", ""es"")"),"apreciar")</f>
        <v>apreciar</v>
      </c>
      <c r="B237" s="1">
        <v>2</v>
      </c>
      <c r="C237" s="1" t="s">
        <v>243</v>
      </c>
    </row>
    <row r="238" spans="1:3" ht="12.75" x14ac:dyDescent="0.2">
      <c r="A238" s="1" t="str">
        <f ca="1">IFERROR(__xludf.DUMMYFUNCTION("GOOGLETRANSLATE(C240, ""en"", ""es"")"),"aprecio")</f>
        <v>aprecio</v>
      </c>
      <c r="B238" s="1">
        <v>2</v>
      </c>
      <c r="C238" s="1" t="s">
        <v>240</v>
      </c>
    </row>
    <row r="239" spans="1:3" ht="12.75" x14ac:dyDescent="0.2">
      <c r="A239" s="1" t="str">
        <f ca="1">IFERROR(__xludf.DUMMYFUNCTION("GOOGLETRANSLATE(C244, ""en"", ""es"")"),"aprensivo")</f>
        <v>aprensivo</v>
      </c>
      <c r="B239" s="1">
        <v>-2</v>
      </c>
      <c r="C239" s="1" t="s">
        <v>244</v>
      </c>
    </row>
    <row r="240" spans="1:3" ht="12.75" x14ac:dyDescent="0.2">
      <c r="A240" s="1" t="str">
        <f ca="1">IFERROR(__xludf.DUMMYFUNCTION("GOOGLETRANSLATE(C245, ""en"", ""es"")"),"aprobación")</f>
        <v>aprobación</v>
      </c>
      <c r="B240" s="1">
        <v>2</v>
      </c>
      <c r="C240" s="1" t="s">
        <v>245</v>
      </c>
    </row>
    <row r="241" spans="1:3" ht="12.75" x14ac:dyDescent="0.2">
      <c r="A241" s="1" t="str">
        <f ca="1">IFERROR(__xludf.DUMMYFUNCTION("GOOGLETRANSLATE(C246, ""en"", ""es"")"),"aprobación")</f>
        <v>aprobación</v>
      </c>
      <c r="B241" s="1">
        <v>2</v>
      </c>
      <c r="C241" s="1" t="s">
        <v>246</v>
      </c>
    </row>
    <row r="242" spans="1:3" ht="12.75" x14ac:dyDescent="0.2">
      <c r="A242" s="1" t="str">
        <f ca="1">IFERROR(__xludf.DUMMYFUNCTION("GOOGLETRANSLATE(C248, ""en"", ""es"")"),"aprobación")</f>
        <v>aprobación</v>
      </c>
      <c r="B242" s="1">
        <v>2</v>
      </c>
      <c r="C242" s="1" t="s">
        <v>248</v>
      </c>
    </row>
    <row r="243" spans="1:3" ht="12.75" x14ac:dyDescent="0.2">
      <c r="A243" s="1" t="str">
        <f ca="1">IFERROR(__xludf.DUMMYFUNCTION("GOOGLETRANSLATE(C247, ""en"", ""es"")"),"aprobado")</f>
        <v>aprobado</v>
      </c>
      <c r="B243" s="1">
        <v>2</v>
      </c>
      <c r="C243" s="1" t="s">
        <v>247</v>
      </c>
    </row>
    <row r="244" spans="1:3" ht="12.75" x14ac:dyDescent="0.2">
      <c r="A244" s="1" t="str">
        <f ca="1">IFERROR(__xludf.DUMMYFUNCTION("GOOGLETRANSLATE(C249, ""en"", ""es"")"),"aptitud física")</f>
        <v>aptitud física</v>
      </c>
      <c r="B244" s="1">
        <v>1</v>
      </c>
      <c r="C244" s="1" t="s">
        <v>249</v>
      </c>
    </row>
    <row r="245" spans="1:3" ht="12.75" x14ac:dyDescent="0.2">
      <c r="A245" s="1" t="str">
        <f ca="1">IFERROR(__xludf.DUMMYFUNCTION("GOOGLETRANSLATE(C51, ""en"", ""es"")"),"apuñalado")</f>
        <v>apuñalado</v>
      </c>
      <c r="B245" s="1">
        <v>-2</v>
      </c>
      <c r="C245" s="1" t="s">
        <v>51</v>
      </c>
    </row>
    <row r="246" spans="1:3" ht="12.75" x14ac:dyDescent="0.2">
      <c r="A246" s="1" t="str">
        <f ca="1">IFERROR(__xludf.DUMMYFUNCTION("GOOGLETRANSLATE(C1999, ""en"", ""es"")"),"apuñalamiento")</f>
        <v>apuñalamiento</v>
      </c>
      <c r="B246" s="1">
        <v>-2</v>
      </c>
      <c r="C246" s="1" t="s">
        <v>1997</v>
      </c>
    </row>
    <row r="247" spans="1:3" ht="12.75" x14ac:dyDescent="0.2">
      <c r="A247" s="1" t="str">
        <f ca="1">IFERROR(__xludf.DUMMYFUNCTION("GOOGLETRANSLATE(C250, ""en"", ""es"")"),"ardiente")</f>
        <v>ardiente</v>
      </c>
      <c r="B247" s="1">
        <v>1</v>
      </c>
      <c r="C247" s="1" t="s">
        <v>250</v>
      </c>
    </row>
    <row r="248" spans="1:3" ht="12.75" x14ac:dyDescent="0.2">
      <c r="A248" s="1" t="str">
        <f ca="1">IFERROR(__xludf.DUMMYFUNCTION("GOOGLETRANSLATE(C252, ""en"", ""es"")"),"arrastrado")</f>
        <v>arrastrado</v>
      </c>
      <c r="B248" s="1">
        <v>-1</v>
      </c>
      <c r="C248" s="1" t="s">
        <v>252</v>
      </c>
    </row>
    <row r="249" spans="1:3" ht="12.75" x14ac:dyDescent="0.2">
      <c r="A249" s="1" t="str">
        <f ca="1">IFERROR(__xludf.DUMMYFUNCTION("GOOGLETRANSLATE(C253, ""en"", ""es"")"),"arrastrar")</f>
        <v>arrastrar</v>
      </c>
      <c r="B249" s="1">
        <v>-1</v>
      </c>
      <c r="C249" s="1" t="s">
        <v>253</v>
      </c>
    </row>
    <row r="250" spans="1:3" ht="12.75" x14ac:dyDescent="0.2">
      <c r="A250" s="1" t="str">
        <f ca="1">IFERROR(__xludf.DUMMYFUNCTION("GOOGLETRANSLATE(C254, ""en"", ""es"")"),"arreglado")</f>
        <v>arreglado</v>
      </c>
      <c r="B250" s="1">
        <v>-1</v>
      </c>
      <c r="C250" s="1" t="s">
        <v>254</v>
      </c>
    </row>
    <row r="251" spans="1:3" ht="12.75" x14ac:dyDescent="0.2">
      <c r="A251" s="1" t="str">
        <f ca="1">IFERROR(__xludf.DUMMYFUNCTION("GOOGLETRANSLATE(C220, ""en"", ""es"")"),"arrendamiento")</f>
        <v>arrendamiento</v>
      </c>
      <c r="B251" s="1">
        <v>2</v>
      </c>
      <c r="C251" s="1" t="s">
        <v>220</v>
      </c>
    </row>
    <row r="252" spans="1:3" ht="12.75" x14ac:dyDescent="0.2">
      <c r="A252" s="1" t="str">
        <f ca="1">IFERROR(__xludf.DUMMYFUNCTION("GOOGLETRANSLATE(C255, ""en"", ""es"")"),"arrepentido")</f>
        <v>arrepentido</v>
      </c>
      <c r="B252" s="1">
        <v>-2</v>
      </c>
      <c r="C252" s="1" t="s">
        <v>255</v>
      </c>
    </row>
    <row r="253" spans="1:3" ht="12.75" x14ac:dyDescent="0.2">
      <c r="A253" s="1" t="str">
        <f ca="1">IFERROR(__xludf.DUMMYFUNCTION("GOOGLETRANSLATE(C256, ""en"", ""es"")"),"arrepentimientos")</f>
        <v>arrepentimientos</v>
      </c>
      <c r="B253" s="1">
        <v>-2</v>
      </c>
      <c r="C253" s="1" t="s">
        <v>256</v>
      </c>
    </row>
    <row r="254" spans="1:3" ht="12.75" x14ac:dyDescent="0.2">
      <c r="A254" s="1" t="str">
        <f ca="1">IFERROR(__xludf.DUMMYFUNCTION("GOOGLETRANSLATE(C1539, ""en"", ""es"")"),"arrepentirse")</f>
        <v>arrepentirse</v>
      </c>
      <c r="B254" s="1">
        <v>-2</v>
      </c>
      <c r="C254" s="1" t="s">
        <v>1538</v>
      </c>
    </row>
    <row r="255" spans="1:3" ht="12.75" x14ac:dyDescent="0.2">
      <c r="A255" s="1" t="str">
        <f ca="1">IFERROR(__xludf.DUMMYFUNCTION("GOOGLETRANSLATE(C257, ""en"", ""es"")"),"arrestar")</f>
        <v>arrestar</v>
      </c>
      <c r="B255" s="1">
        <v>-2</v>
      </c>
      <c r="C255" s="1" t="s">
        <v>257</v>
      </c>
    </row>
    <row r="256" spans="1:3" ht="12.75" x14ac:dyDescent="0.2">
      <c r="A256" s="1" t="str">
        <f ca="1">IFERROR(__xludf.DUMMYFUNCTION("GOOGLETRANSLATE(C791, ""en"", ""es"")"),"arrestos")</f>
        <v>arrestos</v>
      </c>
      <c r="B256" s="1">
        <v>-2</v>
      </c>
      <c r="C256" s="1" t="s">
        <v>792</v>
      </c>
    </row>
    <row r="257" spans="1:3" ht="12.75" x14ac:dyDescent="0.2">
      <c r="A257" s="1" t="str">
        <f ca="1">IFERROR(__xludf.DUMMYFUNCTION("GOOGLETRANSLATE(C258, ""en"", ""es"")"),"arrinconado")</f>
        <v>arrinconado</v>
      </c>
      <c r="B257" s="1">
        <v>-2</v>
      </c>
      <c r="C257" s="1" t="s">
        <v>258</v>
      </c>
    </row>
    <row r="258" spans="1:3" ht="12.75" x14ac:dyDescent="0.2">
      <c r="A258" s="1" t="str">
        <f ca="1">IFERROR(__xludf.DUMMYFUNCTION("GOOGLETRANSLATE(C259, ""en"", ""es"")"),"arrogante")</f>
        <v>arrogante</v>
      </c>
      <c r="B258" s="1">
        <v>-2</v>
      </c>
      <c r="C258" s="1" t="s">
        <v>259</v>
      </c>
    </row>
    <row r="259" spans="1:3" ht="12.75" x14ac:dyDescent="0.2">
      <c r="A259" s="1" t="str">
        <f ca="1">IFERROR(__xludf.DUMMYFUNCTION("GOOGLETRANSLATE(C1782, ""en"", ""es"")"),"arrojado")</f>
        <v>arrojado</v>
      </c>
      <c r="B259" s="1">
        <v>-2</v>
      </c>
      <c r="C259" s="1" t="s">
        <v>1780</v>
      </c>
    </row>
    <row r="260" spans="1:3" ht="12.75" x14ac:dyDescent="0.2">
      <c r="A260" s="1" t="str">
        <f ca="1">IFERROR(__xludf.DUMMYFUNCTION("GOOGLETRANSLATE(C260, ""en"", ""es"")"),"arruinado")</f>
        <v>arruinado</v>
      </c>
      <c r="B260" s="1">
        <v>-3</v>
      </c>
      <c r="C260" s="1" t="s">
        <v>260</v>
      </c>
    </row>
    <row r="261" spans="1:3" ht="12.75" x14ac:dyDescent="0.2">
      <c r="A261" s="1" t="str">
        <f ca="1">IFERROR(__xludf.DUMMYFUNCTION("GOOGLETRANSLATE(C261, ""en"", ""es"")"),"arruinado")</f>
        <v>arruinado</v>
      </c>
      <c r="B261" s="1">
        <v>-2</v>
      </c>
      <c r="C261" s="1" t="s">
        <v>261</v>
      </c>
    </row>
    <row r="262" spans="1:3" ht="12.75" x14ac:dyDescent="0.2">
      <c r="A262" s="1" t="str">
        <f ca="1">IFERROR(__xludf.DUMMYFUNCTION("GOOGLETRANSLATE(C465, ""en"", ""es"")"),"asalto")</f>
        <v>asalto</v>
      </c>
      <c r="B262" s="1">
        <v>-1</v>
      </c>
      <c r="C262" s="1" t="s">
        <v>465</v>
      </c>
    </row>
    <row r="263" spans="1:3" ht="12.75" x14ac:dyDescent="0.2">
      <c r="A263" s="1" t="str">
        <f ca="1">IFERROR(__xludf.DUMMYFUNCTION("GOOGLETRANSLATE(C263, ""en"", ""es"")"),"asco")</f>
        <v>asco</v>
      </c>
      <c r="B263" s="1">
        <v>-3</v>
      </c>
      <c r="C263" s="1" t="s">
        <v>263</v>
      </c>
    </row>
    <row r="264" spans="1:3" ht="12.75" x14ac:dyDescent="0.2">
      <c r="A264" s="1" t="str">
        <f ca="1">IFERROR(__xludf.DUMMYFUNCTION("GOOGLETRANSLATE(C265, ""en"", ""es"")"),"asegurado")</f>
        <v>asegurado</v>
      </c>
      <c r="B264" s="1">
        <v>2</v>
      </c>
      <c r="C264" s="1" t="s">
        <v>265</v>
      </c>
    </row>
    <row r="265" spans="1:3" ht="12.75" x14ac:dyDescent="0.2">
      <c r="A265" s="1" t="str">
        <f ca="1">IFERROR(__xludf.DUMMYFUNCTION("GOOGLETRANSLATE(C264, ""en"", ""es"")"),"asegurados")</f>
        <v>asegurados</v>
      </c>
      <c r="B265" s="1">
        <v>2</v>
      </c>
      <c r="C265" s="1" t="s">
        <v>264</v>
      </c>
    </row>
    <row r="266" spans="1:3" ht="12.75" x14ac:dyDescent="0.2">
      <c r="A266" s="1" t="str">
        <f ca="1">IFERROR(__xludf.DUMMYFUNCTION("GOOGLETRANSLATE(C266, ""en"", ""es"")"),"asegurando")</f>
        <v>asegurando</v>
      </c>
      <c r="B266" s="1">
        <v>1</v>
      </c>
      <c r="C266" s="1" t="s">
        <v>266</v>
      </c>
    </row>
    <row r="267" spans="1:3" ht="12.75" x14ac:dyDescent="0.2">
      <c r="A267" s="1" t="str">
        <f ca="1">IFERROR(__xludf.DUMMYFUNCTION("GOOGLETRANSLATE(C267, ""en"", ""es"")"),"asegurar")</f>
        <v>asegurar</v>
      </c>
      <c r="B267" s="1">
        <v>1</v>
      </c>
      <c r="C267" s="1" t="s">
        <v>267</v>
      </c>
    </row>
    <row r="268" spans="1:3" ht="12.75" x14ac:dyDescent="0.2">
      <c r="A268" t="s">
        <v>2472</v>
      </c>
      <c r="B268" s="1">
        <v>-5</v>
      </c>
      <c r="C268" s="1" t="s">
        <v>274</v>
      </c>
    </row>
    <row r="269" spans="1:3" ht="12.75" x14ac:dyDescent="0.2">
      <c r="A269" s="1" t="str">
        <f ca="1">IFERROR(__xludf.DUMMYFUNCTION("GOOGLETRANSLATE(C268, ""en"", ""es"")"),"asesinato")</f>
        <v>asesinato</v>
      </c>
      <c r="B269" s="1">
        <v>-3</v>
      </c>
      <c r="C269" s="1" t="s">
        <v>268</v>
      </c>
    </row>
    <row r="270" spans="1:3" ht="12.75" x14ac:dyDescent="0.2">
      <c r="A270" s="1" t="str">
        <f ca="1">IFERROR(__xludf.DUMMYFUNCTION("GOOGLETRANSLATE(C269, ""en"", ""es"")"),"asesinato")</f>
        <v>asesinato</v>
      </c>
      <c r="B270" s="1">
        <v>-3</v>
      </c>
      <c r="C270" s="1" t="s">
        <v>269</v>
      </c>
    </row>
    <row r="271" spans="1:3" ht="12.75" x14ac:dyDescent="0.2">
      <c r="A271" s="1" t="str">
        <f ca="1">IFERROR(__xludf.DUMMYFUNCTION("GOOGLETRANSLATE(C270, ""en"", ""es"")"),"asesinato")</f>
        <v>asesinato</v>
      </c>
      <c r="B271" s="1">
        <v>-2</v>
      </c>
      <c r="C271" s="1" t="s">
        <v>270</v>
      </c>
    </row>
    <row r="272" spans="1:3" ht="12.75" x14ac:dyDescent="0.2">
      <c r="A272" s="1" t="str">
        <f ca="1">IFERROR(__xludf.DUMMYFUNCTION("GOOGLETRANSLATE(C271, ""en"", ""es"")"),"asesinato")</f>
        <v>asesinato</v>
      </c>
      <c r="B272" s="1">
        <v>-3</v>
      </c>
      <c r="C272" s="1" t="s">
        <v>271</v>
      </c>
    </row>
    <row r="273" spans="1:3" ht="12.75" x14ac:dyDescent="0.2">
      <c r="A273" s="1" t="str">
        <f ca="1">IFERROR(__xludf.DUMMYFUNCTION("GOOGLETRANSLATE(C272, ""en"", ""es"")"),"asesinato")</f>
        <v>asesinato</v>
      </c>
      <c r="B273" s="1">
        <v>-3</v>
      </c>
      <c r="C273" s="1" t="s">
        <v>272</v>
      </c>
    </row>
    <row r="274" spans="1:3" ht="12.75" x14ac:dyDescent="0.2">
      <c r="A274" s="1" t="str">
        <f ca="1">IFERROR(__xludf.DUMMYFUNCTION("GOOGLETRANSLATE(C273, ""en"", ""es"")"),"asesinatos")</f>
        <v>asesinatos</v>
      </c>
      <c r="B274" s="1">
        <v>-2</v>
      </c>
      <c r="C274" s="1" t="s">
        <v>273</v>
      </c>
    </row>
    <row r="275" spans="1:3" ht="12.75" x14ac:dyDescent="0.2">
      <c r="A275" s="1" t="str">
        <f ca="1">IFERROR(__xludf.DUMMYFUNCTION("GOOGLETRANSLATE(C274, ""en"", ""es"")"),"asesino")</f>
        <v>asesino</v>
      </c>
      <c r="B275" s="1">
        <v>-2</v>
      </c>
      <c r="C275" s="1" t="s">
        <v>274</v>
      </c>
    </row>
    <row r="276" spans="1:3" ht="12.75" x14ac:dyDescent="0.2">
      <c r="A276" s="1" t="str">
        <f ca="1">IFERROR(__xludf.DUMMYFUNCTION("GOOGLETRANSLATE(C275, ""en"", ""es"")"),"asesino")</f>
        <v>asesino</v>
      </c>
      <c r="B276" s="1">
        <v>-3</v>
      </c>
      <c r="C276" s="1" t="s">
        <v>275</v>
      </c>
    </row>
    <row r="277" spans="1:3" ht="12.75" x14ac:dyDescent="0.2">
      <c r="A277" s="1" t="str">
        <f ca="1">IFERROR(__xludf.DUMMYFUNCTION("GOOGLETRANSLATE(C276, ""en"", ""es"")"),"asfixia")</f>
        <v>asfixia</v>
      </c>
      <c r="B277" s="1">
        <v>-2</v>
      </c>
      <c r="C277" s="1" t="s">
        <v>276</v>
      </c>
    </row>
    <row r="278" spans="1:3" ht="12.75" x14ac:dyDescent="0.2">
      <c r="A278" s="1" t="str">
        <f ca="1">IFERROR(__xludf.DUMMYFUNCTION("GOOGLETRANSLATE(C278, ""en"", ""es"")"),"asombrado")</f>
        <v>asombrado</v>
      </c>
      <c r="B278" s="1">
        <v>2</v>
      </c>
      <c r="C278" s="1" t="s">
        <v>278</v>
      </c>
    </row>
    <row r="279" spans="1:3" ht="12.75" x14ac:dyDescent="0.2">
      <c r="A279" s="1" t="str">
        <f ca="1">IFERROR(__xludf.DUMMYFUNCTION("GOOGLETRANSLATE(C279, ""en"", ""es"")"),"asombrado")</f>
        <v>asombrado</v>
      </c>
      <c r="B279" s="1">
        <v>2</v>
      </c>
      <c r="C279" s="1" t="s">
        <v>279</v>
      </c>
    </row>
    <row r="280" spans="1:3" ht="12.75" x14ac:dyDescent="0.2">
      <c r="A280" s="1" t="str">
        <f ca="1">IFERROR(__xludf.DUMMYFUNCTION("GOOGLETRANSLATE(C280, ""en"", ""es"")"),"asombrado")</f>
        <v>asombrado</v>
      </c>
      <c r="B280" s="1">
        <v>3</v>
      </c>
      <c r="C280" s="1" t="s">
        <v>280</v>
      </c>
    </row>
    <row r="281" spans="1:3" ht="12.75" x14ac:dyDescent="0.2">
      <c r="A281" s="1" t="str">
        <f ca="1">IFERROR(__xludf.DUMMYFUNCTION("GOOGLETRANSLATE(C2260, ""en"", ""es"")"),"asombrado")</f>
        <v>asombrado</v>
      </c>
      <c r="B281" s="1">
        <v>2</v>
      </c>
      <c r="C281" s="1" t="s">
        <v>2256</v>
      </c>
    </row>
    <row r="282" spans="1:3" ht="12.75" x14ac:dyDescent="0.2">
      <c r="A282" s="1" t="str">
        <f ca="1">IFERROR(__xludf.DUMMYFUNCTION("GOOGLETRANSLATE(C281, ""en"", ""es"")"),"asombrar")</f>
        <v>asombrar</v>
      </c>
      <c r="B282" s="1">
        <v>3</v>
      </c>
      <c r="C282" s="1" t="s">
        <v>281</v>
      </c>
    </row>
    <row r="283" spans="1:3" ht="12.75" x14ac:dyDescent="0.2">
      <c r="A283" s="1" t="str">
        <f ca="1">IFERROR(__xludf.DUMMYFUNCTION("GOOGLETRANSLATE(C282, ""en"", ""es"")"),"asombro")</f>
        <v>asombro</v>
      </c>
      <c r="B283" s="1">
        <v>2</v>
      </c>
      <c r="C283" s="1" t="s">
        <v>282</v>
      </c>
    </row>
    <row r="284" spans="1:3" ht="12.75" x14ac:dyDescent="0.2">
      <c r="A284" s="1" t="str">
        <f ca="1">IFERROR(__xludf.DUMMYFUNCTION("GOOGLETRANSLATE(C284, ""en"", ""es"")"),"asombroso")</f>
        <v>asombroso</v>
      </c>
      <c r="B284" s="1">
        <v>3</v>
      </c>
      <c r="C284" s="1" t="s">
        <v>284</v>
      </c>
    </row>
    <row r="285" spans="1:3" ht="12.75" x14ac:dyDescent="0.2">
      <c r="A285" s="1" t="str">
        <f ca="1">IFERROR(__xludf.DUMMYFUNCTION("GOOGLETRANSLATE(C285, ""en"", ""es"")"),"asombroso")</f>
        <v>asombroso</v>
      </c>
      <c r="B285" s="1">
        <v>5</v>
      </c>
      <c r="C285" s="1" t="s">
        <v>285</v>
      </c>
    </row>
    <row r="286" spans="1:3" ht="12.75" x14ac:dyDescent="0.2">
      <c r="A286" s="1" t="str">
        <f ca="1">IFERROR(__xludf.DUMMYFUNCTION("GOOGLETRANSLATE(C277, ""en"", ""es"")"),"asombrosos")</f>
        <v>asombrosos</v>
      </c>
      <c r="B286" s="1">
        <v>3</v>
      </c>
      <c r="C286" s="1" t="s">
        <v>277</v>
      </c>
    </row>
    <row r="287" spans="1:3" ht="12.75" x14ac:dyDescent="0.2">
      <c r="A287" s="1" t="str">
        <f ca="1">IFERROR(__xludf.DUMMYFUNCTION("GOOGLETRANSLATE(C286, ""en"", ""es"")"),"asqueroso")</f>
        <v>asqueroso</v>
      </c>
      <c r="B287" s="1">
        <v>-3</v>
      </c>
      <c r="C287" s="1" t="s">
        <v>286</v>
      </c>
    </row>
    <row r="288" spans="1:3" ht="12.75" x14ac:dyDescent="0.2">
      <c r="A288" s="1" t="str">
        <f ca="1">IFERROR(__xludf.DUMMYFUNCTION("GOOGLETRANSLATE(C288, ""en"", ""es"")"),"asqueroso")</f>
        <v>asqueroso</v>
      </c>
      <c r="B288" s="1">
        <v>-2</v>
      </c>
      <c r="C288" s="1" t="s">
        <v>288</v>
      </c>
    </row>
    <row r="289" spans="1:3" ht="12.75" x14ac:dyDescent="0.2">
      <c r="A289" s="1" t="str">
        <f ca="1">IFERROR(__xludf.DUMMYFUNCTION("GOOGLETRANSLATE(C290, ""en"", ""es"")"),"astucia")</f>
        <v>astucia</v>
      </c>
      <c r="B289" s="1">
        <v>-2</v>
      </c>
      <c r="C289" s="1" t="s">
        <v>290</v>
      </c>
    </row>
    <row r="290" spans="1:3" ht="12.75" x14ac:dyDescent="0.2">
      <c r="A290" s="1" t="str">
        <f ca="1">IFERROR(__xludf.DUMMYFUNCTION("GOOGLETRANSLATE(C291, ""en"", ""es"")"),"astuto")</f>
        <v>astuto</v>
      </c>
      <c r="B290" s="1">
        <v>-2</v>
      </c>
      <c r="C290" s="1" t="s">
        <v>291</v>
      </c>
    </row>
    <row r="291" spans="1:3" ht="12.75" x14ac:dyDescent="0.2">
      <c r="A291" s="1" t="str">
        <f ca="1">IFERROR(__xludf.DUMMYFUNCTION("GOOGLETRANSLATE(C292, ""en"", ""es"")"),"asuntos")</f>
        <v>asuntos</v>
      </c>
      <c r="B291" s="1">
        <v>1</v>
      </c>
      <c r="C291" s="1" t="s">
        <v>292</v>
      </c>
    </row>
    <row r="292" spans="1:3" ht="12.75" x14ac:dyDescent="0.2">
      <c r="A292" s="1" t="str">
        <f ca="1">IFERROR(__xludf.DUMMYFUNCTION("GOOGLETRANSLATE(C293, ""en"", ""es"")"),"asustadizo")</f>
        <v>asustadizo</v>
      </c>
      <c r="B292" s="1">
        <v>-1</v>
      </c>
      <c r="C292" s="1" t="s">
        <v>293</v>
      </c>
    </row>
    <row r="293" spans="1:3" ht="12.75" x14ac:dyDescent="0.2">
      <c r="A293" s="1" t="str">
        <f ca="1">IFERROR(__xludf.DUMMYFUNCTION("GOOGLETRANSLATE(C296, ""en"", ""es"")"),"asustado")</f>
        <v>asustado</v>
      </c>
      <c r="B293" s="1">
        <v>-2</v>
      </c>
      <c r="C293" s="1" t="s">
        <v>296</v>
      </c>
    </row>
    <row r="294" spans="1:3" ht="12.75" x14ac:dyDescent="0.2">
      <c r="A294" s="1" t="str">
        <f ca="1">IFERROR(__xludf.DUMMYFUNCTION("GOOGLETRANSLATE(C297, ""en"", ""es"")"),"atacado")</f>
        <v>atacado</v>
      </c>
      <c r="B294" s="1">
        <v>-1</v>
      </c>
      <c r="C294" s="1" t="s">
        <v>297</v>
      </c>
    </row>
    <row r="295" spans="1:3" ht="12.75" x14ac:dyDescent="0.2">
      <c r="A295" s="1" t="str">
        <f ca="1">IFERROR(__xludf.DUMMYFUNCTION("GOOGLETRANSLATE(C298, ""en"", ""es"")"),"ataque")</f>
        <v>ataque</v>
      </c>
      <c r="B295" s="1">
        <v>-1</v>
      </c>
      <c r="C295" s="1" t="s">
        <v>298</v>
      </c>
    </row>
    <row r="296" spans="1:3" ht="12.75" x14ac:dyDescent="0.2">
      <c r="A296" s="1" t="str">
        <f ca="1">IFERROR(__xludf.DUMMYFUNCTION("GOOGLETRANSLATE(C299, ""en"", ""es"")"),"ataques")</f>
        <v>ataques</v>
      </c>
      <c r="B296" s="1">
        <v>-1</v>
      </c>
      <c r="C296" s="1" t="s">
        <v>299</v>
      </c>
    </row>
    <row r="297" spans="1:3" ht="12.75" x14ac:dyDescent="0.2">
      <c r="A297" s="1" t="str">
        <f ca="1">IFERROR(__xludf.DUMMYFUNCTION("GOOGLETRANSLATE(C300, ""en"", ""es"")"),"atascado")</f>
        <v>atascado</v>
      </c>
      <c r="B297" s="1">
        <v>-2</v>
      </c>
      <c r="C297" s="1" t="s">
        <v>300</v>
      </c>
    </row>
    <row r="298" spans="1:3" ht="12.75" x14ac:dyDescent="0.2">
      <c r="A298" s="1" t="str">
        <f ca="1">IFERROR(__xludf.DUMMYFUNCTION("GOOGLETRANSLATE(C294, ""en"", ""es"")"),"atemorizado")</f>
        <v>atemorizado</v>
      </c>
      <c r="B298" s="1">
        <v>-2</v>
      </c>
      <c r="C298" s="1" t="s">
        <v>294</v>
      </c>
    </row>
    <row r="299" spans="1:3" ht="12.75" x14ac:dyDescent="0.2">
      <c r="A299" s="1" t="str">
        <f ca="1">IFERROR(__xludf.DUMMYFUNCTION("GOOGLETRANSLATE(C295, ""en"", ""es"")"),"atemorizado")</f>
        <v>atemorizado</v>
      </c>
      <c r="B299" s="1">
        <v>-2</v>
      </c>
      <c r="C299" s="1" t="s">
        <v>295</v>
      </c>
    </row>
    <row r="300" spans="1:3" ht="12.75" x14ac:dyDescent="0.2">
      <c r="A300" s="1" t="str">
        <f ca="1">IFERROR(__xludf.DUMMYFUNCTION("GOOGLETRANSLATE(C302, ""en"", ""es"")"),"atemorizante")</f>
        <v>atemorizante</v>
      </c>
      <c r="B300" s="1">
        <v>-3</v>
      </c>
      <c r="C300" s="1" t="s">
        <v>302</v>
      </c>
    </row>
    <row r="301" spans="1:3" ht="12.75" x14ac:dyDescent="0.2">
      <c r="A301" s="1" t="str">
        <f ca="1">IFERROR(__xludf.DUMMYFUNCTION("GOOGLETRANSLATE(C2221, ""en"", ""es"")"),"atentamente")</f>
        <v>atentamente</v>
      </c>
      <c r="B301" s="1">
        <v>2</v>
      </c>
      <c r="C301" s="1" t="s">
        <v>2217</v>
      </c>
    </row>
    <row r="302" spans="1:3" ht="12.75" x14ac:dyDescent="0.2">
      <c r="A302" s="1" t="str">
        <f ca="1">IFERROR(__xludf.DUMMYFUNCTION("GOOGLETRANSLATE(C304, ""en"", ""es"")"),"aterrorizado")</f>
        <v>aterrorizado</v>
      </c>
      <c r="B302" s="1">
        <v>-3</v>
      </c>
      <c r="C302" s="1" t="s">
        <v>304</v>
      </c>
    </row>
    <row r="303" spans="1:3" ht="12.75" x14ac:dyDescent="0.2">
      <c r="A303" s="1" t="str">
        <f ca="1">IFERROR(__xludf.DUMMYFUNCTION("GOOGLETRANSLATE(C305, ""en"", ""es"")"),"aterrorizado")</f>
        <v>aterrorizado</v>
      </c>
      <c r="B303" s="1">
        <v>-3</v>
      </c>
      <c r="C303" s="1" t="s">
        <v>305</v>
      </c>
    </row>
    <row r="304" spans="1:3" ht="12.75" x14ac:dyDescent="0.2">
      <c r="A304" s="1" t="str">
        <f ca="1">IFERROR(__xludf.DUMMYFUNCTION("GOOGLETRANSLATE(C306, ""en"", ""es"")"),"aterrorizar")</f>
        <v>aterrorizar</v>
      </c>
      <c r="B304" s="1">
        <v>-3</v>
      </c>
      <c r="C304" s="1" t="s">
        <v>306</v>
      </c>
    </row>
    <row r="305" spans="1:3" ht="12.75" x14ac:dyDescent="0.2">
      <c r="A305" s="1" t="str">
        <f ca="1">IFERROR(__xludf.DUMMYFUNCTION("GOOGLETRANSLATE(C307, ""en"", ""es"")"),"atornillado")</f>
        <v>atornillado</v>
      </c>
      <c r="B305" s="1">
        <v>-2</v>
      </c>
      <c r="C305" s="1" t="s">
        <v>307</v>
      </c>
    </row>
    <row r="306" spans="1:3" ht="12.75" x14ac:dyDescent="0.2">
      <c r="A306" s="1" t="str">
        <f ca="1">IFERROR(__xludf.DUMMYFUNCTION("GOOGLETRANSLATE(C406, ""en"", ""es"")"),"atornillado")</f>
        <v>atornillado</v>
      </c>
      <c r="B306" s="1">
        <v>-3</v>
      </c>
      <c r="C306" s="1" t="s">
        <v>406</v>
      </c>
    </row>
    <row r="307" spans="1:3" ht="12.75" x14ac:dyDescent="0.2">
      <c r="A307" s="1" t="str">
        <f ca="1">IFERROR(__xludf.DUMMYFUNCTION("GOOGLETRANSLATE(C308, ""en"", ""es"")"),"atracción")</f>
        <v>atracción</v>
      </c>
      <c r="B307" s="1">
        <v>2</v>
      </c>
      <c r="C307" s="1" t="s">
        <v>308</v>
      </c>
    </row>
    <row r="308" spans="1:3" ht="12.75" x14ac:dyDescent="0.2">
      <c r="A308" s="1" t="str">
        <f ca="1">IFERROR(__xludf.DUMMYFUNCTION("GOOGLETRANSLATE(C309, ""en"", ""es"")"),"atracciones")</f>
        <v>atracciones</v>
      </c>
      <c r="B308" s="1">
        <v>2</v>
      </c>
      <c r="C308" s="1" t="s">
        <v>309</v>
      </c>
    </row>
    <row r="309" spans="1:3" ht="12.75" x14ac:dyDescent="0.2">
      <c r="A309" s="1" t="str">
        <f ca="1">IFERROR(__xludf.DUMMYFUNCTION("GOOGLETRANSLATE(C310, ""en"", ""es"")"),"atractivo")</f>
        <v>atractivo</v>
      </c>
      <c r="B309" s="1">
        <v>3</v>
      </c>
      <c r="C309" s="1" t="s">
        <v>310</v>
      </c>
    </row>
    <row r="310" spans="1:3" ht="12.75" x14ac:dyDescent="0.2">
      <c r="A310" s="1" t="str">
        <f ca="1">IFERROR(__xludf.DUMMYFUNCTION("GOOGLETRANSLATE(C311, ""en"", ""es"")"),"atractivo")</f>
        <v>atractivo</v>
      </c>
      <c r="B310" s="1">
        <v>1</v>
      </c>
      <c r="C310" s="1" t="s">
        <v>311</v>
      </c>
    </row>
    <row r="311" spans="1:3" ht="12.75" x14ac:dyDescent="0.2">
      <c r="A311" s="1" t="str">
        <f ca="1">IFERROR(__xludf.DUMMYFUNCTION("GOOGLETRANSLATE(C316, ""en"", ""es"")"),"atractivo")</f>
        <v>atractivo</v>
      </c>
      <c r="B311" s="1">
        <v>2</v>
      </c>
      <c r="C311" s="1" t="s">
        <v>316</v>
      </c>
    </row>
    <row r="312" spans="1:3" ht="12.75" x14ac:dyDescent="0.2">
      <c r="A312" s="1" t="str">
        <f ca="1">IFERROR(__xludf.DUMMYFUNCTION("GOOGLETRANSLATE(C312, ""en"", ""es"")"),"atrae")</f>
        <v>atrae</v>
      </c>
      <c r="B312" s="1">
        <v>1</v>
      </c>
      <c r="C312" s="1" t="s">
        <v>312</v>
      </c>
    </row>
    <row r="313" spans="1:3" ht="12.75" x14ac:dyDescent="0.2">
      <c r="A313" s="1" t="str">
        <f ca="1">IFERROR(__xludf.DUMMYFUNCTION("GOOGLETRANSLATE(C313, ""en"", ""es"")"),"atraer")</f>
        <v>atraer</v>
      </c>
      <c r="B313" s="1">
        <v>1</v>
      </c>
      <c r="C313" s="1" t="s">
        <v>313</v>
      </c>
    </row>
    <row r="314" spans="1:3" ht="12.75" x14ac:dyDescent="0.2">
      <c r="A314" s="1" t="str">
        <f ca="1">IFERROR(__xludf.DUMMYFUNCTION("GOOGLETRANSLATE(C314, ""en"", ""es"")"),"atraído")</f>
        <v>atraído</v>
      </c>
      <c r="B314" s="1">
        <v>1</v>
      </c>
      <c r="C314" s="1" t="s">
        <v>314</v>
      </c>
    </row>
    <row r="315" spans="1:3" ht="12.75" x14ac:dyDescent="0.2">
      <c r="A315" s="1" t="str">
        <f ca="1">IFERROR(__xludf.DUMMYFUNCTION("GOOGLETRANSLATE(C315, ""en"", ""es"")"),"atrapado")</f>
        <v>atrapado</v>
      </c>
      <c r="B315" s="1">
        <v>-2</v>
      </c>
      <c r="C315" s="1" t="s">
        <v>315</v>
      </c>
    </row>
    <row r="316" spans="1:3" ht="12.75" x14ac:dyDescent="0.2">
      <c r="A316" s="1" t="str">
        <f ca="1">IFERROR(__xludf.DUMMYFUNCTION("GOOGLETRANSLATE(C91, ""en"", ""es"")"),"atrevido")</f>
        <v>atrevido</v>
      </c>
      <c r="B316" s="1">
        <v>-1</v>
      </c>
      <c r="C316" s="1" t="s">
        <v>91</v>
      </c>
    </row>
    <row r="317" spans="1:3" ht="12.75" x14ac:dyDescent="0.2">
      <c r="A317" s="1" t="str">
        <f ca="1">IFERROR(__xludf.DUMMYFUNCTION("GOOGLETRANSLATE(C317, ""en"", ""es"")"),"atrevido")</f>
        <v>atrevido</v>
      </c>
      <c r="B317" s="1">
        <v>2</v>
      </c>
      <c r="C317" s="1" t="s">
        <v>317</v>
      </c>
    </row>
    <row r="318" spans="1:3" ht="12.75" x14ac:dyDescent="0.2">
      <c r="A318" s="1" t="str">
        <f ca="1">IFERROR(__xludf.DUMMYFUNCTION("GOOGLETRANSLATE(C1750, ""en"", ""es"")"),"atrevido")</f>
        <v>atrevido</v>
      </c>
      <c r="B318" s="1">
        <v>2</v>
      </c>
      <c r="C318" s="1" t="s">
        <v>1749</v>
      </c>
    </row>
    <row r="319" spans="1:3" ht="12.75" x14ac:dyDescent="0.2">
      <c r="A319" s="1" t="str">
        <f ca="1">IFERROR(__xludf.DUMMYFUNCTION("GOOGLETRANSLATE(C289, ""en"", ""es"")"),"aturdido")</f>
        <v>aturdido</v>
      </c>
      <c r="B319" s="1">
        <v>-4</v>
      </c>
      <c r="C319" s="1" t="s">
        <v>289</v>
      </c>
    </row>
    <row r="320" spans="1:3" ht="12.75" x14ac:dyDescent="0.2">
      <c r="A320" s="1" t="str">
        <f ca="1">IFERROR(__xludf.DUMMYFUNCTION("GOOGLETRANSLATE(C319, ""en"", ""es"")"),"aturdido")</f>
        <v>aturdido</v>
      </c>
      <c r="B320" s="1">
        <v>-2</v>
      </c>
      <c r="C320" s="1" t="s">
        <v>319</v>
      </c>
    </row>
    <row r="321" spans="1:3" ht="12.75" x14ac:dyDescent="0.2">
      <c r="A321" s="1" t="str">
        <f ca="1">IFERROR(__xludf.DUMMYFUNCTION("GOOGLETRANSLATE(C1716, ""en"", ""es"")"),"aturdimiento")</f>
        <v>aturdimiento</v>
      </c>
      <c r="B321" s="1">
        <v>-2</v>
      </c>
      <c r="C321" s="1" t="s">
        <v>1715</v>
      </c>
    </row>
    <row r="322" spans="1:3" ht="12.75" x14ac:dyDescent="0.2">
      <c r="A322" s="1" t="str">
        <f ca="1">IFERROR(__xludf.DUMMYFUNCTION("GOOGLETRANSLATE(C2355, ""en"", ""es"")"),"aturdimiento")</f>
        <v>aturdimiento</v>
      </c>
      <c r="B322" s="1">
        <v>-2</v>
      </c>
      <c r="C322" s="1" t="s">
        <v>2351</v>
      </c>
    </row>
    <row r="323" spans="1:3" ht="12.75" x14ac:dyDescent="0.2">
      <c r="A323" s="1" t="str">
        <f ca="1">IFERROR(__xludf.DUMMYFUNCTION("GOOGLETRANSLATE(C320, ""en"", ""es"")"),"audaz")</f>
        <v>audaz</v>
      </c>
      <c r="B323" s="1">
        <v>3</v>
      </c>
      <c r="C323" s="1" t="s">
        <v>320</v>
      </c>
    </row>
    <row r="324" spans="1:3" ht="12.75" x14ac:dyDescent="0.2">
      <c r="A324" s="1" t="str">
        <f ca="1">IFERROR(__xludf.DUMMYFUNCTION("GOOGLETRANSLATE(C321, ""en"", ""es"")"),"audaz")</f>
        <v>audaz</v>
      </c>
      <c r="B324" s="1">
        <v>2</v>
      </c>
      <c r="C324" s="1" t="s">
        <v>321</v>
      </c>
    </row>
    <row r="325" spans="1:3" ht="12.75" x14ac:dyDescent="0.2">
      <c r="A325" s="1" t="str">
        <f ca="1">IFERROR(__xludf.DUMMYFUNCTION("GOOGLETRANSLATE(C324, ""en"", ""es"")"),"aumentar")</f>
        <v>aumentar</v>
      </c>
      <c r="B325" s="1">
        <v>1</v>
      </c>
      <c r="C325" s="1" t="s">
        <v>324</v>
      </c>
    </row>
    <row r="326" spans="1:3" ht="12.75" x14ac:dyDescent="0.2">
      <c r="A326" s="1" t="str">
        <f ca="1">IFERROR(__xludf.DUMMYFUNCTION("GOOGLETRANSLATE(C323, ""en"", ""es"")"),"aumentó")</f>
        <v>aumentó</v>
      </c>
      <c r="B326" s="1">
        <v>1</v>
      </c>
      <c r="C326" s="1" t="s">
        <v>323</v>
      </c>
    </row>
    <row r="327" spans="1:3" ht="12.75" x14ac:dyDescent="0.2">
      <c r="A327" s="1" t="str">
        <f ca="1">IFERROR(__xludf.DUMMYFUNCTION("GOOGLETRANSLATE(C326, ""en"", ""es"")"),"ausente")</f>
        <v>ausente</v>
      </c>
      <c r="B327" s="1">
        <v>-1</v>
      </c>
      <c r="C327" s="1" t="s">
        <v>326</v>
      </c>
    </row>
    <row r="328" spans="1:3" ht="12.75" x14ac:dyDescent="0.2">
      <c r="A328" s="1" t="str">
        <f ca="1">IFERROR(__xludf.DUMMYFUNCTION("GOOGLETRANSLATE(C327, ""en"", ""es"")"),"ausentes")</f>
        <v>ausentes</v>
      </c>
      <c r="B328" s="1">
        <v>-1</v>
      </c>
      <c r="C328" s="1" t="s">
        <v>327</v>
      </c>
    </row>
    <row r="329" spans="1:3" ht="12.75" x14ac:dyDescent="0.2">
      <c r="A329" s="1" t="str">
        <f ca="1">IFERROR(__xludf.DUMMYFUNCTION("GOOGLETRANSLATE(C329, ""en"", ""es"")"),"autor")</f>
        <v>autor</v>
      </c>
      <c r="B329" s="1">
        <v>-2</v>
      </c>
      <c r="C329" s="1" t="s">
        <v>329</v>
      </c>
    </row>
    <row r="330" spans="1:3" ht="12.75" x14ac:dyDescent="0.2">
      <c r="A330" s="1" t="str">
        <f ca="1">IFERROR(__xludf.DUMMYFUNCTION("GOOGLETRANSLATE(C331, ""en"", ""es"")"),"autoridad")</f>
        <v>autoridad</v>
      </c>
      <c r="B330" s="1">
        <v>1</v>
      </c>
      <c r="C330" s="1" t="s">
        <v>331</v>
      </c>
    </row>
    <row r="331" spans="1:3" ht="12.75" x14ac:dyDescent="0.2">
      <c r="A331" s="1" t="str">
        <f ca="1">IFERROR(__xludf.DUMMYFUNCTION("GOOGLETRANSLATE(C328, ""en"", ""es"")"),"autosodelado")</f>
        <v>autosodelado</v>
      </c>
      <c r="B331" s="1">
        <v>-2</v>
      </c>
      <c r="C331" s="1" t="s">
        <v>328</v>
      </c>
    </row>
    <row r="332" spans="1:3" ht="12.75" x14ac:dyDescent="0.2">
      <c r="A332" s="1" t="str">
        <f ca="1">IFERROR(__xludf.DUMMYFUNCTION("GOOGLETRANSLATE(C332, ""en"", ""es"")"),"avanzado")</f>
        <v>avanzado</v>
      </c>
      <c r="B332" s="1">
        <v>1</v>
      </c>
      <c r="C332" s="1" t="s">
        <v>332</v>
      </c>
    </row>
    <row r="333" spans="1:3" ht="12.75" x14ac:dyDescent="0.2">
      <c r="A333" s="1" t="str">
        <f ca="1">IFERROR(__xludf.DUMMYFUNCTION("GOOGLETRANSLATE(C497, ""en"", ""es"")"),"avaro")</f>
        <v>avaro</v>
      </c>
      <c r="B333" s="1">
        <v>-2</v>
      </c>
      <c r="C333" s="1" t="s">
        <v>496</v>
      </c>
    </row>
    <row r="334" spans="1:3" ht="12.75" x14ac:dyDescent="0.2">
      <c r="A334" s="1" t="str">
        <f ca="1">IFERROR(__xludf.DUMMYFUNCTION("GOOGLETRANSLATE(C333, ""en"", ""es"")"),"aventura")</f>
        <v>aventura</v>
      </c>
      <c r="B334" s="1">
        <v>2</v>
      </c>
      <c r="C334" s="1" t="s">
        <v>333</v>
      </c>
    </row>
    <row r="335" spans="1:3" ht="12.75" x14ac:dyDescent="0.2">
      <c r="A335" s="1" t="str">
        <f ca="1">IFERROR(__xludf.DUMMYFUNCTION("GOOGLETRANSLATE(C334, ""en"", ""es"")"),"aventuras")</f>
        <v>aventuras</v>
      </c>
      <c r="B335" s="1">
        <v>2</v>
      </c>
      <c r="C335" s="1" t="s">
        <v>334</v>
      </c>
    </row>
    <row r="336" spans="1:3" ht="12.75" x14ac:dyDescent="0.2">
      <c r="A336" s="1" t="str">
        <f ca="1">IFERROR(__xludf.DUMMYFUNCTION("GOOGLETRANSLATE(C335, ""en"", ""es"")"),"aventurero")</f>
        <v>aventurero</v>
      </c>
      <c r="B336" s="1">
        <v>2</v>
      </c>
      <c r="C336" s="1" t="s">
        <v>335</v>
      </c>
    </row>
    <row r="337" spans="1:3" ht="12.75" x14ac:dyDescent="0.2">
      <c r="A337" s="1" t="str">
        <f ca="1">IFERROR(__xludf.DUMMYFUNCTION("GOOGLETRANSLATE(C336, ""en"", ""es"")"),"avergonzado")</f>
        <v>avergonzado</v>
      </c>
      <c r="B337" s="1">
        <v>-2</v>
      </c>
      <c r="C337" s="1" t="s">
        <v>336</v>
      </c>
    </row>
    <row r="338" spans="1:3" ht="12.75" x14ac:dyDescent="0.2">
      <c r="A338" s="1" t="str">
        <f ca="1">IFERROR(__xludf.DUMMYFUNCTION("GOOGLETRANSLATE(C718, ""en"", ""es"")"),"avergonzado")</f>
        <v>avergonzado</v>
      </c>
      <c r="B338" s="1">
        <v>-2</v>
      </c>
      <c r="C338" s="1" t="s">
        <v>718</v>
      </c>
    </row>
    <row r="339" spans="1:3" ht="12.75" x14ac:dyDescent="0.2">
      <c r="A339" s="1" t="str">
        <f ca="1">IFERROR(__xludf.DUMMYFUNCTION("GOOGLETRANSLATE(C2194, ""en"", ""es"")"),"avergonzado")</f>
        <v>avergonzado</v>
      </c>
      <c r="B339" s="1">
        <v>-2</v>
      </c>
      <c r="C339" s="1" t="s">
        <v>2192</v>
      </c>
    </row>
    <row r="340" spans="1:3" ht="12.75" x14ac:dyDescent="0.2">
      <c r="A340" s="1" t="str">
        <f ca="1">IFERROR(__xludf.DUMMYFUNCTION("GOOGLETRANSLATE(C337, ""en"", ""es"")"),"avergonzar")</f>
        <v>avergonzar</v>
      </c>
      <c r="B340" s="1">
        <v>-2</v>
      </c>
      <c r="C340" s="1" t="s">
        <v>337</v>
      </c>
    </row>
    <row r="341" spans="1:3" ht="12.75" x14ac:dyDescent="0.2">
      <c r="A341" s="1" t="str">
        <f ca="1">IFERROR(__xludf.DUMMYFUNCTION("GOOGLETRANSLATE(C888, ""en"", ""es"")"),"avergonzarse")</f>
        <v>avergonzarse</v>
      </c>
      <c r="B341" s="1">
        <v>-2</v>
      </c>
      <c r="C341" s="1" t="s">
        <v>890</v>
      </c>
    </row>
    <row r="342" spans="1:3" ht="12.75" x14ac:dyDescent="0.2">
      <c r="A342" s="1" t="str">
        <f ca="1">IFERROR(__xludf.DUMMYFUNCTION("GOOGLETRANSLATE(C338, ""en"", ""es"")"),"aversión")</f>
        <v>aversión</v>
      </c>
      <c r="B342" s="1">
        <v>-3</v>
      </c>
      <c r="C342" s="1" t="s">
        <v>338</v>
      </c>
    </row>
    <row r="343" spans="1:3" ht="12.75" x14ac:dyDescent="0.2">
      <c r="A343" s="1" t="str">
        <f ca="1">IFERROR(__xludf.DUMMYFUNCTION("GOOGLETRANSLATE(C339, ""en"", ""es"")"),"ávido")</f>
        <v>ávido</v>
      </c>
      <c r="B343" s="1">
        <v>2</v>
      </c>
      <c r="C343" s="1" t="s">
        <v>339</v>
      </c>
    </row>
    <row r="344" spans="1:3" ht="12.75" x14ac:dyDescent="0.2">
      <c r="A344" s="1" t="str">
        <f ca="1">IFERROR(__xludf.DUMMYFUNCTION("GOOGLETRANSLATE(C343, ""en"", ""es"")"),"ayuda")</f>
        <v>ayuda</v>
      </c>
      <c r="B344" s="1">
        <v>2</v>
      </c>
      <c r="C344" s="1" t="s">
        <v>343</v>
      </c>
    </row>
    <row r="345" spans="1:3" ht="12.75" x14ac:dyDescent="0.2">
      <c r="A345" s="1" t="str">
        <f ca="1">IFERROR(__xludf.DUMMYFUNCTION("GOOGLETRANSLATE(C1055, ""en"", ""es"")"),"ayuda")</f>
        <v>ayuda</v>
      </c>
      <c r="B345" s="1">
        <v>-1</v>
      </c>
      <c r="C345" s="1" t="s">
        <v>1057</v>
      </c>
    </row>
    <row r="346" spans="1:3" ht="12.75" x14ac:dyDescent="0.2">
      <c r="A346" s="1" t="str">
        <f ca="1">IFERROR(__xludf.DUMMYFUNCTION("GOOGLETRANSLATE(C342, ""en"", ""es"")"),"ayudar")</f>
        <v>ayudar</v>
      </c>
      <c r="B346" s="1">
        <v>2</v>
      </c>
      <c r="C346" s="1" t="s">
        <v>342</v>
      </c>
    </row>
    <row r="347" spans="1:3" ht="12.75" x14ac:dyDescent="0.2">
      <c r="A347" s="1" t="str">
        <f ca="1">IFERROR(__xludf.DUMMYFUNCTION("GOOGLETRANSLATE(C2012, ""en"", ""es"")"),"Ayudar")</f>
        <v>Ayudar</v>
      </c>
      <c r="B347" s="1">
        <v>2</v>
      </c>
      <c r="C347" s="1" t="s">
        <v>2010</v>
      </c>
    </row>
    <row r="348" spans="1:3" ht="12.75" x14ac:dyDescent="0.2">
      <c r="A348" s="1" t="str">
        <f ca="1">IFERROR(__xludf.DUMMYFUNCTION("GOOGLETRANSLATE(C344, ""en"", ""es"")"),"bamboozles")</f>
        <v>bamboozles</v>
      </c>
      <c r="B348" s="1">
        <v>-2</v>
      </c>
      <c r="C348" s="1" t="s">
        <v>344</v>
      </c>
    </row>
    <row r="349" spans="1:3" ht="12.75" x14ac:dyDescent="0.2">
      <c r="A349" s="1" t="str">
        <f ca="1">IFERROR(__xludf.DUMMYFUNCTION("GOOGLETRANSLATE(C346, ""en"", ""es"")"),"bankster")</f>
        <v>bankster</v>
      </c>
      <c r="B349" s="1">
        <v>-3</v>
      </c>
      <c r="C349" s="1" t="s">
        <v>346</v>
      </c>
    </row>
    <row r="350" spans="1:3" ht="12.75" x14ac:dyDescent="0.2">
      <c r="A350" s="1" t="str">
        <f ca="1">IFERROR(__xludf.DUMMYFUNCTION("GOOGLETRANSLATE(C347, ""en"", ""es"")"),"barra oblicua")</f>
        <v>barra oblicua</v>
      </c>
      <c r="B350" s="1">
        <v>-2</v>
      </c>
      <c r="C350" s="1" t="s">
        <v>347</v>
      </c>
    </row>
    <row r="351" spans="1:3" ht="12.75" x14ac:dyDescent="0.2">
      <c r="A351" s="1" t="str">
        <f ca="1">IFERROR(__xludf.DUMMYFUNCTION("GOOGLETRANSLATE(C349, ""en"", ""es"")"),"barrera")</f>
        <v>barrera</v>
      </c>
      <c r="B351" s="1">
        <v>-2</v>
      </c>
      <c r="C351" s="1" t="s">
        <v>349</v>
      </c>
    </row>
    <row r="352" spans="1:3" ht="12.75" x14ac:dyDescent="0.2">
      <c r="A352" s="1" t="str">
        <f ca="1">IFERROR(__xludf.DUMMYFUNCTION("GOOGLETRANSLATE(C379, ""en"", ""es"")"),"bastante")</f>
        <v>bastante</v>
      </c>
      <c r="B352" s="1">
        <v>1</v>
      </c>
      <c r="C352" s="1" t="s">
        <v>379</v>
      </c>
    </row>
    <row r="353" spans="1:3" ht="12.75" x14ac:dyDescent="0.2">
      <c r="A353" s="1" t="str">
        <f ca="1">IFERROR(__xludf.DUMMYFUNCTION("GOOGLETRANSLATE(C350, ""en"", ""es"")"),"bastardo")</f>
        <v>bastardo</v>
      </c>
      <c r="B353" s="1">
        <v>-5</v>
      </c>
      <c r="C353" s="1" t="s">
        <v>350</v>
      </c>
    </row>
    <row r="354" spans="1:3" ht="12.75" x14ac:dyDescent="0.2">
      <c r="A354" s="1" t="str">
        <f ca="1">IFERROR(__xludf.DUMMYFUNCTION("GOOGLETRANSLATE(C351, ""en"", ""es"")"),"bastardos")</f>
        <v>bastardos</v>
      </c>
      <c r="B354" s="1">
        <v>-5</v>
      </c>
      <c r="C354" s="1" t="s">
        <v>351</v>
      </c>
    </row>
    <row r="355" spans="1:3" ht="12.75" x14ac:dyDescent="0.2">
      <c r="A355" s="1" t="str">
        <f ca="1">IFERROR(__xludf.DUMMYFUNCTION("GOOGLETRANSLATE(C352, ""en"", ""es"")"),"batalla")</f>
        <v>batalla</v>
      </c>
      <c r="B355" s="1">
        <v>-1</v>
      </c>
      <c r="C355" s="1" t="s">
        <v>352</v>
      </c>
    </row>
    <row r="356" spans="1:3" ht="12.75" x14ac:dyDescent="0.2">
      <c r="A356" s="1" t="str">
        <f ca="1">IFERROR(__xludf.DUMMYFUNCTION("GOOGLETRANSLATE(C353, ""en"", ""es"")"),"batallas")</f>
        <v>batallas</v>
      </c>
      <c r="B356" s="1">
        <v>-1</v>
      </c>
      <c r="C356" s="1" t="s">
        <v>353</v>
      </c>
    </row>
    <row r="357" spans="1:3" ht="12.75" x14ac:dyDescent="0.2">
      <c r="A357" s="1" t="str">
        <f ca="1">IFERROR(__xludf.DUMMYFUNCTION("GOOGLETRANSLATE(C354, ""en"", ""es"")"),"beatífico")</f>
        <v>beatífico</v>
      </c>
      <c r="B357" s="1">
        <v>3</v>
      </c>
      <c r="C357" s="1" t="s">
        <v>354</v>
      </c>
    </row>
    <row r="358" spans="1:3" ht="12.75" x14ac:dyDescent="0.2">
      <c r="A358" s="1" t="str">
        <f ca="1">IFERROR(__xludf.DUMMYFUNCTION("GOOGLETRANSLATE(C1600, ""en"", ""es"")"),"bella")</f>
        <v>bella</v>
      </c>
      <c r="B358" s="1">
        <v>3</v>
      </c>
      <c r="C358" s="1" t="s">
        <v>1598</v>
      </c>
    </row>
    <row r="359" spans="1:3" ht="12.75" x14ac:dyDescent="0.2">
      <c r="A359" s="1" t="str">
        <f ca="1">IFERROR(__xludf.DUMMYFUNCTION("GOOGLETRANSLATE(C355, ""en"", ""es"")"),"bellezas")</f>
        <v>bellezas</v>
      </c>
      <c r="B359" s="1">
        <v>3</v>
      </c>
      <c r="C359" s="1" t="s">
        <v>355</v>
      </c>
    </row>
    <row r="360" spans="1:3" ht="12.75" x14ac:dyDescent="0.2">
      <c r="A360" s="1" t="str">
        <f ca="1">IFERROR(__xludf.DUMMYFUNCTION("GOOGLETRANSLATE(C356, ""en"", ""es"")"),"bendecir")</f>
        <v>bendecir</v>
      </c>
      <c r="B360" s="1">
        <v>2</v>
      </c>
      <c r="C360" s="1" t="s">
        <v>356</v>
      </c>
    </row>
    <row r="361" spans="1:3" ht="12.75" x14ac:dyDescent="0.2">
      <c r="A361" s="1" t="str">
        <f ca="1">IFERROR(__xludf.DUMMYFUNCTION("GOOGLETRANSLATE(C358, ""en"", ""es"")"),"bendición")</f>
        <v>bendición</v>
      </c>
      <c r="B361" s="1">
        <v>3</v>
      </c>
      <c r="C361" s="1" t="s">
        <v>358</v>
      </c>
    </row>
    <row r="362" spans="1:3" ht="12.75" x14ac:dyDescent="0.2">
      <c r="A362" s="1" t="str">
        <f ca="1">IFERROR(__xludf.DUMMYFUNCTION("GOOGLETRANSLATE(C359, ""en"", ""es"")"),"bendición")</f>
        <v>bendición</v>
      </c>
      <c r="B362" s="1">
        <v>4</v>
      </c>
      <c r="C362" s="1" t="s">
        <v>359</v>
      </c>
    </row>
    <row r="363" spans="1:3" ht="12.75" x14ac:dyDescent="0.2">
      <c r="A363" s="1" t="str">
        <f ca="1">IFERROR(__xludf.DUMMYFUNCTION("GOOGLETRANSLATE(C357, ""en"", ""es"")"),"bendiciones")</f>
        <v>bendiciones</v>
      </c>
      <c r="B363" s="1">
        <v>2</v>
      </c>
      <c r="C363" s="1" t="s">
        <v>357</v>
      </c>
    </row>
    <row r="364" spans="1:3" ht="12.75" x14ac:dyDescent="0.2">
      <c r="A364" s="1" t="str">
        <f ca="1">IFERROR(__xludf.DUMMYFUNCTION("GOOGLETRANSLATE(C360, ""en"", ""es"")"),"beneficiado")</f>
        <v>beneficiado</v>
      </c>
      <c r="B364" s="1">
        <v>2</v>
      </c>
      <c r="C364" s="1" t="s">
        <v>360</v>
      </c>
    </row>
    <row r="365" spans="1:3" ht="12.75" x14ac:dyDescent="0.2">
      <c r="A365" s="1" t="str">
        <f ca="1">IFERROR(__xludf.DUMMYFUNCTION("GOOGLETRANSLATE(C361, ""en"", ""es"")"),"beneficio")</f>
        <v>beneficio</v>
      </c>
      <c r="B365" s="1">
        <v>2</v>
      </c>
      <c r="C365" s="1" t="s">
        <v>361</v>
      </c>
    </row>
    <row r="366" spans="1:3" ht="12.75" x14ac:dyDescent="0.2">
      <c r="A366" s="1" t="str">
        <f ca="1">IFERROR(__xludf.DUMMYFUNCTION("GOOGLETRANSLATE(C362, ""en"", ""es"")"),"beneficio")</f>
        <v>beneficio</v>
      </c>
      <c r="B366" s="1">
        <v>2</v>
      </c>
      <c r="C366" s="1" t="s">
        <v>362</v>
      </c>
    </row>
    <row r="367" spans="1:3" ht="12.75" x14ac:dyDescent="0.2">
      <c r="A367" s="1" t="str">
        <f ca="1">IFERROR(__xludf.DUMMYFUNCTION("GOOGLETRANSLATE(C363, ""en"", ""es"")"),"beneficios")</f>
        <v>beneficios</v>
      </c>
      <c r="B367" s="1">
        <v>2</v>
      </c>
      <c r="C367" s="1" t="s">
        <v>363</v>
      </c>
    </row>
    <row r="368" spans="1:3" ht="12.75" x14ac:dyDescent="0.2">
      <c r="A368" s="1" t="str">
        <f ca="1">IFERROR(__xludf.DUMMYFUNCTION("GOOGLETRANSLATE(C366, ""en"", ""es"")"),"Beso")</f>
        <v>Beso</v>
      </c>
      <c r="B368" s="1">
        <v>2</v>
      </c>
      <c r="C368" s="1" t="s">
        <v>366</v>
      </c>
    </row>
    <row r="369" spans="1:3" ht="12.75" x14ac:dyDescent="0.2">
      <c r="A369" s="1" t="str">
        <f ca="1">IFERROR(__xludf.DUMMYFUNCTION("GOOGLETRANSLATE(C634, ""en"", ""es"")"),"bienvenida")</f>
        <v>bienvenida</v>
      </c>
      <c r="B369" s="1">
        <v>2</v>
      </c>
      <c r="C369" s="1" t="s">
        <v>634</v>
      </c>
    </row>
    <row r="370" spans="1:3" ht="12.75" x14ac:dyDescent="0.2">
      <c r="A370" s="1" t="str">
        <f ca="1">IFERROR(__xludf.DUMMYFUNCTION("GOOGLETRANSLATE(C368, ""en"", ""es"")"),"bienvenido")</f>
        <v>bienvenido</v>
      </c>
      <c r="B370" s="1">
        <v>2</v>
      </c>
      <c r="C370" s="1" t="s">
        <v>368</v>
      </c>
    </row>
    <row r="371" spans="1:3" ht="12.75" x14ac:dyDescent="0.2">
      <c r="A371" s="1" t="str">
        <f ca="1">IFERROR(__xludf.DUMMYFUNCTION("GOOGLETRANSLATE(C369, ""en"", ""es"")"),"bienvenidos")</f>
        <v>bienvenidos</v>
      </c>
      <c r="B371" s="1">
        <v>2</v>
      </c>
      <c r="C371" s="1" t="s">
        <v>369</v>
      </c>
    </row>
    <row r="372" spans="1:3" ht="12.75" x14ac:dyDescent="0.2">
      <c r="A372" s="1" t="str">
        <f ca="1">IFERROR(__xludf.DUMMYFUNCTION("GOOGLETRANSLATE(C371, ""en"", ""es"")"),"bloqueo")</f>
        <v>bloqueo</v>
      </c>
      <c r="B372" s="1">
        <v>-1</v>
      </c>
      <c r="C372" s="1" t="s">
        <v>371</v>
      </c>
    </row>
    <row r="373" spans="1:3" ht="12.75" x14ac:dyDescent="0.2">
      <c r="A373" s="1" t="str">
        <f ca="1">IFERROR(__xludf.DUMMYFUNCTION("GOOGLETRANSLATE(C372, ""en"", ""es"")"),"bloques")</f>
        <v>bloques</v>
      </c>
      <c r="B373" s="1">
        <v>-1</v>
      </c>
      <c r="C373" s="1" t="s">
        <v>372</v>
      </c>
    </row>
    <row r="374" spans="1:3" ht="12.75" x14ac:dyDescent="0.2">
      <c r="A374" s="1" t="s">
        <v>2498</v>
      </c>
      <c r="B374" s="1">
        <v>-2</v>
      </c>
      <c r="C374" s="1" t="s">
        <v>2330</v>
      </c>
    </row>
    <row r="375" spans="1:3" ht="12.75" x14ac:dyDescent="0.2">
      <c r="A375" s="1" t="str">
        <f ca="1">IFERROR(__xludf.DUMMYFUNCTION("GOOGLETRANSLATE(C374, ""en"", ""es"")"),"boicote")</f>
        <v>boicote</v>
      </c>
      <c r="B375" s="1">
        <v>-2</v>
      </c>
      <c r="C375" s="1" t="s">
        <v>374</v>
      </c>
    </row>
    <row r="376" spans="1:3" ht="12.75" x14ac:dyDescent="0.2">
      <c r="A376" s="1" t="str">
        <f ca="1">IFERROR(__xludf.DUMMYFUNCTION("GOOGLETRANSLATE(C373, ""en"", ""es"")"),"boicoteado")</f>
        <v>boicoteado</v>
      </c>
      <c r="B376" s="1">
        <v>-2</v>
      </c>
      <c r="C376" s="1" t="s">
        <v>373</v>
      </c>
    </row>
    <row r="377" spans="1:3" ht="12.75" x14ac:dyDescent="0.2">
      <c r="A377" s="1" t="str">
        <f ca="1">IFERROR(__xludf.DUMMYFUNCTION("GOOGLETRANSLATE(C375, ""en"", ""es"")"),"boicotear")</f>
        <v>boicotear</v>
      </c>
      <c r="B377" s="1">
        <v>-2</v>
      </c>
      <c r="C377" s="1" t="s">
        <v>375</v>
      </c>
    </row>
    <row r="378" spans="1:3" ht="12.75" x14ac:dyDescent="0.2">
      <c r="A378" s="1" t="str">
        <f ca="1">IFERROR(__xludf.DUMMYFUNCTION("GOOGLETRANSLATE(C376, ""en"", ""es"")"),"boicots")</f>
        <v>boicots</v>
      </c>
      <c r="B378" s="1">
        <v>-2</v>
      </c>
      <c r="C378" s="1" t="s">
        <v>376</v>
      </c>
    </row>
    <row r="379" spans="1:3" ht="12.75" x14ac:dyDescent="0.2">
      <c r="A379" s="1" t="str">
        <f ca="1">IFERROR(__xludf.DUMMYFUNCTION("GOOGLETRANSLATE(C377, ""en"", ""es"")"),"bomba")</f>
        <v>bomba</v>
      </c>
      <c r="B379" s="1">
        <v>-1</v>
      </c>
      <c r="C379" s="1" t="s">
        <v>377</v>
      </c>
    </row>
    <row r="380" spans="1:3" ht="12.75" x14ac:dyDescent="0.2">
      <c r="A380" s="1" t="str">
        <f ca="1">IFERROR(__xludf.DUMMYFUNCTION("GOOGLETRANSLATE(C378, ""en"", ""es"")"),"bondad")</f>
        <v>bondad</v>
      </c>
      <c r="B380" s="1">
        <v>3</v>
      </c>
      <c r="C380" s="1" t="s">
        <v>378</v>
      </c>
    </row>
    <row r="381" spans="1:3" ht="12.75" x14ac:dyDescent="0.2">
      <c r="A381" s="1" t="str">
        <f ca="1">IFERROR(__xludf.DUMMYFUNCTION("GOOGLETRANSLATE(C380, ""en"", ""es"")"),"bonito")</f>
        <v>bonito</v>
      </c>
      <c r="B381" s="1">
        <v>3</v>
      </c>
      <c r="C381" s="1" t="s">
        <v>380</v>
      </c>
    </row>
    <row r="382" spans="1:3" ht="12.75" x14ac:dyDescent="0.2">
      <c r="A382" s="1" t="str">
        <f ca="1">IFERROR(__xludf.DUMMYFUNCTION("GOOGLETRANSLATE(C382, ""en"", ""es"")"),"borracho")</f>
        <v>borracho</v>
      </c>
      <c r="B382" s="1">
        <v>-2</v>
      </c>
      <c r="C382" s="1" t="s">
        <v>382</v>
      </c>
    </row>
    <row r="383" spans="1:3" ht="12.75" x14ac:dyDescent="0.2">
      <c r="A383" s="1" t="str">
        <f ca="1">IFERROR(__xludf.DUMMYFUNCTION("GOOGLETRANSLATE(C1785, ""en"", ""es"")"),"borrado")</f>
        <v>borrado</v>
      </c>
      <c r="B383" s="1">
        <v>-2</v>
      </c>
      <c r="C383" s="1" t="s">
        <v>1783</v>
      </c>
    </row>
    <row r="384" spans="1:3" ht="12.75" x14ac:dyDescent="0.2">
      <c r="A384" s="1" t="str">
        <f ca="1">IFERROR(__xludf.DUMMYFUNCTION("GOOGLETRANSLATE(C383, ""en"", ""es"")"),"borroso")</f>
        <v>borroso</v>
      </c>
      <c r="B384" s="1">
        <v>-2</v>
      </c>
      <c r="C384" s="1" t="s">
        <v>383</v>
      </c>
    </row>
    <row r="385" spans="1:3" ht="12.75" x14ac:dyDescent="0.2">
      <c r="A385" s="1" t="str">
        <f ca="1">IFERROR(__xludf.DUMMYFUNCTION("GOOGLETRANSLATE(C2482, ""en"", ""es"")"),"bot")</f>
        <v>bot</v>
      </c>
      <c r="B385" s="1">
        <v>-1</v>
      </c>
      <c r="C385" s="1" t="s">
        <v>2469</v>
      </c>
    </row>
    <row r="386" spans="1:3" ht="12.75" x14ac:dyDescent="0.2">
      <c r="A386" s="1" t="str">
        <f ca="1">IFERROR(__xludf.DUMMYFUNCTION("GOOGLETRANSLATE(C384, ""en"", ""es"")"),"boyante")</f>
        <v>boyante</v>
      </c>
      <c r="B386" s="1">
        <v>2</v>
      </c>
      <c r="C386" s="1" t="s">
        <v>384</v>
      </c>
    </row>
    <row r="387" spans="1:3" ht="12.75" x14ac:dyDescent="0.2">
      <c r="A387" s="1" t="str">
        <f ca="1">IFERROR(__xludf.DUMMYFUNCTION("GOOGLETRANSLATE(C385, ""en"", ""es"")"),"brillante")</f>
        <v>brillante</v>
      </c>
      <c r="B387" s="1">
        <v>1</v>
      </c>
      <c r="C387" s="1" t="s">
        <v>385</v>
      </c>
    </row>
    <row r="388" spans="1:3" ht="12.75" x14ac:dyDescent="0.2">
      <c r="A388" s="1" t="str">
        <f ca="1">IFERROR(__xludf.DUMMYFUNCTION("GOOGLETRANSLATE(C386, ""en"", ""es"")"),"brillante")</f>
        <v>brillante</v>
      </c>
      <c r="B388" s="1">
        <v>4</v>
      </c>
      <c r="C388" s="1" t="s">
        <v>386</v>
      </c>
    </row>
    <row r="389" spans="1:3" ht="12.75" x14ac:dyDescent="0.2">
      <c r="A389" s="1" t="str">
        <f ca="1">IFERROR(__xludf.DUMMYFUNCTION("GOOGLETRANSLATE(C387, ""en"", ""es"")"),"brillar")</f>
        <v>brillar</v>
      </c>
      <c r="B389" s="1">
        <v>3</v>
      </c>
      <c r="C389" s="1" t="s">
        <v>387</v>
      </c>
    </row>
    <row r="390" spans="1:3" ht="12.75" x14ac:dyDescent="0.2">
      <c r="A390" s="1" t="str">
        <f ca="1">IFERROR(__xludf.DUMMYFUNCTION("GOOGLETRANSLATE(C388, ""en"", ""es"")"),"brillo")</f>
        <v>brillo</v>
      </c>
      <c r="B390" s="1">
        <v>1</v>
      </c>
      <c r="C390" s="1" t="s">
        <v>388</v>
      </c>
    </row>
    <row r="391" spans="1:3" ht="12.75" x14ac:dyDescent="0.2">
      <c r="A391" s="1" t="str">
        <f ca="1">IFERROR(__xludf.DUMMYFUNCTION("GOOGLETRANSLATE(C2243, ""en"", ""es"")"),"Brillo Solar")</f>
        <v>Brillo Solar</v>
      </c>
      <c r="B391" s="1">
        <v>2</v>
      </c>
      <c r="C391" s="1" t="s">
        <v>2239</v>
      </c>
    </row>
    <row r="392" spans="1:3" ht="12.75" x14ac:dyDescent="0.2">
      <c r="A392" s="1" t="str">
        <f ca="1">IFERROR(__xludf.DUMMYFUNCTION("GOOGLETRANSLATE(C389, ""en"", ""es"")"),"broma")</f>
        <v>broma</v>
      </c>
      <c r="B392" s="1">
        <v>2</v>
      </c>
      <c r="C392" s="1" t="s">
        <v>389</v>
      </c>
    </row>
    <row r="393" spans="1:3" ht="12.75" x14ac:dyDescent="0.2">
      <c r="A393" s="1" t="str">
        <f ca="1">IFERROR(__xludf.DUMMYFUNCTION("GOOGLETRANSLATE(C1141, ""en"", ""es"")"),"broma")</f>
        <v>broma</v>
      </c>
      <c r="B393" s="1">
        <v>-2</v>
      </c>
      <c r="C393" s="1" t="s">
        <v>1143</v>
      </c>
    </row>
    <row r="394" spans="1:3" ht="12.75" x14ac:dyDescent="0.2">
      <c r="A394" s="1" t="str">
        <f ca="1">IFERROR(__xludf.DUMMYFUNCTION("GOOGLETRANSLATE(C470, ""en"", ""es"")"),"bromas")</f>
        <v>bromas</v>
      </c>
      <c r="B394" s="1">
        <v>2</v>
      </c>
      <c r="C394" s="1" t="s">
        <v>470</v>
      </c>
    </row>
    <row r="395" spans="1:3" ht="12.75" x14ac:dyDescent="0.2">
      <c r="A395" s="1" t="str">
        <f ca="1">IFERROR(__xludf.DUMMYFUNCTION("GOOGLETRANSLATE(C390, ""en"", ""es"")"),"bruto")</f>
        <v>bruto</v>
      </c>
      <c r="B395" s="1">
        <v>-2</v>
      </c>
      <c r="C395" s="1" t="s">
        <v>390</v>
      </c>
    </row>
    <row r="396" spans="1:3" ht="12.75" x14ac:dyDescent="0.2">
      <c r="A396" s="1" t="s">
        <v>2499</v>
      </c>
      <c r="B396" s="1">
        <v>-2</v>
      </c>
      <c r="C396" s="1" t="s">
        <v>2330</v>
      </c>
    </row>
    <row r="397" spans="1:3" ht="12.75" x14ac:dyDescent="0.2">
      <c r="A397" s="1" t="str">
        <f ca="1">IFERROR(__xludf.DUMMYFUNCTION("GOOGLETRANSLATE(C391, ""en"", ""es"")"),"bueno")</f>
        <v>bueno</v>
      </c>
      <c r="B397" s="1">
        <v>3</v>
      </c>
      <c r="C397" s="1" t="s">
        <v>391</v>
      </c>
    </row>
    <row r="398" spans="1:3" ht="12.75" x14ac:dyDescent="0.2">
      <c r="A398" s="1" t="str">
        <f ca="1">IFERROR(__xludf.DUMMYFUNCTION("GOOGLETRANSLATE(C392, ""en"", ""es"")"),"buque insignia")</f>
        <v>buque insignia</v>
      </c>
      <c r="B398" s="1">
        <v>2</v>
      </c>
      <c r="C398" s="1" t="s">
        <v>392</v>
      </c>
    </row>
    <row r="399" spans="1:3" ht="12.75" x14ac:dyDescent="0.2">
      <c r="A399" s="1" t="str">
        <f ca="1">IFERROR(__xludf.DUMMYFUNCTION("GOOGLETRANSLATE(C393, ""en"", ""es"")"),"bureado")</f>
        <v>bureado</v>
      </c>
      <c r="B399" s="1">
        <v>-2</v>
      </c>
      <c r="C399" s="1" t="s">
        <v>393</v>
      </c>
    </row>
    <row r="400" spans="1:3" ht="12.75" x14ac:dyDescent="0.2">
      <c r="A400" s="1" t="str">
        <f ca="1">IFERROR(__xludf.DUMMYFUNCTION("GOOGLETRANSLATE(C394, ""en"", ""es"")"),"burla")</f>
        <v>burla</v>
      </c>
      <c r="B400" s="1">
        <v>-2</v>
      </c>
      <c r="C400" s="1" t="s">
        <v>394</v>
      </c>
    </row>
    <row r="401" spans="1:3" ht="12.75" x14ac:dyDescent="0.2">
      <c r="A401" s="1" t="str">
        <f ca="1">IFERROR(__xludf.DUMMYFUNCTION("GOOGLETRANSLATE(C691, ""en"", ""es"")"),"burla")</f>
        <v>burla</v>
      </c>
      <c r="B401" s="1">
        <v>-2</v>
      </c>
      <c r="C401" s="1" t="s">
        <v>691</v>
      </c>
    </row>
    <row r="402" spans="1:3" ht="12.75" x14ac:dyDescent="0.2">
      <c r="A402" s="1" t="str">
        <f ca="1">IFERROR(__xludf.DUMMYFUNCTION("GOOGLETRANSLATE(C396, ""en"", ""es"")"),"burlado")</f>
        <v>burlado</v>
      </c>
      <c r="B402" s="1">
        <v>-2</v>
      </c>
      <c r="C402" s="1" t="s">
        <v>396</v>
      </c>
    </row>
    <row r="403" spans="1:3" ht="12.75" x14ac:dyDescent="0.2">
      <c r="A403" s="1" t="str">
        <f ca="1">IFERROR(__xludf.DUMMYFUNCTION("GOOGLETRANSLATE(C2113, ""en"", ""es"")"),"burlarse")</f>
        <v>burlarse</v>
      </c>
      <c r="B403" s="1">
        <v>-2</v>
      </c>
      <c r="C403" s="1" t="s">
        <v>2111</v>
      </c>
    </row>
    <row r="404" spans="1:3" ht="12.75" x14ac:dyDescent="0.2">
      <c r="A404" s="1" t="str">
        <f ca="1">IFERROR(__xludf.DUMMYFUNCTION("GOOGLETRANSLATE(C398, ""en"", ""es"")"),"burlón")</f>
        <v>burlón</v>
      </c>
      <c r="B404" s="1">
        <v>-2</v>
      </c>
      <c r="C404" s="1" t="s">
        <v>398</v>
      </c>
    </row>
    <row r="405" spans="1:3" ht="12.75" x14ac:dyDescent="0.2">
      <c r="A405" s="1" t="str">
        <f ca="1">IFERROR(__xludf.DUMMYFUNCTION("GOOGLETRANSLATE(C399, ""en"", ""es"")"),"burro")</f>
        <v>burro</v>
      </c>
      <c r="B405" s="1">
        <v>-4</v>
      </c>
      <c r="C405" s="1" t="s">
        <v>399</v>
      </c>
    </row>
    <row r="406" spans="1:3" ht="12.75" x14ac:dyDescent="0.2">
      <c r="A406" s="1" t="str">
        <f ca="1">IFERROR(__xludf.DUMMYFUNCTION("GOOGLETRANSLATE(C1209, ""en"", ""es"")"),"cabezal")</f>
        <v>cabezal</v>
      </c>
      <c r="B406" s="1">
        <v>-4</v>
      </c>
      <c r="C406" s="1" t="s">
        <v>1211</v>
      </c>
    </row>
    <row r="407" spans="1:3" ht="12.75" x14ac:dyDescent="0.2">
      <c r="A407" s="1" t="str">
        <f ca="1">IFERROR(__xludf.DUMMYFUNCTION("GOOGLETRANSLATE(C401, ""en"", ""es"")"),"cabildeo")</f>
        <v>cabildeo</v>
      </c>
      <c r="B407" s="1">
        <v>-2</v>
      </c>
      <c r="C407" s="1" t="s">
        <v>401</v>
      </c>
    </row>
    <row r="408" spans="1:3" ht="12.75" x14ac:dyDescent="0.2">
      <c r="A408" s="1" t="str">
        <f ca="1">IFERROR(__xludf.DUMMYFUNCTION("GOOGLETRANSLATE(C402, ""en"", ""es"")"),"cabizbajo")</f>
        <v>cabizbajo</v>
      </c>
      <c r="B408" s="1">
        <v>-2</v>
      </c>
      <c r="C408" s="1" t="s">
        <v>402</v>
      </c>
    </row>
    <row r="409" spans="1:3" ht="12.75" x14ac:dyDescent="0.2">
      <c r="A409" s="1" t="str">
        <f ca="1">IFERROR(__xludf.DUMMYFUNCTION("GOOGLETRANSLATE(C403, ""en"", ""es"")"),"Cabron")</f>
        <v>Cabron</v>
      </c>
      <c r="B409" s="1">
        <v>-4</v>
      </c>
      <c r="C409" s="1" t="s">
        <v>403</v>
      </c>
    </row>
    <row r="410" spans="1:3" ht="12.75" x14ac:dyDescent="0.2">
      <c r="A410" s="1" t="str">
        <f ca="1">IFERROR(__xludf.DUMMYFUNCTION("GOOGLETRANSLATE(C1299, ""en"", ""es"")"),"cabrones")</f>
        <v>cabrones</v>
      </c>
      <c r="B410" s="1">
        <v>-4</v>
      </c>
      <c r="C410" s="1" t="s">
        <v>1300</v>
      </c>
    </row>
    <row r="411" spans="1:3" ht="12.75" x14ac:dyDescent="0.2">
      <c r="A411" s="1" t="str">
        <f ca="1">IFERROR(__xludf.DUMMYFUNCTION("GOOGLETRANSLATE(C2348, ""en"", ""es"")"),"cacajero")</f>
        <v>cacajero</v>
      </c>
      <c r="B411" s="1">
        <v>-5</v>
      </c>
      <c r="C411" s="1" t="s">
        <v>2344</v>
      </c>
    </row>
    <row r="412" spans="1:3" ht="12.75" x14ac:dyDescent="0.2">
      <c r="A412" s="1" t="str">
        <f ca="1">IFERROR(__xludf.DUMMYFUNCTION("GOOGLETRANSLATE(C495, ""en"", ""es"")"),"cacatapas")</f>
        <v>cacatapas</v>
      </c>
      <c r="B412" s="1">
        <v>-5</v>
      </c>
      <c r="C412" s="1" t="s">
        <v>494</v>
      </c>
    </row>
    <row r="413" spans="1:3" ht="12.75" x14ac:dyDescent="0.2">
      <c r="A413" s="1" t="str">
        <f ca="1">IFERROR(__xludf.DUMMYFUNCTION("GOOGLETRANSLATE(C405, ""en"", ""es"")"),"cadáver")</f>
        <v>cadáver</v>
      </c>
      <c r="B413" s="1">
        <v>-1</v>
      </c>
      <c r="C413" s="1" t="s">
        <v>405</v>
      </c>
    </row>
    <row r="414" spans="1:3" ht="12.75" x14ac:dyDescent="0.2">
      <c r="A414" s="1" t="str">
        <f ca="1">IFERROR(__xludf.DUMMYFUNCTION("GOOGLETRANSLATE(C407, ""en"", ""es"")"),"caído")</f>
        <v>caído</v>
      </c>
      <c r="B414" s="1">
        <v>-2</v>
      </c>
      <c r="C414" s="1" t="s">
        <v>407</v>
      </c>
    </row>
    <row r="415" spans="1:3" ht="12.75" x14ac:dyDescent="0.2">
      <c r="A415" s="1" t="str">
        <f ca="1">IFERROR(__xludf.DUMMYFUNCTION("GOOGLETRANSLATE(C408, ""en"", ""es"")"),"caído")</f>
        <v>caído</v>
      </c>
      <c r="B415" s="1">
        <v>-2</v>
      </c>
      <c r="C415" s="1" t="s">
        <v>408</v>
      </c>
    </row>
    <row r="416" spans="1:3" ht="12.75" x14ac:dyDescent="0.2">
      <c r="A416" s="1" t="str">
        <f ca="1">IFERROR(__xludf.DUMMYFUNCTION("GOOGLETRANSLATE(C410, ""en"", ""es"")"),"calambre")</f>
        <v>calambre</v>
      </c>
      <c r="B416" s="1">
        <v>-1</v>
      </c>
      <c r="C416" s="1" t="s">
        <v>410</v>
      </c>
    </row>
    <row r="417" spans="1:3" ht="12.75" x14ac:dyDescent="0.2">
      <c r="A417" s="1" t="str">
        <f ca="1">IFERROR(__xludf.DUMMYFUNCTION("GOOGLETRANSLATE(C411, ""en"", ""es"")"),"cálido")</f>
        <v>cálido</v>
      </c>
      <c r="B417" s="1">
        <v>1</v>
      </c>
      <c r="C417" s="1" t="s">
        <v>411</v>
      </c>
    </row>
    <row r="418" spans="1:3" ht="12.75" x14ac:dyDescent="0.2">
      <c r="A418" s="1" t="str">
        <f ca="1">IFERROR(__xludf.DUMMYFUNCTION("GOOGLETRANSLATE(C412, ""en"", ""es"")"),"calma")</f>
        <v>calma</v>
      </c>
      <c r="B418" s="1">
        <v>2</v>
      </c>
      <c r="C418" s="1" t="s">
        <v>412</v>
      </c>
    </row>
    <row r="419" spans="1:3" ht="12.75" x14ac:dyDescent="0.2">
      <c r="A419" s="1" t="str">
        <f ca="1">IFERROR(__xludf.DUMMYFUNCTION("GOOGLETRANSLATE(C413, ""en"", ""es"")"),"calma")</f>
        <v>calma</v>
      </c>
      <c r="B419" s="1">
        <v>2</v>
      </c>
      <c r="C419" s="1" t="s">
        <v>413</v>
      </c>
    </row>
    <row r="420" spans="1:3" ht="12.75" x14ac:dyDescent="0.2">
      <c r="A420" s="1" t="str">
        <f ca="1">IFERROR(__xludf.DUMMYFUNCTION("GOOGLETRANSLATE(C162, ""en"", ""es"")"),"calmado")</f>
        <v>calmado</v>
      </c>
      <c r="B420" s="1">
        <v>3</v>
      </c>
      <c r="C420" s="1" t="s">
        <v>162</v>
      </c>
    </row>
    <row r="421" spans="1:3" ht="12.75" x14ac:dyDescent="0.2">
      <c r="A421" s="1" t="str">
        <f ca="1">IFERROR(__xludf.DUMMYFUNCTION("GOOGLETRANSLATE(C414, ""en"", ""es"")"),"calmado")</f>
        <v>calmado</v>
      </c>
      <c r="B421" s="1">
        <v>2</v>
      </c>
      <c r="C421" s="1" t="s">
        <v>414</v>
      </c>
    </row>
    <row r="422" spans="1:3" ht="12.75" x14ac:dyDescent="0.2">
      <c r="A422" s="1" t="str">
        <f ca="1">IFERROR(__xludf.DUMMYFUNCTION("GOOGLETRANSLATE(C415, ""en"", ""es"")"),"calmante")</f>
        <v>calmante</v>
      </c>
      <c r="B422" s="1">
        <v>2</v>
      </c>
      <c r="C422" s="1" t="s">
        <v>415</v>
      </c>
    </row>
    <row r="423" spans="1:3" ht="12.75" x14ac:dyDescent="0.2">
      <c r="A423" s="1" t="str">
        <f ca="1">IFERROR(__xludf.DUMMYFUNCTION("GOOGLETRANSLATE(C416, ""en"", ""es"")"),"calmante")</f>
        <v>calmante</v>
      </c>
      <c r="B423" s="1">
        <v>3</v>
      </c>
      <c r="C423" s="1" t="s">
        <v>416</v>
      </c>
    </row>
    <row r="424" spans="1:3" ht="12.75" x14ac:dyDescent="0.2">
      <c r="A424" s="1" t="str">
        <f ca="1">IFERROR(__xludf.DUMMYFUNCTION("GOOGLETRANSLATE(C417, ""en"", ""es"")"),"calmar")</f>
        <v>calmar</v>
      </c>
      <c r="B424" s="1">
        <v>3</v>
      </c>
      <c r="C424" s="1" t="s">
        <v>417</v>
      </c>
    </row>
    <row r="425" spans="1:3" ht="12.75" x14ac:dyDescent="0.2">
      <c r="A425" s="1" t="str">
        <f ca="1">IFERROR(__xludf.DUMMYFUNCTION("GOOGLETRANSLATE(C418, ""en"", ""es"")"),"calor")</f>
        <v>calor</v>
      </c>
      <c r="B425" s="1">
        <v>2</v>
      </c>
      <c r="C425" s="1" t="s">
        <v>418</v>
      </c>
    </row>
    <row r="426" spans="1:3" ht="12.75" x14ac:dyDescent="0.2">
      <c r="A426" s="1" t="str">
        <f ca="1">IFERROR(__xludf.DUMMYFUNCTION("GOOGLETRANSLATE(C420, ""en"", ""es"")"),"cancelado")</f>
        <v>cancelado</v>
      </c>
      <c r="B426" s="1">
        <v>-1</v>
      </c>
      <c r="C426" s="1" t="s">
        <v>420</v>
      </c>
    </row>
    <row r="427" spans="1:3" ht="12.75" x14ac:dyDescent="0.2">
      <c r="A427" s="1" t="str">
        <f ca="1">IFERROR(__xludf.DUMMYFUNCTION("GOOGLETRANSLATE(C421, ""en"", ""es"")"),"cancelado")</f>
        <v>cancelado</v>
      </c>
      <c r="B427" s="1">
        <v>-1</v>
      </c>
      <c r="C427" s="1" t="s">
        <v>421</v>
      </c>
    </row>
    <row r="428" spans="1:3" ht="12.75" x14ac:dyDescent="0.2">
      <c r="A428" s="1" t="str">
        <f ca="1">IFERROR(__xludf.DUMMYFUNCTION("GOOGLETRANSLATE(C422, ""en"", ""es"")"),"cancelar")</f>
        <v>cancelar</v>
      </c>
      <c r="B428" s="1">
        <v>-1</v>
      </c>
      <c r="C428" s="1" t="s">
        <v>422</v>
      </c>
    </row>
    <row r="429" spans="1:3" ht="12.75" x14ac:dyDescent="0.2">
      <c r="A429" s="1" t="str">
        <f ca="1">IFERROR(__xludf.DUMMYFUNCTION("GOOGLETRANSLATE(C419, ""en"", ""es"")"),"cancelas")</f>
        <v>cancelas</v>
      </c>
      <c r="B429" s="1">
        <v>-1</v>
      </c>
      <c r="C429" s="1" t="s">
        <v>419</v>
      </c>
    </row>
    <row r="430" spans="1:3" ht="12.75" x14ac:dyDescent="0.2">
      <c r="A430" s="1" t="str">
        <f ca="1">IFERROR(__xludf.DUMMYFUNCTION("GOOGLETRANSLATE(C423, ""en"", ""es"")"),"cáncer")</f>
        <v>cáncer</v>
      </c>
      <c r="B430" s="1">
        <v>-1</v>
      </c>
      <c r="C430" s="1" t="s">
        <v>423</v>
      </c>
    </row>
    <row r="431" spans="1:3" ht="12.75" x14ac:dyDescent="0.2">
      <c r="A431" s="1" t="str">
        <f ca="1">IFERROR(__xludf.DUMMYFUNCTION("GOOGLETRANSLATE(C424, ""en"", ""es"")"),"candidez")</f>
        <v>candidez</v>
      </c>
      <c r="B431" s="1">
        <v>-2</v>
      </c>
      <c r="C431" s="1" t="s">
        <v>424</v>
      </c>
    </row>
    <row r="432" spans="1:3" ht="12.75" x14ac:dyDescent="0.2">
      <c r="A432" s="1" t="str">
        <f ca="1">IFERROR(__xludf.DUMMYFUNCTION("GOOGLETRANSLATE(C425, ""en"", ""es"")"),"cansado")</f>
        <v>cansado</v>
      </c>
      <c r="B432" s="1">
        <v>-2</v>
      </c>
      <c r="C432" s="1" t="s">
        <v>425</v>
      </c>
    </row>
    <row r="433" spans="1:3" ht="12.75" x14ac:dyDescent="0.2">
      <c r="A433" s="1" t="str">
        <f ca="1">IFERROR(__xludf.DUMMYFUNCTION("GOOGLETRANSLATE(C426, ""en"", ""es"")"),"cansado")</f>
        <v>cansado</v>
      </c>
      <c r="B433" s="1">
        <v>-2</v>
      </c>
      <c r="C433" s="1" t="s">
        <v>426</v>
      </c>
    </row>
    <row r="434" spans="1:3" ht="12.75" x14ac:dyDescent="0.2">
      <c r="A434" s="1" t="str">
        <f ca="1">IFERROR(__xludf.DUMMYFUNCTION("GOOGLETRANSLATE(C427, ""en"", ""es"")"),"caos")</f>
        <v>caos</v>
      </c>
      <c r="B434" s="1">
        <v>-2</v>
      </c>
      <c r="C434" s="1" t="s">
        <v>427</v>
      </c>
    </row>
    <row r="435" spans="1:3" ht="12.75" x14ac:dyDescent="0.2">
      <c r="A435" s="1" t="str">
        <f ca="1">IFERROR(__xludf.DUMMYFUNCTION("GOOGLETRANSLATE(C428, ""en"", ""es"")"),"caótico")</f>
        <v>caótico</v>
      </c>
      <c r="B435" s="1">
        <v>-2</v>
      </c>
      <c r="C435" s="1" t="s">
        <v>428</v>
      </c>
    </row>
    <row r="436" spans="1:3" ht="12.75" x14ac:dyDescent="0.2">
      <c r="A436" s="1" t="str">
        <f ca="1">IFERROR(__xludf.DUMMYFUNCTION("GOOGLETRANSLATE(C430, ""en"", ""es"")"),"capaz")</f>
        <v>capaz</v>
      </c>
      <c r="B436" s="1">
        <v>1</v>
      </c>
      <c r="C436" s="1" t="s">
        <v>430</v>
      </c>
    </row>
    <row r="437" spans="1:3" ht="12.75" x14ac:dyDescent="0.2">
      <c r="A437" s="1" t="str">
        <f ca="1">IFERROR(__xludf.DUMMYFUNCTION("GOOGLETRANSLATE(C431, ""en"", ""es"")"),"caprichoso")</f>
        <v>caprichoso</v>
      </c>
      <c r="B437" s="1">
        <v>1</v>
      </c>
      <c r="C437" s="1" t="s">
        <v>431</v>
      </c>
    </row>
    <row r="438" spans="1:3" ht="12.75" x14ac:dyDescent="0.2">
      <c r="A438" s="1" t="str">
        <f ca="1">IFERROR(__xludf.DUMMYFUNCTION("GOOGLETRANSLATE(C1208, ""en"", ""es"")"),"cara de joder")</f>
        <v>cara de joder</v>
      </c>
      <c r="B438" s="1">
        <v>-4</v>
      </c>
      <c r="C438" s="1" t="s">
        <v>1210</v>
      </c>
    </row>
    <row r="439" spans="1:3" ht="12.75" x14ac:dyDescent="0.2">
      <c r="A439" s="1" t="str">
        <f ca="1">IFERROR(__xludf.DUMMYFUNCTION("GOOGLETRANSLATE(C432, ""en"", ""es"")"),"carcajadas")</f>
        <v>carcajadas</v>
      </c>
      <c r="B439" s="1">
        <v>-2</v>
      </c>
      <c r="C439" s="1" t="s">
        <v>432</v>
      </c>
    </row>
    <row r="440" spans="1:3" ht="12.75" x14ac:dyDescent="0.2">
      <c r="A440" s="1" t="str">
        <f ca="1">IFERROR(__xludf.DUMMYFUNCTION("GOOGLETRANSLATE(C433, ""en"", ""es"")"),"carga")</f>
        <v>carga</v>
      </c>
      <c r="B440" s="1">
        <v>-2</v>
      </c>
      <c r="C440" s="1" t="s">
        <v>433</v>
      </c>
    </row>
    <row r="441" spans="1:3" ht="12.75" x14ac:dyDescent="0.2">
      <c r="A441" s="1" t="str">
        <f ca="1">IFERROR(__xludf.DUMMYFUNCTION("GOOGLETRANSLATE(C2230, ""en"", ""es"")"),"carga")</f>
        <v>carga</v>
      </c>
      <c r="B441" s="1">
        <v>-2</v>
      </c>
      <c r="C441" s="1" t="s">
        <v>2226</v>
      </c>
    </row>
    <row r="442" spans="1:3" ht="12.75" x14ac:dyDescent="0.2">
      <c r="A442" s="1" t="str">
        <f ca="1">IFERROR(__xludf.DUMMYFUNCTION("GOOGLETRANSLATE(C92, ""en"", ""es"")"),"cargado")</f>
        <v>cargado</v>
      </c>
      <c r="B442" s="1">
        <v>-2</v>
      </c>
      <c r="C442" s="1" t="s">
        <v>92</v>
      </c>
    </row>
    <row r="443" spans="1:3" ht="12.75" x14ac:dyDescent="0.2">
      <c r="A443" s="1" t="str">
        <f ca="1">IFERROR(__xludf.DUMMYFUNCTION("GOOGLETRANSLATE(C434, ""en"", ""es"")"),"cargado")</f>
        <v>cargado</v>
      </c>
      <c r="B443" s="1">
        <v>-3</v>
      </c>
      <c r="C443" s="1" t="s">
        <v>434</v>
      </c>
    </row>
    <row r="444" spans="1:3" ht="12.75" x14ac:dyDescent="0.2">
      <c r="A444" s="1" t="str">
        <f ca="1">IFERROR(__xludf.DUMMYFUNCTION("GOOGLETRANSLATE(C435, ""en"", ""es"")"),"cargas")</f>
        <v>cargas</v>
      </c>
      <c r="B444" s="1">
        <v>-2</v>
      </c>
      <c r="C444" s="1" t="s">
        <v>435</v>
      </c>
    </row>
    <row r="445" spans="1:3" ht="12.75" x14ac:dyDescent="0.2">
      <c r="A445" s="1" t="str">
        <f ca="1">IFERROR(__xludf.DUMMYFUNCTION("GOOGLETRANSLATE(C436, ""en"", ""es"")"),"cargos")</f>
        <v>cargos</v>
      </c>
      <c r="B445" s="1">
        <v>-2</v>
      </c>
      <c r="C445" s="1" t="s">
        <v>436</v>
      </c>
    </row>
    <row r="446" spans="1:3" ht="12.75" x14ac:dyDescent="0.2">
      <c r="A446" s="1" t="str">
        <f ca="1">IFERROR(__xludf.DUMMYFUNCTION("GOOGLETRANSLATE(C82, ""en"", ""es"")"),"cariño")</f>
        <v>cariño</v>
      </c>
      <c r="B446" s="1">
        <v>3</v>
      </c>
      <c r="C446" s="1" t="s">
        <v>82</v>
      </c>
    </row>
    <row r="447" spans="1:3" ht="12.75" x14ac:dyDescent="0.2">
      <c r="A447" s="1" t="str">
        <f ca="1">IFERROR(__xludf.DUMMYFUNCTION("GOOGLETRANSLATE(C437, ""en"", ""es"")"),"cariño")</f>
        <v>cariño</v>
      </c>
      <c r="B447" s="1">
        <v>2</v>
      </c>
      <c r="C447" s="1" t="s">
        <v>437</v>
      </c>
    </row>
    <row r="448" spans="1:3" ht="12.75" x14ac:dyDescent="0.2">
      <c r="A448" s="1" t="str">
        <f ca="1">IFERROR(__xludf.DUMMYFUNCTION("GOOGLETRANSLATE(C438, ""en"", ""es"")"),"cariñoso")</f>
        <v>cariñoso</v>
      </c>
      <c r="B448" s="1">
        <v>3</v>
      </c>
      <c r="C448" s="1" t="s">
        <v>438</v>
      </c>
    </row>
    <row r="449" spans="1:3" ht="12.75" x14ac:dyDescent="0.2">
      <c r="A449" s="1" t="str">
        <f ca="1">IFERROR(__xludf.DUMMYFUNCTION("GOOGLETRANSLATE(C439, ""en"", ""es"")"),"caro")</f>
        <v>caro</v>
      </c>
      <c r="B449" s="1">
        <v>3</v>
      </c>
      <c r="C449" s="1" t="s">
        <v>439</v>
      </c>
    </row>
    <row r="450" spans="1:3" ht="12.75" x14ac:dyDescent="0.2">
      <c r="A450" s="1" t="str">
        <f ca="1">IFERROR(__xludf.DUMMYFUNCTION("GOOGLETRANSLATE(C443, ""en"", ""es"")"),"castigado")</f>
        <v>castigado</v>
      </c>
      <c r="B450" s="1">
        <v>-3</v>
      </c>
      <c r="C450" s="1" t="s">
        <v>443</v>
      </c>
    </row>
    <row r="451" spans="1:3" ht="12.75" x14ac:dyDescent="0.2">
      <c r="A451" s="1" t="str">
        <f ca="1">IFERROR(__xludf.DUMMYFUNCTION("GOOGLETRANSLATE(C444, ""en"", ""es"")"),"castigado")</f>
        <v>castigado</v>
      </c>
      <c r="B451" s="1">
        <v>-2</v>
      </c>
      <c r="C451" s="1" t="s">
        <v>444</v>
      </c>
    </row>
    <row r="452" spans="1:3" ht="12.75" x14ac:dyDescent="0.2">
      <c r="A452" s="1" t="str">
        <f ca="1">IFERROR(__xludf.DUMMYFUNCTION("GOOGLETRANSLATE(C445, ""en"", ""es"")"),"castigador")</f>
        <v>castigador</v>
      </c>
      <c r="B452" s="1">
        <v>-3</v>
      </c>
      <c r="C452" s="1" t="s">
        <v>445</v>
      </c>
    </row>
    <row r="453" spans="1:3" ht="12.75" x14ac:dyDescent="0.2">
      <c r="A453" s="1" t="str">
        <f ca="1">IFERROR(__xludf.DUMMYFUNCTION("GOOGLETRANSLATE(C441, ""en"", ""es"")"),"castigar")</f>
        <v>castigar</v>
      </c>
      <c r="B453" s="1">
        <v>-3</v>
      </c>
      <c r="C453" s="1" t="s">
        <v>441</v>
      </c>
    </row>
    <row r="454" spans="1:3" ht="12.75" x14ac:dyDescent="0.2">
      <c r="A454" s="1" t="str">
        <f ca="1">IFERROR(__xludf.DUMMYFUNCTION("GOOGLETRANSLATE(C442, ""en"", ""es"")"),"castigar")</f>
        <v>castigar</v>
      </c>
      <c r="B454" s="1">
        <v>-2</v>
      </c>
      <c r="C454" s="1" t="s">
        <v>442</v>
      </c>
    </row>
    <row r="455" spans="1:3" ht="12.75" x14ac:dyDescent="0.2">
      <c r="A455" s="1" t="str">
        <f ca="1">IFERROR(__xludf.DUMMYFUNCTION("GOOGLETRANSLATE(C446, ""en"", ""es"")"),"castigar")</f>
        <v>castigar</v>
      </c>
      <c r="B455" s="1">
        <v>-3</v>
      </c>
      <c r="C455" s="1" t="s">
        <v>446</v>
      </c>
    </row>
    <row r="456" spans="1:3" ht="12.75" x14ac:dyDescent="0.2">
      <c r="A456" s="1" t="str">
        <f ca="1">IFERROR(__xludf.DUMMYFUNCTION("GOOGLETRANSLATE(C447, ""en"", ""es"")"),"castigar")</f>
        <v>castigar</v>
      </c>
      <c r="B456" s="1">
        <v>-2</v>
      </c>
      <c r="C456" s="1" t="s">
        <v>447</v>
      </c>
    </row>
    <row r="457" spans="1:3" ht="12.75" x14ac:dyDescent="0.2">
      <c r="A457" s="1" t="str">
        <f ca="1">IFERROR(__xludf.DUMMYFUNCTION("GOOGLETRANSLATE(C448, ""en"", ""es"")"),"catástrofe")</f>
        <v>catástrofe</v>
      </c>
      <c r="B457" s="1">
        <v>-3</v>
      </c>
      <c r="C457" s="1" t="s">
        <v>448</v>
      </c>
    </row>
    <row r="458" spans="1:3" ht="12.75" x14ac:dyDescent="0.2">
      <c r="A458" s="1" t="str">
        <f ca="1">IFERROR(__xludf.DUMMYFUNCTION("GOOGLETRANSLATE(C449, ""en"", ""es"")"),"catastrófico")</f>
        <v>catastrófico</v>
      </c>
      <c r="B458" s="1">
        <v>-4</v>
      </c>
      <c r="C458" s="1" t="s">
        <v>449</v>
      </c>
    </row>
    <row r="459" spans="1:3" ht="12.75" x14ac:dyDescent="0.2">
      <c r="A459" s="1" t="str">
        <f ca="1">IFERROR(__xludf.DUMMYFUNCTION("GOOGLETRANSLATE(C451, ""en"", ""es"")"),"cautivado")</f>
        <v>cautivado</v>
      </c>
      <c r="B459" s="1">
        <v>3</v>
      </c>
      <c r="C459" s="1" t="s">
        <v>451</v>
      </c>
    </row>
    <row r="460" spans="1:3" ht="12.75" x14ac:dyDescent="0.2">
      <c r="A460" s="1" t="str">
        <f ca="1">IFERROR(__xludf.DUMMYFUNCTION("GOOGLETRANSLATE(C452, ""en"", ""es"")"),"cautivar")</f>
        <v>cautivar</v>
      </c>
      <c r="B460" s="1">
        <v>3</v>
      </c>
      <c r="C460" s="1" t="s">
        <v>452</v>
      </c>
    </row>
    <row r="461" spans="1:3" ht="12.75" x14ac:dyDescent="0.2">
      <c r="A461" s="1" t="str">
        <f ca="1">IFERROR(__xludf.DUMMYFUNCTION("GOOGLETRANSLATE(C454, ""en"", ""es"")"),"celebrado")</f>
        <v>celebrado</v>
      </c>
      <c r="B461" s="1">
        <v>3</v>
      </c>
      <c r="C461" s="1" t="s">
        <v>454</v>
      </c>
    </row>
    <row r="462" spans="1:3" ht="12.75" x14ac:dyDescent="0.2">
      <c r="A462" s="1" t="str">
        <f ca="1">IFERROR(__xludf.DUMMYFUNCTION("GOOGLETRANSLATE(C455, ""en"", ""es"")"),"celebrando")</f>
        <v>celebrando</v>
      </c>
      <c r="B462" s="1">
        <v>3</v>
      </c>
      <c r="C462" s="1" t="s">
        <v>455</v>
      </c>
    </row>
    <row r="463" spans="1:3" ht="12.75" x14ac:dyDescent="0.2">
      <c r="A463" s="1" t="str">
        <f ca="1">IFERROR(__xludf.DUMMYFUNCTION("GOOGLETRANSLATE(C453, ""en"", ""es"")"),"celebrar")</f>
        <v>celebrar</v>
      </c>
      <c r="B463" s="1">
        <v>3</v>
      </c>
      <c r="C463" s="1" t="s">
        <v>453</v>
      </c>
    </row>
    <row r="464" spans="1:3" ht="12.75" x14ac:dyDescent="0.2">
      <c r="A464" s="1" t="str">
        <f ca="1">IFERROR(__xludf.DUMMYFUNCTION("GOOGLETRANSLATE(C456, ""en"", ""es"")"),"celebrar")</f>
        <v>celebrar</v>
      </c>
      <c r="B464" s="1">
        <v>3</v>
      </c>
      <c r="C464" s="1" t="s">
        <v>456</v>
      </c>
    </row>
    <row r="465" spans="1:3" ht="12.75" x14ac:dyDescent="0.2">
      <c r="A465" s="1" t="str">
        <f ca="1">IFERROR(__xludf.DUMMYFUNCTION("GOOGLETRANSLATE(C457, ""en"", ""es"")"),"celestial")</f>
        <v>celestial</v>
      </c>
      <c r="B465" s="1">
        <v>4</v>
      </c>
      <c r="C465" s="1" t="s">
        <v>457</v>
      </c>
    </row>
    <row r="466" spans="1:3" ht="12.75" x14ac:dyDescent="0.2">
      <c r="A466" s="1" t="str">
        <f ca="1">IFERROR(__xludf.DUMMYFUNCTION("GOOGLETRANSLATE(C459, ""en"", ""es"")"),"celoso")</f>
        <v>celoso</v>
      </c>
      <c r="B466" s="1">
        <v>-2</v>
      </c>
      <c r="C466" s="1" t="s">
        <v>459</v>
      </c>
    </row>
    <row r="467" spans="1:3" ht="12.75" x14ac:dyDescent="0.2">
      <c r="A467" s="1" t="str">
        <f ca="1">IFERROR(__xludf.DUMMYFUNCTION("GOOGLETRANSLATE(C460, ""en"", ""es"")"),"celoso")</f>
        <v>celoso</v>
      </c>
      <c r="B467" s="1">
        <v>2</v>
      </c>
      <c r="C467" s="1" t="s">
        <v>460</v>
      </c>
    </row>
    <row r="468" spans="1:3" ht="12.75" x14ac:dyDescent="0.2">
      <c r="A468" s="1" t="str">
        <f ca="1">IFERROR(__xludf.DUMMYFUNCTION("GOOGLETRANSLATE(C461, ""en"", ""es"")"),"censores")</f>
        <v>censores</v>
      </c>
      <c r="B468" s="1">
        <v>-2</v>
      </c>
      <c r="C468" s="1" t="s">
        <v>461</v>
      </c>
    </row>
    <row r="469" spans="1:3" ht="12.75" x14ac:dyDescent="0.2">
      <c r="A469" s="1" t="str">
        <f ca="1">IFERROR(__xludf.DUMMYFUNCTION("GOOGLETRANSLATE(C462, ""en"", ""es"")"),"censurado")</f>
        <v>censurado</v>
      </c>
      <c r="B469" s="1">
        <v>-2</v>
      </c>
      <c r="C469" s="1" t="s">
        <v>462</v>
      </c>
    </row>
    <row r="470" spans="1:3" ht="12.75" x14ac:dyDescent="0.2">
      <c r="A470" s="1" t="str">
        <f ca="1">IFERROR(__xludf.DUMMYFUNCTION("GOOGLETRANSLATE(C463, ""en"", ""es"")"),"censurar")</f>
        <v>censurar</v>
      </c>
      <c r="B470" s="1">
        <v>-2</v>
      </c>
      <c r="C470" s="1" t="s">
        <v>463</v>
      </c>
    </row>
    <row r="471" spans="1:3" ht="12.75" x14ac:dyDescent="0.2">
      <c r="A471" s="1" t="str">
        <f ca="1">IFERROR(__xludf.DUMMYFUNCTION("GOOGLETRANSLATE(C464, ""en"", ""es"")"),"ceñudo")</f>
        <v>ceñudo</v>
      </c>
      <c r="B471" s="1">
        <v>-1</v>
      </c>
      <c r="C471" s="1" t="s">
        <v>464</v>
      </c>
    </row>
    <row r="472" spans="1:3" ht="12.75" x14ac:dyDescent="0.2">
      <c r="A472" s="1" t="str">
        <f ca="1">IFERROR(__xludf.DUMMYFUNCTION("GOOGLETRANSLATE(C466, ""en"", ""es"")"),"cerveza negra")</f>
        <v>cerveza negra</v>
      </c>
      <c r="B472" s="1">
        <v>2</v>
      </c>
      <c r="C472" s="1" t="s">
        <v>466</v>
      </c>
    </row>
    <row r="473" spans="1:3" ht="12.75" x14ac:dyDescent="0.2">
      <c r="A473" s="1" t="str">
        <f ca="1">IFERROR(__xludf.DUMMYFUNCTION("GOOGLETRANSLATE(C2268, ""en"", ""es"")"),"chapado")</f>
        <v>chapado</v>
      </c>
      <c r="B473" s="1">
        <v>-1</v>
      </c>
      <c r="C473" s="1" t="s">
        <v>2264</v>
      </c>
    </row>
    <row r="474" spans="1:3" ht="12.75" x14ac:dyDescent="0.2">
      <c r="A474" s="1" t="str">
        <f ca="1">IFERROR(__xludf.DUMMYFUNCTION("GOOGLETRANSLATE(C468, ""en"", ""es"")"),"chiflado por")</f>
        <v>chiflado por</v>
      </c>
      <c r="B474" s="1">
        <v>2</v>
      </c>
      <c r="C474" s="1" t="s">
        <v>468</v>
      </c>
    </row>
    <row r="475" spans="1:3" ht="12.75" x14ac:dyDescent="0.2">
      <c r="A475" s="1" t="str">
        <f ca="1">IFERROR(__xludf.DUMMYFUNCTION("GOOGLETRANSLATE(C469, ""en"", ""es"")"),"Chispa - chispear")</f>
        <v>Chispa - chispear</v>
      </c>
      <c r="B475" s="1">
        <v>1</v>
      </c>
      <c r="C475" s="1" t="s">
        <v>469</v>
      </c>
    </row>
    <row r="476" spans="1:3" ht="12.75" x14ac:dyDescent="0.2">
      <c r="A476" s="1" t="str">
        <f ca="1">IFERROR(__xludf.DUMMYFUNCTION("GOOGLETRANSLATE(C778, ""en"", ""es"")"),"chispas")</f>
        <v>chispas</v>
      </c>
      <c r="B476" s="1">
        <v>3</v>
      </c>
      <c r="C476" s="1" t="s">
        <v>778</v>
      </c>
    </row>
    <row r="477" spans="1:3" ht="12.75" x14ac:dyDescent="0.2">
      <c r="A477" s="1" t="str">
        <f ca="1">IFERROR(__xludf.DUMMYFUNCTION("GOOGLETRANSLATE(C400, ""en"", ""es"")"),"chivo expiatorio")</f>
        <v>chivo expiatorio</v>
      </c>
      <c r="B477" s="1">
        <v>-2</v>
      </c>
      <c r="C477" s="1" t="s">
        <v>400</v>
      </c>
    </row>
    <row r="478" spans="1:3" ht="12.75" x14ac:dyDescent="0.2">
      <c r="A478" s="1" t="str">
        <f ca="1">IFERROR(__xludf.DUMMYFUNCTION("GOOGLETRANSLATE(C472, ""en"", ""es"")"),"chivo expiatorio")</f>
        <v>chivo expiatorio</v>
      </c>
      <c r="B478" s="1">
        <v>-2</v>
      </c>
      <c r="C478" s="1" t="s">
        <v>472</v>
      </c>
    </row>
    <row r="479" spans="1:3" ht="12.75" x14ac:dyDescent="0.2">
      <c r="A479" s="1" t="str">
        <f ca="1">IFERROR(__xludf.DUMMYFUNCTION("GOOGLETRANSLATE(C474, ""en"", ""es"")"),"chocar")</f>
        <v>chocar</v>
      </c>
      <c r="B479" s="1">
        <v>-1</v>
      </c>
      <c r="C479" s="1" t="s">
        <v>474</v>
      </c>
    </row>
    <row r="480" spans="1:3" ht="12.75" x14ac:dyDescent="0.2">
      <c r="A480" s="1" t="str">
        <f ca="1">IFERROR(__xludf.DUMMYFUNCTION("GOOGLETRANSLATE(C476, ""en"", ""es"")"),"chocar")</f>
        <v>chocar</v>
      </c>
      <c r="B480" s="1">
        <v>-2</v>
      </c>
      <c r="C480" s="1" t="s">
        <v>476</v>
      </c>
    </row>
    <row r="481" spans="1:3" ht="12.75" x14ac:dyDescent="0.2">
      <c r="A481" s="1" t="str">
        <f ca="1">IFERROR(__xludf.DUMMYFUNCTION("GOOGLETRANSLATE(C505, ""en"", ""es"")"),"chocar")</f>
        <v>chocar</v>
      </c>
      <c r="B481" s="1">
        <v>-1</v>
      </c>
      <c r="C481" s="1" t="s">
        <v>504</v>
      </c>
    </row>
    <row r="482" spans="1:3" ht="12.75" x14ac:dyDescent="0.2">
      <c r="A482" s="1" t="str">
        <f ca="1">IFERROR(__xludf.DUMMYFUNCTION("GOOGLETRANSLATE(C1177, ""en"", ""es"")"),"chocolas")</f>
        <v>chocolas</v>
      </c>
      <c r="B482" s="1">
        <v>-2</v>
      </c>
      <c r="C482" s="1" t="s">
        <v>1179</v>
      </c>
    </row>
    <row r="483" spans="1:3" ht="12.75" x14ac:dyDescent="0.2">
      <c r="A483" s="1" t="str">
        <f ca="1">IFERROR(__xludf.DUMMYFUNCTION("GOOGLETRANSLATE(C475, ""en"", ""es"")"),"choque")</f>
        <v>choque</v>
      </c>
      <c r="B483" s="1">
        <v>-2</v>
      </c>
      <c r="C483" s="1" t="s">
        <v>475</v>
      </c>
    </row>
    <row r="484" spans="1:3" ht="12.75" x14ac:dyDescent="0.2">
      <c r="A484" s="1" t="str">
        <f ca="1">IFERROR(__xludf.DUMMYFUNCTION("GOOGLETRANSLATE(C478, ""en"", ""es"")"),"choque")</f>
        <v>choque</v>
      </c>
      <c r="B484" s="1">
        <v>-2</v>
      </c>
      <c r="C484" s="1" t="s">
        <v>478</v>
      </c>
    </row>
    <row r="485" spans="1:3" ht="12.75" x14ac:dyDescent="0.2">
      <c r="A485" s="1" t="str">
        <f ca="1">IFERROR(__xludf.DUMMYFUNCTION("GOOGLETRANSLATE(C480, ""en"", ""es"")"),"chupar")</f>
        <v>chupar</v>
      </c>
      <c r="B485" s="1">
        <v>-3</v>
      </c>
      <c r="C485" s="1" t="s">
        <v>480</v>
      </c>
    </row>
    <row r="486" spans="1:3" ht="12.75" x14ac:dyDescent="0.2">
      <c r="A486" s="1" t="str">
        <f ca="1">IFERROR(__xludf.DUMMYFUNCTION("GOOGLETRANSLATE(C1720, ""en"", ""es"")"),"ciclomotor")</f>
        <v>ciclomotor</v>
      </c>
      <c r="B486" s="1">
        <v>-1</v>
      </c>
      <c r="C486" s="1" t="s">
        <v>1719</v>
      </c>
    </row>
    <row r="487" spans="1:3" ht="12.75" x14ac:dyDescent="0.2">
      <c r="A487" s="1" t="str">
        <f ca="1">IFERROR(__xludf.DUMMYFUNCTION("GOOGLETRANSLATE(C481, ""en"", ""es"")"),"ciego")</f>
        <v>ciego</v>
      </c>
      <c r="B487" s="1">
        <v>-1</v>
      </c>
      <c r="C487" s="1" t="s">
        <v>481</v>
      </c>
    </row>
    <row r="488" spans="1:3" ht="12.75" x14ac:dyDescent="0.2">
      <c r="A488" s="1" t="str">
        <f ca="1">IFERROR(__xludf.DUMMYFUNCTION("GOOGLETRANSLATE(C482, ""en"", ""es"")"),"cielo")</f>
        <v>cielo</v>
      </c>
      <c r="B488" s="1">
        <v>2</v>
      </c>
      <c r="C488" s="1" t="s">
        <v>482</v>
      </c>
    </row>
    <row r="489" spans="1:3" ht="12.75" x14ac:dyDescent="0.2">
      <c r="A489" s="1" t="str">
        <f ca="1">IFERROR(__xludf.DUMMYFUNCTION("GOOGLETRANSLATE(C484, ""en"", ""es"")"),"CIERTO")</f>
        <v>CIERTO</v>
      </c>
      <c r="B489" s="1">
        <v>2</v>
      </c>
      <c r="C489" s="1" t="b">
        <v>1</v>
      </c>
    </row>
    <row r="490" spans="1:3" ht="12.75" x14ac:dyDescent="0.2">
      <c r="A490" s="1" t="str">
        <f ca="1">IFERROR(__xludf.DUMMYFUNCTION("GOOGLETRANSLATE(C485, ""en"", ""es"")"),"cínico")</f>
        <v>cínico</v>
      </c>
      <c r="B490" s="1">
        <v>-2</v>
      </c>
      <c r="C490" s="1" t="s">
        <v>484</v>
      </c>
    </row>
    <row r="491" spans="1:3" ht="12.75" x14ac:dyDescent="0.2">
      <c r="A491" s="1" t="str">
        <f ca="1">IFERROR(__xludf.DUMMYFUNCTION("GOOGLETRANSLATE(C486, ""en"", ""es"")"),"cínico")</f>
        <v>cínico</v>
      </c>
      <c r="B491" s="1">
        <v>-2</v>
      </c>
      <c r="C491" s="1" t="s">
        <v>485</v>
      </c>
    </row>
    <row r="492" spans="1:3" ht="12.75" x14ac:dyDescent="0.2">
      <c r="A492" s="1" t="str">
        <f ca="1">IFERROR(__xludf.DUMMYFUNCTION("GOOGLETRANSLATE(C487, ""en"", ""es"")"),"cinismo")</f>
        <v>cinismo</v>
      </c>
      <c r="B492" s="1">
        <v>-2</v>
      </c>
      <c r="C492" s="1" t="s">
        <v>486</v>
      </c>
    </row>
    <row r="493" spans="1:3" ht="12.75" x14ac:dyDescent="0.2">
      <c r="A493" s="1" t="str">
        <f ca="1">IFERROR(__xludf.DUMMYFUNCTION("GOOGLETRANSLATE(C488, ""en"", ""es"")"),"claramente")</f>
        <v>claramente</v>
      </c>
      <c r="B493" s="1">
        <v>1</v>
      </c>
      <c r="C493" s="1" t="s">
        <v>487</v>
      </c>
    </row>
    <row r="494" spans="1:3" ht="12.75" x14ac:dyDescent="0.2">
      <c r="A494" s="1" t="str">
        <f ca="1">IFERROR(__xludf.DUMMYFUNCTION("GOOGLETRANSLATE(C489, ""en"", ""es"")"),"claridad")</f>
        <v>claridad</v>
      </c>
      <c r="B494" s="1">
        <v>2</v>
      </c>
      <c r="C494" s="1" t="s">
        <v>488</v>
      </c>
    </row>
    <row r="495" spans="1:3" ht="12.75" x14ac:dyDescent="0.2">
      <c r="A495" s="1" t="str">
        <f ca="1">IFERROR(__xludf.DUMMYFUNCTION("GOOGLETRANSLATE(C490, ""en"", ""es"")"),"claro")</f>
        <v>claro</v>
      </c>
      <c r="B495" s="1">
        <v>1</v>
      </c>
      <c r="C495" s="1" t="s">
        <v>489</v>
      </c>
    </row>
    <row r="496" spans="1:3" ht="12.75" x14ac:dyDescent="0.2">
      <c r="A496" s="1" t="str">
        <f ca="1">IFERROR(__xludf.DUMMYFUNCTION("GOOGLETRANSLATE(C2331, ""en"", ""es"")"),"clase")</f>
        <v>clase</v>
      </c>
      <c r="B496" s="1">
        <v>2</v>
      </c>
      <c r="C496" s="1" t="s">
        <v>2327</v>
      </c>
    </row>
    <row r="497" spans="1:3" ht="12.75" x14ac:dyDescent="0.2">
      <c r="A497" s="1" t="str">
        <f ca="1">IFERROR(__xludf.DUMMYFUNCTION("GOOGLETRANSLATE(C492, ""en"", ""es"")"),"cobarde")</f>
        <v>cobarde</v>
      </c>
      <c r="B497" s="1">
        <v>-2</v>
      </c>
      <c r="C497" s="1" t="s">
        <v>491</v>
      </c>
    </row>
    <row r="498" spans="1:3" ht="12.75" x14ac:dyDescent="0.2">
      <c r="A498" s="1" t="str">
        <f ca="1">IFERROR(__xludf.DUMMYFUNCTION("GOOGLETRANSLATE(C493, ""en"", ""es"")"),"cobardemente")</f>
        <v>cobardemente</v>
      </c>
      <c r="B498" s="1">
        <v>-2</v>
      </c>
      <c r="C498" s="1" t="s">
        <v>492</v>
      </c>
    </row>
    <row r="499" spans="1:3" ht="12.75" x14ac:dyDescent="0.2">
      <c r="A499" s="1" t="str">
        <f ca="1">IFERROR(__xludf.DUMMYFUNCTION("GOOGLETRANSLATE(C494, ""en"", ""es"")"),"cobrar")</f>
        <v>cobrar</v>
      </c>
      <c r="B499" s="1">
        <v>-2</v>
      </c>
      <c r="C499" s="1" t="s">
        <v>493</v>
      </c>
    </row>
    <row r="500" spans="1:3" ht="12.75" x14ac:dyDescent="0.2">
      <c r="A500" s="1" t="str">
        <f ca="1">IFERROR(__xludf.DUMMYFUNCTION("GOOGLETRANSLATE(C496, ""en"", ""es"")"),"codicia")</f>
        <v>codicia</v>
      </c>
      <c r="B500" s="1">
        <v>-3</v>
      </c>
      <c r="C500" s="1" t="s">
        <v>495</v>
      </c>
    </row>
    <row r="501" spans="1:3" ht="12.75" x14ac:dyDescent="0.2">
      <c r="A501" s="1" t="str">
        <f ca="1">IFERROR(__xludf.DUMMYFUNCTION("GOOGLETRANSLATE(C498, ""en"", ""es"")"),"cojo")</f>
        <v>cojo</v>
      </c>
      <c r="B501" s="1">
        <v>-2</v>
      </c>
      <c r="C501" s="1" t="s">
        <v>497</v>
      </c>
    </row>
    <row r="502" spans="1:3" ht="12.75" x14ac:dyDescent="0.2">
      <c r="A502" s="1" t="str">
        <f ca="1">IFERROR(__xludf.DUMMYFUNCTION("GOOGLETRANSLATE(C499, ""en"", ""es"")"),"colapsado")</f>
        <v>colapsado</v>
      </c>
      <c r="B502" s="1">
        <v>-2</v>
      </c>
      <c r="C502" s="1" t="s">
        <v>498</v>
      </c>
    </row>
    <row r="503" spans="1:3" ht="12.75" x14ac:dyDescent="0.2">
      <c r="A503" s="1" t="str">
        <f ca="1">IFERROR(__xludf.DUMMYFUNCTION("GOOGLETRANSLATE(C500, ""en"", ""es"")"),"colapso")</f>
        <v>colapso</v>
      </c>
      <c r="B503" s="1">
        <v>-2</v>
      </c>
      <c r="C503" s="1" t="s">
        <v>499</v>
      </c>
    </row>
    <row r="504" spans="1:3" ht="12.75" x14ac:dyDescent="0.2">
      <c r="A504" s="1" t="str">
        <f ca="1">IFERROR(__xludf.DUMMYFUNCTION("GOOGLETRANSLATE(C501, ""en"", ""es"")"),"colapso")</f>
        <v>colapso</v>
      </c>
      <c r="B504" s="1">
        <v>-2</v>
      </c>
      <c r="C504" s="1" t="s">
        <v>500</v>
      </c>
    </row>
    <row r="505" spans="1:3" ht="12.75" x14ac:dyDescent="0.2">
      <c r="A505" s="1" t="str">
        <f ca="1">IFERROR(__xludf.DUMMYFUNCTION("GOOGLETRANSLATE(C502, ""en"", ""es"")"),"colapso")</f>
        <v>colapso</v>
      </c>
      <c r="B505" s="1">
        <v>-2</v>
      </c>
      <c r="C505" s="1" t="s">
        <v>501</v>
      </c>
    </row>
    <row r="506" spans="1:3" ht="12.75" x14ac:dyDescent="0.2">
      <c r="A506" s="1" t="str">
        <f ca="1">IFERROR(__xludf.DUMMYFUNCTION("GOOGLETRANSLATE(C503, ""en"", ""es"")"),"colérico")</f>
        <v>colérico</v>
      </c>
      <c r="B506" s="1">
        <v>-3</v>
      </c>
      <c r="C506" s="1" t="s">
        <v>502</v>
      </c>
    </row>
    <row r="507" spans="1:3" ht="12.75" x14ac:dyDescent="0.2">
      <c r="A507" s="1" t="str">
        <f ca="1">IFERROR(__xludf.DUMMYFUNCTION("GOOGLETRANSLATE(C504, ""en"", ""es"")"),"colisión")</f>
        <v>colisión</v>
      </c>
      <c r="B507" s="1">
        <v>-2</v>
      </c>
      <c r="C507" s="1" t="s">
        <v>503</v>
      </c>
    </row>
    <row r="508" spans="1:3" ht="12.75" x14ac:dyDescent="0.2">
      <c r="A508" s="1" t="str">
        <f ca="1">IFERROR(__xludf.DUMMYFUNCTION("GOOGLETRANSLATE(C506, ""en"", ""es"")"),"colisionar")</f>
        <v>colisionar</v>
      </c>
      <c r="B508" s="1">
        <v>-1</v>
      </c>
      <c r="C508" s="1" t="s">
        <v>505</v>
      </c>
    </row>
    <row r="509" spans="1:3" ht="12.75" x14ac:dyDescent="0.2">
      <c r="A509" s="1" t="str">
        <f ca="1">IFERROR(__xludf.DUMMYFUNCTION("GOOGLETRANSLATE(C507, ""en"", ""es"")"),"colisiones")</f>
        <v>colisiones</v>
      </c>
      <c r="B509" s="1">
        <v>-2</v>
      </c>
      <c r="C509" s="1" t="s">
        <v>506</v>
      </c>
    </row>
    <row r="510" spans="1:3" ht="12.75" x14ac:dyDescent="0.2">
      <c r="A510" s="1" t="str">
        <f ca="1">IFERROR(__xludf.DUMMYFUNCTION("GOOGLETRANSLATE(C508, ""en"", ""es"")"),"coludido")</f>
        <v>coludido</v>
      </c>
      <c r="B510" s="1">
        <v>-3</v>
      </c>
      <c r="C510" s="1" t="s">
        <v>507</v>
      </c>
    </row>
    <row r="511" spans="1:3" ht="12.75" x14ac:dyDescent="0.2">
      <c r="A511" s="1" t="str">
        <f ca="1">IFERROR(__xludf.DUMMYFUNCTION("GOOGLETRANSLATE(C509, ""en"", ""es"")"),"combate")</f>
        <v>combate</v>
      </c>
      <c r="B511" s="1">
        <v>-1</v>
      </c>
      <c r="C511" s="1" t="s">
        <v>508</v>
      </c>
    </row>
    <row r="512" spans="1:3" ht="12.75" x14ac:dyDescent="0.2">
      <c r="A512" s="1" t="str">
        <f ca="1">IFERROR(__xludf.DUMMYFUNCTION("GOOGLETRANSLATE(C510, ""en"", ""es"")"),"combate")</f>
        <v>combate</v>
      </c>
      <c r="B512" s="1">
        <v>-1</v>
      </c>
      <c r="C512" s="1" t="s">
        <v>509</v>
      </c>
    </row>
    <row r="513" spans="1:3" ht="12.75" x14ac:dyDescent="0.2">
      <c r="A513" s="1" t="str">
        <f ca="1">IFERROR(__xludf.DUMMYFUNCTION("GOOGLETRANSLATE(C511, ""en"", ""es"")"),"comedia")</f>
        <v>comedia</v>
      </c>
      <c r="B513" s="1">
        <v>1</v>
      </c>
      <c r="C513" s="1" t="s">
        <v>510</v>
      </c>
    </row>
    <row r="514" spans="1:3" ht="12.75" x14ac:dyDescent="0.2">
      <c r="A514" s="1" t="str">
        <f ca="1">IFERROR(__xludf.DUMMYFUNCTION("GOOGLETRANSLATE(C513, ""en"", ""es"")"),"comodidad")</f>
        <v>comodidad</v>
      </c>
      <c r="B514" s="1">
        <v>2</v>
      </c>
      <c r="C514" s="1" t="s">
        <v>512</v>
      </c>
    </row>
    <row r="515" spans="1:3" ht="12.75" x14ac:dyDescent="0.2">
      <c r="A515" s="1" t="str">
        <f ca="1">IFERROR(__xludf.DUMMYFUNCTION("GOOGLETRANSLATE(C514, ""en"", ""es"")"),"comodidad")</f>
        <v>comodidad</v>
      </c>
      <c r="B515" s="1">
        <v>2</v>
      </c>
      <c r="C515" s="1" t="s">
        <v>513</v>
      </c>
    </row>
    <row r="516" spans="1:3" ht="12.75" x14ac:dyDescent="0.2">
      <c r="A516" s="1" t="str">
        <f ca="1">IFERROR(__xludf.DUMMYFUNCTION("GOOGLETRANSLATE(C515, ""en"", ""es"")"),"comodidad")</f>
        <v>comodidad</v>
      </c>
      <c r="B516" s="1">
        <v>2</v>
      </c>
      <c r="C516" s="1" t="s">
        <v>514</v>
      </c>
    </row>
    <row r="517" spans="1:3" ht="12.75" x14ac:dyDescent="0.2">
      <c r="A517" s="1" t="str">
        <f ca="1">IFERROR(__xludf.DUMMYFUNCTION("GOOGLETRANSLATE(C516, ""en"", ""es"")"),"cómodo")</f>
        <v>cómodo</v>
      </c>
      <c r="B517" s="1">
        <v>2</v>
      </c>
      <c r="C517" s="1" t="s">
        <v>515</v>
      </c>
    </row>
    <row r="518" spans="1:3" ht="12.75" x14ac:dyDescent="0.2">
      <c r="A518" s="1" t="str">
        <f ca="1">IFERROR(__xludf.DUMMYFUNCTION("GOOGLETRANSLATE(C518, ""en"", ""es"")"),"Comparte")</f>
        <v>Comparte</v>
      </c>
      <c r="B518" s="1">
        <v>1</v>
      </c>
      <c r="C518" s="1" t="s">
        <v>517</v>
      </c>
    </row>
    <row r="519" spans="1:3" ht="12.75" x14ac:dyDescent="0.2">
      <c r="A519" s="1" t="str">
        <f ca="1">IFERROR(__xludf.DUMMYFUNCTION("GOOGLETRANSLATE(C519, ""en"", ""es"")"),"compartido")</f>
        <v>compartido</v>
      </c>
      <c r="B519" s="1">
        <v>1</v>
      </c>
      <c r="C519" s="1" t="s">
        <v>518</v>
      </c>
    </row>
    <row r="520" spans="1:3" ht="12.75" x14ac:dyDescent="0.2">
      <c r="A520" s="1" t="str">
        <f ca="1">IFERROR(__xludf.DUMMYFUNCTION("GOOGLETRANSLATE(C2201, ""en"", ""es"")"),"compasión")</f>
        <v>compasión</v>
      </c>
      <c r="B520" s="1">
        <v>2</v>
      </c>
      <c r="C520" s="1" t="s">
        <v>2197</v>
      </c>
    </row>
    <row r="521" spans="1:3" ht="12.75" x14ac:dyDescent="0.2">
      <c r="A521" s="1" t="str">
        <f ca="1">IFERROR(__xludf.DUMMYFUNCTION("GOOGLETRANSLATE(C521, ""en"", ""es"")"),"compasivo")</f>
        <v>compasivo</v>
      </c>
      <c r="B521" s="1">
        <v>2</v>
      </c>
      <c r="C521" s="1" t="s">
        <v>520</v>
      </c>
    </row>
    <row r="522" spans="1:3" ht="12.75" x14ac:dyDescent="0.2">
      <c r="A522" s="1" t="str">
        <f ca="1">IFERROR(__xludf.DUMMYFUNCTION("GOOGLETRANSLATE(C522, ""en"", ""es"")"),"competente")</f>
        <v>competente</v>
      </c>
      <c r="B522" s="1">
        <v>2</v>
      </c>
      <c r="C522" s="1" t="s">
        <v>521</v>
      </c>
    </row>
    <row r="523" spans="1:3" ht="12.75" x14ac:dyDescent="0.2">
      <c r="A523" s="1" t="str">
        <f ca="1">IFERROR(__xludf.DUMMYFUNCTION("GOOGLETRANSLATE(C523, ""en"", ""es"")"),"competitivo")</f>
        <v>competitivo</v>
      </c>
      <c r="B523" s="1">
        <v>2</v>
      </c>
      <c r="C523" s="1" t="s">
        <v>522</v>
      </c>
    </row>
    <row r="524" spans="1:3" ht="12.75" x14ac:dyDescent="0.2">
      <c r="A524" s="1" t="str">
        <f ca="1">IFERROR(__xludf.DUMMYFUNCTION("GOOGLETRANSLATE(C579, ""en"", ""es"")"),"comprometer")</f>
        <v>comprometer</v>
      </c>
      <c r="B524" s="1">
        <v>1</v>
      </c>
      <c r="C524" s="1" t="s">
        <v>578</v>
      </c>
    </row>
    <row r="525" spans="1:3" ht="12.75" x14ac:dyDescent="0.2">
      <c r="A525" s="1" t="str">
        <f ca="1">IFERROR(__xludf.DUMMYFUNCTION("GOOGLETRANSLATE(C512, ""en"", ""es"")"),"comprometerse")</f>
        <v>comprometerse</v>
      </c>
      <c r="B525" s="1">
        <v>1</v>
      </c>
      <c r="C525" s="1" t="s">
        <v>511</v>
      </c>
    </row>
    <row r="526" spans="1:3" ht="12.75" x14ac:dyDescent="0.2">
      <c r="A526" s="1" t="str">
        <f ca="1">IFERROR(__xludf.DUMMYFUNCTION("GOOGLETRANSLATE(C525, ""en"", ""es"")"),"comprometido")</f>
        <v>comprometido</v>
      </c>
      <c r="B526" s="1">
        <v>1</v>
      </c>
      <c r="C526" s="1" t="s">
        <v>524</v>
      </c>
    </row>
    <row r="527" spans="1:3" ht="12.75" x14ac:dyDescent="0.2">
      <c r="A527" s="1" t="str">
        <f ca="1">IFERROR(__xludf.DUMMYFUNCTION("GOOGLETRANSLATE(C526, ""en"", ""es"")"),"comprometido")</f>
        <v>comprometido</v>
      </c>
      <c r="B527" s="1">
        <v>1</v>
      </c>
      <c r="C527" s="1" t="s">
        <v>525</v>
      </c>
    </row>
    <row r="528" spans="1:3" ht="12.75" x14ac:dyDescent="0.2">
      <c r="A528" s="1" t="str">
        <f ca="1">IFERROR(__xludf.DUMMYFUNCTION("GOOGLETRANSLATE(C527, ""en"", ""es"")"),"compromiso")</f>
        <v>compromiso</v>
      </c>
      <c r="B528" s="1">
        <v>2</v>
      </c>
      <c r="C528" s="1" t="s">
        <v>526</v>
      </c>
    </row>
    <row r="529" spans="1:3" ht="12.75" x14ac:dyDescent="0.2">
      <c r="A529" s="1" t="str">
        <f ca="1">IFERROR(__xludf.DUMMYFUNCTION("GOOGLETRANSLATE(C2165, ""en"", ""es"")"),"compromiso")</f>
        <v>compromiso</v>
      </c>
      <c r="B529" s="1">
        <v>1</v>
      </c>
      <c r="C529" s="1" t="s">
        <v>2163</v>
      </c>
    </row>
    <row r="530" spans="1:3" ht="12.75" x14ac:dyDescent="0.2">
      <c r="A530" s="1" t="str">
        <f ca="1">IFERROR(__xludf.DUMMYFUNCTION("GOOGLETRANSLATE(C937, ""en"", ""es"")"),"compromisos")</f>
        <v>compromisos</v>
      </c>
      <c r="B530" s="1">
        <v>1</v>
      </c>
      <c r="C530" s="1" t="s">
        <v>939</v>
      </c>
    </row>
    <row r="531" spans="1:3" ht="12.75" x14ac:dyDescent="0.2">
      <c r="A531" s="1" t="s">
        <v>2479</v>
      </c>
      <c r="B531" s="1">
        <v>-2</v>
      </c>
      <c r="C531" s="1" t="s">
        <v>2482</v>
      </c>
    </row>
    <row r="532" spans="1:3" ht="12.75" x14ac:dyDescent="0.2">
      <c r="A532" s="1" t="s">
        <v>2480</v>
      </c>
      <c r="B532" s="1">
        <v>-2</v>
      </c>
      <c r="C532" s="1" t="s">
        <v>2483</v>
      </c>
    </row>
    <row r="533" spans="1:3" ht="12.75" x14ac:dyDescent="0.2">
      <c r="A533" s="1" t="str">
        <f ca="1">IFERROR(__xludf.DUMMYFUNCTION("GOOGLETRANSLATE(C1486, ""en"", ""es"")"),"con derecho")</f>
        <v>con derecho</v>
      </c>
      <c r="B533" s="1">
        <v>1</v>
      </c>
      <c r="C533" s="1" t="s">
        <v>1487</v>
      </c>
    </row>
    <row r="534" spans="1:3" ht="12.75" x14ac:dyDescent="0.2">
      <c r="A534" s="1" t="str">
        <f ca="1">IFERROR(__xludf.DUMMYFUNCTION("GOOGLETRANSLATE(C729, ""en"", ""es"")"),"con descuento")</f>
        <v>con descuento</v>
      </c>
      <c r="B534" s="1">
        <v>-1</v>
      </c>
      <c r="C534" s="1" t="s">
        <v>729</v>
      </c>
    </row>
    <row r="535" spans="1:3" ht="12.75" x14ac:dyDescent="0.2">
      <c r="A535" s="1" t="str">
        <f ca="1">IFERROR(__xludf.DUMMYFUNCTION("GOOGLETRANSLATE(C1825, ""en"", ""es"")"),"con orgullo")</f>
        <v>con orgullo</v>
      </c>
      <c r="B535" s="1">
        <v>2</v>
      </c>
      <c r="C535" s="1" t="s">
        <v>1823</v>
      </c>
    </row>
    <row r="536" spans="1:3" ht="12.75" x14ac:dyDescent="0.2">
      <c r="A536" s="1" t="str">
        <f ca="1">IFERROR(__xludf.DUMMYFUNCTION("GOOGLETRANSLATE(C2021, ""en"", ""es"")"),"con rapto")</f>
        <v>con rapto</v>
      </c>
      <c r="B536" s="1">
        <v>2</v>
      </c>
      <c r="C536" s="1" t="s">
        <v>2019</v>
      </c>
    </row>
    <row r="537" spans="1:3" ht="12.75" x14ac:dyDescent="0.2">
      <c r="A537" s="1" t="str">
        <f ca="1">IFERROR(__xludf.DUMMYFUNCTION("GOOGLETRANSLATE(C2388, ""en"", ""es"")"),"con techo")</f>
        <v>con techo</v>
      </c>
      <c r="B537" s="1">
        <v>-2</v>
      </c>
      <c r="C537" s="1" t="s">
        <v>2384</v>
      </c>
    </row>
    <row r="538" spans="1:3" ht="12.75" x14ac:dyDescent="0.2">
      <c r="A538" s="1" t="str">
        <f ca="1">IFERROR(__xludf.DUMMYFUNCTION("GOOGLETRANSLATE(C930, ""en"", ""es"")"),"concentrado")</f>
        <v>concentrado</v>
      </c>
      <c r="B538" s="1">
        <v>2</v>
      </c>
      <c r="C538" s="1" t="s">
        <v>932</v>
      </c>
    </row>
    <row r="539" spans="1:3" ht="12.75" x14ac:dyDescent="0.2">
      <c r="A539" s="1" t="str">
        <f ca="1">IFERROR(__xludf.DUMMYFUNCTION("GOOGLETRANSLATE(C531, ""en"", ""es"")"),"concesión")</f>
        <v>concesión</v>
      </c>
      <c r="B539" s="1">
        <v>1</v>
      </c>
      <c r="C539" s="1" t="s">
        <v>530</v>
      </c>
    </row>
    <row r="540" spans="1:3" ht="12.75" x14ac:dyDescent="0.2">
      <c r="A540" s="1" t="str">
        <f ca="1">IFERROR(__xludf.DUMMYFUNCTION("GOOGLETRANSLATE(C534, ""en"", ""es"")"),"conciliación")</f>
        <v>conciliación</v>
      </c>
      <c r="B540" s="1">
        <v>2</v>
      </c>
      <c r="C540" s="1" t="s">
        <v>533</v>
      </c>
    </row>
    <row r="541" spans="1:3" ht="12.75" x14ac:dyDescent="0.2">
      <c r="A541" s="1" t="str">
        <f ca="1">IFERROR(__xludf.DUMMYFUNCTION("GOOGLETRANSLATE(C532, ""en"", ""es"")"),"conciliado")</f>
        <v>conciliado</v>
      </c>
      <c r="B541" s="1">
        <v>2</v>
      </c>
      <c r="C541" s="1" t="s">
        <v>531</v>
      </c>
    </row>
    <row r="542" spans="1:3" ht="12.75" x14ac:dyDescent="0.2">
      <c r="A542" s="1" t="str">
        <f ca="1">IFERROR(__xludf.DUMMYFUNCTION("GOOGLETRANSLATE(C533, ""en"", ""es"")"),"conciliado")</f>
        <v>conciliado</v>
      </c>
      <c r="B542" s="1">
        <v>2</v>
      </c>
      <c r="C542" s="1" t="s">
        <v>532</v>
      </c>
    </row>
    <row r="543" spans="1:3" ht="12.75" x14ac:dyDescent="0.2">
      <c r="A543" s="1" t="str">
        <f ca="1">IFERROR(__xludf.DUMMYFUNCTION("GOOGLETRANSLATE(C535, ""en"", ""es"")"),"conciliar")</f>
        <v>conciliar</v>
      </c>
      <c r="B543" s="1">
        <v>2</v>
      </c>
      <c r="C543" s="1" t="s">
        <v>534</v>
      </c>
    </row>
    <row r="544" spans="1:3" ht="12.75" x14ac:dyDescent="0.2">
      <c r="A544" s="1" t="str">
        <f ca="1">IFERROR(__xludf.DUMMYFUNCTION("GOOGLETRANSLATE(C536, ""en"", ""es"")"),"condena")</f>
        <v>condena</v>
      </c>
      <c r="B544" s="1">
        <v>-2</v>
      </c>
      <c r="C544" s="1" t="s">
        <v>535</v>
      </c>
    </row>
    <row r="545" spans="1:3" ht="12.75" x14ac:dyDescent="0.2">
      <c r="A545" s="1" t="str">
        <f ca="1">IFERROR(__xludf.DUMMYFUNCTION("GOOGLETRANSLATE(C537, ""en"", ""es"")"),"condenación")</f>
        <v>condenación</v>
      </c>
      <c r="B545" s="1">
        <v>-2</v>
      </c>
      <c r="C545" s="1" t="s">
        <v>536</v>
      </c>
    </row>
    <row r="546" spans="1:3" ht="12.75" x14ac:dyDescent="0.2">
      <c r="A546" s="1" t="str">
        <f ca="1">IFERROR(__xludf.DUMMYFUNCTION("GOOGLETRANSLATE(C538, ""en"", ""es"")"),"condenado")</f>
        <v>condenado</v>
      </c>
      <c r="B546" s="1">
        <v>-2</v>
      </c>
      <c r="C546" s="1" t="s">
        <v>537</v>
      </c>
    </row>
    <row r="547" spans="1:3" ht="12.75" x14ac:dyDescent="0.2">
      <c r="A547" s="1" t="str">
        <f ca="1">IFERROR(__xludf.DUMMYFUNCTION("GOOGLETRANSLATE(C539, ""en"", ""es"")"),"condenado")</f>
        <v>condenado</v>
      </c>
      <c r="B547" s="1">
        <v>-2</v>
      </c>
      <c r="C547" s="1" t="s">
        <v>538</v>
      </c>
    </row>
    <row r="548" spans="1:3" ht="12.75" x14ac:dyDescent="0.2">
      <c r="A548" s="1" t="str">
        <f ca="1">IFERROR(__xludf.DUMMYFUNCTION("GOOGLETRANSLATE(C541, ""en"", ""es"")"),"condenar")</f>
        <v>condenar</v>
      </c>
      <c r="B548" s="1">
        <v>-2</v>
      </c>
      <c r="C548" s="1" t="s">
        <v>540</v>
      </c>
    </row>
    <row r="549" spans="1:3" ht="12.75" x14ac:dyDescent="0.2">
      <c r="A549" s="1" t="str">
        <f ca="1">IFERROR(__xludf.DUMMYFUNCTION("GOOGLETRANSLATE(C542, ""en"", ""es"")"),"condenar")</f>
        <v>condenar</v>
      </c>
      <c r="B549" s="1">
        <v>-2</v>
      </c>
      <c r="C549" s="1" t="s">
        <v>541</v>
      </c>
    </row>
    <row r="550" spans="1:3" ht="12.75" x14ac:dyDescent="0.2">
      <c r="A550" s="1" t="str">
        <f ca="1">IFERROR(__xludf.DUMMYFUNCTION("GOOGLETRANSLATE(C543, ""en"", ""es"")"),"confiado")</f>
        <v>confiado</v>
      </c>
      <c r="B550" s="1">
        <v>2</v>
      </c>
      <c r="C550" s="1" t="s">
        <v>542</v>
      </c>
    </row>
    <row r="551" spans="1:3" ht="12.75" x14ac:dyDescent="0.2">
      <c r="A551" s="1" t="str">
        <f ca="1">IFERROR(__xludf.DUMMYFUNCTION("GOOGLETRANSLATE(C544, ""en"", ""es"")"),"confiado")</f>
        <v>confiado</v>
      </c>
      <c r="B551" s="1">
        <v>2</v>
      </c>
      <c r="C551" s="1" t="s">
        <v>543</v>
      </c>
    </row>
    <row r="552" spans="1:3" ht="12.75" x14ac:dyDescent="0.2">
      <c r="A552" s="1" t="str">
        <f ca="1">IFERROR(__xludf.DUMMYFUNCTION("GOOGLETRANSLATE(C545, ""en"", ""es"")"),"confianza")</f>
        <v>confianza</v>
      </c>
      <c r="B552" s="1">
        <v>2</v>
      </c>
      <c r="C552" s="1" t="s">
        <v>544</v>
      </c>
    </row>
    <row r="553" spans="1:3" ht="12.75" x14ac:dyDescent="0.2">
      <c r="A553" s="1" t="str">
        <f ca="1">IFERROR(__xludf.DUMMYFUNCTION("GOOGLETRANSLATE(C546, ""en"", ""es"")"),"confianza")</f>
        <v>confianza</v>
      </c>
      <c r="B553" s="1">
        <v>1</v>
      </c>
      <c r="C553" s="1" t="s">
        <v>545</v>
      </c>
    </row>
    <row r="554" spans="1:3" ht="12.75" x14ac:dyDescent="0.2">
      <c r="A554" s="1" t="str">
        <f ca="1">IFERROR(__xludf.DUMMYFUNCTION("GOOGLETRANSLATE(C548, ""en"", ""es"")"),"conflictivo")</f>
        <v>conflictivo</v>
      </c>
      <c r="B554" s="1">
        <v>-2</v>
      </c>
      <c r="C554" s="1" t="s">
        <v>547</v>
      </c>
    </row>
    <row r="555" spans="1:3" ht="12.75" x14ac:dyDescent="0.2">
      <c r="A555" s="1" t="str">
        <f ca="1">IFERROR(__xludf.DUMMYFUNCTION("GOOGLETRANSLATE(C549, ""en"", ""es"")"),"conflicto")</f>
        <v>conflicto</v>
      </c>
      <c r="B555" s="1">
        <v>-2</v>
      </c>
      <c r="C555" s="1" t="s">
        <v>548</v>
      </c>
    </row>
    <row r="556" spans="1:3" ht="12.75" x14ac:dyDescent="0.2">
      <c r="A556" s="1" t="str">
        <f ca="1">IFERROR(__xludf.DUMMYFUNCTION("GOOGLETRANSLATE(C550, ""en"", ""es"")"),"conflictos")</f>
        <v>conflictos</v>
      </c>
      <c r="B556" s="1">
        <v>-2</v>
      </c>
      <c r="C556" s="1" t="s">
        <v>549</v>
      </c>
    </row>
    <row r="557" spans="1:3" ht="12.75" x14ac:dyDescent="0.2">
      <c r="A557" s="1" t="str">
        <f ca="1">IFERROR(__xludf.DUMMYFUNCTION("GOOGLETRANSLATE(C553, ""en"", ""es"")"),"confundido")</f>
        <v>confundido</v>
      </c>
      <c r="B557" s="1">
        <v>-2</v>
      </c>
      <c r="C557" s="1" t="s">
        <v>552</v>
      </c>
    </row>
    <row r="558" spans="1:3" ht="12.75" x14ac:dyDescent="0.2">
      <c r="A558" s="1" t="str">
        <f ca="1">IFERROR(__xludf.DUMMYFUNCTION("GOOGLETRANSLATE(C551, ""en"", ""es"")"),"confundir")</f>
        <v>confundir</v>
      </c>
      <c r="B558" s="1">
        <v>-2</v>
      </c>
      <c r="C558" s="1" t="s">
        <v>550</v>
      </c>
    </row>
    <row r="559" spans="1:3" ht="12.75" x14ac:dyDescent="0.2">
      <c r="A559" s="1" t="str">
        <f ca="1">IFERROR(__xludf.DUMMYFUNCTION("GOOGLETRANSLATE(C552, ""en"", ""es"")"),"confusión")</f>
        <v>confusión</v>
      </c>
      <c r="B559" s="1">
        <v>-2</v>
      </c>
      <c r="C559" s="1" t="s">
        <v>551</v>
      </c>
    </row>
    <row r="560" spans="1:3" ht="12.75" x14ac:dyDescent="0.2">
      <c r="A560" s="1" t="str">
        <f ca="1">IFERROR(__xludf.DUMMYFUNCTION("GOOGLETRANSLATE(C554, ""en"", ""es"")"),"confuso")</f>
        <v>confuso</v>
      </c>
      <c r="B560" s="1">
        <v>-2</v>
      </c>
      <c r="C560" s="1" t="s">
        <v>553</v>
      </c>
    </row>
    <row r="561" spans="1:3" ht="12.75" x14ac:dyDescent="0.2">
      <c r="A561" s="1" t="str">
        <f ca="1">IFERROR(__xludf.DUMMYFUNCTION("GOOGLETRANSLATE(C477, ""en"", ""es"")"),"conmoción")</f>
        <v>conmoción</v>
      </c>
      <c r="B561" s="1">
        <v>-2</v>
      </c>
      <c r="C561" s="1" t="s">
        <v>477</v>
      </c>
    </row>
    <row r="562" spans="1:3" ht="12.75" x14ac:dyDescent="0.2">
      <c r="A562" s="1" t="str">
        <f ca="1">IFERROR(__xludf.DUMMYFUNCTION("GOOGLETRANSLATE(C555, ""en"", ""es"")"),"conmocionado")</f>
        <v>conmocionado</v>
      </c>
      <c r="B562" s="1">
        <v>-2</v>
      </c>
      <c r="C562" s="1" t="s">
        <v>554</v>
      </c>
    </row>
    <row r="563" spans="1:3" ht="12.75" x14ac:dyDescent="0.2">
      <c r="A563" s="1" t="str">
        <f ca="1">IFERROR(__xludf.DUMMYFUNCTION("GOOGLETRANSLATE(C585, ""en"", ""es"")"),"coño")</f>
        <v>coño</v>
      </c>
      <c r="B563" s="1">
        <v>-5</v>
      </c>
      <c r="C563" s="1" t="s">
        <v>584</v>
      </c>
    </row>
    <row r="564" spans="1:3" ht="12.75" x14ac:dyDescent="0.2">
      <c r="A564" s="1" t="str">
        <f ca="1">IFERROR(__xludf.DUMMYFUNCTION("GOOGLETRANSLATE(C586, ""en"", ""es"")"),"coño")</f>
        <v>coño</v>
      </c>
      <c r="B564" s="1">
        <v>-5</v>
      </c>
      <c r="C564" s="1" t="s">
        <v>585</v>
      </c>
    </row>
    <row r="565" spans="1:3" ht="12.75" x14ac:dyDescent="0.2">
      <c r="A565" s="1" t="str">
        <f ca="1">IFERROR(__xludf.DUMMYFUNCTION("GOOGLETRANSLATE(C557, ""en"", ""es"")"),"consentimiento")</f>
        <v>consentimiento</v>
      </c>
      <c r="B565" s="1">
        <v>2</v>
      </c>
      <c r="C565" s="1" t="s">
        <v>556</v>
      </c>
    </row>
    <row r="566" spans="1:3" ht="12.75" x14ac:dyDescent="0.2">
      <c r="A566" s="1" t="str">
        <f ca="1">IFERROR(__xludf.DUMMYFUNCTION("GOOGLETRANSLATE(C556, ""en"", ""es"")"),"consentir")</f>
        <v>consentir</v>
      </c>
      <c r="B566" s="1">
        <v>2</v>
      </c>
      <c r="C566" s="1" t="s">
        <v>555</v>
      </c>
    </row>
    <row r="567" spans="1:3" ht="12.75" x14ac:dyDescent="0.2">
      <c r="A567" s="1" t="str">
        <f ca="1">IFERROR(__xludf.DUMMYFUNCTION("GOOGLETRANSLATE(C558, ""en"", ""es"")"),"consolable")</f>
        <v>consolable</v>
      </c>
      <c r="B567" s="1">
        <v>2</v>
      </c>
      <c r="C567" s="1" t="s">
        <v>557</v>
      </c>
    </row>
    <row r="568" spans="1:3" ht="12.75" x14ac:dyDescent="0.2">
      <c r="A568" s="1" t="str">
        <f ca="1">IFERROR(__xludf.DUMMYFUNCTION("GOOGLETRANSLATE(C559, ""en"", ""es"")"),"consolador")</f>
        <v>consolador</v>
      </c>
      <c r="B568" s="1">
        <v>2</v>
      </c>
      <c r="C568" s="1" t="s">
        <v>558</v>
      </c>
    </row>
    <row r="569" spans="1:3" ht="12.75" x14ac:dyDescent="0.2">
      <c r="A569" s="1" t="str">
        <f ca="1">IFERROR(__xludf.DUMMYFUNCTION("GOOGLETRANSLATE(C560, ""en"", ""es"")"),"conspiración")</f>
        <v>conspiración</v>
      </c>
      <c r="B569" s="1">
        <v>-3</v>
      </c>
      <c r="C569" s="1" t="s">
        <v>559</v>
      </c>
    </row>
    <row r="570" spans="1:3" ht="12.75" x14ac:dyDescent="0.2">
      <c r="A570" s="1" t="str">
        <f ca="1">IFERROR(__xludf.DUMMYFUNCTION("GOOGLETRANSLATE(C561, ""en"", ""es"")"),"consternado")</f>
        <v>consternado</v>
      </c>
      <c r="B570" s="1">
        <v>-2</v>
      </c>
      <c r="C570" s="1" t="s">
        <v>560</v>
      </c>
    </row>
    <row r="571" spans="1:3" ht="12.75" x14ac:dyDescent="0.2">
      <c r="A571" s="1" t="str">
        <f ca="1">IFERROR(__xludf.DUMMYFUNCTION("GOOGLETRANSLATE(C562, ""en"", ""es"")"),"constreñido")</f>
        <v>constreñido</v>
      </c>
      <c r="B571" s="1">
        <v>-2</v>
      </c>
      <c r="C571" s="1" t="s">
        <v>561</v>
      </c>
    </row>
    <row r="572" spans="1:3" ht="12.75" x14ac:dyDescent="0.2">
      <c r="A572" s="1" t="str">
        <f ca="1">IFERROR(__xludf.DUMMYFUNCTION("GOOGLETRANSLATE(C577, ""en"", ""es"")"),"contactable")</f>
        <v>contactable</v>
      </c>
      <c r="B572" s="1">
        <v>-2</v>
      </c>
      <c r="C572" s="1" t="s">
        <v>576</v>
      </c>
    </row>
    <row r="573" spans="1:3" ht="12.75" x14ac:dyDescent="0.2">
      <c r="A573" s="1" t="str">
        <f ca="1">IFERROR(__xludf.DUMMYFUNCTION("GOOGLETRANSLATE(C574, ""en"", ""es"")"),"contador")</f>
        <v>contador</v>
      </c>
      <c r="B573" s="1">
        <v>-1</v>
      </c>
      <c r="C573" s="1" t="s">
        <v>573</v>
      </c>
    </row>
    <row r="574" spans="1:3" ht="12.75" x14ac:dyDescent="0.2">
      <c r="A574" s="1" t="str">
        <f ca="1">IFERROR(__xludf.DUMMYFUNCTION("GOOGLETRANSLATE(C564, ""en"", ""es"")"),"contagio")</f>
        <v>contagio</v>
      </c>
      <c r="B574" s="1">
        <v>-2</v>
      </c>
      <c r="C574" s="1" t="s">
        <v>563</v>
      </c>
    </row>
    <row r="575" spans="1:3" ht="12.75" x14ac:dyDescent="0.2">
      <c r="A575" s="1" t="str">
        <f ca="1">IFERROR(__xludf.DUMMYFUNCTION("GOOGLETRANSLATE(C565, ""en"", ""es"")"),"contagios")</f>
        <v>contagios</v>
      </c>
      <c r="B575" s="1">
        <v>-2</v>
      </c>
      <c r="C575" s="1" t="s">
        <v>564</v>
      </c>
    </row>
    <row r="576" spans="1:3" ht="12.75" x14ac:dyDescent="0.2">
      <c r="A576" s="1" t="str">
        <f ca="1">IFERROR(__xludf.DUMMYFUNCTION("GOOGLETRANSLATE(C566, ""en"", ""es"")"),"contagioso")</f>
        <v>contagioso</v>
      </c>
      <c r="B576" s="1">
        <v>-1</v>
      </c>
      <c r="C576" s="1" t="s">
        <v>565</v>
      </c>
    </row>
    <row r="577" spans="1:3" ht="12.75" x14ac:dyDescent="0.2">
      <c r="A577" s="1" t="str">
        <f ca="1">IFERROR(__xludf.DUMMYFUNCTION("GOOGLETRANSLATE(C568, ""en"", ""es"")"),"contaminado")</f>
        <v>contaminado</v>
      </c>
      <c r="B577" s="1">
        <v>-2</v>
      </c>
      <c r="C577" s="1" t="s">
        <v>567</v>
      </c>
    </row>
    <row r="578" spans="1:3" ht="12.75" x14ac:dyDescent="0.2">
      <c r="A578" s="1" t="str">
        <f ca="1">IFERROR(__xludf.DUMMYFUNCTION("GOOGLETRANSLATE(C569, ""en"", ""es"")"),"contaminado")</f>
        <v>contaminado</v>
      </c>
      <c r="B578" s="1">
        <v>-2</v>
      </c>
      <c r="C578" s="1" t="s">
        <v>568</v>
      </c>
    </row>
    <row r="579" spans="1:3" ht="12.75" x14ac:dyDescent="0.2">
      <c r="A579" s="1" t="str">
        <f ca="1">IFERROR(__xludf.DUMMYFUNCTION("GOOGLETRANSLATE(C567, ""en"", ""es"")"),"contaminante")</f>
        <v>contaminante</v>
      </c>
      <c r="B579" s="1">
        <v>-2</v>
      </c>
      <c r="C579" s="1" t="s">
        <v>566</v>
      </c>
    </row>
    <row r="580" spans="1:3" ht="12.75" x14ac:dyDescent="0.2">
      <c r="A580" s="1" t="str">
        <f ca="1">IFERROR(__xludf.DUMMYFUNCTION("GOOGLETRANSLATE(C570, ""en"", ""es"")"),"contaminantes")</f>
        <v>contaminantes</v>
      </c>
      <c r="B580" s="1">
        <v>-2</v>
      </c>
      <c r="C580" s="1" t="s">
        <v>569</v>
      </c>
    </row>
    <row r="581" spans="1:3" ht="12.75" x14ac:dyDescent="0.2">
      <c r="A581" s="1" t="str">
        <f ca="1">IFERROR(__xludf.DUMMYFUNCTION("GOOGLETRANSLATE(C571, ""en"", ""es"")"),"contaminar")</f>
        <v>contaminar</v>
      </c>
      <c r="B581" s="1">
        <v>-2</v>
      </c>
      <c r="C581" s="1" t="s">
        <v>570</v>
      </c>
    </row>
    <row r="582" spans="1:3" ht="12.75" x14ac:dyDescent="0.2">
      <c r="A582" s="1" t="str">
        <f ca="1">IFERROR(__xludf.DUMMYFUNCTION("GOOGLETRANSLATE(C572, ""en"", ""es"")"),"contencioso")</f>
        <v>contencioso</v>
      </c>
      <c r="B582" s="1">
        <v>-2</v>
      </c>
      <c r="C582" s="1" t="s">
        <v>571</v>
      </c>
    </row>
    <row r="583" spans="1:3" ht="12.75" x14ac:dyDescent="0.2">
      <c r="A583" s="1" t="str">
        <f ca="1">IFERROR(__xludf.DUMMYFUNCTION("GOOGLETRANSLATE(C573, ""en"", ""es"")"),"contender")</f>
        <v>contender</v>
      </c>
      <c r="B583" s="1">
        <v>-1</v>
      </c>
      <c r="C583" s="1" t="s">
        <v>572</v>
      </c>
    </row>
    <row r="584" spans="1:3" ht="12.75" x14ac:dyDescent="0.2">
      <c r="A584" s="1" t="str">
        <f ca="1">IFERROR(__xludf.DUMMYFUNCTION("GOOGLETRANSLATE(C575, ""en"", ""es"")"),"contendiente")</f>
        <v>contendiente</v>
      </c>
      <c r="B584" s="1">
        <v>-1</v>
      </c>
      <c r="C584" s="1" t="s">
        <v>574</v>
      </c>
    </row>
    <row r="585" spans="1:3" ht="12.75" x14ac:dyDescent="0.2">
      <c r="A585" s="1" t="str">
        <f ca="1">IFERROR(__xludf.DUMMYFUNCTION("GOOGLETRANSLATE(C140, ""en"", ""es"")"),"contento")</f>
        <v>contento</v>
      </c>
      <c r="B585" s="1">
        <v>3</v>
      </c>
      <c r="C585" s="1" t="s">
        <v>140</v>
      </c>
    </row>
    <row r="586" spans="1:3" ht="12.75" x14ac:dyDescent="0.2">
      <c r="A586" s="1" t="str">
        <f ca="1">IFERROR(__xludf.DUMMYFUNCTION("GOOGLETRANSLATE(C576, ""en"", ""es"")"),"contento")</f>
        <v>contento</v>
      </c>
      <c r="B586" s="1">
        <v>3</v>
      </c>
      <c r="C586" s="1" t="s">
        <v>575</v>
      </c>
    </row>
    <row r="587" spans="1:3" ht="12.75" x14ac:dyDescent="0.2">
      <c r="A587" s="1" t="str">
        <f ca="1">IFERROR(__xludf.DUMMYFUNCTION("GOOGLETRANSLATE(C578, ""en"", ""es"")"),"contradictorio")</f>
        <v>contradictorio</v>
      </c>
      <c r="B587" s="1">
        <v>-2</v>
      </c>
      <c r="C587" s="1" t="s">
        <v>577</v>
      </c>
    </row>
    <row r="588" spans="1:3" ht="12.75" x14ac:dyDescent="0.2">
      <c r="A588" s="1" t="str">
        <f ca="1">IFERROR(__xludf.DUMMYFUNCTION("GOOGLETRANSLATE(C1925, ""en"", ""es"")"),"controversial")</f>
        <v>controversial</v>
      </c>
      <c r="B588" s="1">
        <v>-2</v>
      </c>
      <c r="C588" s="1" t="s">
        <v>1923</v>
      </c>
    </row>
    <row r="589" spans="1:3" ht="12.75" x14ac:dyDescent="0.2">
      <c r="A589" s="1" t="str">
        <f ca="1">IFERROR(__xludf.DUMMYFUNCTION("GOOGLETRANSLATE(C1924, ""en"", ""es"")"),"controvertido")</f>
        <v>controvertido</v>
      </c>
      <c r="B589" s="1">
        <v>-2</v>
      </c>
      <c r="C589" s="1" t="s">
        <v>1922</v>
      </c>
    </row>
    <row r="590" spans="1:3" ht="12.75" x14ac:dyDescent="0.2">
      <c r="A590" s="1" t="str">
        <f ca="1">IFERROR(__xludf.DUMMYFUNCTION("GOOGLETRANSLATE(C580, ""en"", ""es"")"),"convencer")</f>
        <v>convencer</v>
      </c>
      <c r="B590" s="1">
        <v>1</v>
      </c>
      <c r="C590" s="1" t="s">
        <v>579</v>
      </c>
    </row>
    <row r="591" spans="1:3" ht="12.75" x14ac:dyDescent="0.2">
      <c r="A591" s="1" t="str">
        <f ca="1">IFERROR(__xludf.DUMMYFUNCTION("GOOGLETRANSLATE(C581, ""en"", ""es"")"),"convencer")</f>
        <v>convencer</v>
      </c>
      <c r="B591" s="1">
        <v>1</v>
      </c>
      <c r="C591" s="1" t="s">
        <v>580</v>
      </c>
    </row>
    <row r="592" spans="1:3" ht="12.75" x14ac:dyDescent="0.2">
      <c r="A592" s="1" t="str">
        <f ca="1">IFERROR(__xludf.DUMMYFUNCTION("GOOGLETRANSLATE(C582, ""en"", ""es"")"),"convencido")</f>
        <v>convencido</v>
      </c>
      <c r="B592" s="1">
        <v>1</v>
      </c>
      <c r="C592" s="1" t="s">
        <v>581</v>
      </c>
    </row>
    <row r="593" spans="1:3" ht="12.75" x14ac:dyDescent="0.2">
      <c r="A593" s="1" t="str">
        <f ca="1">IFERROR(__xludf.DUMMYFUNCTION("GOOGLETRANSLATE(C52, ""en"", ""es"")"),"convenio")</f>
        <v>convenio</v>
      </c>
      <c r="B593" s="1">
        <v>1</v>
      </c>
      <c r="C593" s="1" t="s">
        <v>52</v>
      </c>
    </row>
    <row r="594" spans="1:3" ht="12.75" x14ac:dyDescent="0.2">
      <c r="A594" s="1" t="str">
        <f ca="1">IFERROR(__xludf.DUMMYFUNCTION("GOOGLETRANSLATE(C2410, ""en"", ""es"")"),"coraje")</f>
        <v>coraje</v>
      </c>
      <c r="B594" s="1">
        <v>2</v>
      </c>
      <c r="C594" s="1" t="s">
        <v>2406</v>
      </c>
    </row>
    <row r="595" spans="1:3" ht="12.75" x14ac:dyDescent="0.2">
      <c r="A595" s="1" t="str">
        <f ca="1">IFERROR(__xludf.DUMMYFUNCTION("GOOGLETRANSLATE(C2407, ""en"", ""es"")"),"corajudo")</f>
        <v>corajudo</v>
      </c>
      <c r="B595" s="1">
        <v>2</v>
      </c>
      <c r="C595" s="1" t="s">
        <v>2403</v>
      </c>
    </row>
    <row r="596" spans="1:3" ht="12.75" x14ac:dyDescent="0.2">
      <c r="A596" s="1" t="str">
        <f ca="1">IFERROR(__xludf.DUMMYFUNCTION("GOOGLETRANSLATE(C587, ""en"", ""es"")"),"corazón pesado")</f>
        <v>corazón pesado</v>
      </c>
      <c r="B596" s="1">
        <v>-2</v>
      </c>
      <c r="C596" s="1" t="s">
        <v>586</v>
      </c>
    </row>
    <row r="597" spans="1:3" ht="12.75" x14ac:dyDescent="0.2">
      <c r="A597" s="1" t="str">
        <f ca="1">IFERROR(__xludf.DUMMYFUNCTION("GOOGLETRANSLATE(C588, ""en"", ""es"")"),"correo no deseado")</f>
        <v>correo no deseado</v>
      </c>
      <c r="B597" s="1">
        <v>-2</v>
      </c>
      <c r="C597" s="1" t="s">
        <v>587</v>
      </c>
    </row>
    <row r="598" spans="1:3" ht="12.75" x14ac:dyDescent="0.2">
      <c r="A598" s="1" t="s">
        <v>2513</v>
      </c>
      <c r="B598" s="1">
        <v>-2</v>
      </c>
      <c r="C598" s="1" t="s">
        <v>2511</v>
      </c>
    </row>
    <row r="599" spans="1:3" ht="12.75" x14ac:dyDescent="0.2">
      <c r="A599" s="1" t="s">
        <v>2515</v>
      </c>
      <c r="B599" s="2">
        <v>-2</v>
      </c>
      <c r="C599" s="1" t="s">
        <v>2516</v>
      </c>
    </row>
    <row r="600" spans="1:3" ht="12.75" x14ac:dyDescent="0.2">
      <c r="A600" s="1" t="s">
        <v>2514</v>
      </c>
      <c r="B600" s="1">
        <v>-2</v>
      </c>
      <c r="C600" s="1" t="s">
        <v>2512</v>
      </c>
    </row>
    <row r="601" spans="1:3" ht="12.75" x14ac:dyDescent="0.2">
      <c r="A601" s="1" t="str">
        <f ca="1">IFERROR(__xludf.DUMMYFUNCTION("GOOGLETRANSLATE(C2044, ""en"", ""es"")"),"cortado")</f>
        <v>cortado</v>
      </c>
      <c r="B601" s="1">
        <v>-2</v>
      </c>
      <c r="C601" s="1" t="s">
        <v>2042</v>
      </c>
    </row>
    <row r="602" spans="1:3" ht="12.75" x14ac:dyDescent="0.2">
      <c r="A602" s="1" t="str">
        <f ca="1">IFERROR(__xludf.DUMMYFUNCTION("GOOGLETRANSLATE(C589, ""en"", ""es"")"),"cortar")</f>
        <v>cortar</v>
      </c>
      <c r="B602" s="1">
        <v>-1</v>
      </c>
      <c r="C602" s="1" t="s">
        <v>588</v>
      </c>
    </row>
    <row r="603" spans="1:3" ht="12.75" x14ac:dyDescent="0.2">
      <c r="A603" s="1" t="str">
        <f ca="1">IFERROR(__xludf.DUMMYFUNCTION("GOOGLETRANSLATE(C590, ""en"", ""es"")"),"corte")</f>
        <v>corte</v>
      </c>
      <c r="B603" s="1">
        <v>-1</v>
      </c>
      <c r="C603" s="1" t="s">
        <v>589</v>
      </c>
    </row>
    <row r="604" spans="1:3" ht="12.75" x14ac:dyDescent="0.2">
      <c r="A604" s="1" t="str">
        <f ca="1">IFERROR(__xludf.DUMMYFUNCTION("GOOGLETRANSLATE(C591, ""en"", ""es"")"),"cortejar")</f>
        <v>cortejar</v>
      </c>
      <c r="B604" s="1">
        <v>3</v>
      </c>
      <c r="C604" s="1" t="s">
        <v>590</v>
      </c>
    </row>
    <row r="605" spans="1:3" ht="12.75" x14ac:dyDescent="0.2">
      <c r="A605" s="1" t="str">
        <f ca="1">IFERROR(__xludf.DUMMYFUNCTION("GOOGLETRANSLATE(C348, ""en"", ""es"")"),"cortes")</f>
        <v>cortes</v>
      </c>
      <c r="B605" s="1">
        <v>-2</v>
      </c>
      <c r="C605" s="1" t="s">
        <v>348</v>
      </c>
    </row>
    <row r="606" spans="1:3" ht="12.75" x14ac:dyDescent="0.2">
      <c r="A606" s="1" t="str">
        <f ca="1">IFERROR(__xludf.DUMMYFUNCTION("GOOGLETRANSLATE(C2045, ""en"", ""es"")"),"cortes")</f>
        <v>cortes</v>
      </c>
      <c r="B606" s="1">
        <v>-1</v>
      </c>
      <c r="C606" s="1" t="s">
        <v>2043</v>
      </c>
    </row>
    <row r="607" spans="1:3" ht="12.75" x14ac:dyDescent="0.2">
      <c r="A607" s="1" t="str">
        <f ca="1">IFERROR(__xludf.DUMMYFUNCTION("GOOGLETRANSLATE(C592, ""en"", ""es"")"),"cortés")</f>
        <v>cortés</v>
      </c>
      <c r="B607" s="1">
        <v>2</v>
      </c>
      <c r="C607" s="1" t="s">
        <v>591</v>
      </c>
    </row>
    <row r="608" spans="1:3" ht="12.75" x14ac:dyDescent="0.2">
      <c r="A608" s="1" t="str">
        <f ca="1">IFERROR(__xludf.DUMMYFUNCTION("GOOGLETRANSLATE(C593, ""en"", ""es"")"),"Cortés")</f>
        <v>Cortés</v>
      </c>
      <c r="B608" s="1">
        <v>3</v>
      </c>
      <c r="C608" s="1" t="s">
        <v>592</v>
      </c>
    </row>
    <row r="609" spans="1:3" ht="12.75" x14ac:dyDescent="0.2">
      <c r="A609" s="1" t="str">
        <f ca="1">IFERROR(__xludf.DUMMYFUNCTION("GOOGLETRANSLATE(C594, ""en"", ""es"")"),"cortesía")</f>
        <v>cortesía</v>
      </c>
      <c r="B609" s="1">
        <v>2</v>
      </c>
      <c r="C609" s="1" t="s">
        <v>593</v>
      </c>
    </row>
    <row r="610" spans="1:3" ht="12.75" x14ac:dyDescent="0.2">
      <c r="A610" s="1" t="str">
        <f ca="1">IFERROR(__xludf.DUMMYFUNCTION("GOOGLETRANSLATE(C595, ""en"", ""es"")"),"cosas interesantes")</f>
        <v>cosas interesantes</v>
      </c>
      <c r="B610" s="1">
        <v>3</v>
      </c>
      <c r="C610" s="1" t="s">
        <v>594</v>
      </c>
    </row>
    <row r="611" spans="1:3" ht="12.75" x14ac:dyDescent="0.2">
      <c r="A611" s="1" t="str">
        <f ca="1">IFERROR(__xludf.DUMMYFUNCTION("GOOGLETRANSLATE(C596, ""en"", ""es"")"),"costoso")</f>
        <v>costoso</v>
      </c>
      <c r="B611" s="1">
        <v>-2</v>
      </c>
      <c r="C611" s="1" t="s">
        <v>595</v>
      </c>
    </row>
    <row r="612" spans="1:3" ht="12.75" x14ac:dyDescent="0.2">
      <c r="A612" s="1" t="str">
        <f ca="1">IFERROR(__xludf.DUMMYFUNCTION("GOOGLETRANSLATE(C597, ""en"", ""es"")"),"creativo")</f>
        <v>creativo</v>
      </c>
      <c r="B612" s="1">
        <v>2</v>
      </c>
      <c r="C612" s="1" t="s">
        <v>596</v>
      </c>
    </row>
    <row r="613" spans="1:3" ht="12.75" x14ac:dyDescent="0.2">
      <c r="A613" s="1" t="str">
        <f ca="1">IFERROR(__xludf.DUMMYFUNCTION("GOOGLETRANSLATE(C598, ""en"", ""es"")"),"creciente")</f>
        <v>creciente</v>
      </c>
      <c r="B613" s="1">
        <v>1</v>
      </c>
      <c r="C613" s="1" t="s">
        <v>597</v>
      </c>
    </row>
    <row r="614" spans="1:3" ht="12.75" x14ac:dyDescent="0.2">
      <c r="A614" s="1" t="str">
        <f ca="1">IFERROR(__xludf.DUMMYFUNCTION("GOOGLETRANSLATE(C599, ""en"", ""es"")"),"crecimiento")</f>
        <v>crecimiento</v>
      </c>
      <c r="B614" s="1">
        <v>2</v>
      </c>
      <c r="C614" s="1" t="s">
        <v>598</v>
      </c>
    </row>
    <row r="615" spans="1:3" ht="12.75" x14ac:dyDescent="0.2">
      <c r="A615" s="1" t="str">
        <f ca="1">IFERROR(__xludf.DUMMYFUNCTION("GOOGLETRANSLATE(C600, ""en"", ""es"")"),"crédulo")</f>
        <v>crédulo</v>
      </c>
      <c r="B615" s="1">
        <v>-2</v>
      </c>
      <c r="C615" s="1" t="s">
        <v>599</v>
      </c>
    </row>
    <row r="616" spans="1:3" ht="12.75" x14ac:dyDescent="0.2">
      <c r="A616" s="1" t="str">
        <f ca="1">IFERROR(__xludf.DUMMYFUNCTION("GOOGLETRANSLATE(C603, ""en"", ""es"")"),"criminales")</f>
        <v>criminales</v>
      </c>
      <c r="B616" s="1">
        <v>-3</v>
      </c>
      <c r="C616" s="1" t="s">
        <v>602</v>
      </c>
    </row>
    <row r="617" spans="1:3" ht="12.75" x14ac:dyDescent="0.2">
      <c r="A617" s="1" t="str">
        <f ca="1">IFERROR(__xludf.DUMMYFUNCTION("GOOGLETRANSLATE(C604, ""en"", ""es"")"),"crisis")</f>
        <v>crisis</v>
      </c>
      <c r="B617" s="1">
        <v>-3</v>
      </c>
      <c r="C617" s="1" t="s">
        <v>603</v>
      </c>
    </row>
    <row r="618" spans="1:3" ht="12.75" x14ac:dyDescent="0.2">
      <c r="A618" s="1" t="str">
        <f ca="1">IFERROR(__xludf.DUMMYFUNCTION("GOOGLETRANSLATE(C606, ""en"", ""es"")"),"crítica")</f>
        <v>crítica</v>
      </c>
      <c r="B618" s="1">
        <v>-2</v>
      </c>
      <c r="C618" s="1" t="s">
        <v>605</v>
      </c>
    </row>
    <row r="619" spans="1:3" ht="12.75" x14ac:dyDescent="0.2">
      <c r="A619" s="1" t="str">
        <f ca="1">IFERROR(__xludf.DUMMYFUNCTION("GOOGLETRANSLATE(C607, ""en"", ""es"")"),"criticado")</f>
        <v>criticado</v>
      </c>
      <c r="B619" s="1">
        <v>-2</v>
      </c>
      <c r="C619" s="1" t="s">
        <v>606</v>
      </c>
    </row>
    <row r="620" spans="1:3" ht="12.75" x14ac:dyDescent="0.2">
      <c r="A620" s="1" t="str">
        <f ca="1">IFERROR(__xludf.DUMMYFUNCTION("GOOGLETRANSLATE(C609, ""en"", ""es"")"),"criticador")</f>
        <v>criticador</v>
      </c>
      <c r="B620" s="1">
        <v>-2</v>
      </c>
      <c r="C620" s="1" t="s">
        <v>608</v>
      </c>
    </row>
    <row r="621" spans="1:3" ht="12.75" x14ac:dyDescent="0.2">
      <c r="A621" s="1" t="str">
        <f ca="1">IFERROR(__xludf.DUMMYFUNCTION("GOOGLETRANSLATE(C605, ""en"", ""es"")"),"criticar")</f>
        <v>criticar</v>
      </c>
      <c r="B621" s="1">
        <v>-2</v>
      </c>
      <c r="C621" s="1" t="s">
        <v>604</v>
      </c>
    </row>
    <row r="622" spans="1:3" ht="12.75" x14ac:dyDescent="0.2">
      <c r="A622" s="1" t="str">
        <f ca="1">IFERROR(__xludf.DUMMYFUNCTION("GOOGLETRANSLATE(C608, ""en"", ""es"")"),"criticar")</f>
        <v>criticar</v>
      </c>
      <c r="B622" s="1">
        <v>-2</v>
      </c>
      <c r="C622" s="1" t="s">
        <v>607</v>
      </c>
    </row>
    <row r="623" spans="1:3" ht="12.75" x14ac:dyDescent="0.2">
      <c r="A623" s="1" t="str">
        <f ca="1">IFERROR(__xludf.DUMMYFUNCTION("GOOGLETRANSLATE(C610, ""en"", ""es"")"),"crítico")</f>
        <v>crítico</v>
      </c>
      <c r="B623" s="1">
        <v>-2</v>
      </c>
      <c r="C623" s="1" t="s">
        <v>609</v>
      </c>
    </row>
    <row r="624" spans="1:3" ht="12.75" x14ac:dyDescent="0.2">
      <c r="A624" s="1" t="str">
        <f ca="1">IFERROR(__xludf.DUMMYFUNCTION("GOOGLETRANSLATE(C611, ""en"", ""es"")"),"críticos")</f>
        <v>críticos</v>
      </c>
      <c r="B624" s="1">
        <v>-2</v>
      </c>
      <c r="C624" s="1" t="s">
        <v>610</v>
      </c>
    </row>
    <row r="625" spans="1:3" ht="12.75" x14ac:dyDescent="0.2">
      <c r="A625" s="1" t="str">
        <f ca="1">IFERROR(__xludf.DUMMYFUNCTION("GOOGLETRANSLATE(C612, ""en"", ""es"")"),"cruel")</f>
        <v>cruel</v>
      </c>
      <c r="B625" s="1">
        <v>-3</v>
      </c>
      <c r="C625" s="1" t="s">
        <v>611</v>
      </c>
    </row>
    <row r="626" spans="1:3" ht="12.75" x14ac:dyDescent="0.2">
      <c r="A626" s="1" t="str">
        <f ca="1">IFERROR(__xludf.DUMMYFUNCTION("GOOGLETRANSLATE(C613, ""en"", ""es"")"),"crueldad")</f>
        <v>crueldad</v>
      </c>
      <c r="B626" s="1">
        <v>-3</v>
      </c>
      <c r="C626" s="1" t="s">
        <v>612</v>
      </c>
    </row>
    <row r="627" spans="1:3" ht="12.75" x14ac:dyDescent="0.2">
      <c r="A627" s="1" t="str">
        <f ca="1">IFERROR(__xludf.DUMMYFUNCTION("GOOGLETRANSLATE(C370, ""en"", ""es"")"),"cuadra")</f>
        <v>cuadra</v>
      </c>
      <c r="B627" s="1">
        <v>-1</v>
      </c>
      <c r="C627" s="1" t="s">
        <v>370</v>
      </c>
    </row>
    <row r="628" spans="1:3" ht="12.75" x14ac:dyDescent="0.2">
      <c r="A628" s="1" t="str">
        <f ca="1">IFERROR(__xludf.DUMMYFUNCTION("GOOGLETRANSLATE(C614, ""en"", ""es"")"),"cubrir")</f>
        <v>cubrir</v>
      </c>
      <c r="B628" s="1">
        <v>-3</v>
      </c>
      <c r="C628" s="1" t="s">
        <v>613</v>
      </c>
    </row>
    <row r="629" spans="1:3" ht="12.75" x14ac:dyDescent="0.2">
      <c r="A629" s="1" t="str">
        <f ca="1">IFERROR(__xludf.DUMMYFUNCTION("GOOGLETRANSLATE(C615, ""en"", ""es"")"),"cucharón")</f>
        <v>cucharón</v>
      </c>
      <c r="B629" s="1">
        <v>3</v>
      </c>
      <c r="C629" s="1" t="s">
        <v>614</v>
      </c>
    </row>
    <row r="630" spans="1:3" ht="12.75" x14ac:dyDescent="0.2">
      <c r="A630" s="1" t="str">
        <f ca="1">IFERROR(__xludf.DUMMYFUNCTION("GOOGLETRANSLATE(C616, ""en"", ""es"")"),"cuchillada")</f>
        <v>cuchillada</v>
      </c>
      <c r="B630" s="1">
        <v>-2</v>
      </c>
      <c r="C630" s="1" t="s">
        <v>615</v>
      </c>
    </row>
    <row r="631" spans="1:3" ht="12.75" x14ac:dyDescent="0.2">
      <c r="A631" s="1" t="str">
        <f ca="1">IFERROR(__xludf.DUMMYFUNCTION("GOOGLETRANSLATE(C617, ""en"", ""es"")"),"cuestionable")</f>
        <v>cuestionable</v>
      </c>
      <c r="B631" s="1">
        <v>-2</v>
      </c>
      <c r="C631" s="1" t="s">
        <v>616</v>
      </c>
    </row>
    <row r="632" spans="1:3" ht="12.75" x14ac:dyDescent="0.2">
      <c r="A632" s="1" t="str">
        <f ca="1">IFERROR(__xludf.DUMMYFUNCTION("GOOGLETRANSLATE(C618, ""en"", ""es"")"),"cuestionado")</f>
        <v>cuestionado</v>
      </c>
      <c r="B632" s="1">
        <v>-2</v>
      </c>
      <c r="C632" s="1" t="s">
        <v>617</v>
      </c>
    </row>
    <row r="633" spans="1:3" ht="12.75" x14ac:dyDescent="0.2">
      <c r="A633" s="1" t="str">
        <f ca="1">IFERROR(__xludf.DUMMYFUNCTION("GOOGLETRANSLATE(C619, ""en"", ""es"")"),"cuestionado")</f>
        <v>cuestionado</v>
      </c>
      <c r="B633" s="1">
        <v>-1</v>
      </c>
      <c r="C633" s="1" t="s">
        <v>618</v>
      </c>
    </row>
    <row r="634" spans="1:3" ht="12.75" x14ac:dyDescent="0.2">
      <c r="A634" s="1" t="str">
        <f ca="1">IFERROR(__xludf.DUMMYFUNCTION("GOOGLETRANSLATE(C620, ""en"", ""es"")"),"cuidado")</f>
        <v>cuidado</v>
      </c>
      <c r="B634" s="1">
        <v>2</v>
      </c>
      <c r="C634" s="1" t="s">
        <v>619</v>
      </c>
    </row>
    <row r="635" spans="1:3" ht="12.75" x14ac:dyDescent="0.2">
      <c r="A635" s="1" t="s">
        <v>622</v>
      </c>
      <c r="B635" s="1">
        <v>2</v>
      </c>
      <c r="C635" s="1" t="s">
        <v>623</v>
      </c>
    </row>
    <row r="636" spans="1:3" ht="12.75" x14ac:dyDescent="0.2">
      <c r="A636" s="1" t="str">
        <f ca="1">IFERROR(__xludf.DUMMYFUNCTION("GOOGLETRANSLATE(C621, ""en"", ""es"")"),"cuidados")</f>
        <v>cuidados</v>
      </c>
      <c r="B636" s="1">
        <v>2</v>
      </c>
      <c r="C636" s="1" t="s">
        <v>620</v>
      </c>
    </row>
    <row r="637" spans="1:3" ht="12.75" x14ac:dyDescent="0.2">
      <c r="A637" s="1" t="str">
        <f ca="1">IFERROR(__xludf.DUMMYFUNCTION("GOOGLETRANSLATE(C622, ""en"", ""es"")"),"cuidadosamente")</f>
        <v>cuidadosamente</v>
      </c>
      <c r="B637" s="1">
        <v>2</v>
      </c>
      <c r="C637" s="1" t="s">
        <v>621</v>
      </c>
    </row>
    <row r="638" spans="1:3" ht="12.75" x14ac:dyDescent="0.2">
      <c r="A638" s="1" t="str">
        <f ca="1">IFERROR(__xludf.DUMMYFUNCTION("GOOGLETRANSLATE(C1217, ""en"", ""es"")"),"cuidadoso")</f>
        <v>cuidadoso</v>
      </c>
      <c r="B638" s="1">
        <v>-4</v>
      </c>
      <c r="C638" s="1" t="s">
        <v>1219</v>
      </c>
    </row>
    <row r="639" spans="1:3" ht="12.75" x14ac:dyDescent="0.2">
      <c r="A639" s="1" t="str">
        <f ca="1">IFERROR(__xludf.DUMMYFUNCTION("GOOGLETRANSLATE(C624, ""en"", ""es"")"),"culo")</f>
        <v>culo</v>
      </c>
      <c r="B639" s="1">
        <v>-4</v>
      </c>
      <c r="C639" s="1" t="s">
        <v>624</v>
      </c>
    </row>
    <row r="640" spans="1:3" ht="12.75" x14ac:dyDescent="0.2">
      <c r="A640" s="1" t="str">
        <f ca="1">IFERROR(__xludf.DUMMYFUNCTION("GOOGLETRANSLATE(C625, ""en"", ""es"")"),"culpa")</f>
        <v>culpa</v>
      </c>
      <c r="B640" s="1">
        <v>-3</v>
      </c>
      <c r="C640" s="1" t="s">
        <v>625</v>
      </c>
    </row>
    <row r="641" spans="1:3" ht="12.75" x14ac:dyDescent="0.2">
      <c r="A641" s="1" t="str">
        <f ca="1">IFERROR(__xludf.DUMMYFUNCTION("GOOGLETRANSLATE(C2476, ""en"", ""es"")"),"culpa")</f>
        <v>culpa</v>
      </c>
      <c r="B641" s="1">
        <v>-2</v>
      </c>
      <c r="C641" s="1" t="s">
        <v>2464</v>
      </c>
    </row>
    <row r="642" spans="1:3" ht="12.75" x14ac:dyDescent="0.2">
      <c r="A642" s="1" t="str">
        <f ca="1">IFERROR(__xludf.DUMMYFUNCTION("GOOGLETRANSLATE(C626, ""en"", ""es"")"),"culpable")</f>
        <v>culpable</v>
      </c>
      <c r="B642" s="1">
        <v>-3</v>
      </c>
      <c r="C642" s="1" t="s">
        <v>626</v>
      </c>
    </row>
    <row r="643" spans="1:3" ht="12.75" x14ac:dyDescent="0.2">
      <c r="A643" s="1" t="str">
        <f ca="1">IFERROR(__xludf.DUMMYFUNCTION("GOOGLETRANSLATE(C628, ""en"", ""es"")"),"culpable")</f>
        <v>culpable</v>
      </c>
      <c r="B643" s="1">
        <v>-2</v>
      </c>
      <c r="C643" s="1" t="s">
        <v>628</v>
      </c>
    </row>
    <row r="644" spans="1:3" ht="12.75" x14ac:dyDescent="0.2">
      <c r="A644" s="1" t="str">
        <f ca="1">IFERROR(__xludf.DUMMYFUNCTION("GOOGLETRANSLATE(C2477, ""en"", ""es"")"),"culpable")</f>
        <v>culpable</v>
      </c>
      <c r="B644" s="1">
        <v>-2</v>
      </c>
      <c r="C644" s="1" t="s">
        <v>2465</v>
      </c>
    </row>
    <row r="645" spans="1:3" ht="12.75" x14ac:dyDescent="0.2">
      <c r="A645" s="1" t="str">
        <f ca="1">IFERROR(__xludf.DUMMYFUNCTION("GOOGLETRANSLATE(C627, ""en"", ""es"")"),"culpado")</f>
        <v>culpado</v>
      </c>
      <c r="B645" s="1">
        <v>-2</v>
      </c>
      <c r="C645" s="1" t="s">
        <v>627</v>
      </c>
    </row>
    <row r="646" spans="1:3" ht="12.75" x14ac:dyDescent="0.2">
      <c r="A646" s="1" t="str">
        <f ca="1">IFERROR(__xludf.DUMMYFUNCTION("GOOGLETRANSLATE(C629, ""en"", ""es"")"),"cumplen")</f>
        <v>cumplen</v>
      </c>
      <c r="B646" s="1">
        <v>2</v>
      </c>
      <c r="C646" s="1" t="s">
        <v>629</v>
      </c>
    </row>
    <row r="647" spans="1:3" ht="12.75" x14ac:dyDescent="0.2">
      <c r="A647" s="1" t="str">
        <f ca="1">IFERROR(__xludf.DUMMYFUNCTION("GOOGLETRANSLATE(C630, ""en"", ""es"")"),"cumplido")</f>
        <v>cumplido</v>
      </c>
      <c r="B647" s="1">
        <v>2</v>
      </c>
      <c r="C647" s="1" t="s">
        <v>630</v>
      </c>
    </row>
    <row r="648" spans="1:3" ht="12.75" x14ac:dyDescent="0.2">
      <c r="A648" s="1" t="str">
        <f ca="1">IFERROR(__xludf.DUMMYFUNCTION("GOOGLETRANSLATE(C520, ""en"", ""es"")"),"Cuota")</f>
        <v>Cuota</v>
      </c>
      <c r="B648" s="1">
        <v>1</v>
      </c>
      <c r="C648" s="1" t="s">
        <v>519</v>
      </c>
    </row>
    <row r="649" spans="1:3" ht="12.75" x14ac:dyDescent="0.2">
      <c r="A649" s="1" t="str">
        <f ca="1">IFERROR(__xludf.DUMMYFUNCTION("GOOGLETRANSLATE(C632, ""en"", ""es"")"),"curioso")</f>
        <v>curioso</v>
      </c>
      <c r="B649" s="1">
        <v>1</v>
      </c>
      <c r="C649" s="1" t="s">
        <v>632</v>
      </c>
    </row>
    <row r="650" spans="1:3" ht="12.75" x14ac:dyDescent="0.2">
      <c r="A650" s="1" t="str">
        <f ca="1">IFERROR(__xludf.DUMMYFUNCTION("GOOGLETRANSLATE(C633, ""en"", ""es"")"),"curioso")</f>
        <v>curioso</v>
      </c>
      <c r="B650" s="1">
        <v>-2</v>
      </c>
      <c r="C650" s="1" t="s">
        <v>633</v>
      </c>
    </row>
    <row r="651" spans="1:3" ht="12.75" x14ac:dyDescent="0.2">
      <c r="A651" s="1" t="str">
        <f ca="1">IFERROR(__xludf.DUMMYFUNCTION("GOOGLETRANSLATE(C1889, ""en"", ""es"")"),"dañado")</f>
        <v>dañado</v>
      </c>
      <c r="B651" s="1">
        <v>-2</v>
      </c>
      <c r="C651" s="1" t="s">
        <v>1887</v>
      </c>
    </row>
    <row r="652" spans="1:3" ht="12.75" x14ac:dyDescent="0.2">
      <c r="A652" s="1" t="str">
        <f ca="1">IFERROR(__xludf.DUMMYFUNCTION("GOOGLETRANSLATE(C1284, ""en"", ""es"")"),"dañino")</f>
        <v>dañino</v>
      </c>
      <c r="B652" s="1">
        <v>-2</v>
      </c>
      <c r="C652" s="1" t="s">
        <v>1286</v>
      </c>
    </row>
    <row r="653" spans="1:3" ht="12.75" x14ac:dyDescent="0.2">
      <c r="A653" s="1" t="str">
        <f ca="1">IFERROR(__xludf.DUMMYFUNCTION("GOOGLETRANSLATE(C1890, ""en"", ""es"")"),"dañino")</f>
        <v>dañino</v>
      </c>
      <c r="B653" s="1">
        <v>-2</v>
      </c>
      <c r="C653" s="1" t="s">
        <v>1888</v>
      </c>
    </row>
    <row r="654" spans="1:3" ht="12.75" x14ac:dyDescent="0.2">
      <c r="A654" s="1" t="str">
        <f ca="1">IFERROR(__xludf.DUMMYFUNCTION("GOOGLETRANSLATE(C635, ""en"", ""es"")"),"daño")</f>
        <v>daño</v>
      </c>
      <c r="B654" s="1">
        <v>-3</v>
      </c>
      <c r="C654" s="1" t="s">
        <v>635</v>
      </c>
    </row>
    <row r="655" spans="1:3" ht="12.75" x14ac:dyDescent="0.2">
      <c r="A655" s="1" t="str">
        <f ca="1">IFERROR(__xludf.DUMMYFUNCTION("GOOGLETRANSLATE(C636, ""en"", ""es"")"),"daño")</f>
        <v>daño</v>
      </c>
      <c r="B655" s="1">
        <v>-2</v>
      </c>
      <c r="C655" s="1" t="s">
        <v>636</v>
      </c>
    </row>
    <row r="656" spans="1:3" ht="12.75" x14ac:dyDescent="0.2">
      <c r="A656" s="1" t="str">
        <f ca="1">IFERROR(__xludf.DUMMYFUNCTION("GOOGLETRANSLATE(C638, ""en"", ""es"")"),"daños")</f>
        <v>daños</v>
      </c>
      <c r="B656" s="1">
        <v>-2</v>
      </c>
      <c r="C656" s="1" t="s">
        <v>638</v>
      </c>
    </row>
    <row r="657" spans="1:3" ht="12.75" x14ac:dyDescent="0.2">
      <c r="A657" s="1" t="str">
        <f ca="1">IFERROR(__xludf.DUMMYFUNCTION("GOOGLETRANSLATE(C639, ""en"", ""es"")"),"daños y perjuicios")</f>
        <v>daños y perjuicios</v>
      </c>
      <c r="B657" s="1">
        <v>-3</v>
      </c>
      <c r="C657" s="1" t="s">
        <v>639</v>
      </c>
    </row>
    <row r="658" spans="1:3" ht="12.75" x14ac:dyDescent="0.2">
      <c r="A658" s="1" t="str">
        <f ca="1">IFERROR(__xludf.DUMMYFUNCTION("GOOGLETRANSLATE(C1020, ""en"", ""es"")"),"de acuerdo")</f>
        <v>de acuerdo</v>
      </c>
      <c r="B658" s="1">
        <v>1</v>
      </c>
      <c r="C658" s="1" t="s">
        <v>1022</v>
      </c>
    </row>
    <row r="659" spans="1:3" ht="12.75" x14ac:dyDescent="0.2">
      <c r="A659" s="1" t="str">
        <f ca="1">IFERROR(__xludf.DUMMYFUNCTION("GOOGLETRANSLATE(C68, ""en"", ""es"")"),"de adoctrinamiento")</f>
        <v>de adoctrinamiento</v>
      </c>
      <c r="B659" s="1">
        <v>-2</v>
      </c>
      <c r="C659" s="1" t="s">
        <v>68</v>
      </c>
    </row>
    <row r="660" spans="1:3" ht="12.75" x14ac:dyDescent="0.2">
      <c r="A660" s="1" t="str">
        <f ca="1">IFERROR(__xludf.DUMMYFUNCTION("GOOGLETRANSLATE(C641, ""en"", ""es"")"),"de buen tono")</f>
        <v>de buen tono</v>
      </c>
      <c r="B660" s="1">
        <v>3</v>
      </c>
      <c r="C660" s="1" t="s">
        <v>641</v>
      </c>
    </row>
    <row r="661" spans="1:3" ht="12.75" x14ac:dyDescent="0.2">
      <c r="A661" s="1" t="str">
        <f ca="1">IFERROR(__xludf.DUMMYFUNCTION("GOOGLETRANSLATE(C642, ""en"", ""es"")"),"de confianza")</f>
        <v>de confianza</v>
      </c>
      <c r="B661" s="1">
        <v>2</v>
      </c>
      <c r="C661" s="1" t="s">
        <v>642</v>
      </c>
    </row>
    <row r="662" spans="1:3" ht="12.75" x14ac:dyDescent="0.2">
      <c r="A662" s="1" t="str">
        <f ca="1">IFERROR(__xludf.DUMMYFUNCTION("GOOGLETRANSLATE(C839, ""en"", ""es"")"),"de disputa")</f>
        <v>de disputa</v>
      </c>
      <c r="B662" s="1">
        <v>-2</v>
      </c>
      <c r="C662" s="1" t="s">
        <v>841</v>
      </c>
    </row>
    <row r="663" spans="1:3" ht="12.75" x14ac:dyDescent="0.2">
      <c r="A663" s="1" t="str">
        <f ca="1">IFERROR(__xludf.DUMMYFUNCTION("GOOGLETRANSLATE(C643, ""en"", ""es"")"),"de miedo")</f>
        <v>de miedo</v>
      </c>
      <c r="B663" s="1">
        <v>-2</v>
      </c>
      <c r="C663" s="1" t="s">
        <v>643</v>
      </c>
    </row>
    <row r="664" spans="1:3" ht="12.75" x14ac:dyDescent="0.2">
      <c r="A664" s="1" t="str">
        <f ca="1">IFERROR(__xludf.DUMMYFUNCTION("GOOGLETRANSLATE(C644, ""en"", ""es"")"),"de mierda")</f>
        <v>de mierda</v>
      </c>
      <c r="B664" s="1">
        <v>-3</v>
      </c>
      <c r="C664" s="1" t="s">
        <v>644</v>
      </c>
    </row>
    <row r="665" spans="1:3" ht="12.75" x14ac:dyDescent="0.2">
      <c r="A665" s="1" t="str">
        <f ca="1">IFERROR(__xludf.DUMMYFUNCTION("GOOGLETRANSLATE(C645, ""en"", ""es"")"),"de poco mérito")</f>
        <v>de poco mérito</v>
      </c>
      <c r="B665" s="1">
        <v>-2</v>
      </c>
      <c r="C665" s="1" t="s">
        <v>645</v>
      </c>
    </row>
    <row r="666" spans="1:3" ht="12.75" x14ac:dyDescent="0.2">
      <c r="A666" s="1" t="str">
        <f ca="1">IFERROR(__xludf.DUMMYFUNCTION("GOOGLETRANSLATE(C2373, ""en"", ""es"")"),"de traición")</f>
        <v>de traición</v>
      </c>
      <c r="B666" s="1">
        <v>-3</v>
      </c>
      <c r="C666" s="1" t="s">
        <v>2369</v>
      </c>
    </row>
    <row r="667" spans="1:3" ht="12.75" x14ac:dyDescent="0.2">
      <c r="A667" s="1" t="str">
        <f ca="1">IFERROR(__xludf.DUMMYFUNCTION("GOOGLETRANSLATE(C646, ""en"", ""es"")"),"débil")</f>
        <v>débil</v>
      </c>
      <c r="B667" s="1">
        <v>-2</v>
      </c>
      <c r="C667" s="1" t="s">
        <v>646</v>
      </c>
    </row>
    <row r="668" spans="1:3" ht="12.75" x14ac:dyDescent="0.2">
      <c r="A668" s="1" t="str">
        <f ca="1">IFERROR(__xludf.DUMMYFUNCTION("GOOGLETRANSLATE(C647, ""en"", ""es"")"),"débil")</f>
        <v>débil</v>
      </c>
      <c r="B668" s="1">
        <v>-2</v>
      </c>
      <c r="C668" s="1" t="s">
        <v>647</v>
      </c>
    </row>
    <row r="669" spans="1:3" ht="12.75" x14ac:dyDescent="0.2">
      <c r="A669" s="1" t="str">
        <f ca="1">IFERROR(__xludf.DUMMYFUNCTION("GOOGLETRANSLATE(C2000, ""en"", ""es"")"),"Débil de corazón")</f>
        <v>Débil de corazón</v>
      </c>
      <c r="B669" s="1">
        <v>-2</v>
      </c>
      <c r="C669" s="1" t="s">
        <v>1998</v>
      </c>
    </row>
    <row r="670" spans="1:3" ht="12.75" x14ac:dyDescent="0.2">
      <c r="A670" s="1" t="str">
        <f ca="1">IFERROR(__xludf.DUMMYFUNCTION("GOOGLETRANSLATE(C648, ""en"", ""es"")"),"debilidad")</f>
        <v>debilidad</v>
      </c>
      <c r="B670" s="1">
        <v>-2</v>
      </c>
      <c r="C670" s="1" t="s">
        <v>648</v>
      </c>
    </row>
    <row r="671" spans="1:3" ht="12.75" x14ac:dyDescent="0.2">
      <c r="A671" s="1" t="str">
        <f ca="1">IFERROR(__xludf.DUMMYFUNCTION("GOOGLETRANSLATE(C649, ""en"", ""es"")"),"debilitante")</f>
        <v>debilitante</v>
      </c>
      <c r="B671" s="1">
        <v>-2</v>
      </c>
      <c r="C671" s="1" t="s">
        <v>649</v>
      </c>
    </row>
    <row r="672" spans="1:3" ht="12.75" x14ac:dyDescent="0.2">
      <c r="A672" s="1" t="str">
        <f ca="1">IFERROR(__xludf.DUMMYFUNCTION("GOOGLETRANSLATE(C650, ""en"", ""es"")"),"decepción")</f>
        <v>decepción</v>
      </c>
      <c r="B672" s="1">
        <v>-2</v>
      </c>
      <c r="C672" s="1" t="s">
        <v>650</v>
      </c>
    </row>
    <row r="673" spans="1:3" ht="12.75" x14ac:dyDescent="0.2">
      <c r="A673" s="1" t="str">
        <f ca="1">IFERROR(__xludf.DUMMYFUNCTION("GOOGLETRANSLATE(C651, ""en"", ""es"")"),"decepcionado")</f>
        <v>decepcionado</v>
      </c>
      <c r="B673" s="1">
        <v>-2</v>
      </c>
      <c r="C673" s="1" t="s">
        <v>651</v>
      </c>
    </row>
    <row r="674" spans="1:3" ht="12.75" x14ac:dyDescent="0.2">
      <c r="A674" s="1" t="str">
        <f ca="1">IFERROR(__xludf.DUMMYFUNCTION("GOOGLETRANSLATE(C652, ""en"", ""es"")"),"decepcionado")</f>
        <v>decepcionado</v>
      </c>
      <c r="B674" s="1">
        <v>-2</v>
      </c>
      <c r="C674" s="1" t="s">
        <v>652</v>
      </c>
    </row>
    <row r="675" spans="1:3" ht="12.75" x14ac:dyDescent="0.2">
      <c r="A675" s="1" t="str">
        <f ca="1">IFERROR(__xludf.DUMMYFUNCTION("GOOGLETRANSLATE(C653, ""en"", ""es"")"),"decepcionante")</f>
        <v>decepcionante</v>
      </c>
      <c r="B675" s="1">
        <v>-2</v>
      </c>
      <c r="C675" s="1" t="s">
        <v>653</v>
      </c>
    </row>
    <row r="676" spans="1:3" ht="12.75" x14ac:dyDescent="0.2">
      <c r="A676" s="1" t="str">
        <f ca="1">IFERROR(__xludf.DUMMYFUNCTION("GOOGLETRANSLATE(C654, ""en"", ""es"")"),"decepcionar")</f>
        <v>decepcionar</v>
      </c>
      <c r="B676" s="1">
        <v>-2</v>
      </c>
      <c r="C676" s="1" t="s">
        <v>654</v>
      </c>
    </row>
    <row r="677" spans="1:3" ht="12.75" x14ac:dyDescent="0.2">
      <c r="A677" s="1" t="str">
        <f ca="1">IFERROR(__xludf.DUMMYFUNCTION("GOOGLETRANSLATE(C655, ""en"", ""es"")"),"decepciones")</f>
        <v>decepciones</v>
      </c>
      <c r="B677" s="1">
        <v>-2</v>
      </c>
      <c r="C677" s="1" t="s">
        <v>655</v>
      </c>
    </row>
    <row r="678" spans="1:3" ht="12.75" x14ac:dyDescent="0.2">
      <c r="A678" s="1" t="str">
        <f ca="1">IFERROR(__xludf.DUMMYFUNCTION("GOOGLETRANSLATE(C656, ""en"", ""es"")"),"decir ah")</f>
        <v>decir ah</v>
      </c>
      <c r="B678" s="1">
        <v>2</v>
      </c>
      <c r="C678" s="1" t="s">
        <v>656</v>
      </c>
    </row>
    <row r="679" spans="1:3" ht="12.75" x14ac:dyDescent="0.2">
      <c r="A679" s="1" t="str">
        <f ca="1">IFERROR(__xludf.DUMMYFUNCTION("GOOGLETRANSLATE(C657, ""en"", ""es"")"),"decisivo")</f>
        <v>decisivo</v>
      </c>
      <c r="B679" s="1">
        <v>1</v>
      </c>
      <c r="C679" s="1" t="s">
        <v>657</v>
      </c>
    </row>
    <row r="680" spans="1:3" ht="12.75" x14ac:dyDescent="0.2">
      <c r="A680" s="1" t="str">
        <f ca="1">IFERROR(__xludf.DUMMYFUNCTION("GOOGLETRANSLATE(C658, ""en"", ""es"")"),"dedicado")</f>
        <v>dedicado</v>
      </c>
      <c r="B680" s="1">
        <v>2</v>
      </c>
      <c r="C680" s="1" t="s">
        <v>658</v>
      </c>
    </row>
    <row r="681" spans="1:3" ht="12.75" x14ac:dyDescent="0.2">
      <c r="A681" s="1" t="str">
        <f ca="1">IFERROR(__xludf.DUMMYFUNCTION("GOOGLETRANSLATE(C659, ""en"", ""es"")"),"defecto")</f>
        <v>defecto</v>
      </c>
      <c r="B681" s="1">
        <v>-3</v>
      </c>
      <c r="C681" s="1" t="s">
        <v>659</v>
      </c>
    </row>
    <row r="682" spans="1:3" ht="12.75" x14ac:dyDescent="0.2">
      <c r="A682" s="1" t="str">
        <f ca="1">IFERROR(__xludf.DUMMYFUNCTION("GOOGLETRANSLATE(C660, ""en"", ""es"")"),"defecto")</f>
        <v>defecto</v>
      </c>
      <c r="B682" s="1">
        <v>-2</v>
      </c>
      <c r="C682" s="1" t="s">
        <v>660</v>
      </c>
    </row>
    <row r="683" spans="1:3" ht="12.75" x14ac:dyDescent="0.2">
      <c r="A683" s="1" t="str">
        <f ca="1">IFERROR(__xludf.DUMMYFUNCTION("GOOGLETRANSLATE(C661, ""en"", ""es"")"),"defectos")</f>
        <v>defectos</v>
      </c>
      <c r="B683" s="1">
        <v>-3</v>
      </c>
      <c r="C683" s="1" t="s">
        <v>661</v>
      </c>
    </row>
    <row r="684" spans="1:3" ht="12.75" x14ac:dyDescent="0.2">
      <c r="A684" s="1" t="str">
        <f ca="1">IFERROR(__xludf.DUMMYFUNCTION("GOOGLETRANSLATE(C662, ""en"", ""es"")"),"defensor")</f>
        <v>defensor</v>
      </c>
      <c r="B684" s="1">
        <v>2</v>
      </c>
      <c r="C684" s="1" t="s">
        <v>662</v>
      </c>
    </row>
    <row r="685" spans="1:3" ht="12.75" x14ac:dyDescent="0.2">
      <c r="A685" s="1" t="str">
        <f ca="1">IFERROR(__xludf.DUMMYFUNCTION("GOOGLETRANSLATE(C663, ""en"", ""es"")"),"defensores")</f>
        <v>defensores</v>
      </c>
      <c r="B685" s="1">
        <v>2</v>
      </c>
      <c r="C685" s="1" t="s">
        <v>663</v>
      </c>
    </row>
    <row r="686" spans="1:3" ht="12.75" x14ac:dyDescent="0.2">
      <c r="A686" s="1" t="str">
        <f ca="1">IFERROR(__xludf.DUMMYFUNCTION("GOOGLETRANSLATE(C664, ""en"", ""es"")"),"déficit")</f>
        <v>déficit</v>
      </c>
      <c r="B686" s="1">
        <v>-2</v>
      </c>
      <c r="C686" s="1" t="s">
        <v>664</v>
      </c>
    </row>
    <row r="687" spans="1:3" ht="12.75" x14ac:dyDescent="0.2">
      <c r="A687" s="1" t="str">
        <f ca="1">IFERROR(__xludf.DUMMYFUNCTION("GOOGLETRANSLATE(C667, ""en"", ""es"")"),"degradado")</f>
        <v>degradado</v>
      </c>
      <c r="B687" s="1">
        <v>-2</v>
      </c>
      <c r="C687" s="1" t="s">
        <v>667</v>
      </c>
    </row>
    <row r="688" spans="1:3" ht="12.75" x14ac:dyDescent="0.2">
      <c r="A688" s="1" t="str">
        <f ca="1">IFERROR(__xludf.DUMMYFUNCTION("GOOGLETRANSLATE(C668, ""en"", ""es"")"),"degradar")</f>
        <v>degradar</v>
      </c>
      <c r="B688" s="1">
        <v>-2</v>
      </c>
      <c r="C688" s="1" t="s">
        <v>668</v>
      </c>
    </row>
    <row r="689" spans="1:3" ht="12.75" x14ac:dyDescent="0.2">
      <c r="A689" s="1" t="str">
        <f ca="1">IFERROR(__xludf.DUMMYFUNCTION("GOOGLETRANSLATE(C2166, ""en"", ""es"")"),"degradar")</f>
        <v>degradar</v>
      </c>
      <c r="B689" s="1">
        <v>-2</v>
      </c>
      <c r="C689" s="1" t="s">
        <v>2164</v>
      </c>
    </row>
    <row r="690" spans="1:3" ht="12.75" x14ac:dyDescent="0.2">
      <c r="A690" s="1" t="str">
        <f ca="1">IFERROR(__xludf.DUMMYFUNCTION("GOOGLETRANSLATE(C673, ""en"", ""es"")"),"deleitando")</f>
        <v>deleitando</v>
      </c>
      <c r="B690" s="1">
        <v>3</v>
      </c>
      <c r="C690" s="1" t="s">
        <v>673</v>
      </c>
    </row>
    <row r="691" spans="1:3" ht="12.75" x14ac:dyDescent="0.2">
      <c r="A691" s="1" t="str">
        <f ca="1">IFERROR(__xludf.DUMMYFUNCTION("GOOGLETRANSLATE(C674, ""en"", ""es"")"),"deleitar")</f>
        <v>deleitar</v>
      </c>
      <c r="B691" s="1">
        <v>3</v>
      </c>
      <c r="C691" s="1" t="s">
        <v>674</v>
      </c>
    </row>
    <row r="692" spans="1:3" ht="12.75" x14ac:dyDescent="0.2">
      <c r="A692" s="1" t="str">
        <f ca="1">IFERROR(__xludf.DUMMYFUNCTION("GOOGLETRANSLATE(C675, ""en"", ""es"")"),"delicado")</f>
        <v>delicado</v>
      </c>
      <c r="B692" s="1">
        <v>-3</v>
      </c>
      <c r="C692" s="1" t="s">
        <v>675</v>
      </c>
    </row>
    <row r="693" spans="1:3" ht="12.75" x14ac:dyDescent="0.2">
      <c r="A693" s="1" t="str">
        <f ca="1">IFERROR(__xludf.DUMMYFUNCTION("GOOGLETRANSLATE(C676, ""en"", ""es"")"),"delicias")</f>
        <v>delicias</v>
      </c>
      <c r="B693" s="1">
        <v>3</v>
      </c>
      <c r="C693" s="1" t="s">
        <v>676</v>
      </c>
    </row>
    <row r="694" spans="1:3" ht="12.75" x14ac:dyDescent="0.2">
      <c r="A694" s="1" t="str">
        <f ca="1">IFERROR(__xludf.DUMMYFUNCTION("GOOGLETRANSLATE(C2148, ""en"", ""es"")"),"delicioso")</f>
        <v>delicioso</v>
      </c>
      <c r="B694" s="1">
        <v>3</v>
      </c>
      <c r="C694" s="1" t="s">
        <v>2146</v>
      </c>
    </row>
    <row r="695" spans="1:3" ht="12.75" x14ac:dyDescent="0.2">
      <c r="A695" s="1" t="str">
        <f ca="1">IFERROR(__xludf.DUMMYFUNCTION("GOOGLETRANSLATE(C602, ""en"", ""es"")"),"delincuente")</f>
        <v>delincuente</v>
      </c>
      <c r="B695" s="1">
        <v>-3</v>
      </c>
      <c r="C695" s="1" t="s">
        <v>601</v>
      </c>
    </row>
    <row r="696" spans="1:3" ht="12.75" x14ac:dyDescent="0.2">
      <c r="A696" s="1" t="str">
        <f ca="1">IFERROR(__xludf.DUMMYFUNCTION("GOOGLETRANSLATE(C677, ""en"", ""es"")"),"delincuente")</f>
        <v>delincuente</v>
      </c>
      <c r="B696" s="1">
        <v>-2</v>
      </c>
      <c r="C696" s="1" t="s">
        <v>677</v>
      </c>
    </row>
    <row r="697" spans="1:3" ht="12.75" x14ac:dyDescent="0.2">
      <c r="A697" s="1" t="str">
        <f ca="1">IFERROR(__xludf.DUMMYFUNCTION("GOOGLETRANSLATE(C601, ""en"", ""es"")"),"delito")</f>
        <v>delito</v>
      </c>
      <c r="B697" s="1">
        <v>-3</v>
      </c>
      <c r="C697" s="1" t="s">
        <v>600</v>
      </c>
    </row>
    <row r="698" spans="1:3" ht="12.75" x14ac:dyDescent="0.2">
      <c r="A698" s="1" t="str">
        <f ca="1">IFERROR(__xludf.DUMMYFUNCTION("GOOGLETRANSLATE(C678, ""en"", ""es"")"),"delito")</f>
        <v>delito</v>
      </c>
      <c r="B698" s="1">
        <v>-3</v>
      </c>
      <c r="C698" s="1" t="s">
        <v>678</v>
      </c>
    </row>
    <row r="699" spans="1:3" ht="12.75" x14ac:dyDescent="0.2">
      <c r="A699" s="1" t="str">
        <f ca="1">IFERROR(__xludf.DUMMYFUNCTION("GOOGLETRANSLATE(C679, ""en"", ""es"")"),"delitos graves")</f>
        <v>delitos graves</v>
      </c>
      <c r="B699" s="1">
        <v>-3</v>
      </c>
      <c r="C699" s="1" t="s">
        <v>679</v>
      </c>
    </row>
    <row r="700" spans="1:3" ht="12.75" x14ac:dyDescent="0.2">
      <c r="A700" s="1" t="str">
        <f ca="1">IFERROR(__xludf.DUMMYFUNCTION("GOOGLETRANSLATE(C681, ""en"", ""es"")"),"demanda judicial")</f>
        <v>demanda judicial</v>
      </c>
      <c r="B700" s="1">
        <v>-2</v>
      </c>
      <c r="C700" s="1" t="s">
        <v>681</v>
      </c>
    </row>
    <row r="701" spans="1:3" ht="12.75" x14ac:dyDescent="0.2">
      <c r="A701" s="1" t="str">
        <f ca="1">IFERROR(__xludf.DUMMYFUNCTION("GOOGLETRANSLATE(C1083, ""en"", ""es"")"),"demandante")</f>
        <v>demandante</v>
      </c>
      <c r="B701" s="1">
        <v>-1</v>
      </c>
      <c r="C701" s="1" t="s">
        <v>1085</v>
      </c>
    </row>
    <row r="702" spans="1:3" ht="12.75" x14ac:dyDescent="0.2">
      <c r="A702" s="1" t="str">
        <f ca="1">IFERROR(__xludf.DUMMYFUNCTION("GOOGLETRANSLATE(C682, ""en"", ""es"")"),"demandar")</f>
        <v>demandar</v>
      </c>
      <c r="B702" s="1">
        <v>-2</v>
      </c>
      <c r="C702" s="1" t="s">
        <v>682</v>
      </c>
    </row>
    <row r="703" spans="1:3" ht="12.75" x14ac:dyDescent="0.2">
      <c r="A703" s="1" t="str">
        <f ca="1">IFERROR(__xludf.DUMMYFUNCTION("GOOGLETRANSLATE(C683, ""en"", ""es"")"),"demandas")</f>
        <v>demandas</v>
      </c>
      <c r="B703" s="1">
        <v>-1</v>
      </c>
      <c r="C703" s="1" t="s">
        <v>683</v>
      </c>
    </row>
    <row r="704" spans="1:3" ht="12.75" x14ac:dyDescent="0.2">
      <c r="A704" s="1" t="str">
        <f ca="1">IFERROR(__xludf.DUMMYFUNCTION("GOOGLETRANSLATE(C684, ""en"", ""es"")"),"demandas")</f>
        <v>demandas</v>
      </c>
      <c r="B704" s="1">
        <v>-2</v>
      </c>
      <c r="C704" s="1" t="s">
        <v>684</v>
      </c>
    </row>
    <row r="705" spans="1:3" ht="12.75" x14ac:dyDescent="0.2">
      <c r="A705" s="1" t="str">
        <f ca="1">IFERROR(__xludf.DUMMYFUNCTION("GOOGLETRANSLATE(C2103, ""en"", ""es"")"),"demora")</f>
        <v>demora</v>
      </c>
      <c r="B705" s="1">
        <v>-1</v>
      </c>
      <c r="C705" s="1" t="s">
        <v>2101</v>
      </c>
    </row>
    <row r="706" spans="1:3" ht="12.75" x14ac:dyDescent="0.2">
      <c r="A706" s="1" t="str">
        <f ca="1">IFERROR(__xludf.DUMMYFUNCTION("GOOGLETRANSLATE(C685, ""en"", ""es"")"),"demostración")</f>
        <v>demostración</v>
      </c>
      <c r="B706" s="1">
        <v>-1</v>
      </c>
      <c r="C706" s="1" t="s">
        <v>685</v>
      </c>
    </row>
    <row r="707" spans="1:3" ht="12.75" x14ac:dyDescent="0.2">
      <c r="A707" s="1" t="str">
        <f ca="1">IFERROR(__xludf.DUMMYFUNCTION("GOOGLETRANSLATE(C1739, ""en"", ""es"")"),"denegado")</f>
        <v>denegado</v>
      </c>
      <c r="B707" s="1">
        <v>-2</v>
      </c>
      <c r="C707" s="1" t="s">
        <v>1738</v>
      </c>
    </row>
    <row r="708" spans="1:3" ht="12.75" x14ac:dyDescent="0.2">
      <c r="A708" s="1" t="str">
        <f ca="1">IFERROR(__xludf.DUMMYFUNCTION("GOOGLETRANSLATE(C687, ""en"", ""es"")"),"denunciar")</f>
        <v>denunciar</v>
      </c>
      <c r="B708" s="1">
        <v>-2</v>
      </c>
      <c r="C708" s="1" t="s">
        <v>687</v>
      </c>
    </row>
    <row r="709" spans="1:3" ht="12.75" x14ac:dyDescent="0.2">
      <c r="A709" s="1" t="str">
        <f ca="1">IFERROR(__xludf.DUMMYFUNCTION("GOOGLETRANSLATE(C686, ""en"", ""es"")"),"denuncias")</f>
        <v>denuncias</v>
      </c>
      <c r="B709" s="1">
        <v>-2</v>
      </c>
      <c r="C709" s="1" t="s">
        <v>686</v>
      </c>
    </row>
    <row r="710" spans="1:3" ht="12.75" x14ac:dyDescent="0.2">
      <c r="A710" s="1" t="s">
        <v>2495</v>
      </c>
      <c r="B710" s="1">
        <v>-1</v>
      </c>
      <c r="C710" s="1" t="s">
        <v>2497</v>
      </c>
    </row>
    <row r="711" spans="1:3" ht="12.75" x14ac:dyDescent="0.2">
      <c r="A711" s="1" t="str">
        <f ca="1">IFERROR(__xludf.DUMMYFUNCTION("GOOGLETRANSLATE(C688, ""en"", ""es"")"),"deprimente")</f>
        <v>deprimente</v>
      </c>
      <c r="B711" s="1">
        <v>-2</v>
      </c>
      <c r="C711" s="1" t="s">
        <v>688</v>
      </c>
    </row>
    <row r="712" spans="1:3" ht="12.75" x14ac:dyDescent="0.2">
      <c r="A712" s="1" t="str">
        <f ca="1">IFERROR(__xludf.DUMMYFUNCTION("GOOGLETRANSLATE(C689, ""en"", ""es"")"),"deprimido")</f>
        <v>deprimido</v>
      </c>
      <c r="B712" s="1">
        <v>-2</v>
      </c>
      <c r="C712" s="1" t="s">
        <v>689</v>
      </c>
    </row>
    <row r="713" spans="1:3" ht="12.75" x14ac:dyDescent="0.2">
      <c r="A713" s="1" t="str">
        <f ca="1">IFERROR(__xludf.DUMMYFUNCTION("GOOGLETRANSLATE(C690, ""en"", ""es"")"),"derecho")</f>
        <v>derecho</v>
      </c>
      <c r="B713" s="1">
        <v>1</v>
      </c>
      <c r="C713" s="1" t="s">
        <v>690</v>
      </c>
    </row>
    <row r="714" spans="1:3" ht="12.75" x14ac:dyDescent="0.2">
      <c r="A714" s="1" t="str">
        <f ca="1">IFERROR(__xludf.DUMMYFUNCTION("GOOGLETRANSLATE(C692, ""en"", ""es"")"),"derrotado")</f>
        <v>derrotado</v>
      </c>
      <c r="B714" s="1">
        <v>-2</v>
      </c>
      <c r="C714" s="1" t="s">
        <v>692</v>
      </c>
    </row>
    <row r="715" spans="1:3" ht="12.75" x14ac:dyDescent="0.2">
      <c r="A715" s="1" t="str">
        <f ca="1">IFERROR(__xludf.DUMMYFUNCTION("GOOGLETRANSLATE(C710, ""en"", ""es"")"),"desacuerdo")</f>
        <v>desacuerdo</v>
      </c>
      <c r="B715" s="1">
        <v>-2</v>
      </c>
      <c r="C715" s="1" t="s">
        <v>710</v>
      </c>
    </row>
    <row r="716" spans="1:3" ht="12.75" x14ac:dyDescent="0.2">
      <c r="A716" s="1" t="str">
        <f ca="1">IFERROR(__xludf.DUMMYFUNCTION("GOOGLETRANSLATE(C694, ""en"", ""es"")"),"desafiante")</f>
        <v>desafiante</v>
      </c>
      <c r="B716" s="1">
        <v>-1</v>
      </c>
      <c r="C716" s="1" t="s">
        <v>694</v>
      </c>
    </row>
    <row r="717" spans="1:3" ht="12.75" x14ac:dyDescent="0.2">
      <c r="A717" s="1" t="str">
        <f ca="1">IFERROR(__xludf.DUMMYFUNCTION("GOOGLETRANSLATE(C2099, ""en"", ""es"")"),"desafío")</f>
        <v>desafío</v>
      </c>
      <c r="B717" s="1">
        <v>-1</v>
      </c>
      <c r="C717" s="1" t="s">
        <v>2097</v>
      </c>
    </row>
    <row r="718" spans="1:3" ht="12.75" x14ac:dyDescent="0.2">
      <c r="A718" s="1" t="str">
        <f ca="1">IFERROR(__xludf.DUMMYFUNCTION("GOOGLETRANSLATE(C287, ""en"", ""es"")"),"desagradable")</f>
        <v>desagradable</v>
      </c>
      <c r="B718" s="1">
        <v>-3</v>
      </c>
      <c r="C718" s="1" t="s">
        <v>287</v>
      </c>
    </row>
    <row r="719" spans="1:3" ht="12.75" x14ac:dyDescent="0.2">
      <c r="A719" s="1" t="str">
        <f ca="1">IFERROR(__xludf.DUMMYFUNCTION("GOOGLETRANSLATE(C695, ""en"", ""es"")"),"desagradable")</f>
        <v>desagradable</v>
      </c>
      <c r="B719" s="1">
        <v>-3</v>
      </c>
      <c r="C719" s="1" t="s">
        <v>695</v>
      </c>
    </row>
    <row r="720" spans="1:3" ht="12.75" x14ac:dyDescent="0.2">
      <c r="A720" s="1" t="str">
        <f ca="1">IFERROR(__xludf.DUMMYFUNCTION("GOOGLETRANSLATE(C834, ""en"", ""es"")"),"desagradable")</f>
        <v>desagradable</v>
      </c>
      <c r="B720" s="1">
        <v>-2</v>
      </c>
      <c r="C720" s="1" t="s">
        <v>836</v>
      </c>
    </row>
    <row r="721" spans="1:3" ht="12.75" x14ac:dyDescent="0.2">
      <c r="A721" s="1" t="str">
        <f ca="1">IFERROR(__xludf.DUMMYFUNCTION("GOOGLETRANSLATE(C2227, ""en"", ""es"")"),"desaguita")</f>
        <v>desaguita</v>
      </c>
      <c r="B721" s="1">
        <v>-2</v>
      </c>
      <c r="C721" s="1" t="s">
        <v>2223</v>
      </c>
    </row>
    <row r="722" spans="1:3" ht="12.75" x14ac:dyDescent="0.2">
      <c r="A722" s="1" t="str">
        <f ca="1">IFERROR(__xludf.DUMMYFUNCTION("GOOGLETRANSLATE(C698, ""en"", ""es"")"),"desahogadores")</f>
        <v>desahogadores</v>
      </c>
      <c r="B722" s="1">
        <v>-2</v>
      </c>
      <c r="C722" s="1" t="s">
        <v>698</v>
      </c>
    </row>
    <row r="723" spans="1:3" ht="12.75" x14ac:dyDescent="0.2">
      <c r="A723" s="1" t="str">
        <f ca="1">IFERROR(__xludf.DUMMYFUNCTION("GOOGLETRANSLATE(C696, ""en"", ""es"")"),"desairado")</f>
        <v>desairado</v>
      </c>
      <c r="B723" s="1">
        <v>-2</v>
      </c>
      <c r="C723" s="1" t="s">
        <v>696</v>
      </c>
    </row>
    <row r="724" spans="1:3" ht="12.75" x14ac:dyDescent="0.2">
      <c r="A724" s="1" t="str">
        <f ca="1">IFERROR(__xludf.DUMMYFUNCTION("GOOGLETRANSLATE(C697, ""en"", ""es"")"),"desaire")</f>
        <v>desaire</v>
      </c>
      <c r="B724" s="1">
        <v>-2</v>
      </c>
      <c r="C724" s="1" t="s">
        <v>697</v>
      </c>
    </row>
    <row r="725" spans="1:3" ht="12.75" x14ac:dyDescent="0.2">
      <c r="A725" s="1" t="str">
        <f ca="1">IFERROR(__xludf.DUMMYFUNCTION("GOOGLETRANSLATE(C693, ""en"", ""es"")"),"desaliñado")</f>
        <v>desaliñado</v>
      </c>
      <c r="B725" s="1">
        <v>-2</v>
      </c>
      <c r="C725" s="1" t="s">
        <v>693</v>
      </c>
    </row>
    <row r="726" spans="1:3" ht="12.75" x14ac:dyDescent="0.2">
      <c r="A726" s="1" t="str">
        <f ca="1">IFERROR(__xludf.DUMMYFUNCTION("GOOGLETRANSLATE(C699, ""en"", ""es"")"),"desalojo")</f>
        <v>desalojo</v>
      </c>
      <c r="B726" s="1">
        <v>-1</v>
      </c>
      <c r="C726" s="1" t="s">
        <v>699</v>
      </c>
    </row>
    <row r="727" spans="1:3" ht="12.75" x14ac:dyDescent="0.2">
      <c r="A727" s="1" t="str">
        <f ca="1">IFERROR(__xludf.DUMMYFUNCTION("GOOGLETRANSLATE(C670, ""en"", ""es"")"),"desanimado")</f>
        <v>desanimado</v>
      </c>
      <c r="B727" s="1">
        <v>-2</v>
      </c>
      <c r="C727" s="1" t="s">
        <v>670</v>
      </c>
    </row>
    <row r="728" spans="1:3" ht="12.75" x14ac:dyDescent="0.2">
      <c r="A728" s="1" t="str">
        <f ca="1">IFERROR(__xludf.DUMMYFUNCTION("GOOGLETRANSLATE(C671, ""en"", ""es"")"),"desanimado")</f>
        <v>desanimado</v>
      </c>
      <c r="B728" s="1">
        <v>-2</v>
      </c>
      <c r="C728" s="1" t="s">
        <v>671</v>
      </c>
    </row>
    <row r="729" spans="1:3" ht="12.75" x14ac:dyDescent="0.2">
      <c r="A729" s="1" t="str">
        <f ca="1">IFERROR(__xludf.DUMMYFUNCTION("GOOGLETRANSLATE(C700, ""en"", ""es"")"),"desanimado")</f>
        <v>desanimado</v>
      </c>
      <c r="B729" s="1">
        <v>-2</v>
      </c>
      <c r="C729" s="1" t="s">
        <v>700</v>
      </c>
    </row>
    <row r="730" spans="1:3" ht="12.75" x14ac:dyDescent="0.2">
      <c r="A730" s="1" t="str">
        <f ca="1">IFERROR(__xludf.DUMMYFUNCTION("GOOGLETRANSLATE(C701, ""en"", ""es"")"),"desanimado")</f>
        <v>desanimado</v>
      </c>
      <c r="B730" s="1">
        <v>-2</v>
      </c>
      <c r="C730" s="1" t="s">
        <v>701</v>
      </c>
    </row>
    <row r="731" spans="1:3" ht="12.75" x14ac:dyDescent="0.2">
      <c r="A731" s="1" t="str">
        <f ca="1">IFERROR(__xludf.DUMMYFUNCTION("GOOGLETRANSLATE(C728, ""en"", ""es"")"),"desanimado")</f>
        <v>desanimado</v>
      </c>
      <c r="B731" s="1">
        <v>-2</v>
      </c>
      <c r="C731" s="1" t="s">
        <v>728</v>
      </c>
    </row>
    <row r="732" spans="1:3" ht="12.75" x14ac:dyDescent="0.2">
      <c r="A732" s="1" t="str">
        <f ca="1">IFERROR(__xludf.DUMMYFUNCTION("GOOGLETRANSLATE(C702, ""en"", ""es"")"),"desaparece")</f>
        <v>desaparece</v>
      </c>
      <c r="B732" s="1">
        <v>-1</v>
      </c>
      <c r="C732" s="1" t="s">
        <v>702</v>
      </c>
    </row>
    <row r="733" spans="1:3" ht="12.75" x14ac:dyDescent="0.2">
      <c r="A733" s="1" t="str">
        <f ca="1">IFERROR(__xludf.DUMMYFUNCTION("GOOGLETRANSLATE(C703, ""en"", ""es"")"),"desaparecer")</f>
        <v>desaparecer</v>
      </c>
      <c r="B733" s="1">
        <v>-1</v>
      </c>
      <c r="C733" s="1" t="s">
        <v>703</v>
      </c>
    </row>
    <row r="734" spans="1:3" ht="12.75" x14ac:dyDescent="0.2">
      <c r="A734" s="1" t="str">
        <f ca="1">IFERROR(__xludf.DUMMYFUNCTION("GOOGLETRANSLATE(C704, ""en"", ""es"")"),"desaparecido")</f>
        <v>desaparecido</v>
      </c>
      <c r="B734" s="1">
        <v>-1</v>
      </c>
      <c r="C734" s="1" t="s">
        <v>704</v>
      </c>
    </row>
    <row r="735" spans="1:3" ht="12.75" x14ac:dyDescent="0.2">
      <c r="A735" s="1" t="str">
        <f ca="1">IFERROR(__xludf.DUMMYFUNCTION("GOOGLETRANSLATE(C705, ""en"", ""es"")"),"desaparecidos")</f>
        <v>desaparecidos</v>
      </c>
      <c r="B735" s="1">
        <v>-2</v>
      </c>
      <c r="C735" s="1" t="s">
        <v>705</v>
      </c>
    </row>
    <row r="736" spans="1:3" ht="12.75" x14ac:dyDescent="0.2">
      <c r="A736" s="1" t="str">
        <f ca="1">IFERROR(__xludf.DUMMYFUNCTION("GOOGLETRANSLATE(C706, ""en"", ""es"")"),"desasosiego")</f>
        <v>desasosiego</v>
      </c>
      <c r="B736" s="1">
        <v>-2</v>
      </c>
      <c r="C736" s="1" t="s">
        <v>706</v>
      </c>
    </row>
    <row r="737" spans="1:3" ht="12.75" x14ac:dyDescent="0.2">
      <c r="A737" s="1" t="str">
        <f ca="1">IFERROR(__xludf.DUMMYFUNCTION("GOOGLETRANSLATE(C707, ""en"", ""es"")"),"desastre")</f>
        <v>desastre</v>
      </c>
      <c r="B737" s="1">
        <v>-2</v>
      </c>
      <c r="C737" s="1" t="s">
        <v>707</v>
      </c>
    </row>
    <row r="738" spans="1:3" ht="12.75" x14ac:dyDescent="0.2">
      <c r="A738" s="1" t="str">
        <f ca="1">IFERROR(__xludf.DUMMYFUNCTION("GOOGLETRANSLATE(C708, ""en"", ""es"")"),"desastres")</f>
        <v>desastres</v>
      </c>
      <c r="B738" s="1">
        <v>-2</v>
      </c>
      <c r="C738" s="1" t="s">
        <v>708</v>
      </c>
    </row>
    <row r="739" spans="1:3" ht="12.75" x14ac:dyDescent="0.2">
      <c r="A739" s="1" t="str">
        <f ca="1">IFERROR(__xludf.DUMMYFUNCTION("GOOGLETRANSLATE(C709, ""en"", ""es"")"),"desastroso")</f>
        <v>desastroso</v>
      </c>
      <c r="B739" s="1">
        <v>-3</v>
      </c>
      <c r="C739" s="1" t="s">
        <v>709</v>
      </c>
    </row>
    <row r="740" spans="1:3" ht="12.75" x14ac:dyDescent="0.2">
      <c r="A740" s="1" t="str">
        <f ca="1">IFERROR(__xludf.DUMMYFUNCTION("GOOGLETRANSLATE(C711, ""en"", ""es"")"),"descalificado")</f>
        <v>descalificado</v>
      </c>
      <c r="B740" s="1">
        <v>-2</v>
      </c>
      <c r="C740" s="1" t="s">
        <v>711</v>
      </c>
    </row>
    <row r="741" spans="1:3" ht="12.75" x14ac:dyDescent="0.2">
      <c r="A741" s="1" t="str">
        <f ca="1">IFERROR(__xludf.DUMMYFUNCTION("GOOGLETRANSLATE(C713, ""en"", ""es"")"),"descarrilado")</f>
        <v>descarrilado</v>
      </c>
      <c r="B741" s="1">
        <v>-2</v>
      </c>
      <c r="C741" s="1" t="s">
        <v>713</v>
      </c>
    </row>
    <row r="742" spans="1:3" ht="12.75" x14ac:dyDescent="0.2">
      <c r="A742" s="1" t="str">
        <f ca="1">IFERROR(__xludf.DUMMYFUNCTION("GOOGLETRANSLATE(C712, ""en"", ""es"")"),"descarrilar")</f>
        <v>descarrilar</v>
      </c>
      <c r="B742" s="1">
        <v>-2</v>
      </c>
      <c r="C742" s="1" t="s">
        <v>712</v>
      </c>
    </row>
    <row r="743" spans="1:3" ht="12.75" x14ac:dyDescent="0.2">
      <c r="A743" s="1" t="str">
        <f ca="1">IFERROR(__xludf.DUMMYFUNCTION("GOOGLETRANSLATE(C714, ""en"", ""es"")"),"descartado")</f>
        <v>descartado</v>
      </c>
      <c r="B743" s="1">
        <v>-1</v>
      </c>
      <c r="C743" s="1" t="s">
        <v>714</v>
      </c>
    </row>
    <row r="744" spans="1:3" ht="12.75" x14ac:dyDescent="0.2">
      <c r="A744" s="1" t="str">
        <f ca="1">IFERROR(__xludf.DUMMYFUNCTION("GOOGLETRANSLATE(C717, ""en"", ""es"")"),"descartado")</f>
        <v>descartado</v>
      </c>
      <c r="B744" s="1">
        <v>-1</v>
      </c>
      <c r="C744" s="1" t="s">
        <v>717</v>
      </c>
    </row>
    <row r="745" spans="1:3" ht="12.75" x14ac:dyDescent="0.2">
      <c r="A745" s="1" t="str">
        <f ca="1">IFERROR(__xludf.DUMMYFUNCTION("GOOGLETRANSLATE(C2004, ""en"", ""es"")"),"descendente")</f>
        <v>descendente</v>
      </c>
      <c r="B745" s="1">
        <v>-1</v>
      </c>
      <c r="C745" s="1" t="s">
        <v>2002</v>
      </c>
    </row>
    <row r="746" spans="1:3" ht="12.75" x14ac:dyDescent="0.2">
      <c r="A746" s="1" t="str">
        <f ca="1">IFERROR(__xludf.DUMMYFUNCTION("GOOGLETRANSLATE(C719, ""en"", ""es"")"),"desconectado")</f>
        <v>desconectado</v>
      </c>
      <c r="B746" s="1">
        <v>-1</v>
      </c>
      <c r="C746" s="1" t="s">
        <v>719</v>
      </c>
    </row>
    <row r="747" spans="1:3" ht="12.75" x14ac:dyDescent="0.2">
      <c r="A747" s="1" t="str">
        <f ca="1">IFERROR(__xludf.DUMMYFUNCTION("GOOGLETRANSLATE(C720, ""en"", ""es"")"),"desconfiado")</f>
        <v>desconfiado</v>
      </c>
      <c r="B747" s="1">
        <v>-3</v>
      </c>
      <c r="C747" s="1" t="s">
        <v>720</v>
      </c>
    </row>
    <row r="748" spans="1:3" ht="12.75" x14ac:dyDescent="0.2">
      <c r="A748" s="1" t="str">
        <f ca="1">IFERROR(__xludf.DUMMYFUNCTION("GOOGLETRANSLATE(C721, ""en"", ""es"")"),"desconfianza")</f>
        <v>desconfianza</v>
      </c>
      <c r="B748" s="1">
        <v>-3</v>
      </c>
      <c r="C748" s="1" t="s">
        <v>721</v>
      </c>
    </row>
    <row r="749" spans="1:3" ht="12.75" x14ac:dyDescent="0.2">
      <c r="A749" s="1" t="str">
        <f ca="1">IFERROR(__xludf.DUMMYFUNCTION("GOOGLETRANSLATE(C722, ""en"", ""es"")"),"desconsiderado")</f>
        <v>desconsiderado</v>
      </c>
      <c r="B749" s="1">
        <v>-2</v>
      </c>
      <c r="C749" s="1" t="s">
        <v>722</v>
      </c>
    </row>
    <row r="750" spans="1:3" ht="12.75" x14ac:dyDescent="0.2">
      <c r="A750" s="1" t="str">
        <f ca="1">IFERROR(__xludf.DUMMYFUNCTION("GOOGLETRANSLATE(C723, ""en"", ""es"")"),"desconsiderado")</f>
        <v>desconsiderado</v>
      </c>
      <c r="B750" s="1">
        <v>-2</v>
      </c>
      <c r="C750" s="1" t="s">
        <v>723</v>
      </c>
    </row>
    <row r="751" spans="1:3" ht="12.75" x14ac:dyDescent="0.2">
      <c r="A751" s="1" t="str">
        <f ca="1">IFERROR(__xludf.DUMMYFUNCTION("GOOGLETRANSLATE(C726, ""en"", ""es"")"),"desconsolación")</f>
        <v>desconsolación</v>
      </c>
      <c r="B751" s="1">
        <v>-2</v>
      </c>
      <c r="C751" s="1" t="s">
        <v>726</v>
      </c>
    </row>
    <row r="752" spans="1:3" ht="12.75" x14ac:dyDescent="0.2">
      <c r="A752" s="1" t="str">
        <f ca="1">IFERROR(__xludf.DUMMYFUNCTION("GOOGLETRANSLATE(C724, ""en"", ""es"")"),"desconsolado")</f>
        <v>desconsolado</v>
      </c>
      <c r="B752" s="1">
        <v>-2</v>
      </c>
      <c r="C752" s="1" t="s">
        <v>724</v>
      </c>
    </row>
    <row r="753" spans="1:3" ht="12.75" x14ac:dyDescent="0.2">
      <c r="A753" s="1" t="str">
        <f ca="1">IFERROR(__xludf.DUMMYFUNCTION("GOOGLETRANSLATE(C725, ""en"", ""es"")"),"desconsolado")</f>
        <v>desconsolado</v>
      </c>
      <c r="B753" s="1">
        <v>-2</v>
      </c>
      <c r="C753" s="1" t="s">
        <v>725</v>
      </c>
    </row>
    <row r="754" spans="1:3" ht="12.75" x14ac:dyDescent="0.2">
      <c r="A754" s="1" t="str">
        <f ca="1">IFERROR(__xludf.DUMMYFUNCTION("GOOGLETRANSLATE(C881, ""en"", ""es"")"),"desconsolado")</f>
        <v>desconsolado</v>
      </c>
      <c r="B754" s="1">
        <v>-3</v>
      </c>
      <c r="C754" s="1" t="s">
        <v>883</v>
      </c>
    </row>
    <row r="755" spans="1:3" ht="12.75" x14ac:dyDescent="0.2">
      <c r="A755" s="1" t="str">
        <f ca="1">IFERROR(__xludf.DUMMYFUNCTION("GOOGLETRANSLATE(C727, ""en"", ""es"")"),"descontento")</f>
        <v>descontento</v>
      </c>
      <c r="B755" s="1">
        <v>-2</v>
      </c>
      <c r="C755" s="1" t="s">
        <v>727</v>
      </c>
    </row>
    <row r="756" spans="1:3" ht="12.75" x14ac:dyDescent="0.2">
      <c r="A756" s="1" t="str">
        <f ca="1">IFERROR(__xludf.DUMMYFUNCTION("GOOGLETRANSLATE(C1869, ""en"", ""es"")"),"descubrimiento")</f>
        <v>descubrimiento</v>
      </c>
      <c r="B756" s="1">
        <v>3</v>
      </c>
      <c r="C756" s="1" t="s">
        <v>1867</v>
      </c>
    </row>
    <row r="757" spans="1:3" ht="12.75" x14ac:dyDescent="0.2">
      <c r="A757" s="1" t="str">
        <f ca="1">IFERROR(__xludf.DUMMYFUNCTION("GOOGLETRANSLATE(C730, ""en"", ""es"")"),"descuidado")</f>
        <v>descuidado</v>
      </c>
      <c r="B757" s="1">
        <v>-2</v>
      </c>
      <c r="C757" s="1" t="s">
        <v>730</v>
      </c>
    </row>
    <row r="758" spans="1:3" ht="12.75" x14ac:dyDescent="0.2">
      <c r="A758" s="1" t="str">
        <f ca="1">IFERROR(__xludf.DUMMYFUNCTION("GOOGLETRANSLATE(C731, ""en"", ""es"")"),"descuidado")</f>
        <v>descuidado</v>
      </c>
      <c r="B758" s="1">
        <v>-2</v>
      </c>
      <c r="C758" s="1" t="s">
        <v>731</v>
      </c>
    </row>
    <row r="759" spans="1:3" ht="12.75" x14ac:dyDescent="0.2">
      <c r="A759" s="1" t="str">
        <f ca="1">IFERROR(__xludf.DUMMYFUNCTION("GOOGLETRANSLATE(C732, ""en"", ""es"")"),"descuidado")</f>
        <v>descuidado</v>
      </c>
      <c r="B759" s="1">
        <v>-2</v>
      </c>
      <c r="C759" s="1" t="s">
        <v>732</v>
      </c>
    </row>
    <row r="760" spans="1:3" ht="12.75" x14ac:dyDescent="0.2">
      <c r="A760" s="1" t="str">
        <f ca="1">IFERROR(__xludf.DUMMYFUNCTION("GOOGLETRANSLATE(C1748, ""en"", ""es"")"),"descuidado")</f>
        <v>descuidado</v>
      </c>
      <c r="B760" s="1">
        <v>-2</v>
      </c>
      <c r="C760" s="1" t="s">
        <v>1747</v>
      </c>
    </row>
    <row r="761" spans="1:3" ht="12.75" x14ac:dyDescent="0.2">
      <c r="A761" s="1" t="str">
        <f ca="1">IFERROR(__xludf.DUMMYFUNCTION("GOOGLETRANSLATE(C1747, ""en"", ""es"")"),"descuido")</f>
        <v>descuido</v>
      </c>
      <c r="B761" s="1">
        <v>-2</v>
      </c>
      <c r="C761" s="1" t="s">
        <v>1746</v>
      </c>
    </row>
    <row r="762" spans="1:3" ht="12.75" x14ac:dyDescent="0.2">
      <c r="A762" s="1" t="str">
        <f ca="1">IFERROR(__xludf.DUMMYFUNCTION("GOOGLETRANSLATE(C733, ""en"", ""es"")"),"desdén")</f>
        <v>desdén</v>
      </c>
      <c r="B762" s="1">
        <v>-2</v>
      </c>
      <c r="C762" s="1" t="s">
        <v>733</v>
      </c>
    </row>
    <row r="763" spans="1:3" ht="12.75" x14ac:dyDescent="0.2">
      <c r="A763" s="1" t="str">
        <f ca="1">IFERROR(__xludf.DUMMYFUNCTION("GOOGLETRANSLATE(C734, ""en"", ""es"")"),"desdén")</f>
        <v>desdén</v>
      </c>
      <c r="B763" s="1">
        <v>-2</v>
      </c>
      <c r="C763" s="1" t="s">
        <v>734</v>
      </c>
    </row>
    <row r="764" spans="1:3" ht="12.75" x14ac:dyDescent="0.2">
      <c r="A764" s="1" t="str">
        <f ca="1">IFERROR(__xludf.DUMMYFUNCTION("GOOGLETRANSLATE(C735, ""en"", ""es"")"),"desdeñosamente")</f>
        <v>desdeñosamente</v>
      </c>
      <c r="B764" s="1">
        <v>-2</v>
      </c>
      <c r="C764" s="1" t="s">
        <v>735</v>
      </c>
    </row>
    <row r="765" spans="1:3" ht="12.75" x14ac:dyDescent="0.2">
      <c r="A765" s="1" t="str">
        <f ca="1">IFERROR(__xludf.DUMMYFUNCTION("GOOGLETRANSLATE(C736, ""en"", ""es"")"),"desdeñoso")</f>
        <v>desdeñoso</v>
      </c>
      <c r="B765" s="1">
        <v>-2</v>
      </c>
      <c r="C765" s="1" t="s">
        <v>736</v>
      </c>
    </row>
    <row r="766" spans="1:3" ht="12.75" x14ac:dyDescent="0.2">
      <c r="A766" s="1" t="str">
        <f ca="1">IFERROR(__xludf.DUMMYFUNCTION("GOOGLETRANSLATE(C737, ""en"", ""es"")"),"desdeñoso")</f>
        <v>desdeñoso</v>
      </c>
      <c r="B766" s="1">
        <v>-2</v>
      </c>
      <c r="C766" s="1" t="s">
        <v>737</v>
      </c>
    </row>
    <row r="767" spans="1:3" ht="12.75" x14ac:dyDescent="0.2">
      <c r="A767" s="1" t="str">
        <f ca="1">IFERROR(__xludf.DUMMYFUNCTION("GOOGLETRANSLATE(C738, ""en"", ""es"")"),"deseable")</f>
        <v>deseable</v>
      </c>
      <c r="B767" s="1">
        <v>2</v>
      </c>
      <c r="C767" s="1" t="s">
        <v>738</v>
      </c>
    </row>
    <row r="768" spans="1:3" ht="12.75" x14ac:dyDescent="0.2">
      <c r="A768" s="1" t="str">
        <f ca="1">IFERROR(__xludf.DUMMYFUNCTION("GOOGLETRANSLATE(C739, ""en"", ""es"")"),"deseado")</f>
        <v>deseado</v>
      </c>
      <c r="B768" s="1">
        <v>2</v>
      </c>
      <c r="C768" s="1" t="s">
        <v>739</v>
      </c>
    </row>
    <row r="769" spans="1:3" ht="12.75" x14ac:dyDescent="0.2">
      <c r="A769" s="1" t="str">
        <f ca="1">IFERROR(__xludf.DUMMYFUNCTION("GOOGLETRANSLATE(C740, ""en"", ""es"")"),"deseando")</f>
        <v>deseando</v>
      </c>
      <c r="B769" s="1">
        <v>1</v>
      </c>
      <c r="C769" s="1" t="s">
        <v>740</v>
      </c>
    </row>
    <row r="770" spans="1:3" ht="12.75" x14ac:dyDescent="0.2">
      <c r="A770" s="1" t="str">
        <f ca="1">IFERROR(__xludf.DUMMYFUNCTION("GOOGLETRANSLATE(C744, ""en"", ""es"")"),"desear")</f>
        <v>desear</v>
      </c>
      <c r="B770" s="1">
        <v>1</v>
      </c>
      <c r="C770" s="1" t="s">
        <v>744</v>
      </c>
    </row>
    <row r="771" spans="1:3" ht="12.75" x14ac:dyDescent="0.2">
      <c r="A771" s="1" t="str">
        <f ca="1">IFERROR(__xludf.DUMMYFUNCTION("GOOGLETRANSLATE(C2007, ""en"", ""es"")"),"desear")</f>
        <v>desear</v>
      </c>
      <c r="B771" s="1">
        <v>1</v>
      </c>
      <c r="C771" s="1" t="s">
        <v>2005</v>
      </c>
    </row>
    <row r="772" spans="1:3" ht="12.75" x14ac:dyDescent="0.2">
      <c r="A772" s="1" t="str">
        <f ca="1">IFERROR(__xludf.DUMMYFUNCTION("GOOGLETRANSLATE(C716, ""en"", ""es"")"),"desechando")</f>
        <v>desechando</v>
      </c>
      <c r="B772" s="1">
        <v>-1</v>
      </c>
      <c r="C772" s="1" t="s">
        <v>716</v>
      </c>
    </row>
    <row r="773" spans="1:3" ht="12.75" x14ac:dyDescent="0.2">
      <c r="A773" s="1" t="str">
        <f ca="1">IFERROR(__xludf.DUMMYFUNCTION("GOOGLETRANSLATE(C715, ""en"", ""es"")"),"desechar")</f>
        <v>desechar</v>
      </c>
      <c r="B773" s="1">
        <v>-1</v>
      </c>
      <c r="C773" s="1" t="s">
        <v>715</v>
      </c>
    </row>
    <row r="774" spans="1:3" ht="12.75" x14ac:dyDescent="0.2">
      <c r="A774" s="1" t="str">
        <f ca="1">IFERROR(__xludf.DUMMYFUNCTION("GOOGLETRANSLATE(C1913, ""en"", ""es"")"),"desembolsar")</f>
        <v>desembolsar</v>
      </c>
      <c r="B774" s="1">
        <v>-3</v>
      </c>
      <c r="C774" s="1" t="s">
        <v>1911</v>
      </c>
    </row>
    <row r="775" spans="1:3" ht="12.75" x14ac:dyDescent="0.2">
      <c r="A775" s="1" t="str">
        <f ca="1">IFERROR(__xludf.DUMMYFUNCTION("GOOGLETRANSLATE(C741, ""en"", ""es"")"),"desempleo")</f>
        <v>desempleo</v>
      </c>
      <c r="B775" s="1">
        <v>-2</v>
      </c>
      <c r="C775" s="1" t="s">
        <v>741</v>
      </c>
    </row>
    <row r="776" spans="1:3" ht="12.75" x14ac:dyDescent="0.2">
      <c r="A776" s="1" t="str">
        <f ca="1">IFERROR(__xludf.DUMMYFUNCTION("GOOGLETRANSLATE(C742, ""en"", ""es"")"),"desenfocado")</f>
        <v>desenfocado</v>
      </c>
      <c r="B776" s="1">
        <v>-2</v>
      </c>
      <c r="C776" s="1" t="s">
        <v>742</v>
      </c>
    </row>
    <row r="777" spans="1:3" ht="12.75" x14ac:dyDescent="0.2">
      <c r="A777" s="1" t="str">
        <f ca="1">IFERROR(__xludf.DUMMYFUNCTION("GOOGLETRANSLATE(C743, ""en"", ""es"")"),"deseo")</f>
        <v>deseo</v>
      </c>
      <c r="B777" s="1">
        <v>1</v>
      </c>
      <c r="C777" s="1" t="s">
        <v>743</v>
      </c>
    </row>
    <row r="778" spans="1:3" ht="12.75" x14ac:dyDescent="0.2">
      <c r="A778" s="1" t="str">
        <f ca="1">IFERROR(__xludf.DUMMYFUNCTION("GOOGLETRANSLATE(C745, ""en"", ""es"")"),"deseos")</f>
        <v>deseos</v>
      </c>
      <c r="B778" s="1">
        <v>1</v>
      </c>
      <c r="C778" s="1" t="s">
        <v>745</v>
      </c>
    </row>
    <row r="779" spans="1:3" ht="12.75" x14ac:dyDescent="0.2">
      <c r="A779" s="1" t="str">
        <f ca="1">IFERROR(__xludf.DUMMYFUNCTION("GOOGLETRANSLATE(C746, ""en"", ""es"")"),"deseoso")</f>
        <v>deseoso</v>
      </c>
      <c r="B779" s="1">
        <v>2</v>
      </c>
      <c r="C779" s="1" t="s">
        <v>746</v>
      </c>
    </row>
    <row r="780" spans="1:3" ht="12.75" x14ac:dyDescent="0.2">
      <c r="A780" s="1" t="str">
        <f ca="1">IFERROR(__xludf.DUMMYFUNCTION("GOOGLETRANSLATE(C747, ""en"", ""es"")"),"desesperación")</f>
        <v>desesperación</v>
      </c>
      <c r="B780" s="1">
        <v>-3</v>
      </c>
      <c r="C780" s="1" t="s">
        <v>747</v>
      </c>
    </row>
    <row r="781" spans="1:3" ht="12.75" x14ac:dyDescent="0.2">
      <c r="A781" s="1" t="str">
        <f ca="1">IFERROR(__xludf.DUMMYFUNCTION("GOOGLETRANSLATE(C748, ""en"", ""es"")"),"desesperación")</f>
        <v>desesperación</v>
      </c>
      <c r="B781" s="1">
        <v>-2</v>
      </c>
      <c r="C781" s="1" t="s">
        <v>748</v>
      </c>
    </row>
    <row r="782" spans="1:3" ht="12.75" x14ac:dyDescent="0.2">
      <c r="A782" s="1" t="str">
        <f ca="1">IFERROR(__xludf.DUMMYFUNCTION("GOOGLETRANSLATE(C749, ""en"", ""es"")"),"desesperación")</f>
        <v>desesperación</v>
      </c>
      <c r="B782" s="1">
        <v>-3</v>
      </c>
      <c r="C782" s="1" t="s">
        <v>749</v>
      </c>
    </row>
    <row r="783" spans="1:3" ht="12.75" x14ac:dyDescent="0.2">
      <c r="A783" s="1" t="str">
        <f ca="1">IFERROR(__xludf.DUMMYFUNCTION("GOOGLETRANSLATE(C750, ""en"", ""es"")"),"desesperadamente")</f>
        <v>desesperadamente</v>
      </c>
      <c r="B783" s="1">
        <v>-3</v>
      </c>
      <c r="C783" s="1" t="s">
        <v>750</v>
      </c>
    </row>
    <row r="784" spans="1:3" ht="12.75" x14ac:dyDescent="0.2">
      <c r="A784" s="1" t="str">
        <f ca="1">IFERROR(__xludf.DUMMYFUNCTION("GOOGLETRANSLATE(C751, ""en"", ""es"")"),"desesperado")</f>
        <v>desesperado</v>
      </c>
      <c r="B784" s="1">
        <v>-3</v>
      </c>
      <c r="C784" s="1" t="s">
        <v>751</v>
      </c>
    </row>
    <row r="785" spans="1:3" ht="12.75" x14ac:dyDescent="0.2">
      <c r="A785" s="1" t="str">
        <f ca="1">IFERROR(__xludf.DUMMYFUNCTION("GOOGLETRANSLATE(C752, ""en"", ""es"")"),"desesperado")</f>
        <v>desesperado</v>
      </c>
      <c r="B785" s="1">
        <v>-3</v>
      </c>
      <c r="C785" s="1" t="s">
        <v>752</v>
      </c>
    </row>
    <row r="786" spans="1:3" ht="12.75" x14ac:dyDescent="0.2">
      <c r="A786" s="1" t="str">
        <f ca="1">IFERROR(__xludf.DUMMYFUNCTION("GOOGLETRANSLATE(C2211, ""en"", ""es"")"),"desesperanzado")</f>
        <v>desesperanzado</v>
      </c>
      <c r="B786" s="1">
        <v>-2</v>
      </c>
      <c r="C786" s="1" t="s">
        <v>2207</v>
      </c>
    </row>
    <row r="787" spans="1:3" ht="12.75" x14ac:dyDescent="0.2">
      <c r="A787" s="1" t="str">
        <f ca="1">IFERROR(__xludf.DUMMYFUNCTION("GOOGLETRANSLATE(C753, ""en"", ""es"")"),"desestimación")</f>
        <v>desestimación</v>
      </c>
      <c r="B787" s="1">
        <v>-1</v>
      </c>
      <c r="C787" s="1" t="s">
        <v>753</v>
      </c>
    </row>
    <row r="788" spans="1:3" ht="12.75" x14ac:dyDescent="0.2">
      <c r="A788" s="1" t="str">
        <f ca="1">IFERROR(__xludf.DUMMYFUNCTION("GOOGLETRANSLATE(C754, ""en"", ""es"")"),"desestructurado")</f>
        <v>desestructurado</v>
      </c>
      <c r="B788" s="1">
        <v>-2</v>
      </c>
      <c r="C788" s="1" t="s">
        <v>754</v>
      </c>
    </row>
    <row r="789" spans="1:3" ht="12.75" x14ac:dyDescent="0.2">
      <c r="A789" s="1" t="str">
        <f ca="1">IFERROR(__xludf.DUMMYFUNCTION("GOOGLETRANSLATE(C1854, ""en"", ""es"")"),"desgastado")</f>
        <v>desgastado</v>
      </c>
      <c r="B789" s="1">
        <v>-1</v>
      </c>
      <c r="C789" s="1" t="s">
        <v>1852</v>
      </c>
    </row>
    <row r="790" spans="1:3" ht="12.75" x14ac:dyDescent="0.2">
      <c r="A790" s="1" t="str">
        <f ca="1">IFERROR(__xludf.DUMMYFUNCTION("GOOGLETRANSLATE(C756, ""en"", ""es"")"),"desgracia")</f>
        <v>desgracia</v>
      </c>
      <c r="B790" s="1">
        <v>-2</v>
      </c>
      <c r="C790" s="1" t="s">
        <v>756</v>
      </c>
    </row>
    <row r="791" spans="1:3" ht="12.75" x14ac:dyDescent="0.2">
      <c r="A791" s="1" t="str">
        <f ca="1">IFERROR(__xludf.DUMMYFUNCTION("GOOGLETRANSLATE(C757, ""en"", ""es"")"),"deshecho")</f>
        <v>deshecho</v>
      </c>
      <c r="B791" s="1">
        <v>-1</v>
      </c>
      <c r="C791" s="1" t="s">
        <v>757</v>
      </c>
    </row>
    <row r="792" spans="1:3" ht="12.75" x14ac:dyDescent="0.2">
      <c r="A792" s="1" t="str">
        <f ca="1">IFERROR(__xludf.DUMMYFUNCTION("GOOGLETRANSLATE(C758, ""en"", ""es"")"),"deshonesto")</f>
        <v>deshonesto</v>
      </c>
      <c r="B792" s="1">
        <v>-2</v>
      </c>
      <c r="C792" s="1" t="s">
        <v>758</v>
      </c>
    </row>
    <row r="793" spans="1:3" ht="12.75" x14ac:dyDescent="0.2">
      <c r="A793" s="1" t="str">
        <f ca="1">IFERROR(__xludf.DUMMYFUNCTION("GOOGLETRANSLATE(C760, ""en"", ""es"")"),"deshumanizado")</f>
        <v>deshumanizado</v>
      </c>
      <c r="B793" s="1">
        <v>-2</v>
      </c>
      <c r="C793" s="1" t="s">
        <v>760</v>
      </c>
    </row>
    <row r="794" spans="1:3" ht="12.75" x14ac:dyDescent="0.2">
      <c r="A794" s="1" t="str">
        <f ca="1">IFERROR(__xludf.DUMMYFUNCTION("GOOGLETRANSLATE(C759, ""en"", ""es"")"),"deshumanizar")</f>
        <v>deshumanizar</v>
      </c>
      <c r="B794" s="1">
        <v>-2</v>
      </c>
      <c r="C794" s="1" t="s">
        <v>759</v>
      </c>
    </row>
    <row r="795" spans="1:3" ht="12.75" x14ac:dyDescent="0.2">
      <c r="A795" s="1" t="str">
        <f ca="1">IFERROR(__xludf.DUMMYFUNCTION("GOOGLETRANSLATE(C761, ""en"", ""es"")"),"deshumanizar")</f>
        <v>deshumanizar</v>
      </c>
      <c r="B795" s="1">
        <v>-2</v>
      </c>
      <c r="C795" s="1" t="s">
        <v>761</v>
      </c>
    </row>
    <row r="796" spans="1:3" ht="12.75" x14ac:dyDescent="0.2">
      <c r="A796" s="1" t="str">
        <f ca="1">IFERROR(__xludf.DUMMYFUNCTION("GOOGLETRANSLATE(C762, ""en"", ""es"")"),"deshumanizar")</f>
        <v>deshumanizar</v>
      </c>
      <c r="B796" s="1">
        <v>-2</v>
      </c>
      <c r="C796" s="1" t="s">
        <v>762</v>
      </c>
    </row>
    <row r="797" spans="1:3" ht="12.75" x14ac:dyDescent="0.2">
      <c r="A797" s="1" t="str">
        <f ca="1">IFERROR(__xludf.DUMMYFUNCTION("GOOGLETRANSLATE(C763, ""en"", ""es"")"),"desigual")</f>
        <v>desigual</v>
      </c>
      <c r="B797" s="1">
        <v>-1</v>
      </c>
      <c r="C797" s="1" t="s">
        <v>763</v>
      </c>
    </row>
    <row r="798" spans="1:3" ht="12.75" x14ac:dyDescent="0.2">
      <c r="A798" s="1" t="str">
        <f ca="1">IFERROR(__xludf.DUMMYFUNCTION("GOOGLETRANSLATE(C764, ""en"", ""es"")"),"desilusionado")</f>
        <v>desilusionado</v>
      </c>
      <c r="B798" s="1">
        <v>-2</v>
      </c>
      <c r="C798" s="1" t="s">
        <v>764</v>
      </c>
    </row>
    <row r="799" spans="1:3" ht="12.75" x14ac:dyDescent="0.2">
      <c r="A799" s="1" t="str">
        <f ca="1">IFERROR(__xludf.DUMMYFUNCTION("GOOGLETRANSLATE(C765, ""en"", ""es"")"),"desinformación")</f>
        <v>desinformación</v>
      </c>
      <c r="B799" s="1">
        <v>-2</v>
      </c>
      <c r="C799" s="1" t="s">
        <v>765</v>
      </c>
    </row>
    <row r="800" spans="1:3" ht="12.75" x14ac:dyDescent="0.2">
      <c r="A800" s="1" t="str">
        <f ca="1">IFERROR(__xludf.DUMMYFUNCTION("GOOGLETRANSLATE(C766, ""en"", ""es"")"),"desmoralizado")</f>
        <v>desmoralizado</v>
      </c>
      <c r="B800" s="1">
        <v>-2</v>
      </c>
      <c r="C800" s="1" t="s">
        <v>766</v>
      </c>
    </row>
    <row r="801" spans="1:3" ht="12.75" x14ac:dyDescent="0.2">
      <c r="A801" s="1" t="str">
        <f ca="1">IFERROR(__xludf.DUMMYFUNCTION("GOOGLETRANSLATE(C767, ""en"", ""es"")"),"desmotivado")</f>
        <v>desmotivado</v>
      </c>
      <c r="B801" s="1">
        <v>-2</v>
      </c>
      <c r="C801" s="1" t="s">
        <v>767</v>
      </c>
    </row>
    <row r="802" spans="1:3" ht="12.75" x14ac:dyDescent="0.2">
      <c r="A802" s="1" t="str">
        <f ca="1">IFERROR(__xludf.DUMMYFUNCTION("GOOGLETRANSLATE(C1571, ""en"", ""es"")"),"desorden")</f>
        <v>desorden</v>
      </c>
      <c r="B802" s="1">
        <v>-2</v>
      </c>
      <c r="C802" s="1" t="s">
        <v>1570</v>
      </c>
    </row>
    <row r="803" spans="1:3" ht="12.75" x14ac:dyDescent="0.2">
      <c r="A803" s="1" t="str">
        <f ca="1">IFERROR(__xludf.DUMMYFUNCTION("GOOGLETRANSLATE(C906, ""en"", ""es"")"),"desordenado")</f>
        <v>desordenado</v>
      </c>
      <c r="B803" s="1">
        <v>-2</v>
      </c>
      <c r="C803" s="1" t="s">
        <v>908</v>
      </c>
    </row>
    <row r="804" spans="1:3" ht="12.75" x14ac:dyDescent="0.2">
      <c r="A804" s="1" t="str">
        <f ca="1">IFERROR(__xludf.DUMMYFUNCTION("GOOGLETRANSLATE(C768, ""en"", ""es"")"),"desorientado")</f>
        <v>desorientado</v>
      </c>
      <c r="B804" s="1">
        <v>-2</v>
      </c>
      <c r="C804" s="1" t="s">
        <v>768</v>
      </c>
    </row>
    <row r="805" spans="1:3" ht="12.75" x14ac:dyDescent="0.2">
      <c r="A805" s="1" t="str">
        <f ca="1">IFERROR(__xludf.DUMMYFUNCTION("GOOGLETRANSLATE(C769, ""en"", ""es"")"),"despectivo")</f>
        <v>despectivo</v>
      </c>
      <c r="B805" s="1">
        <v>-2</v>
      </c>
      <c r="C805" s="1" t="s">
        <v>769</v>
      </c>
    </row>
    <row r="806" spans="1:3" ht="12.75" x14ac:dyDescent="0.2">
      <c r="A806" s="1" t="str">
        <f ca="1">IFERROR(__xludf.DUMMYFUNCTION("GOOGLETRANSLATE(C770, ""en"", ""es"")"),"despedido")</f>
        <v>despedido</v>
      </c>
      <c r="B806" s="1">
        <v>-2</v>
      </c>
      <c r="C806" s="1" t="s">
        <v>770</v>
      </c>
    </row>
    <row r="807" spans="1:3" ht="12.75" x14ac:dyDescent="0.2">
      <c r="A807" s="1" t="str">
        <f ca="1">IFERROR(__xludf.DUMMYFUNCTION("GOOGLETRANSLATE(C771, ""en"", ""es"")"),"despejado")</f>
        <v>despejado</v>
      </c>
      <c r="B807" s="1">
        <v>1</v>
      </c>
      <c r="C807" s="1" t="s">
        <v>771</v>
      </c>
    </row>
    <row r="808" spans="1:3" ht="12.75" x14ac:dyDescent="0.2">
      <c r="A808" s="1" t="str">
        <f ca="1">IFERROR(__xludf.DUMMYFUNCTION("GOOGLETRANSLATE(C2412, ""en"", ""es"")"),"desperdiciado")</f>
        <v>desperdiciado</v>
      </c>
      <c r="B808" s="1">
        <v>-2</v>
      </c>
      <c r="C808" s="1" t="s">
        <v>2408</v>
      </c>
    </row>
    <row r="809" spans="1:3" ht="12.75" x14ac:dyDescent="0.2">
      <c r="A809" s="1" t="str">
        <f ca="1">IFERROR(__xludf.DUMMYFUNCTION("GOOGLETRANSLATE(C2069, ""en"", ""es"")"),"desperdicio")</f>
        <v>desperdicio</v>
      </c>
      <c r="B809" s="1">
        <v>-1</v>
      </c>
      <c r="C809" s="1" t="s">
        <v>2067</v>
      </c>
    </row>
    <row r="810" spans="1:3" ht="12.75" x14ac:dyDescent="0.2">
      <c r="A810" s="1" t="str">
        <f ca="1">IFERROR(__xludf.DUMMYFUNCTION("GOOGLETRANSLATE(C773, ""en"", ""es"")"),"despistado")</f>
        <v>despistado</v>
      </c>
      <c r="B810" s="1">
        <v>-2</v>
      </c>
      <c r="C810" s="1" t="s">
        <v>773</v>
      </c>
    </row>
    <row r="811" spans="1:3" ht="12.75" x14ac:dyDescent="0.2">
      <c r="A811" s="1" t="str">
        <f ca="1">IFERROR(__xludf.DUMMYFUNCTION("GOOGLETRANSLATE(C381, ""en"", ""es"")"),"desplegable")</f>
        <v>desplegable</v>
      </c>
      <c r="B811" s="1">
        <v>1</v>
      </c>
      <c r="C811" s="1" t="s">
        <v>381</v>
      </c>
    </row>
    <row r="812" spans="1:3" ht="12.75" x14ac:dyDescent="0.2">
      <c r="A812" s="1" t="str">
        <f ca="1">IFERROR(__xludf.DUMMYFUNCTION("GOOGLETRANSLATE(C2016, ""en"", ""es"")"),"Despotricador")</f>
        <v>Despotricador</v>
      </c>
      <c r="B812" s="1">
        <v>-3</v>
      </c>
      <c r="C812" s="1" t="s">
        <v>2014</v>
      </c>
    </row>
    <row r="813" spans="1:3" ht="12.75" x14ac:dyDescent="0.2">
      <c r="A813" s="1" t="str">
        <f ca="1">IFERROR(__xludf.DUMMYFUNCTION("GOOGLETRANSLATE(C774, ""en"", ""es"")"),"despotricar")</f>
        <v>despotricar</v>
      </c>
      <c r="B813" s="1">
        <v>-3</v>
      </c>
      <c r="C813" s="1" t="s">
        <v>774</v>
      </c>
    </row>
    <row r="814" spans="1:3" ht="12.75" x14ac:dyDescent="0.2">
      <c r="A814" s="1" t="str">
        <f ca="1">IFERROR(__xludf.DUMMYFUNCTION("GOOGLETRANSLATE(C775, ""en"", ""es"")"),"desprecio")</f>
        <v>desprecio</v>
      </c>
      <c r="B814" s="1">
        <v>-2</v>
      </c>
      <c r="C814" s="1" t="s">
        <v>775</v>
      </c>
    </row>
    <row r="815" spans="1:3" ht="12.75" x14ac:dyDescent="0.2">
      <c r="A815" s="1" t="str">
        <f ca="1">IFERROR(__xludf.DUMMYFUNCTION("GOOGLETRANSLATE(C1684, ""en"", ""es"")"),"desprecio")</f>
        <v>desprecio</v>
      </c>
      <c r="B815" s="1">
        <v>-2</v>
      </c>
      <c r="C815" s="1" t="s">
        <v>1683</v>
      </c>
    </row>
    <row r="816" spans="1:3" ht="12.75" x14ac:dyDescent="0.2">
      <c r="A816" s="1" t="str">
        <f ca="1">IFERROR(__xludf.DUMMYFUNCTION("GOOGLETRANSLATE(C776, ""en"", ""es"")"),"despreocupado")</f>
        <v>despreocupado</v>
      </c>
      <c r="B816" s="1">
        <v>1</v>
      </c>
      <c r="C816" s="1" t="s">
        <v>776</v>
      </c>
    </row>
    <row r="817" spans="1:3" ht="12.75" x14ac:dyDescent="0.2">
      <c r="A817" s="1" t="str">
        <f ca="1">IFERROR(__xludf.DUMMYFUNCTION("GOOGLETRANSLATE(C777, ""en"", ""es"")"),"despreocupado")</f>
        <v>despreocupado</v>
      </c>
      <c r="B817" s="1">
        <v>-2</v>
      </c>
      <c r="C817" s="1" t="s">
        <v>777</v>
      </c>
    </row>
    <row r="818" spans="1:3" ht="12.75" x14ac:dyDescent="0.2">
      <c r="A818" s="1" t="str">
        <f ca="1">IFERROR(__xludf.DUMMYFUNCTION("GOOGLETRANSLATE(C2025, ""en"", ""es"")"),"destacar")</f>
        <v>destacar</v>
      </c>
      <c r="B818" s="1">
        <v>2</v>
      </c>
      <c r="C818" s="1" t="s">
        <v>2023</v>
      </c>
    </row>
    <row r="819" spans="1:3" ht="12.75" x14ac:dyDescent="0.2">
      <c r="A819" s="1" t="str">
        <f ca="1">IFERROR(__xludf.DUMMYFUNCTION("GOOGLETRANSLATE(C779, ""en"", ""es"")"),"desterrar")</f>
        <v>desterrar</v>
      </c>
      <c r="B819" s="1">
        <v>-1</v>
      </c>
      <c r="C819" s="1" t="s">
        <v>779</v>
      </c>
    </row>
    <row r="820" spans="1:3" ht="12.75" x14ac:dyDescent="0.2">
      <c r="A820" s="1" t="str">
        <f ca="1">IFERROR(__xludf.DUMMYFUNCTION("GOOGLETRANSLATE(C780, ""en"", ""es"")"),"destrozado")</f>
        <v>destrozado</v>
      </c>
      <c r="B820" s="1">
        <v>-2</v>
      </c>
      <c r="C820" s="1" t="s">
        <v>780</v>
      </c>
    </row>
    <row r="821" spans="1:3" ht="12.75" x14ac:dyDescent="0.2">
      <c r="A821" s="1" t="str">
        <f ca="1">IFERROR(__xludf.DUMMYFUNCTION("GOOGLETRANSLATE(C781, ""en"", ""es"")"),"destrucción")</f>
        <v>destrucción</v>
      </c>
      <c r="B821" s="1">
        <v>-3</v>
      </c>
      <c r="C821" s="1" t="s">
        <v>781</v>
      </c>
    </row>
    <row r="822" spans="1:3" ht="12.75" x14ac:dyDescent="0.2">
      <c r="A822" s="1" t="str">
        <f ca="1">IFERROR(__xludf.DUMMYFUNCTION("GOOGLETRANSLATE(C782, ""en"", ""es"")"),"destructivo")</f>
        <v>destructivo</v>
      </c>
      <c r="B822" s="1">
        <v>-3</v>
      </c>
      <c r="C822" s="1" t="s">
        <v>782</v>
      </c>
    </row>
    <row r="823" spans="1:3" ht="12.75" x14ac:dyDescent="0.2">
      <c r="A823" s="1" t="str">
        <f ca="1">IFERROR(__xludf.DUMMYFUNCTION("GOOGLETRANSLATE(C786, ""en"", ""es"")"),"destructor")</f>
        <v>destructor</v>
      </c>
      <c r="B823" s="1">
        <v>-3</v>
      </c>
      <c r="C823" s="1" t="s">
        <v>786</v>
      </c>
    </row>
    <row r="824" spans="1:3" ht="12.75" x14ac:dyDescent="0.2">
      <c r="A824" s="1" t="str">
        <f ca="1">IFERROR(__xludf.DUMMYFUNCTION("GOOGLETRANSLATE(C783, ""en"", ""es"")"),"destruido")</f>
        <v>destruido</v>
      </c>
      <c r="B824" s="1">
        <v>-3</v>
      </c>
      <c r="C824" s="1" t="s">
        <v>783</v>
      </c>
    </row>
    <row r="825" spans="1:3" ht="12.75" x14ac:dyDescent="0.2">
      <c r="A825" s="1" t="str">
        <f ca="1">IFERROR(__xludf.DUMMYFUNCTION("GOOGLETRANSLATE(C784, ""en"", ""es"")"),"destruir")</f>
        <v>destruir</v>
      </c>
      <c r="B825" s="1">
        <v>-3</v>
      </c>
      <c r="C825" s="1" t="s">
        <v>784</v>
      </c>
    </row>
    <row r="826" spans="1:3" ht="12.75" x14ac:dyDescent="0.2">
      <c r="A826" s="1" t="str">
        <f ca="1">IFERROR(__xludf.DUMMYFUNCTION("GOOGLETRANSLATE(C785, ""en"", ""es"")"),"destruyendo")</f>
        <v>destruyendo</v>
      </c>
      <c r="B826" s="1">
        <v>-3</v>
      </c>
      <c r="C826" s="1" t="s">
        <v>785</v>
      </c>
    </row>
    <row r="827" spans="1:3" ht="12.75" x14ac:dyDescent="0.2">
      <c r="A827" s="1" t="str">
        <f ca="1">IFERROR(__xludf.DUMMYFUNCTION("GOOGLETRANSLATE(C787, ""en"", ""es"")"),"desventaja")</f>
        <v>desventaja</v>
      </c>
      <c r="B827" s="1">
        <v>-2</v>
      </c>
      <c r="C827" s="1" t="s">
        <v>787</v>
      </c>
    </row>
    <row r="828" spans="1:3" ht="12.75" x14ac:dyDescent="0.2">
      <c r="A828" s="1" t="str">
        <f ca="1">IFERROR(__xludf.DUMMYFUNCTION("GOOGLETRANSLATE(C789, ""en"", ""es"")"),"desventurado")</f>
        <v>desventurado</v>
      </c>
      <c r="B828" s="1">
        <v>-2</v>
      </c>
      <c r="C828" s="1" t="s">
        <v>790</v>
      </c>
    </row>
    <row r="829" spans="1:3" ht="12.75" x14ac:dyDescent="0.2">
      <c r="A829" s="1" t="str">
        <f ca="1">IFERROR(__xludf.DUMMYFUNCTION("GOOGLETRANSLATE(C1422, ""en"", ""es"")"),"desventuridad")</f>
        <v>desventuridad</v>
      </c>
      <c r="B829" s="1">
        <v>-2</v>
      </c>
      <c r="C829" s="1" t="s">
        <v>1423</v>
      </c>
    </row>
    <row r="830" spans="1:3" ht="12.75" x14ac:dyDescent="0.2">
      <c r="A830" s="1" t="str">
        <f ca="1">IFERROR(__xludf.DUMMYFUNCTION("GOOGLETRANSLATE(C790, ""en"", ""es"")"),"detención")</f>
        <v>detención</v>
      </c>
      <c r="B830" s="1">
        <v>-2</v>
      </c>
      <c r="C830" s="1" t="s">
        <v>791</v>
      </c>
    </row>
    <row r="831" spans="1:3" ht="12.75" x14ac:dyDescent="0.2">
      <c r="A831" s="1" t="str">
        <f ca="1">IFERROR(__xludf.DUMMYFUNCTION("GOOGLETRANSLATE(C792, ""en"", ""es"")"),"detener")</f>
        <v>detener</v>
      </c>
      <c r="B831" s="1">
        <v>-2</v>
      </c>
      <c r="C831" s="1" t="s">
        <v>793</v>
      </c>
    </row>
    <row r="832" spans="1:3" ht="12.75" x14ac:dyDescent="0.2">
      <c r="A832" s="1" t="str">
        <f ca="1">IFERROR(__xludf.DUMMYFUNCTION("GOOGLETRANSLATE(C793, ""en"", ""es"")"),"deténgase")</f>
        <v>deténgase</v>
      </c>
      <c r="B832" s="1">
        <v>-1</v>
      </c>
      <c r="C832" s="1" t="s">
        <v>794</v>
      </c>
    </row>
    <row r="833" spans="1:3" ht="12.75" x14ac:dyDescent="0.2">
      <c r="A833" s="1" t="str">
        <f ca="1">IFERROR(__xludf.DUMMYFUNCTION("GOOGLETRANSLATE(C794, ""en"", ""es"")"),"detenido")</f>
        <v>detenido</v>
      </c>
      <c r="B833" s="1">
        <v>-3</v>
      </c>
      <c r="C833" s="1" t="s">
        <v>795</v>
      </c>
    </row>
    <row r="834" spans="1:3" ht="12.75" x14ac:dyDescent="0.2">
      <c r="A834" s="1" t="str">
        <f ca="1">IFERROR(__xludf.DUMMYFUNCTION("GOOGLETRANSLATE(C795, ""en"", ""es"")"),"detenido")</f>
        <v>detenido</v>
      </c>
      <c r="B834" s="1">
        <v>-2</v>
      </c>
      <c r="C834" s="1" t="s">
        <v>796</v>
      </c>
    </row>
    <row r="835" spans="1:3" ht="12.75" x14ac:dyDescent="0.2">
      <c r="A835" s="1" t="str">
        <f ca="1">IFERROR(__xludf.DUMMYFUNCTION("GOOGLETRANSLATE(C897, ""en"", ""es"")"),"deterioro")</f>
        <v>deterioro</v>
      </c>
      <c r="B835" s="1">
        <v>-3</v>
      </c>
      <c r="C835" s="1" t="s">
        <v>899</v>
      </c>
    </row>
    <row r="836" spans="1:3" ht="12.75" x14ac:dyDescent="0.2">
      <c r="A836" s="1" t="str">
        <f ca="1">IFERROR(__xludf.DUMMYFUNCTION("GOOGLETRANSLATE(C483, ""en"", ""es"")"),"determinado")</f>
        <v>determinado</v>
      </c>
      <c r="B836" s="1">
        <v>1</v>
      </c>
      <c r="C836" s="1" t="s">
        <v>483</v>
      </c>
    </row>
    <row r="837" spans="1:3" ht="12.75" x14ac:dyDescent="0.2">
      <c r="A837" s="1" t="str">
        <f ca="1">IFERROR(__xludf.DUMMYFUNCTION("GOOGLETRANSLATE(C797, ""en"", ""es"")"),"determinado")</f>
        <v>determinado</v>
      </c>
      <c r="B837" s="1">
        <v>2</v>
      </c>
      <c r="C837" s="1" t="s">
        <v>798</v>
      </c>
    </row>
    <row r="838" spans="1:3" ht="12.75" x14ac:dyDescent="0.2">
      <c r="A838" s="1" t="str">
        <f ca="1">IFERROR(__xludf.DUMMYFUNCTION("GOOGLETRANSLATE(C798, ""en"", ""es"")"),"detestado")</f>
        <v>detestado</v>
      </c>
      <c r="B838" s="1">
        <v>-3</v>
      </c>
      <c r="C838" s="1" t="s">
        <v>799</v>
      </c>
    </row>
    <row r="839" spans="1:3" ht="12.75" x14ac:dyDescent="0.2">
      <c r="A839" s="1" t="str">
        <f ca="1">IFERROR(__xludf.DUMMYFUNCTION("GOOGLETRANSLATE(C799, ""en"", ""es"")"),"detestar")</f>
        <v>detestar</v>
      </c>
      <c r="B839" s="1">
        <v>-3</v>
      </c>
      <c r="C839" s="1" t="s">
        <v>800</v>
      </c>
    </row>
    <row r="840" spans="1:3" ht="12.75" x14ac:dyDescent="0.2">
      <c r="A840" s="1" t="str">
        <f ca="1">IFERROR(__xludf.DUMMYFUNCTION("GOOGLETRANSLATE(C800, ""en"", ""es"")"),"deuda")</f>
        <v>deuda</v>
      </c>
      <c r="B840" s="1">
        <v>-2</v>
      </c>
      <c r="C840" s="1" t="s">
        <v>801</v>
      </c>
    </row>
    <row r="841" spans="1:3" ht="12.75" x14ac:dyDescent="0.2">
      <c r="A841" s="1" t="s">
        <v>2491</v>
      </c>
      <c r="B841" s="1">
        <v>-1</v>
      </c>
      <c r="C841" s="1" t="s">
        <v>2493</v>
      </c>
    </row>
    <row r="842" spans="1:3" ht="12.75" x14ac:dyDescent="0.2">
      <c r="A842" s="1" t="str">
        <f ca="1">IFERROR(__xludf.DUMMYFUNCTION("GOOGLETRANSLATE(C801, ""en"", ""es"")"),"devastado")</f>
        <v>devastado</v>
      </c>
      <c r="B842" s="1">
        <v>-2</v>
      </c>
      <c r="C842" s="1" t="s">
        <v>802</v>
      </c>
    </row>
    <row r="843" spans="1:3" ht="12.75" x14ac:dyDescent="0.2">
      <c r="A843" s="1" t="str">
        <f ca="1">IFERROR(__xludf.DUMMYFUNCTION("GOOGLETRANSLATE(C802, ""en"", ""es"")"),"devastador")</f>
        <v>devastador</v>
      </c>
      <c r="B843" s="1">
        <v>-2</v>
      </c>
      <c r="C843" s="1" t="s">
        <v>803</v>
      </c>
    </row>
    <row r="844" spans="1:3" ht="12.75" x14ac:dyDescent="0.2">
      <c r="A844" s="1" t="str">
        <f ca="1">IFERROR(__xludf.DUMMYFUNCTION("GOOGLETRANSLATE(C803, ""en"", ""es"")"),"devastar")</f>
        <v>devastar</v>
      </c>
      <c r="B844" s="1">
        <v>-2</v>
      </c>
      <c r="C844" s="1" t="s">
        <v>804</v>
      </c>
    </row>
    <row r="845" spans="1:3" ht="12.75" x14ac:dyDescent="0.2">
      <c r="A845" s="1" t="str">
        <f ca="1">IFERROR(__xludf.DUMMYFUNCTION("GOOGLETRANSLATE(C804, ""en"", ""es"")"),"devoto")</f>
        <v>devoto</v>
      </c>
      <c r="B845" s="1">
        <v>3</v>
      </c>
      <c r="C845" s="1" t="s">
        <v>805</v>
      </c>
    </row>
    <row r="846" spans="1:3" ht="12.75" x14ac:dyDescent="0.2">
      <c r="A846" s="1" t="str">
        <f ca="1">IFERROR(__xludf.DUMMYFUNCTION("GOOGLETRANSLATE(C805, ""en"", ""es"")"),"diamante")</f>
        <v>diamante</v>
      </c>
      <c r="B846" s="1">
        <v>1</v>
      </c>
      <c r="C846" s="1" t="s">
        <v>806</v>
      </c>
    </row>
    <row r="847" spans="1:3" ht="12.75" x14ac:dyDescent="0.2">
      <c r="A847" s="1" t="str">
        <f ca="1">IFERROR(__xludf.DUMMYFUNCTION("GOOGLETRANSLATE(C806, ""en"", ""es"")"),"difamatorio")</f>
        <v>difamatorio</v>
      </c>
      <c r="B847" s="1">
        <v>-2</v>
      </c>
      <c r="C847" s="1" t="s">
        <v>807</v>
      </c>
    </row>
    <row r="848" spans="1:3" ht="12.75" x14ac:dyDescent="0.2">
      <c r="A848" s="1" t="str">
        <f ca="1">IFERROR(__xludf.DUMMYFUNCTION("GOOGLETRANSLATE(C807, ""en"", ""es"")"),"difícil")</f>
        <v>difícil</v>
      </c>
      <c r="B848" s="1">
        <v>-1</v>
      </c>
      <c r="C848" s="1" t="s">
        <v>808</v>
      </c>
    </row>
    <row r="849" spans="1:3" ht="12.75" x14ac:dyDescent="0.2">
      <c r="A849" s="1" t="str">
        <f ca="1">IFERROR(__xludf.DUMMYFUNCTION("GOOGLETRANSLATE(C809, ""en"", ""es"")"),"difícil")</f>
        <v>difícil</v>
      </c>
      <c r="B849" s="1">
        <v>-2</v>
      </c>
      <c r="C849" s="1" t="s">
        <v>810</v>
      </c>
    </row>
    <row r="850" spans="1:3" ht="12.75" x14ac:dyDescent="0.2">
      <c r="A850" s="1" t="str">
        <f ca="1">IFERROR(__xludf.DUMMYFUNCTION("GOOGLETRANSLATE(C812, ""en"", ""es"")"),"dilema")</f>
        <v>dilema</v>
      </c>
      <c r="B850" s="1">
        <v>-1</v>
      </c>
      <c r="C850" s="1" t="s">
        <v>813</v>
      </c>
    </row>
    <row r="851" spans="1:3" ht="12.75" x14ac:dyDescent="0.2">
      <c r="A851" s="1" t="str">
        <f ca="1">IFERROR(__xludf.DUMMYFUNCTION("GOOGLETRANSLATE(C199, ""en"", ""es"")"),"dinámico")</f>
        <v>dinámico</v>
      </c>
      <c r="B851" s="1">
        <v>2</v>
      </c>
      <c r="C851" s="1" t="s">
        <v>199</v>
      </c>
    </row>
    <row r="852" spans="1:3" ht="12.75" x14ac:dyDescent="0.2">
      <c r="A852" s="1" t="str">
        <f ca="1">IFERROR(__xludf.DUMMYFUNCTION("GOOGLETRANSLATE(C813, ""en"", ""es"")"),"dios")</f>
        <v>dios</v>
      </c>
      <c r="B852" s="1">
        <v>1</v>
      </c>
      <c r="C852" s="1" t="s">
        <v>814</v>
      </c>
    </row>
    <row r="853" spans="1:3" ht="12.75" x14ac:dyDescent="0.2">
      <c r="A853" s="1" t="str">
        <f ca="1">IFERROR(__xludf.DUMMYFUNCTION("GOOGLETRANSLATE(C814, ""en"", ""es"")"),"dipshit")</f>
        <v>dipshit</v>
      </c>
      <c r="B853" s="1">
        <v>-3</v>
      </c>
      <c r="C853" s="1" t="s">
        <v>815</v>
      </c>
    </row>
    <row r="854" spans="1:3" ht="12.75" x14ac:dyDescent="0.2">
      <c r="A854" s="1" t="str">
        <f ca="1">IFERROR(__xludf.DUMMYFUNCTION("GOOGLETRANSLATE(C815, ""en"", ""es"")"),"dirección correcta")</f>
        <v>dirección correcta</v>
      </c>
      <c r="B854" s="1">
        <v>3</v>
      </c>
      <c r="C854" s="1" t="s">
        <v>816</v>
      </c>
    </row>
    <row r="855" spans="1:3" ht="12.75" x14ac:dyDescent="0.2">
      <c r="A855" s="1" t="str">
        <f ca="1">IFERROR(__xludf.DUMMYFUNCTION("GOOGLETRANSLATE(C816, ""en"", ""es"")"),"discordia")</f>
        <v>discordia</v>
      </c>
      <c r="B855" s="1">
        <v>-2</v>
      </c>
      <c r="C855" s="1" t="s">
        <v>817</v>
      </c>
    </row>
    <row r="856" spans="1:3" ht="12.75" x14ac:dyDescent="0.2">
      <c r="A856" s="1" t="str">
        <f ca="1">IFERROR(__xludf.DUMMYFUNCTION("GOOGLETRANSLATE(C819, ""en"", ""es"")"),"disculpa")</f>
        <v>disculpa</v>
      </c>
      <c r="B856" s="1">
        <v>-1</v>
      </c>
      <c r="C856" s="1" t="s">
        <v>821</v>
      </c>
    </row>
    <row r="857" spans="1:3" ht="12.75" x14ac:dyDescent="0.2">
      <c r="A857" s="1" t="str">
        <f ca="1">IFERROR(__xludf.DUMMYFUNCTION("GOOGLETRANSLATE(C820, ""en"", ""es"")"),"disculpado")</f>
        <v>disculpado</v>
      </c>
      <c r="B857" s="1">
        <v>-1</v>
      </c>
      <c r="C857" s="1" t="s">
        <v>822</v>
      </c>
    </row>
    <row r="858" spans="1:3" ht="12.75" x14ac:dyDescent="0.2">
      <c r="A858" s="1" t="str">
        <f ca="1">IFERROR(__xludf.DUMMYFUNCTION("GOOGLETRANSLATE(C821, ""en"", ""es"")"),"disculpado")</f>
        <v>disculpado</v>
      </c>
      <c r="B858" s="1">
        <v>-1</v>
      </c>
      <c r="C858" s="1" t="s">
        <v>823</v>
      </c>
    </row>
    <row r="859" spans="1:3" ht="12.75" x14ac:dyDescent="0.2">
      <c r="A859" s="1" t="str">
        <f ca="1">IFERROR(__xludf.DUMMYFUNCTION("GOOGLETRANSLATE(C818, ""en"", ""es"")"),"disculpando")</f>
        <v>disculpando</v>
      </c>
      <c r="B859" s="1">
        <v>-1</v>
      </c>
      <c r="C859" s="1" t="s">
        <v>820</v>
      </c>
    </row>
    <row r="860" spans="1:3" ht="12.75" x14ac:dyDescent="0.2">
      <c r="A860" s="1" t="s">
        <v>818</v>
      </c>
      <c r="B860" s="1">
        <v>-1</v>
      </c>
      <c r="C860" s="1" t="s">
        <v>819</v>
      </c>
    </row>
    <row r="861" spans="1:3" ht="12.75" x14ac:dyDescent="0.2">
      <c r="A861" s="1" t="str">
        <f ca="1">IFERROR(__xludf.DUMMYFUNCTION("GOOGLETRANSLATE(C1081, ""en"", ""es"")"),"disculpar")</f>
        <v>disculpar</v>
      </c>
      <c r="B861" s="1">
        <v>-1</v>
      </c>
      <c r="C861" s="1" t="s">
        <v>1083</v>
      </c>
    </row>
    <row r="862" spans="1:3" ht="12.75" x14ac:dyDescent="0.2">
      <c r="A862" s="1" t="str">
        <f ca="1">IFERROR(__xludf.DUMMYFUNCTION("GOOGLETRANSLATE(C2167, ""en"", ""es"")"),"disculparse")</f>
        <v>disculparse</v>
      </c>
      <c r="B862" s="1">
        <v>-1</v>
      </c>
      <c r="C862" s="1" t="s">
        <v>2165</v>
      </c>
    </row>
    <row r="863" spans="1:3" ht="12.75" x14ac:dyDescent="0.2">
      <c r="A863" s="1" t="str">
        <f ca="1">IFERROR(__xludf.DUMMYFUNCTION("GOOGLETRANSLATE(C2168, ""en"", ""es"")"),"disculparse")</f>
        <v>disculparse</v>
      </c>
      <c r="B863" s="1">
        <v>-1</v>
      </c>
      <c r="C863" s="1" t="s">
        <v>2166</v>
      </c>
    </row>
    <row r="864" spans="1:3" ht="12.75" x14ac:dyDescent="0.2">
      <c r="A864" s="1" t="str">
        <f ca="1">IFERROR(__xludf.DUMMYFUNCTION("GOOGLETRANSLATE(C822, ""en"", ""es"")"),"disfraz")</f>
        <v>disfraz</v>
      </c>
      <c r="B864" s="1">
        <v>-1</v>
      </c>
      <c r="C864" s="1" t="s">
        <v>824</v>
      </c>
    </row>
    <row r="865" spans="1:3" ht="12.75" x14ac:dyDescent="0.2">
      <c r="A865" s="1" t="str">
        <f ca="1">IFERROR(__xludf.DUMMYFUNCTION("GOOGLETRANSLATE(C824, ""en"", ""es"")"),"disfrazado")</f>
        <v>disfrazado</v>
      </c>
      <c r="B865" s="1">
        <v>-1</v>
      </c>
      <c r="C865" s="1" t="s">
        <v>826</v>
      </c>
    </row>
    <row r="866" spans="1:3" ht="12.75" x14ac:dyDescent="0.2">
      <c r="A866" s="1" t="str">
        <f ca="1">IFERROR(__xludf.DUMMYFUNCTION("GOOGLETRANSLATE(C825, ""en"", ""es"")"),"disfrazado")</f>
        <v>disfrazado</v>
      </c>
      <c r="B866" s="1">
        <v>-1</v>
      </c>
      <c r="C866" s="1" t="s">
        <v>827</v>
      </c>
    </row>
    <row r="867" spans="1:3" ht="12.75" x14ac:dyDescent="0.2">
      <c r="A867" s="1" t="str">
        <f ca="1">IFERROR(__xludf.DUMMYFUNCTION("GOOGLETRANSLATE(C827, ""en"", ""es"")"),"disfrutando")</f>
        <v>disfrutando</v>
      </c>
      <c r="B867" s="1">
        <v>2</v>
      </c>
      <c r="C867" s="1" t="s">
        <v>829</v>
      </c>
    </row>
    <row r="868" spans="1:3" ht="12.75" x14ac:dyDescent="0.2">
      <c r="A868" s="1" t="str">
        <f ca="1">IFERROR(__xludf.DUMMYFUNCTION("GOOGLETRANSLATE(C826, ""en"", ""es"")"),"disfrutar")</f>
        <v>disfrutar</v>
      </c>
      <c r="B868" s="1">
        <v>2</v>
      </c>
      <c r="C868" s="1" t="s">
        <v>828</v>
      </c>
    </row>
    <row r="869" spans="1:3" ht="12.75" x14ac:dyDescent="0.2">
      <c r="A869" s="1" t="str">
        <f ca="1">IFERROR(__xludf.DUMMYFUNCTION("GOOGLETRANSLATE(C828, ""en"", ""es"")"),"disfrutar")</f>
        <v>disfrutar</v>
      </c>
      <c r="B869" s="1">
        <v>2</v>
      </c>
      <c r="C869" s="1" t="s">
        <v>830</v>
      </c>
    </row>
    <row r="870" spans="1:3" ht="12.75" x14ac:dyDescent="0.2">
      <c r="A870" s="1" t="str">
        <f ca="1">IFERROR(__xludf.DUMMYFUNCTION("GOOGLETRANSLATE(C829, ""en"", ""es"")"),"disfunción")</f>
        <v>disfunción</v>
      </c>
      <c r="B870" s="1">
        <v>-2</v>
      </c>
      <c r="C870" s="1" t="s">
        <v>831</v>
      </c>
    </row>
    <row r="871" spans="1:3" ht="12.75" x14ac:dyDescent="0.2">
      <c r="A871" s="1" t="str">
        <f ca="1">IFERROR(__xludf.DUMMYFUNCTION("GOOGLETRANSLATE(C467, ""en"", ""es"")"),"disgustado")</f>
        <v>disgustado</v>
      </c>
      <c r="B871" s="1">
        <v>-2</v>
      </c>
      <c r="C871" s="1" t="s">
        <v>467</v>
      </c>
    </row>
    <row r="872" spans="1:3" ht="12.75" x14ac:dyDescent="0.2">
      <c r="A872" s="1" t="str">
        <f ca="1">IFERROR(__xludf.DUMMYFUNCTION("GOOGLETRANSLATE(C830, ""en"", ""es"")"),"disgustado")</f>
        <v>disgustado</v>
      </c>
      <c r="B872" s="1">
        <v>-3</v>
      </c>
      <c r="C872" s="1" t="s">
        <v>832</v>
      </c>
    </row>
    <row r="873" spans="1:3" ht="12.75" x14ac:dyDescent="0.2">
      <c r="A873" s="1" t="str">
        <f ca="1">IFERROR(__xludf.DUMMYFUNCTION("GOOGLETRANSLATE(C831, ""en"", ""es"")"),"disgustado")</f>
        <v>disgustado</v>
      </c>
      <c r="B873" s="1">
        <v>-2</v>
      </c>
      <c r="C873" s="1" t="s">
        <v>833</v>
      </c>
    </row>
    <row r="874" spans="1:3" ht="12.75" x14ac:dyDescent="0.2">
      <c r="A874" s="1" t="str">
        <f ca="1">IFERROR(__xludf.DUMMYFUNCTION("GOOGLETRANSLATE(C2366, ""en"", ""es"")"),"disgustado")</f>
        <v>disgustado</v>
      </c>
      <c r="B874" s="1">
        <v>-2</v>
      </c>
      <c r="C874" s="1" t="s">
        <v>2362</v>
      </c>
    </row>
    <row r="875" spans="1:3" ht="12.75" x14ac:dyDescent="0.2">
      <c r="A875" s="1" t="str">
        <f ca="1">IFERROR(__xludf.DUMMYFUNCTION("GOOGLETRANSLATE(C832, ""en"", ""es"")"),"disgusto")</f>
        <v>disgusto</v>
      </c>
      <c r="B875" s="1">
        <v>-2</v>
      </c>
      <c r="C875" s="1" t="s">
        <v>834</v>
      </c>
    </row>
    <row r="876" spans="1:3" ht="12.75" x14ac:dyDescent="0.2">
      <c r="A876" s="1" t="str">
        <f ca="1">IFERROR(__xludf.DUMMYFUNCTION("GOOGLETRANSLATE(C833, ""en"", ""es"")"),"disgusto")</f>
        <v>disgusto</v>
      </c>
      <c r="B876" s="1">
        <v>-2</v>
      </c>
      <c r="C876" s="1" t="s">
        <v>835</v>
      </c>
    </row>
    <row r="877" spans="1:3" ht="12.75" x14ac:dyDescent="0.2">
      <c r="A877" s="1" t="str">
        <f ca="1">IFERROR(__xludf.DUMMYFUNCTION("GOOGLETRANSLATE(C836, ""en"", ""es"")"),"disparates")</f>
        <v>disparates</v>
      </c>
      <c r="B877" s="1">
        <v>-2</v>
      </c>
      <c r="C877" s="1" t="s">
        <v>838</v>
      </c>
    </row>
    <row r="878" spans="1:3" ht="12.75" x14ac:dyDescent="0.2">
      <c r="A878" s="1" t="str">
        <f ca="1">IFERROR(__xludf.DUMMYFUNCTION("GOOGLETRANSLATE(C835, ""en"", ""es"")"),"disparo")</f>
        <v>disparo</v>
      </c>
      <c r="B878" s="1">
        <v>-1</v>
      </c>
      <c r="C878" s="1" t="s">
        <v>837</v>
      </c>
    </row>
    <row r="879" spans="1:3" ht="12.75" x14ac:dyDescent="0.2">
      <c r="A879" s="1" t="str">
        <f ca="1">IFERROR(__xludf.DUMMYFUNCTION("GOOGLETRANSLATE(C837, ""en"", ""es"")"),"disparo")</f>
        <v>disparo</v>
      </c>
      <c r="B879" s="1">
        <v>-2</v>
      </c>
      <c r="C879" s="1" t="s">
        <v>839</v>
      </c>
    </row>
    <row r="880" spans="1:3" ht="12.75" x14ac:dyDescent="0.2">
      <c r="A880" s="1" t="str">
        <f ca="1">IFERROR(__xludf.DUMMYFUNCTION("GOOGLETRANSLATE(C524, ""en"", ""es"")"),"disponibilidad")</f>
        <v>disponibilidad</v>
      </c>
      <c r="B880" s="1">
        <v>2</v>
      </c>
      <c r="C880" s="1" t="s">
        <v>523</v>
      </c>
    </row>
    <row r="881" spans="1:3" ht="12.75" x14ac:dyDescent="0.2">
      <c r="A881" s="1" t="str">
        <f ca="1">IFERROR(__xludf.DUMMYFUNCTION("GOOGLETRANSLATE(C838, ""en"", ""es"")"),"disputar")</f>
        <v>disputar</v>
      </c>
      <c r="B881" s="1">
        <v>-2</v>
      </c>
      <c r="C881" s="1" t="s">
        <v>840</v>
      </c>
    </row>
    <row r="882" spans="1:3" ht="12.75" x14ac:dyDescent="0.2">
      <c r="A882" s="1" t="str">
        <f ca="1">IFERROR(__xludf.DUMMYFUNCTION("GOOGLETRANSLATE(C840, ""en"", ""es"")"),"disputas")</f>
        <v>disputas</v>
      </c>
      <c r="B882" s="1">
        <v>-2</v>
      </c>
      <c r="C882" s="1" t="s">
        <v>842</v>
      </c>
    </row>
    <row r="883" spans="1:3" ht="12.75" x14ac:dyDescent="0.2">
      <c r="A883" s="1" t="str">
        <f ca="1">IFERROR(__xludf.DUMMYFUNCTION("GOOGLETRANSLATE(C842, ""en"", ""es"")"),"disruptivo")</f>
        <v>disruptivo</v>
      </c>
      <c r="B883" s="1">
        <v>-2</v>
      </c>
      <c r="C883" s="1" t="s">
        <v>844</v>
      </c>
    </row>
    <row r="884" spans="1:3" ht="12.75" x14ac:dyDescent="0.2">
      <c r="A884" s="1" t="str">
        <f ca="1">IFERROR(__xludf.DUMMYFUNCTION("GOOGLETRANSLATE(C844, ""en"", ""es"")"),"distorsionado")</f>
        <v>distorsionado</v>
      </c>
      <c r="B884" s="1">
        <v>-2</v>
      </c>
      <c r="C884" s="1" t="s">
        <v>846</v>
      </c>
    </row>
    <row r="885" spans="1:3" ht="12.75" x14ac:dyDescent="0.2">
      <c r="A885" s="1" t="str">
        <f ca="1">IFERROR(__xludf.DUMMYFUNCTION("GOOGLETRANSLATE(C845, ""en"", ""es"")"),"distorsionar")</f>
        <v>distorsionar</v>
      </c>
      <c r="B885" s="1">
        <v>-2</v>
      </c>
      <c r="C885" s="1" t="s">
        <v>847</v>
      </c>
    </row>
    <row r="886" spans="1:3" ht="12.75" x14ac:dyDescent="0.2">
      <c r="A886" s="1" t="str">
        <f ca="1">IFERROR(__xludf.DUMMYFUNCTION("GOOGLETRANSLATE(C843, ""en"", ""es"")"),"distorsiones")</f>
        <v>distorsiones</v>
      </c>
      <c r="B886" s="1">
        <v>-2</v>
      </c>
      <c r="C886" s="1" t="s">
        <v>845</v>
      </c>
    </row>
    <row r="887" spans="1:3" ht="12.75" x14ac:dyDescent="0.2">
      <c r="A887" s="1" t="str">
        <f ca="1">IFERROR(__xludf.DUMMYFUNCTION("GOOGLETRANSLATE(C846, ""en"", ""es"")"),"distorsionista")</f>
        <v>distorsionista</v>
      </c>
      <c r="B887" s="1">
        <v>-2</v>
      </c>
      <c r="C887" s="1" t="s">
        <v>848</v>
      </c>
    </row>
    <row r="888" spans="1:3" ht="12.75" x14ac:dyDescent="0.2">
      <c r="A888" s="1" t="str">
        <f ca="1">IFERROR(__xludf.DUMMYFUNCTION("GOOGLETRANSLATE(C847, ""en"", ""es"")"),"distracción")</f>
        <v>distracción</v>
      </c>
      <c r="B888" s="1">
        <v>-2</v>
      </c>
      <c r="C888" s="1" t="s">
        <v>849</v>
      </c>
    </row>
    <row r="889" spans="1:3" ht="12.75" x14ac:dyDescent="0.2">
      <c r="A889" s="1" t="str">
        <f ca="1">IFERROR(__xludf.DUMMYFUNCTION("GOOGLETRANSLATE(C848, ""en"", ""es"")"),"distrae")</f>
        <v>distrae</v>
      </c>
      <c r="B889" s="1">
        <v>-2</v>
      </c>
      <c r="C889" s="1" t="s">
        <v>850</v>
      </c>
    </row>
    <row r="890" spans="1:3" ht="12.75" x14ac:dyDescent="0.2">
      <c r="A890" s="1" t="str">
        <f ca="1">IFERROR(__xludf.DUMMYFUNCTION("GOOGLETRANSLATE(C849, ""en"", ""es"")"),"distraer")</f>
        <v>distraer</v>
      </c>
      <c r="B890" s="1">
        <v>-2</v>
      </c>
      <c r="C890" s="1" t="s">
        <v>851</v>
      </c>
    </row>
    <row r="891" spans="1:3" ht="12.75" x14ac:dyDescent="0.2">
      <c r="A891" s="1" t="str">
        <f ca="1">IFERROR(__xludf.DUMMYFUNCTION("GOOGLETRANSLATE(C850, ""en"", ""es"")"),"distraído")</f>
        <v>distraído</v>
      </c>
      <c r="B891" s="1">
        <v>-2</v>
      </c>
      <c r="C891" s="1" t="s">
        <v>852</v>
      </c>
    </row>
    <row r="892" spans="1:3" ht="12.75" x14ac:dyDescent="0.2">
      <c r="A892" s="1" t="str">
        <f ca="1">IFERROR(__xludf.DUMMYFUNCTION("GOOGLETRANSLATE(C851, ""en"", ""es"")"),"disturbios")</f>
        <v>disturbios</v>
      </c>
      <c r="B892" s="1">
        <v>-2</v>
      </c>
      <c r="C892" s="1" t="s">
        <v>853</v>
      </c>
    </row>
    <row r="893" spans="1:3" ht="12.75" x14ac:dyDescent="0.2">
      <c r="A893" s="1" t="str">
        <f ca="1">IFERROR(__xludf.DUMMYFUNCTION("GOOGLETRANSLATE(C852, ""en"", ""es"")"),"diversión")</f>
        <v>diversión</v>
      </c>
      <c r="B893" s="1">
        <v>3</v>
      </c>
      <c r="C893" s="1" t="s">
        <v>854</v>
      </c>
    </row>
    <row r="894" spans="1:3" ht="12.75" x14ac:dyDescent="0.2">
      <c r="A894" s="1" t="str">
        <f ca="1">IFERROR(__xludf.DUMMYFUNCTION("GOOGLETRANSLATE(C853, ""en"", ""es"")"),"diversiones")</f>
        <v>diversiones</v>
      </c>
      <c r="B894" s="1">
        <v>3</v>
      </c>
      <c r="C894" s="1" t="s">
        <v>855</v>
      </c>
    </row>
    <row r="895" spans="1:3" ht="12.75" x14ac:dyDescent="0.2">
      <c r="A895" s="1" t="str">
        <f ca="1">IFERROR(__xludf.DUMMYFUNCTION("GOOGLETRANSLATE(C856, ""en"", ""es"")"),"divertida")</f>
        <v>divertida</v>
      </c>
      <c r="B895" s="1">
        <v>4</v>
      </c>
      <c r="C895" s="1" t="s">
        <v>858</v>
      </c>
    </row>
    <row r="896" spans="1:3" ht="12.75" x14ac:dyDescent="0.2">
      <c r="A896" s="1" t="str">
        <f ca="1">IFERROR(__xludf.DUMMYFUNCTION("GOOGLETRANSLATE(C854, ""en"", ""es"")"),"divertidísimo")</f>
        <v>divertidísimo</v>
      </c>
      <c r="B896" s="1">
        <v>2</v>
      </c>
      <c r="C896" s="1" t="s">
        <v>856</v>
      </c>
    </row>
    <row r="897" spans="1:3" ht="12.75" x14ac:dyDescent="0.2">
      <c r="A897" s="1" t="str">
        <f ca="1">IFERROR(__xludf.DUMMYFUNCTION("GOOGLETRANSLATE(C855, ""en"", ""es"")"),"divertido")</f>
        <v>divertido</v>
      </c>
      <c r="B897" s="1">
        <v>3</v>
      </c>
      <c r="C897" s="1" t="s">
        <v>857</v>
      </c>
    </row>
    <row r="898" spans="1:3" ht="12.75" x14ac:dyDescent="0.2">
      <c r="A898" s="1" t="str">
        <f ca="1">IFERROR(__xludf.DUMMYFUNCTION("GOOGLETRANSLATE(C637, ""en"", ""es"")"),"dolido")</f>
        <v>dolido</v>
      </c>
      <c r="B898" s="1">
        <v>-2</v>
      </c>
      <c r="C898" s="1" t="s">
        <v>637</v>
      </c>
    </row>
    <row r="899" spans="1:3" ht="12.75" x14ac:dyDescent="0.2">
      <c r="A899" s="1" t="str">
        <f ca="1">IFERROR(__xludf.DUMMYFUNCTION("GOOGLETRANSLATE(C857, ""en"", ""es"")"),"dolor")</f>
        <v>dolor</v>
      </c>
      <c r="B899" s="1">
        <v>-2</v>
      </c>
      <c r="C899" s="1" t="s">
        <v>859</v>
      </c>
    </row>
    <row r="900" spans="1:3" ht="12.75" x14ac:dyDescent="0.2">
      <c r="A900" s="1" t="str">
        <f ca="1">IFERROR(__xludf.DUMMYFUNCTION("GOOGLETRANSLATE(C858, ""en"", ""es"")"),"dolor")</f>
        <v>dolor</v>
      </c>
      <c r="B900" s="1">
        <v>-2</v>
      </c>
      <c r="C900" s="1" t="s">
        <v>860</v>
      </c>
    </row>
    <row r="901" spans="1:3" ht="12.75" x14ac:dyDescent="0.2">
      <c r="A901" s="1" t="str">
        <f ca="1">IFERROR(__xludf.DUMMYFUNCTION("GOOGLETRANSLATE(C860, ""en"", ""es"")"),"dolor")</f>
        <v>dolor</v>
      </c>
      <c r="B901" s="1">
        <v>-2</v>
      </c>
      <c r="C901" s="1" t="s">
        <v>862</v>
      </c>
    </row>
    <row r="902" spans="1:3" ht="12.75" x14ac:dyDescent="0.2">
      <c r="A902" s="1" t="str">
        <f ca="1">IFERROR(__xludf.DUMMYFUNCTION("GOOGLETRANSLATE(C1021, ""en"", ""es"")"),"dolores")</f>
        <v>dolores</v>
      </c>
      <c r="B902" s="1">
        <v>-2</v>
      </c>
      <c r="C902" s="1" t="s">
        <v>1023</v>
      </c>
    </row>
    <row r="903" spans="1:3" ht="12.75" x14ac:dyDescent="0.2">
      <c r="A903" s="1" t="str">
        <f ca="1">IFERROR(__xludf.DUMMYFUNCTION("GOOGLETRANSLATE(C862, ""en"", ""es"")"),"dolorido")</f>
        <v>dolorido</v>
      </c>
      <c r="B903" s="1">
        <v>-2</v>
      </c>
      <c r="C903" s="1" t="s">
        <v>864</v>
      </c>
    </row>
    <row r="904" spans="1:3" ht="12.75" x14ac:dyDescent="0.2">
      <c r="A904" s="1" t="str">
        <f ca="1">IFERROR(__xludf.DUMMYFUNCTION("GOOGLETRANSLATE(C864, ""en"", ""es"")"),"doloroso")</f>
        <v>doloroso</v>
      </c>
      <c r="B904" s="1">
        <v>-2</v>
      </c>
      <c r="C904" s="1" t="s">
        <v>866</v>
      </c>
    </row>
    <row r="905" spans="1:3" ht="12.75" x14ac:dyDescent="0.2">
      <c r="A905" s="1" t="str">
        <f ca="1">IFERROR(__xludf.DUMMYFUNCTION("GOOGLETRANSLATE(C251, ""en"", ""es"")"),"drags")</f>
        <v>drags</v>
      </c>
      <c r="B905" s="1">
        <v>-1</v>
      </c>
      <c r="C905" s="1" t="s">
        <v>251</v>
      </c>
    </row>
    <row r="906" spans="1:3" ht="12.75" x14ac:dyDescent="0.2">
      <c r="A906" s="1" t="str">
        <f ca="1">IFERROR(__xludf.DUMMYFUNCTION("GOOGLETRANSLATE(C865, ""en"", ""es"")"),"ducha")</f>
        <v>ducha</v>
      </c>
      <c r="B906" s="1">
        <v>-3</v>
      </c>
      <c r="C906" s="1" t="s">
        <v>867</v>
      </c>
    </row>
    <row r="907" spans="1:3" ht="12.75" x14ac:dyDescent="0.2">
      <c r="A907" s="1" t="str">
        <f ca="1">IFERROR(__xludf.DUMMYFUNCTION("GOOGLETRANSLATE(C866, ""en"", ""es"")"),"duda")</f>
        <v>duda</v>
      </c>
      <c r="B907" s="1">
        <v>-1</v>
      </c>
      <c r="C907" s="1" t="s">
        <v>868</v>
      </c>
    </row>
    <row r="908" spans="1:3" ht="12.75" x14ac:dyDescent="0.2">
      <c r="A908" s="1" t="str">
        <f ca="1">IFERROR(__xludf.DUMMYFUNCTION("GOOGLETRANSLATE(C867, ""en"", ""es"")"),"dudado")</f>
        <v>dudado</v>
      </c>
      <c r="B908" s="1">
        <v>-1</v>
      </c>
      <c r="C908" s="1" t="s">
        <v>869</v>
      </c>
    </row>
    <row r="909" spans="1:3" ht="12.75" x14ac:dyDescent="0.2">
      <c r="A909" s="1" t="str">
        <f ca="1">IFERROR(__xludf.DUMMYFUNCTION("GOOGLETRANSLATE(C2399, ""en"", ""es"")"),"dudar")</f>
        <v>dudar</v>
      </c>
      <c r="B909" s="1">
        <v>-2</v>
      </c>
      <c r="C909" s="1" t="s">
        <v>2395</v>
      </c>
    </row>
    <row r="910" spans="1:3" ht="12.75" x14ac:dyDescent="0.2">
      <c r="A910" s="1" t="str">
        <f ca="1">IFERROR(__xludf.DUMMYFUNCTION("GOOGLETRANSLATE(C868, ""en"", ""es"")"),"dudas")</f>
        <v>dudas</v>
      </c>
      <c r="B910" s="1">
        <v>-1</v>
      </c>
      <c r="C910" s="1" t="s">
        <v>870</v>
      </c>
    </row>
    <row r="911" spans="1:3" ht="12.75" x14ac:dyDescent="0.2">
      <c r="A911" s="1" t="str">
        <f ca="1">IFERROR(__xludf.DUMMYFUNCTION("GOOGLETRANSLATE(C869, ""en"", ""es"")"),"dudoso")</f>
        <v>dudoso</v>
      </c>
      <c r="B911" s="1">
        <v>-1</v>
      </c>
      <c r="C911" s="1" t="s">
        <v>871</v>
      </c>
    </row>
    <row r="912" spans="1:3" ht="12.75" x14ac:dyDescent="0.2">
      <c r="A912" s="1" t="str">
        <f ca="1">IFERROR(__xludf.DUMMYFUNCTION("GOOGLETRANSLATE(C870, ""en"", ""es"")"),"dudoso")</f>
        <v>dudoso</v>
      </c>
      <c r="B912" s="1">
        <v>-2</v>
      </c>
      <c r="C912" s="1" t="s">
        <v>872</v>
      </c>
    </row>
    <row r="913" spans="1:3" ht="12.75" x14ac:dyDescent="0.2">
      <c r="A913" s="1" t="str">
        <f ca="1">IFERROR(__xludf.DUMMYFUNCTION("GOOGLETRANSLATE(C871, ""en"", ""es"")"),"duele")</f>
        <v>duele</v>
      </c>
      <c r="B913" s="1">
        <v>-2</v>
      </c>
      <c r="C913" s="1" t="s">
        <v>873</v>
      </c>
    </row>
    <row r="914" spans="1:3" ht="12.75" x14ac:dyDescent="0.2">
      <c r="A914" s="1" t="str">
        <f ca="1">IFERROR(__xludf.DUMMYFUNCTION("GOOGLETRANSLATE(C364, ""en"", ""es"")"),"duelo")</f>
        <v>duelo</v>
      </c>
      <c r="B914" s="1">
        <v>-2</v>
      </c>
      <c r="C914" s="1" t="s">
        <v>364</v>
      </c>
    </row>
    <row r="915" spans="1:3" ht="12.75" x14ac:dyDescent="0.2">
      <c r="A915" s="1" t="str">
        <f ca="1">IFERROR(__xludf.DUMMYFUNCTION("GOOGLETRANSLATE(C365, ""en"", ""es"")"),"duelo")</f>
        <v>duelo</v>
      </c>
      <c r="B915" s="1">
        <v>-2</v>
      </c>
      <c r="C915" s="1" t="s">
        <v>365</v>
      </c>
    </row>
    <row r="916" spans="1:3" ht="12.75" x14ac:dyDescent="0.2">
      <c r="A916" s="1" t="str">
        <f ca="1">IFERROR(__xludf.DUMMYFUNCTION("GOOGLETRANSLATE(C872, ""en"", ""es"")"),"dulce")</f>
        <v>dulce</v>
      </c>
      <c r="B916" s="1">
        <v>2</v>
      </c>
      <c r="C916" s="1" t="s">
        <v>874</v>
      </c>
    </row>
    <row r="917" spans="1:3" ht="12.75" x14ac:dyDescent="0.2">
      <c r="A917" s="1" t="str">
        <f ca="1">IFERROR(__xludf.DUMMYFUNCTION("GOOGLETRANSLATE(C808, ""en"", ""es"")"),"duro")</f>
        <v>duro</v>
      </c>
      <c r="B917" s="1">
        <v>-1</v>
      </c>
      <c r="C917" s="1" t="s">
        <v>809</v>
      </c>
    </row>
    <row r="918" spans="1:3" ht="12.75" x14ac:dyDescent="0.2">
      <c r="A918" s="1" t="str">
        <f ca="1">IFERROR(__xludf.DUMMYFUNCTION("GOOGLETRANSLATE(C873, ""en"", ""es"")"),"duro")</f>
        <v>duro</v>
      </c>
      <c r="B918" s="1">
        <v>-2</v>
      </c>
      <c r="C918" s="1" t="s">
        <v>875</v>
      </c>
    </row>
    <row r="919" spans="1:3" ht="12.75" x14ac:dyDescent="0.2">
      <c r="A919" s="1" t="str">
        <f ca="1">IFERROR(__xludf.DUMMYFUNCTION("GOOGLETRANSLATE(C876, ""en"", ""es"")"),"efectivamente")</f>
        <v>efectivamente</v>
      </c>
      <c r="B919" s="1">
        <v>2</v>
      </c>
      <c r="C919" s="1" t="s">
        <v>878</v>
      </c>
    </row>
    <row r="920" spans="1:3" ht="12.75" x14ac:dyDescent="0.2">
      <c r="A920" s="1" t="str">
        <f ca="1">IFERROR(__xludf.DUMMYFUNCTION("GOOGLETRANSLATE(C875, ""en"", ""es"")"),"eficaz")</f>
        <v>eficaz</v>
      </c>
      <c r="B920" s="1">
        <v>2</v>
      </c>
      <c r="C920" s="1" t="s">
        <v>877</v>
      </c>
    </row>
    <row r="921" spans="1:3" ht="12.75" x14ac:dyDescent="0.2">
      <c r="A921" s="1" t="str">
        <f ca="1">IFERROR(__xludf.DUMMYFUNCTION("GOOGLETRANSLATE(C877, ""en"", ""es"")"),"egoísmo")</f>
        <v>egoísmo</v>
      </c>
      <c r="B921" s="1">
        <v>-3</v>
      </c>
      <c r="C921" s="1" t="s">
        <v>879</v>
      </c>
    </row>
    <row r="922" spans="1:3" ht="12.75" x14ac:dyDescent="0.2">
      <c r="A922" s="1" t="str">
        <f ca="1">IFERROR(__xludf.DUMMYFUNCTION("GOOGLETRANSLATE(C878, ""en"", ""es"")"),"egoísta")</f>
        <v>egoísta</v>
      </c>
      <c r="B922" s="1">
        <v>-3</v>
      </c>
      <c r="C922" s="1" t="s">
        <v>880</v>
      </c>
    </row>
    <row r="923" spans="1:3" ht="12.75" x14ac:dyDescent="0.2">
      <c r="A923" s="1" t="str">
        <f ca="1">IFERROR(__xludf.DUMMYFUNCTION("GOOGLETRANSLATE(C879, ""en"", ""es"")"),"ejecución hipotecaria")</f>
        <v>ejecución hipotecaria</v>
      </c>
      <c r="B923" s="1">
        <v>-2</v>
      </c>
      <c r="C923" s="1" t="s">
        <v>881</v>
      </c>
    </row>
    <row r="924" spans="1:3" ht="12.75" x14ac:dyDescent="0.2">
      <c r="A924" s="1" t="str">
        <f ca="1">IFERROR(__xludf.DUMMYFUNCTION("GOOGLETRANSLATE(C1645, ""en"", ""es"")"),"el más bajo")</f>
        <v>el más bajo</v>
      </c>
      <c r="B924" s="1">
        <v>-1</v>
      </c>
      <c r="C924" s="1" t="s">
        <v>1643</v>
      </c>
    </row>
    <row r="925" spans="1:3" ht="12.75" x14ac:dyDescent="0.2">
      <c r="A925" s="1" t="str">
        <f ca="1">IFERROR(__xludf.DUMMYFUNCTION("GOOGLETRANSLATE(C1651, ""en"", ""es"")"),"el más fuerte")</f>
        <v>el más fuerte</v>
      </c>
      <c r="B925" s="1">
        <v>2</v>
      </c>
      <c r="C925" s="1" t="s">
        <v>1649</v>
      </c>
    </row>
    <row r="926" spans="1:3" ht="12.75" x14ac:dyDescent="0.2">
      <c r="A926" s="1" t="str">
        <f ca="1">IFERROR(__xludf.DUMMYFUNCTION("GOOGLETRANSLATE(C1655, ""en"", ""es"")"),"el más oscuro")</f>
        <v>el más oscuro</v>
      </c>
      <c r="B926" s="1">
        <v>-2</v>
      </c>
      <c r="C926" s="1" t="s">
        <v>1653</v>
      </c>
    </row>
    <row r="927" spans="1:3" ht="12.75" x14ac:dyDescent="0.2">
      <c r="A927" s="1" t="str">
        <f ca="1">IFERROR(__xludf.DUMMYFUNCTION("GOOGLETRANSLATE(C1873, ""en"", ""es"")"),"el peor")</f>
        <v>el peor</v>
      </c>
      <c r="B927" s="1">
        <v>-3</v>
      </c>
      <c r="C927" s="1" t="s">
        <v>1871</v>
      </c>
    </row>
    <row r="928" spans="1:3" ht="12.75" x14ac:dyDescent="0.2">
      <c r="A928" s="1" t="str">
        <f ca="1">IFERROR(__xludf.DUMMYFUNCTION("GOOGLETRANSLATE(C882, ""en"", ""es"")"),"elación")</f>
        <v>elación</v>
      </c>
      <c r="B928" s="1">
        <v>3</v>
      </c>
      <c r="C928" s="1" t="s">
        <v>884</v>
      </c>
    </row>
    <row r="929" spans="1:3" ht="12.75" x14ac:dyDescent="0.2">
      <c r="A929" s="1" t="str">
        <f ca="1">IFERROR(__xludf.DUMMYFUNCTION("GOOGLETRANSLATE(C883, ""en"", ""es"")"),"elegante")</f>
        <v>elegante</v>
      </c>
      <c r="B929" s="1">
        <v>2</v>
      </c>
      <c r="C929" s="1" t="s">
        <v>885</v>
      </c>
    </row>
    <row r="930" spans="1:3" ht="12.75" x14ac:dyDescent="0.2">
      <c r="A930" s="1" t="str">
        <f ca="1">IFERROR(__xludf.DUMMYFUNCTION("GOOGLETRANSLATE(C884, ""en"", ""es"")"),"elegante")</f>
        <v>elegante</v>
      </c>
      <c r="B930" s="1">
        <v>2</v>
      </c>
      <c r="C930" s="1" t="s">
        <v>886</v>
      </c>
    </row>
    <row r="931" spans="1:3" ht="12.75" x14ac:dyDescent="0.2">
      <c r="A931" s="1" t="str">
        <f ca="1">IFERROR(__xludf.DUMMYFUNCTION("GOOGLETRANSLATE(C885, ""en"", ""es"")"),"elegante")</f>
        <v>elegante</v>
      </c>
      <c r="B931" s="1">
        <v>2</v>
      </c>
      <c r="C931" s="1" t="s">
        <v>887</v>
      </c>
    </row>
    <row r="932" spans="1:3" ht="12.75" x14ac:dyDescent="0.2">
      <c r="A932" s="1" t="str">
        <f ca="1">IFERROR(__xludf.DUMMYFUNCTION("GOOGLETRANSLATE(C886, ""en"", ""es"")"),"elogiado")</f>
        <v>elogiado</v>
      </c>
      <c r="B932" s="1">
        <v>2</v>
      </c>
      <c r="C932" s="1" t="s">
        <v>888</v>
      </c>
    </row>
    <row r="933" spans="1:3" ht="12.75" x14ac:dyDescent="0.2">
      <c r="A933" s="1" t="str">
        <f ca="1">IFERROR(__xludf.DUMMYFUNCTION("GOOGLETRANSLATE(C887, ""en"", ""es"")"),"elogiar")</f>
        <v>elogiar</v>
      </c>
      <c r="B933" s="1">
        <v>2</v>
      </c>
      <c r="C933" s="1" t="s">
        <v>889</v>
      </c>
    </row>
    <row r="934" spans="1:3" ht="12.75" x14ac:dyDescent="0.2">
      <c r="A934" s="1" t="str">
        <f ca="1">IFERROR(__xludf.DUMMYFUNCTION("GOOGLETRANSLATE(C123, ""en"", ""es"")"),"elogio")</f>
        <v>elogio</v>
      </c>
      <c r="B934" s="1">
        <v>3</v>
      </c>
      <c r="C934" s="1" t="s">
        <v>123</v>
      </c>
    </row>
    <row r="935" spans="1:3" ht="12.75" x14ac:dyDescent="0.2">
      <c r="A935" s="1" t="str">
        <f ca="1">IFERROR(__xludf.DUMMYFUNCTION("GOOGLETRANSLATE(C124, ""en"", ""es"")"),"elogio")</f>
        <v>elogio</v>
      </c>
      <c r="B935" s="1">
        <v>3</v>
      </c>
      <c r="C935" s="1" t="s">
        <v>124</v>
      </c>
    </row>
    <row r="936" spans="1:3" ht="12.75" x14ac:dyDescent="0.2">
      <c r="A936" s="1" t="str">
        <f ca="1">IFERROR(__xludf.DUMMYFUNCTION("GOOGLETRANSLATE(C889, ""en"", ""es"")"),"embarazoso")</f>
        <v>embarazoso</v>
      </c>
      <c r="B936" s="1">
        <v>-2</v>
      </c>
      <c r="C936" s="1" t="s">
        <v>891</v>
      </c>
    </row>
    <row r="937" spans="1:3" ht="12.75" x14ac:dyDescent="0.2">
      <c r="A937" s="1" t="str">
        <f ca="1">IFERROR(__xludf.DUMMYFUNCTION("GOOGLETRANSLATE(C890, ""en"", ""es"")"),"embaucar")</f>
        <v>embaucar</v>
      </c>
      <c r="B937" s="1">
        <v>-2</v>
      </c>
      <c r="C937" s="1" t="s">
        <v>892</v>
      </c>
    </row>
    <row r="938" spans="1:3" ht="12.75" x14ac:dyDescent="0.2">
      <c r="A938" s="1" t="str">
        <f ca="1">IFERROR(__xludf.DUMMYFUNCTION("GOOGLETRANSLATE(C891, ""en"", ""es"")"),"embellecer")</f>
        <v>embellecer</v>
      </c>
      <c r="B938" s="1">
        <v>3</v>
      </c>
      <c r="C938" s="1" t="s">
        <v>893</v>
      </c>
    </row>
    <row r="939" spans="1:3" ht="12.75" x14ac:dyDescent="0.2">
      <c r="A939" s="1" t="str">
        <f ca="1">IFERROR(__xludf.DUMMYFUNCTION("GOOGLETRANSLATE(C892, ""en"", ""es"")"),"emergencia")</f>
        <v>emergencia</v>
      </c>
      <c r="B939" s="1">
        <v>-2</v>
      </c>
      <c r="C939" s="1" t="s">
        <v>894</v>
      </c>
    </row>
    <row r="940" spans="1:3" ht="12.75" x14ac:dyDescent="0.2">
      <c r="A940" s="1" t="str">
        <f ca="1">IFERROR(__xludf.DUMMYFUNCTION("GOOGLETRANSLATE(C894, ""en"", ""es"")"),"emocionado")</f>
        <v>emocionado</v>
      </c>
      <c r="B940" s="1">
        <v>2</v>
      </c>
      <c r="C940" s="1" t="s">
        <v>896</v>
      </c>
    </row>
    <row r="941" spans="1:3" ht="12.75" x14ac:dyDescent="0.2">
      <c r="A941" s="1" t="str">
        <f ca="1">IFERROR(__xludf.DUMMYFUNCTION("GOOGLETRANSLATE(C895, ""en"", ""es"")"),"emocionado")</f>
        <v>emocionado</v>
      </c>
      <c r="B941" s="1">
        <v>3</v>
      </c>
      <c r="C941" s="1" t="s">
        <v>897</v>
      </c>
    </row>
    <row r="942" spans="1:3" ht="12.75" x14ac:dyDescent="0.2">
      <c r="A942" s="1" t="str">
        <f ca="1">IFERROR(__xludf.DUMMYFUNCTION("GOOGLETRANSLATE(C2051, ""en"", ""es"")"),"emociones")</f>
        <v>emociones</v>
      </c>
      <c r="B942" s="1">
        <v>3</v>
      </c>
      <c r="C942" s="1" t="s">
        <v>2049</v>
      </c>
    </row>
    <row r="943" spans="1:3" ht="12.75" x14ac:dyDescent="0.2">
      <c r="A943" s="1" t="str">
        <f ca="1">IFERROR(__xludf.DUMMYFUNCTION("GOOGLETRANSLATE(C898, ""en"", ""es"")"),"empático")</f>
        <v>empático</v>
      </c>
      <c r="B943" s="1">
        <v>2</v>
      </c>
      <c r="C943" s="1" t="s">
        <v>900</v>
      </c>
    </row>
    <row r="944" spans="1:3" ht="12.75" x14ac:dyDescent="0.2">
      <c r="A944" s="1" t="str">
        <f ca="1">IFERROR(__xludf.DUMMYFUNCTION("GOOGLETRANSLATE(C900, ""en"", ""es"")"),"empeorado")</f>
        <v>empeorado</v>
      </c>
      <c r="B944" s="1">
        <v>-3</v>
      </c>
      <c r="C944" s="1" t="s">
        <v>902</v>
      </c>
    </row>
    <row r="945" spans="1:3" ht="12.75" x14ac:dyDescent="0.2">
      <c r="A945" s="1" t="str">
        <f ca="1">IFERROR(__xludf.DUMMYFUNCTION("GOOGLETRANSLATE(C899, ""en"", ""es"")"),"empeoramiento")</f>
        <v>empeoramiento</v>
      </c>
      <c r="B945" s="1">
        <v>-3</v>
      </c>
      <c r="C945" s="1" t="s">
        <v>901</v>
      </c>
    </row>
    <row r="946" spans="1:3" ht="12.75" x14ac:dyDescent="0.2">
      <c r="A946" s="1" t="str">
        <f ca="1">IFERROR(__xludf.DUMMYFUNCTION("GOOGLETRANSLATE(C901, ""en"", ""es"")"),"empeoramiento")</f>
        <v>empeoramiento</v>
      </c>
      <c r="B946" s="1">
        <v>-3</v>
      </c>
      <c r="C946" s="1" t="s">
        <v>903</v>
      </c>
    </row>
    <row r="947" spans="1:3" ht="12.75" x14ac:dyDescent="0.2">
      <c r="A947" s="1" t="str">
        <f ca="1">IFERROR(__xludf.DUMMYFUNCTION("GOOGLETRANSLATE(C902, ""en"", ""es"")"),"empeorar")</f>
        <v>empeorar</v>
      </c>
      <c r="B947" s="1">
        <v>-3</v>
      </c>
      <c r="C947" s="1" t="s">
        <v>904</v>
      </c>
    </row>
    <row r="948" spans="1:3" ht="12.75" x14ac:dyDescent="0.2">
      <c r="A948" s="1" t="str">
        <f ca="1">IFERROR(__xludf.DUMMYFUNCTION("GOOGLETRANSLATE(C903, ""en"", ""es"")"),"empequeñecer")</f>
        <v>empequeñecer</v>
      </c>
      <c r="B948" s="1">
        <v>-2</v>
      </c>
      <c r="C948" s="1" t="s">
        <v>905</v>
      </c>
    </row>
    <row r="949" spans="1:3" ht="12.75" x14ac:dyDescent="0.2">
      <c r="A949" s="1" t="str">
        <f ca="1">IFERROR(__xludf.DUMMYFUNCTION("GOOGLETRANSLATE(C905, ""en"", ""es"")"),"emprendedor")</f>
        <v>emprendedor</v>
      </c>
      <c r="B949" s="1">
        <v>1</v>
      </c>
      <c r="C949" s="1" t="s">
        <v>907</v>
      </c>
    </row>
    <row r="950" spans="1:3" ht="12.75" x14ac:dyDescent="0.2">
      <c r="A950" s="1" t="str">
        <f ca="1">IFERROR(__xludf.DUMMYFUNCTION("GOOGLETRANSLATE(C1370, ""en"", ""es"")"),"en acción")</f>
        <v>en acción</v>
      </c>
      <c r="B950" s="1">
        <v>-2</v>
      </c>
      <c r="C950" s="1" t="s">
        <v>1371</v>
      </c>
    </row>
    <row r="951" spans="1:3" ht="12.75" x14ac:dyDescent="0.2">
      <c r="A951" s="1" t="str">
        <f ca="1">IFERROR(__xludf.DUMMYFUNCTION("GOOGLETRANSLATE(C2136, ""en"", ""es"")"),"en bancarrota")</f>
        <v>en bancarrota</v>
      </c>
      <c r="B951" s="1">
        <v>-1</v>
      </c>
      <c r="C951" s="1" t="s">
        <v>2134</v>
      </c>
    </row>
    <row r="952" spans="1:3" ht="12.75" x14ac:dyDescent="0.2">
      <c r="A952" s="1" t="str">
        <f ca="1">IFERROR(__xludf.DUMMYFUNCTION("GOOGLETRANSLATE(C121, ""en"", ""es"")"),"encajar")</f>
        <v>encajar</v>
      </c>
      <c r="B952" s="1">
        <v>1</v>
      </c>
      <c r="C952" s="1" t="s">
        <v>121</v>
      </c>
    </row>
    <row r="953" spans="1:3" ht="12.75" x14ac:dyDescent="0.2">
      <c r="A953" s="1" t="str">
        <f ca="1">IFERROR(__xludf.DUMMYFUNCTION("GOOGLETRANSLATE(C907, ""en"", ""es"")"),"encalar")</f>
        <v>encalar</v>
      </c>
      <c r="B953" s="1">
        <v>-3</v>
      </c>
      <c r="C953" s="1" t="s">
        <v>909</v>
      </c>
    </row>
    <row r="954" spans="1:3" ht="12.75" x14ac:dyDescent="0.2">
      <c r="A954" s="1" t="str">
        <f ca="1">IFERROR(__xludf.DUMMYFUNCTION("GOOGLETRANSLATE(C908, ""en"", ""es"")"),"encantado")</f>
        <v>encantado</v>
      </c>
      <c r="B954" s="1">
        <v>2</v>
      </c>
      <c r="C954" s="1" t="s">
        <v>910</v>
      </c>
    </row>
    <row r="955" spans="1:3" ht="12.75" x14ac:dyDescent="0.2">
      <c r="A955" s="1" t="str">
        <f ca="1">IFERROR(__xludf.DUMMYFUNCTION("GOOGLETRANSLATE(C909, ""en"", ""es"")"),"encantado")</f>
        <v>encantado</v>
      </c>
      <c r="B955" s="1">
        <v>3</v>
      </c>
      <c r="C955" s="1" t="s">
        <v>911</v>
      </c>
    </row>
    <row r="956" spans="1:3" ht="12.75" x14ac:dyDescent="0.2">
      <c r="A956" s="1" t="str">
        <f ca="1">IFERROR(__xludf.DUMMYFUNCTION("GOOGLETRANSLATE(C910, ""en"", ""es"")"),"encantador")</f>
        <v>encantador</v>
      </c>
      <c r="B956" s="1">
        <v>3</v>
      </c>
      <c r="C956" s="1" t="s">
        <v>912</v>
      </c>
    </row>
    <row r="957" spans="1:3" ht="12.75" x14ac:dyDescent="0.2">
      <c r="A957" s="1" t="str">
        <f ca="1">IFERROR(__xludf.DUMMYFUNCTION("GOOGLETRANSLATE(C911, ""en"", ""es"")"),"encantador")</f>
        <v>encantador</v>
      </c>
      <c r="B957" s="1">
        <v>3</v>
      </c>
      <c r="C957" s="1" t="s">
        <v>913</v>
      </c>
    </row>
    <row r="958" spans="1:3" ht="12.75" x14ac:dyDescent="0.2">
      <c r="A958" s="1" t="str">
        <f ca="1">IFERROR(__xludf.DUMMYFUNCTION("GOOGLETRANSLATE(C913, ""en"", ""es"")"),"encanto")</f>
        <v>encanto</v>
      </c>
      <c r="B958" s="1">
        <v>3</v>
      </c>
      <c r="C958" s="1" t="s">
        <v>915</v>
      </c>
    </row>
    <row r="959" spans="1:3" ht="12.75" x14ac:dyDescent="0.2">
      <c r="A959" s="1" t="str">
        <f ca="1">IFERROR(__xludf.DUMMYFUNCTION("GOOGLETRANSLATE(C914, ""en"", ""es"")"),"encarcelado")</f>
        <v>encarcelado</v>
      </c>
      <c r="B959" s="1">
        <v>-2</v>
      </c>
      <c r="C959" s="1" t="s">
        <v>916</v>
      </c>
    </row>
    <row r="960" spans="1:3" ht="12.75" x14ac:dyDescent="0.2">
      <c r="A960" s="1" t="str">
        <f ca="1">IFERROR(__xludf.DUMMYFUNCTION("GOOGLETRANSLATE(C915, ""en"", ""es"")"),"encarcelado")</f>
        <v>encarcelado</v>
      </c>
      <c r="B960" s="1">
        <v>-2</v>
      </c>
      <c r="C960" s="1" t="s">
        <v>917</v>
      </c>
    </row>
    <row r="961" spans="1:3" ht="12.75" x14ac:dyDescent="0.2">
      <c r="A961" s="1" t="str">
        <f ca="1">IFERROR(__xludf.DUMMYFUNCTION("GOOGLETRANSLATE(C916, ""en"", ""es"")"),"enconado")</f>
        <v>enconado</v>
      </c>
      <c r="B961" s="1">
        <v>-2</v>
      </c>
      <c r="C961" s="1" t="s">
        <v>918</v>
      </c>
    </row>
    <row r="962" spans="1:3" ht="12.75" x14ac:dyDescent="0.2">
      <c r="A962" s="1" t="str">
        <f ca="1">IFERROR(__xludf.DUMMYFUNCTION("GOOGLETRANSLATE(C918, ""en"", ""es"")"),"endosar")</f>
        <v>endosar</v>
      </c>
      <c r="B962" s="1">
        <v>2</v>
      </c>
      <c r="C962" s="1" t="s">
        <v>920</v>
      </c>
    </row>
    <row r="963" spans="1:3" ht="12.75" x14ac:dyDescent="0.2">
      <c r="A963" s="1" t="str">
        <f ca="1">IFERROR(__xludf.DUMMYFUNCTION("GOOGLETRANSLATE(C919, ""en"", ""es"")"),"enemigo")</f>
        <v>enemigo</v>
      </c>
      <c r="B963" s="1">
        <v>-2</v>
      </c>
      <c r="C963" s="1" t="s">
        <v>921</v>
      </c>
    </row>
    <row r="964" spans="1:3" ht="12.75" x14ac:dyDescent="0.2">
      <c r="A964" s="1" t="str">
        <f ca="1">IFERROR(__xludf.DUMMYFUNCTION("GOOGLETRANSLATE(C920, ""en"", ""es"")"),"enemigos")</f>
        <v>enemigos</v>
      </c>
      <c r="B964" s="1">
        <v>-2</v>
      </c>
      <c r="C964" s="1" t="s">
        <v>922</v>
      </c>
    </row>
    <row r="965" spans="1:3" ht="12.75" x14ac:dyDescent="0.2">
      <c r="A965" s="1" t="str">
        <f ca="1">IFERROR(__xludf.DUMMYFUNCTION("GOOGLETRANSLATE(C922, ""en"", ""es"")"),"enérgico")</f>
        <v>enérgico</v>
      </c>
      <c r="B965" s="1">
        <v>2</v>
      </c>
      <c r="C965" s="1" t="s">
        <v>924</v>
      </c>
    </row>
    <row r="966" spans="1:3" ht="12.75" x14ac:dyDescent="0.2">
      <c r="A966" s="1" t="str">
        <f ca="1">IFERROR(__xludf.DUMMYFUNCTION("GOOGLETRANSLATE(C923, ""en"", ""es"")"),"enérgico")</f>
        <v>enérgico</v>
      </c>
      <c r="B966" s="1">
        <v>2</v>
      </c>
      <c r="C966" s="1" t="s">
        <v>925</v>
      </c>
    </row>
    <row r="967" spans="1:3" ht="12.75" x14ac:dyDescent="0.2">
      <c r="A967" s="1" t="str">
        <f ca="1">IFERROR(__xludf.DUMMYFUNCTION("GOOGLETRANSLATE(C924, ""en"", ""es"")"),"enérgico")</f>
        <v>enérgico</v>
      </c>
      <c r="B967" s="1">
        <v>2</v>
      </c>
      <c r="C967" s="1" t="s">
        <v>926</v>
      </c>
    </row>
    <row r="968" spans="1:3" ht="12.75" x14ac:dyDescent="0.2">
      <c r="A968" s="1" t="str">
        <f ca="1">IFERROR(__xludf.DUMMYFUNCTION("GOOGLETRANSLATE(C925, ""en"", ""es"")"),"enfado")</f>
        <v>enfado</v>
      </c>
      <c r="B968" s="1">
        <v>-3</v>
      </c>
      <c r="C968" s="1" t="s">
        <v>927</v>
      </c>
    </row>
    <row r="969" spans="1:3" ht="12.75" x14ac:dyDescent="0.2">
      <c r="A969" s="1" t="str">
        <f ca="1">IFERROR(__xludf.DUMMYFUNCTION("GOOGLETRANSLATE(C926, ""en"", ""es"")"),"enfermedad")</f>
        <v>enfermedad</v>
      </c>
      <c r="B969" s="1">
        <v>-2</v>
      </c>
      <c r="C969" s="1" t="s">
        <v>928</v>
      </c>
    </row>
    <row r="970" spans="1:3" ht="12.75" x14ac:dyDescent="0.2">
      <c r="A970" s="1" t="str">
        <f ca="1">IFERROR(__xludf.DUMMYFUNCTION("GOOGLETRANSLATE(C927, ""en"", ""es"")"),"enfermedades")</f>
        <v>enfermedades</v>
      </c>
      <c r="B970" s="1">
        <v>-2</v>
      </c>
      <c r="C970" s="1" t="s">
        <v>929</v>
      </c>
    </row>
    <row r="971" spans="1:3" ht="12.75" x14ac:dyDescent="0.2">
      <c r="A971" s="1" t="str">
        <f ca="1">IFERROR(__xludf.DUMMYFUNCTION("GOOGLETRANSLATE(C928, ""en"", ""es"")"),"enfermo")</f>
        <v>enfermo</v>
      </c>
      <c r="B971" s="1">
        <v>-2</v>
      </c>
      <c r="C971" s="1" t="s">
        <v>930</v>
      </c>
    </row>
    <row r="972" spans="1:3" ht="12.75" x14ac:dyDescent="0.2">
      <c r="A972" s="1" t="str">
        <f ca="1">IFERROR(__xludf.DUMMYFUNCTION("GOOGLETRANSLATE(C929, ""en"", ""es"")"),"enfermo")</f>
        <v>enfermo</v>
      </c>
      <c r="B972" s="1">
        <v>-2</v>
      </c>
      <c r="C972" s="1" t="s">
        <v>931</v>
      </c>
    </row>
    <row r="973" spans="1:3" ht="12.75" x14ac:dyDescent="0.2">
      <c r="A973" s="1" t="str">
        <f ca="1">IFERROR(__xludf.DUMMYFUNCTION("GOOGLETRANSLATE(C931, ""en"", ""es"")"),"enfurece")</f>
        <v>enfurece</v>
      </c>
      <c r="B973" s="1">
        <v>-2</v>
      </c>
      <c r="C973" s="1" t="s">
        <v>933</v>
      </c>
    </row>
    <row r="974" spans="1:3" ht="12.75" x14ac:dyDescent="0.2">
      <c r="A974" s="1" t="str">
        <f ca="1">IFERROR(__xludf.DUMMYFUNCTION("GOOGLETRANSLATE(C933, ""en"", ""es"")"),"enfurecer")</f>
        <v>enfurecer</v>
      </c>
      <c r="B974" s="1">
        <v>-2</v>
      </c>
      <c r="C974" s="1" t="s">
        <v>935</v>
      </c>
    </row>
    <row r="975" spans="1:3" ht="12.75" x14ac:dyDescent="0.2">
      <c r="A975" s="1" t="str">
        <f ca="1">IFERROR(__xludf.DUMMYFUNCTION("GOOGLETRANSLATE(C934, ""en"", ""es"")"),"enfurecer")</f>
        <v>enfurecer</v>
      </c>
      <c r="B975" s="1">
        <v>-2</v>
      </c>
      <c r="C975" s="1" t="s">
        <v>936</v>
      </c>
    </row>
    <row r="976" spans="1:3" ht="12.75" x14ac:dyDescent="0.2">
      <c r="A976" s="1" t="str">
        <f ca="1">IFERROR(__xludf.DUMMYFUNCTION("GOOGLETRANSLATE(C932, ""en"", ""es"")"),"enfurecible")</f>
        <v>enfurecible</v>
      </c>
      <c r="B976" s="1">
        <v>-2</v>
      </c>
      <c r="C976" s="1" t="s">
        <v>934</v>
      </c>
    </row>
    <row r="977" spans="1:3" ht="12.75" x14ac:dyDescent="0.2">
      <c r="A977" s="1" t="str">
        <f ca="1">IFERROR(__xludf.DUMMYFUNCTION("GOOGLETRANSLATE(C935, ""en"", ""es"")"),"enfurecido")</f>
        <v>enfurecido</v>
      </c>
      <c r="B977" s="1">
        <v>-2</v>
      </c>
      <c r="C977" s="1" t="s">
        <v>937</v>
      </c>
    </row>
    <row r="978" spans="1:3" ht="12.75" x14ac:dyDescent="0.2">
      <c r="A978" s="1" t="str">
        <f ca="1">IFERROR(__xludf.DUMMYFUNCTION("GOOGLETRANSLATE(C936, ""en"", ""es"")"),"enfurecido")</f>
        <v>enfurecido</v>
      </c>
      <c r="B978" s="1">
        <v>-2</v>
      </c>
      <c r="C978" s="1" t="s">
        <v>938</v>
      </c>
    </row>
    <row r="979" spans="1:3" ht="12.75" x14ac:dyDescent="0.2">
      <c r="A979" s="1" t="str">
        <f ca="1">IFERROR(__xludf.DUMMYFUNCTION("GOOGLETRANSLATE(C939, ""en"", ""es"")"),"engañado")</f>
        <v>engañado</v>
      </c>
      <c r="B979" s="1">
        <v>-2</v>
      </c>
      <c r="C979" s="1" t="s">
        <v>941</v>
      </c>
    </row>
    <row r="980" spans="1:3" ht="12.75" x14ac:dyDescent="0.2">
      <c r="A980" s="1" t="str">
        <f ca="1">IFERROR(__xludf.DUMMYFUNCTION("GOOGLETRANSLATE(C940, ""en"", ""es"")"),"engañado")</f>
        <v>engañado</v>
      </c>
      <c r="B980" s="1">
        <v>-3</v>
      </c>
      <c r="C980" s="1" t="s">
        <v>942</v>
      </c>
    </row>
    <row r="981" spans="1:3" ht="12.75" x14ac:dyDescent="0.2">
      <c r="A981" s="1" t="str">
        <f ca="1">IFERROR(__xludf.DUMMYFUNCTION("GOOGLETRANSLATE(C941, ""en"", ""es"")"),"engañado")</f>
        <v>engañado</v>
      </c>
      <c r="B981" s="1">
        <v>-3</v>
      </c>
      <c r="C981" s="1" t="s">
        <v>943</v>
      </c>
    </row>
    <row r="982" spans="1:3" ht="12.75" x14ac:dyDescent="0.2">
      <c r="A982" s="1" t="str">
        <f ca="1">IFERROR(__xludf.DUMMYFUNCTION("GOOGLETRANSLATE(C942, ""en"", ""es"")"),"engañado")</f>
        <v>engañado</v>
      </c>
      <c r="B982" s="1">
        <v>-2</v>
      </c>
      <c r="C982" s="1" t="s">
        <v>944</v>
      </c>
    </row>
    <row r="983" spans="1:3" ht="12.75" x14ac:dyDescent="0.2">
      <c r="A983" s="1" t="str">
        <f ca="1">IFERROR(__xludf.DUMMYFUNCTION("GOOGLETRANSLATE(C943, ""en"", ""es"")"),"engañar")</f>
        <v>engañar</v>
      </c>
      <c r="B983" s="1">
        <v>-3</v>
      </c>
      <c r="C983" s="1" t="s">
        <v>945</v>
      </c>
    </row>
    <row r="984" spans="1:3" ht="12.75" x14ac:dyDescent="0.2">
      <c r="A984" s="1" t="str">
        <f ca="1">IFERROR(__xludf.DUMMYFUNCTION("GOOGLETRANSLATE(C944, ""en"", ""es"")"),"engañar")</f>
        <v>engañar</v>
      </c>
      <c r="B984" s="1">
        <v>-3</v>
      </c>
      <c r="C984" s="1" t="s">
        <v>946</v>
      </c>
    </row>
    <row r="985" spans="1:3" ht="12.75" x14ac:dyDescent="0.2">
      <c r="A985" s="1" t="str">
        <f ca="1">IFERROR(__xludf.DUMMYFUNCTION("GOOGLETRANSLATE(C945, ""en"", ""es"")"),"engañar")</f>
        <v>engañar</v>
      </c>
      <c r="B985" s="1">
        <v>-2</v>
      </c>
      <c r="C985" s="1" t="s">
        <v>947</v>
      </c>
    </row>
    <row r="986" spans="1:3" ht="12.75" x14ac:dyDescent="0.2">
      <c r="A986" s="1" t="str">
        <f ca="1">IFERROR(__xludf.DUMMYFUNCTION("GOOGLETRANSLATE(C2335, ""en"", ""es"")"),"engañar")</f>
        <v>engañar</v>
      </c>
      <c r="B986" s="1">
        <v>-2</v>
      </c>
      <c r="C986" s="1" t="s">
        <v>2331</v>
      </c>
    </row>
    <row r="987" spans="1:3" ht="12.75" x14ac:dyDescent="0.2">
      <c r="A987" s="1" t="str">
        <f ca="1">IFERROR(__xludf.DUMMYFUNCTION("GOOGLETRANSLATE(C938, ""en"", ""es"")"),"engaño")</f>
        <v>engaño</v>
      </c>
      <c r="B987" s="1">
        <v>-3</v>
      </c>
      <c r="C987" s="1" t="s">
        <v>940</v>
      </c>
    </row>
    <row r="988" spans="1:3" ht="12.75" x14ac:dyDescent="0.2">
      <c r="A988" s="1" t="str">
        <f ca="1">IFERROR(__xludf.DUMMYFUNCTION("GOOGLETRANSLATE(C946, ""en"", ""es"")"),"engaño")</f>
        <v>engaño</v>
      </c>
      <c r="B988" s="1">
        <v>-3</v>
      </c>
      <c r="C988" s="1" t="s">
        <v>948</v>
      </c>
    </row>
    <row r="989" spans="1:3" ht="12.75" x14ac:dyDescent="0.2">
      <c r="A989" s="1" t="str">
        <f ca="1">IFERROR(__xludf.DUMMYFUNCTION("GOOGLETRANSLATE(C947, ""en"", ""es"")"),"engaño")</f>
        <v>engaño</v>
      </c>
      <c r="B989" s="1">
        <v>-3</v>
      </c>
      <c r="C989" s="1" t="s">
        <v>949</v>
      </c>
    </row>
    <row r="990" spans="1:3" ht="12.75" x14ac:dyDescent="0.2">
      <c r="A990" s="1" t="str">
        <f ca="1">IFERROR(__xludf.DUMMYFUNCTION("GOOGLETRANSLATE(C948, ""en"", ""es"")"),"engañoso")</f>
        <v>engañoso</v>
      </c>
      <c r="B990" s="1">
        <v>-3</v>
      </c>
      <c r="C990" s="1" t="s">
        <v>950</v>
      </c>
    </row>
    <row r="991" spans="1:3" ht="12.75" x14ac:dyDescent="0.2">
      <c r="A991" s="1" t="str">
        <f ca="1">IFERROR(__xludf.DUMMYFUNCTION("GOOGLETRANSLATE(C949, ""en"", ""es"")"),"engañoso")</f>
        <v>engañoso</v>
      </c>
      <c r="B991" s="1">
        <v>-3</v>
      </c>
      <c r="C991" s="1" t="s">
        <v>951</v>
      </c>
    </row>
    <row r="992" spans="1:3" ht="12.75" x14ac:dyDescent="0.2">
      <c r="A992" s="1" t="str">
        <f ca="1">IFERROR(__xludf.DUMMYFUNCTION("GOOGLETRANSLATE(C950, ""en"", ""es"")"),"engañoso")</f>
        <v>engañoso</v>
      </c>
      <c r="B992" s="1">
        <v>-3</v>
      </c>
      <c r="C992" s="1" t="s">
        <v>952</v>
      </c>
    </row>
    <row r="993" spans="1:3" ht="12.75" x14ac:dyDescent="0.2">
      <c r="A993" s="1" t="str">
        <f ca="1">IFERROR(__xludf.DUMMYFUNCTION("GOOGLETRANSLATE(C951, ""en"", ""es"")"),"engreído")</f>
        <v>engreído</v>
      </c>
      <c r="B993" s="1">
        <v>-2</v>
      </c>
      <c r="C993" s="1" t="s">
        <v>953</v>
      </c>
    </row>
    <row r="994" spans="1:3" ht="12.75" x14ac:dyDescent="0.2">
      <c r="A994" s="1" t="str">
        <f ca="1">IFERROR(__xludf.DUMMYFUNCTION("GOOGLETRANSLATE(C1551, ""en"", ""es"")"),"enjuague")</f>
        <v>enjuague</v>
      </c>
      <c r="B994" s="1">
        <v>-3</v>
      </c>
      <c r="C994" s="1" t="s">
        <v>1550</v>
      </c>
    </row>
    <row r="995" spans="1:3" ht="12.75" x14ac:dyDescent="0.2">
      <c r="A995" s="1" t="str">
        <f ca="1">IFERROR(__xludf.DUMMYFUNCTION("GOOGLETRANSLATE(C953, ""en"", ""es"")"),"enjuiciamiento")</f>
        <v>enjuiciamiento</v>
      </c>
      <c r="B995" s="1">
        <v>-1</v>
      </c>
      <c r="C995" s="1" t="s">
        <v>955</v>
      </c>
    </row>
    <row r="996" spans="1:3" ht="12.75" x14ac:dyDescent="0.2">
      <c r="A996" s="1" t="str">
        <f ca="1">IFERROR(__xludf.DUMMYFUNCTION("GOOGLETRANSLATE(C954, ""en"", ""es"")"),"enjuiciamiento")</f>
        <v>enjuiciamiento</v>
      </c>
      <c r="B996" s="1">
        <v>-1</v>
      </c>
      <c r="C996" s="1" t="s">
        <v>956</v>
      </c>
    </row>
    <row r="997" spans="1:3" ht="12.75" x14ac:dyDescent="0.2">
      <c r="A997" s="1" t="str">
        <f ca="1">IFERROR(__xludf.DUMMYFUNCTION("GOOGLETRANSLATE(C955, ""en"", ""es"")"),"enjuiciar")</f>
        <v>enjuiciar</v>
      </c>
      <c r="B997" s="1">
        <v>-1</v>
      </c>
      <c r="C997" s="1" t="s">
        <v>957</v>
      </c>
    </row>
    <row r="998" spans="1:3" ht="12.75" x14ac:dyDescent="0.2">
      <c r="A998" s="1" t="str">
        <f ca="1">IFERROR(__xludf.DUMMYFUNCTION("GOOGLETRANSLATE(C956, ""en"", ""es"")"),"enloquecedor")</f>
        <v>enloquecedor</v>
      </c>
      <c r="B998" s="1">
        <v>-3</v>
      </c>
      <c r="C998" s="1" t="s">
        <v>958</v>
      </c>
    </row>
    <row r="999" spans="1:3" ht="12.75" x14ac:dyDescent="0.2">
      <c r="A999" s="1" t="str">
        <f ca="1">IFERROR(__xludf.DUMMYFUNCTION("GOOGLETRANSLATE(C957, ""en"", ""es"")"),"enojado")</f>
        <v>enojado</v>
      </c>
      <c r="B999" s="1">
        <v>-3</v>
      </c>
      <c r="C999" s="1" t="s">
        <v>959</v>
      </c>
    </row>
    <row r="1000" spans="1:3" ht="12.75" x14ac:dyDescent="0.2">
      <c r="A1000" s="1" t="str">
        <f ca="1">IFERROR(__xludf.DUMMYFUNCTION("GOOGLETRANSLATE(C1502, ""en"", ""es"")"),"enojado")</f>
        <v>enojado</v>
      </c>
      <c r="B1000" s="1">
        <v>-2</v>
      </c>
      <c r="C1000" s="1" t="s">
        <v>1503</v>
      </c>
    </row>
    <row r="1001" spans="1:3" ht="12.75" x14ac:dyDescent="0.2">
      <c r="A1001" s="1" t="str">
        <f ca="1">IFERROR(__xludf.DUMMYFUNCTION("GOOGLETRANSLATE(C1711, ""en"", ""es"")"),"enojarse")</f>
        <v>enojarse</v>
      </c>
      <c r="B1001" s="1">
        <v>-2</v>
      </c>
      <c r="C1001" s="1" t="s">
        <v>1710</v>
      </c>
    </row>
    <row r="1002" spans="1:3" ht="12.75" x14ac:dyDescent="0.2">
      <c r="A1002" s="1" t="str">
        <f ca="1">IFERROR(__xludf.DUMMYFUNCTION("GOOGLETRANSLATE(C959, ""en"", ""es"")"),"enorme")</f>
        <v>enorme</v>
      </c>
      <c r="B1002" s="1">
        <v>1</v>
      </c>
      <c r="C1002" s="1" t="s">
        <v>961</v>
      </c>
    </row>
    <row r="1003" spans="1:3" ht="12.75" x14ac:dyDescent="0.2">
      <c r="A1003" s="1" t="str">
        <f ca="1">IFERROR(__xludf.DUMMYFUNCTION("GOOGLETRANSLATE(C960, ""en"", ""es"")"),"enriquecimiento")</f>
        <v>enriquecimiento</v>
      </c>
      <c r="B1003" s="1">
        <v>-2</v>
      </c>
      <c r="C1003" s="1" t="s">
        <v>962</v>
      </c>
    </row>
    <row r="1004" spans="1:3" ht="12.75" x14ac:dyDescent="0.2">
      <c r="A1004" s="1" t="str">
        <f ca="1">IFERROR(__xludf.DUMMYFUNCTION("GOOGLETRANSLATE(C961, ""en"", ""es"")"),"ensordecedor")</f>
        <v>ensordecedor</v>
      </c>
      <c r="B1004" s="1">
        <v>-1</v>
      </c>
      <c r="C1004" s="1" t="s">
        <v>963</v>
      </c>
    </row>
    <row r="1005" spans="1:3" ht="12.75" x14ac:dyDescent="0.2">
      <c r="A1005" s="1" t="str">
        <f ca="1">IFERROR(__xludf.DUMMYFUNCTION("GOOGLETRANSLATE(C962, ""en"", ""es"")"),"entender mal")</f>
        <v>entender mal</v>
      </c>
      <c r="B1005" s="1">
        <v>-2</v>
      </c>
      <c r="C1005" s="1" t="s">
        <v>964</v>
      </c>
    </row>
    <row r="1006" spans="1:3" ht="12.75" x14ac:dyDescent="0.2">
      <c r="A1006" s="1" t="str">
        <f ca="1">IFERROR(__xludf.DUMMYFUNCTION("GOOGLETRANSLATE(C964, ""en"", ""es"")"),"entretener")</f>
        <v>entretener</v>
      </c>
      <c r="B1006" s="1">
        <v>3</v>
      </c>
      <c r="C1006" s="1" t="s">
        <v>966</v>
      </c>
    </row>
    <row r="1007" spans="1:3" ht="12.75" x14ac:dyDescent="0.2">
      <c r="A1007" s="1" t="str">
        <f ca="1">IFERROR(__xludf.DUMMYFUNCTION("GOOGLETRANSLATE(C965, ""en"", ""es"")"),"entretenido")</f>
        <v>entretenido</v>
      </c>
      <c r="B1007" s="1">
        <v>2</v>
      </c>
      <c r="C1007" s="1" t="s">
        <v>967</v>
      </c>
    </row>
    <row r="1008" spans="1:3" ht="12.75" x14ac:dyDescent="0.2">
      <c r="A1008" s="1" t="str">
        <f ca="1">IFERROR(__xludf.DUMMYFUNCTION("GOOGLETRANSLATE(C966, ""en"", ""es"")"),"entristecer")</f>
        <v>entristecer</v>
      </c>
      <c r="B1008" s="1">
        <v>-2</v>
      </c>
      <c r="C1008" s="1" t="s">
        <v>968</v>
      </c>
    </row>
    <row r="1009" spans="1:3" ht="12.75" x14ac:dyDescent="0.2">
      <c r="A1009" s="1" t="str">
        <f ca="1">IFERROR(__xludf.DUMMYFUNCTION("GOOGLETRANSLATE(C84, ""en"", ""es"")"),"entusiasta")</f>
        <v>entusiasta</v>
      </c>
      <c r="B1009" s="1">
        <v>1</v>
      </c>
      <c r="C1009" s="1" t="s">
        <v>84</v>
      </c>
    </row>
    <row r="1010" spans="1:3" ht="12.75" x14ac:dyDescent="0.2">
      <c r="A1010" s="1" t="str">
        <f ca="1">IFERROR(__xludf.DUMMYFUNCTION("GOOGLETRANSLATE(C969, ""en"", ""es"")"),"entusiasta")</f>
        <v>entusiasta</v>
      </c>
      <c r="B1010" s="1">
        <v>3</v>
      </c>
      <c r="C1010" s="1" t="s">
        <v>971</v>
      </c>
    </row>
    <row r="1011" spans="1:3" ht="12.75" x14ac:dyDescent="0.2">
      <c r="A1011" s="1" t="str">
        <f ca="1">IFERROR(__xludf.DUMMYFUNCTION("GOOGLETRANSLATE(C970, ""en"", ""es"")"),"envenenado")</f>
        <v>envenenado</v>
      </c>
      <c r="B1011" s="1">
        <v>-2</v>
      </c>
      <c r="C1011" s="1" t="s">
        <v>972</v>
      </c>
    </row>
    <row r="1012" spans="1:3" ht="12.75" x14ac:dyDescent="0.2">
      <c r="A1012" s="1" t="str">
        <f ca="1">IFERROR(__xludf.DUMMYFUNCTION("GOOGLETRANSLATE(C458, ""en"", ""es"")"),"envidiar")</f>
        <v>envidiar</v>
      </c>
      <c r="B1012" s="1">
        <v>-1</v>
      </c>
      <c r="C1012" s="1" t="s">
        <v>458</v>
      </c>
    </row>
    <row r="1013" spans="1:3" ht="12.75" x14ac:dyDescent="0.2">
      <c r="A1013" s="1" t="str">
        <f ca="1">IFERROR(__xludf.DUMMYFUNCTION("GOOGLETRANSLATE(C971, ""en"", ""es"")"),"envidiar")</f>
        <v>envidiar</v>
      </c>
      <c r="B1013" s="1">
        <v>-1</v>
      </c>
      <c r="C1013" s="1" t="s">
        <v>973</v>
      </c>
    </row>
    <row r="1014" spans="1:3" ht="12.75" x14ac:dyDescent="0.2">
      <c r="A1014" s="1" t="str">
        <f ca="1">IFERROR(__xludf.DUMMYFUNCTION("GOOGLETRANSLATE(C972, ""en"", ""es"")"),"envidias")</f>
        <v>envidias</v>
      </c>
      <c r="B1014" s="1">
        <v>-1</v>
      </c>
      <c r="C1014" s="1" t="s">
        <v>974</v>
      </c>
    </row>
    <row r="1015" spans="1:3" ht="12.75" x14ac:dyDescent="0.2">
      <c r="A1015" s="1" t="str">
        <f ca="1">IFERROR(__xludf.DUMMYFUNCTION("GOOGLETRANSLATE(C973, ""en"", ""es"")"),"envidioso")</f>
        <v>envidioso</v>
      </c>
      <c r="B1015" s="1">
        <v>-2</v>
      </c>
      <c r="C1015" s="1" t="s">
        <v>975</v>
      </c>
    </row>
    <row r="1016" spans="1:3" ht="12.75" x14ac:dyDescent="0.2">
      <c r="A1016" s="1" t="str">
        <f ca="1">IFERROR(__xludf.DUMMYFUNCTION("GOOGLETRANSLATE(C213, ""en"", ""es"")"),"equipado")</f>
        <v>equipado</v>
      </c>
      <c r="B1016" s="1">
        <v>-1</v>
      </c>
      <c r="C1016" s="1" t="s">
        <v>213</v>
      </c>
    </row>
    <row r="1017" spans="1:3" ht="12.75" x14ac:dyDescent="0.2">
      <c r="A1017" s="1" t="str">
        <f ca="1">IFERROR(__xludf.DUMMYFUNCTION("GOOGLETRANSLATE(C975, ""en"", ""es"")"),"equivocado")</f>
        <v>equivocado</v>
      </c>
      <c r="B1017" s="1">
        <v>-2</v>
      </c>
      <c r="C1017" s="1" t="s">
        <v>977</v>
      </c>
    </row>
    <row r="1018" spans="1:3" ht="12.75" x14ac:dyDescent="0.2">
      <c r="A1018" s="1" t="str">
        <f ca="1">IFERROR(__xludf.DUMMYFUNCTION("GOOGLETRANSLATE(C1387, ""en"", ""es"")"),"equivocado")</f>
        <v>equivocado</v>
      </c>
      <c r="B1018" s="1">
        <v>-2</v>
      </c>
      <c r="C1018" s="1" t="s">
        <v>1388</v>
      </c>
    </row>
    <row r="1019" spans="1:3" ht="12.75" x14ac:dyDescent="0.2">
      <c r="A1019" s="1" t="str">
        <f ca="1">IFERROR(__xludf.DUMMYFUNCTION("GOOGLETRANSLATE(C976, ""en"", ""es"")"),"erróneo")</f>
        <v>erróneo</v>
      </c>
      <c r="B1019" s="1">
        <v>-2</v>
      </c>
      <c r="C1019" s="1" t="s">
        <v>978</v>
      </c>
    </row>
    <row r="1020" spans="1:3" ht="12.75" x14ac:dyDescent="0.2">
      <c r="A1020" s="1" t="str">
        <f ca="1">IFERROR(__xludf.DUMMYFUNCTION("GOOGLETRANSLATE(C977, ""en"", ""es"")"),"error")</f>
        <v>error</v>
      </c>
      <c r="B1020" s="1">
        <v>-2</v>
      </c>
      <c r="C1020" s="1" t="s">
        <v>979</v>
      </c>
    </row>
    <row r="1021" spans="1:3" ht="12.75" x14ac:dyDescent="0.2">
      <c r="A1021" s="1" t="str">
        <f ca="1">IFERROR(__xludf.DUMMYFUNCTION("GOOGLETRANSLATE(C978, ""en"", ""es"")"),"Error")</f>
        <v>Error</v>
      </c>
      <c r="B1021" s="1">
        <v>-2</v>
      </c>
      <c r="C1021" s="1" t="s">
        <v>980</v>
      </c>
    </row>
    <row r="1022" spans="1:3" ht="12.75" x14ac:dyDescent="0.2">
      <c r="A1022" s="1" t="str">
        <f ca="1">IFERROR(__xludf.DUMMYFUNCTION("GOOGLETRANSLATE(C979, ""en"", ""es"")"),"errores")</f>
        <v>errores</v>
      </c>
      <c r="B1022" s="1">
        <v>-2</v>
      </c>
      <c r="C1022" s="1" t="s">
        <v>981</v>
      </c>
    </row>
    <row r="1023" spans="1:3" ht="12.75" x14ac:dyDescent="0.2">
      <c r="A1023" s="1" t="str">
        <f ca="1">IFERROR(__xludf.DUMMYFUNCTION("GOOGLETRANSLATE(C980, ""en"", ""es"")"),"errores")</f>
        <v>errores</v>
      </c>
      <c r="B1023" s="1">
        <v>-2</v>
      </c>
      <c r="C1023" s="1" t="s">
        <v>982</v>
      </c>
    </row>
    <row r="1024" spans="1:3" ht="12.75" x14ac:dyDescent="0.2">
      <c r="A1024" s="1" t="str">
        <f ca="1">IFERROR(__xludf.DUMMYFUNCTION("GOOGLETRANSLATE(C981, ""en"", ""es"")"),"erupción")</f>
        <v>erupción</v>
      </c>
      <c r="B1024" s="1">
        <v>-2</v>
      </c>
      <c r="C1024" s="1" t="s">
        <v>983</v>
      </c>
    </row>
    <row r="1025" spans="1:3" ht="12.75" x14ac:dyDescent="0.2">
      <c r="A1025" s="1" t="str">
        <f ca="1">IFERROR(__xludf.DUMMYFUNCTION("GOOGLETRANSLATE(C982, ""en"", ""es"")"),"es una pena")</f>
        <v>es una pena</v>
      </c>
      <c r="B1025" s="1">
        <v>-2</v>
      </c>
      <c r="C1025" s="1" t="s">
        <v>984</v>
      </c>
    </row>
    <row r="1026" spans="1:3" ht="12.75" x14ac:dyDescent="0.2">
      <c r="A1026" s="1" t="str">
        <f ca="1">IFERROR(__xludf.DUMMYFUNCTION("GOOGLETRANSLATE(C984, ""en"", ""es"")"),"escándalo")</f>
        <v>escándalo</v>
      </c>
      <c r="B1026" s="1">
        <v>-3</v>
      </c>
      <c r="C1026" s="1" t="s">
        <v>986</v>
      </c>
    </row>
    <row r="1027" spans="1:3" ht="12.75" x14ac:dyDescent="0.2">
      <c r="A1027" s="1" t="str">
        <f ca="1">IFERROR(__xludf.DUMMYFUNCTION("GOOGLETRANSLATE(C985, ""en"", ""es"")"),"escándalos")</f>
        <v>escándalos</v>
      </c>
      <c r="B1027" s="1">
        <v>-3</v>
      </c>
      <c r="C1027" s="1" t="s">
        <v>987</v>
      </c>
    </row>
    <row r="1028" spans="1:3" ht="12.75" x14ac:dyDescent="0.2">
      <c r="A1028" s="1" t="str">
        <f ca="1">IFERROR(__xludf.DUMMYFUNCTION("GOOGLETRANSLATE(C986, ""en"", ""es"")"),"escandaloso")</f>
        <v>escandaloso</v>
      </c>
      <c r="B1028" s="1">
        <v>-3</v>
      </c>
      <c r="C1028" s="1" t="s">
        <v>988</v>
      </c>
    </row>
    <row r="1029" spans="1:3" ht="12.75" x14ac:dyDescent="0.2">
      <c r="A1029" s="1" t="str">
        <f ca="1">IFERROR(__xludf.DUMMYFUNCTION("GOOGLETRANSLATE(C988, ""en"", ""es"")"),"escapar")</f>
        <v>escapar</v>
      </c>
      <c r="B1029" s="1">
        <v>-1</v>
      </c>
      <c r="C1029" s="1" t="s">
        <v>990</v>
      </c>
    </row>
    <row r="1030" spans="1:3" ht="12.75" x14ac:dyDescent="0.2">
      <c r="A1030" s="1" t="str">
        <f ca="1">IFERROR(__xludf.DUMMYFUNCTION("GOOGLETRANSLATE(C989, ""en"", ""es"")"),"escapar")</f>
        <v>escapar</v>
      </c>
      <c r="B1030" s="1">
        <v>-1</v>
      </c>
      <c r="C1030" s="1" t="s">
        <v>991</v>
      </c>
    </row>
    <row r="1031" spans="1:3" ht="12.75" x14ac:dyDescent="0.2">
      <c r="A1031" s="1" t="str">
        <f ca="1">IFERROR(__xludf.DUMMYFUNCTION("GOOGLETRANSLATE(C987, ""en"", ""es"")"),"escape")</f>
        <v>escape</v>
      </c>
      <c r="B1031" s="1">
        <v>-1</v>
      </c>
      <c r="C1031" s="1" t="s">
        <v>989</v>
      </c>
    </row>
    <row r="1032" spans="1:3" ht="12.75" x14ac:dyDescent="0.2">
      <c r="A1032" s="1" t="str">
        <f ca="1">IFERROR(__xludf.DUMMYFUNCTION("GOOGLETRANSLATE(C990, ""en"", ""es"")"),"escasez")</f>
        <v>escasez</v>
      </c>
      <c r="B1032" s="1">
        <v>-2</v>
      </c>
      <c r="C1032" s="1" t="s">
        <v>992</v>
      </c>
    </row>
    <row r="1033" spans="1:3" ht="12.75" x14ac:dyDescent="0.2">
      <c r="A1033" s="1" t="str">
        <f ca="1">IFERROR(__xludf.DUMMYFUNCTION("GOOGLETRANSLATE(C991, ""en"", ""es"")"),"escasez")</f>
        <v>escasez</v>
      </c>
      <c r="B1033" s="1">
        <v>-2</v>
      </c>
      <c r="C1033" s="1" t="s">
        <v>993</v>
      </c>
    </row>
    <row r="1034" spans="1:3" ht="12.75" x14ac:dyDescent="0.2">
      <c r="A1034" s="1" t="str">
        <f ca="1">IFERROR(__xludf.DUMMYFUNCTION("GOOGLETRANSLATE(C992, ""en"", ""es"")"),"escepticismo")</f>
        <v>escepticismo</v>
      </c>
      <c r="B1034" s="1">
        <v>-2</v>
      </c>
      <c r="C1034" s="1" t="s">
        <v>994</v>
      </c>
    </row>
    <row r="1035" spans="1:3" ht="12.75" x14ac:dyDescent="0.2">
      <c r="A1035" s="1" t="str">
        <f ca="1">IFERROR(__xludf.DUMMYFUNCTION("GOOGLETRANSLATE(C993, ""en"", ""es"")"),"escéptico")</f>
        <v>escéptico</v>
      </c>
      <c r="B1035" s="1">
        <v>-2</v>
      </c>
      <c r="C1035" s="1" t="s">
        <v>995</v>
      </c>
    </row>
    <row r="1036" spans="1:3" ht="12.75" x14ac:dyDescent="0.2">
      <c r="A1036" s="1" t="str">
        <f ca="1">IFERROR(__xludf.DUMMYFUNCTION("GOOGLETRANSLATE(C994, ""en"", ""es"")"),"escéptico")</f>
        <v>escéptico</v>
      </c>
      <c r="B1036" s="1">
        <v>-2</v>
      </c>
      <c r="C1036" s="1" t="s">
        <v>996</v>
      </c>
    </row>
    <row r="1037" spans="1:3" ht="12.75" x14ac:dyDescent="0.2">
      <c r="A1037" s="1" t="str">
        <f ca="1">IFERROR(__xludf.DUMMYFUNCTION("GOOGLETRANSLATE(C995, ""en"", ""es"")"),"escéptico")</f>
        <v>escéptico</v>
      </c>
      <c r="B1037" s="1">
        <v>-2</v>
      </c>
      <c r="C1037" s="1" t="s">
        <v>997</v>
      </c>
    </row>
    <row r="1038" spans="1:3" ht="12.75" x14ac:dyDescent="0.2">
      <c r="A1038" s="1" t="str">
        <f ca="1">IFERROR(__xludf.DUMMYFUNCTION("GOOGLETRANSLATE(C996, ""en"", ""es"")"),"escépticos")</f>
        <v>escépticos</v>
      </c>
      <c r="B1038" s="1">
        <v>-2</v>
      </c>
      <c r="C1038" s="1" t="s">
        <v>998</v>
      </c>
    </row>
    <row r="1039" spans="1:3" ht="12.75" x14ac:dyDescent="0.2">
      <c r="A1039" s="1" t="str">
        <f ca="1">IFERROR(__xludf.DUMMYFUNCTION("GOOGLETRANSLATE(C997, ""en"", ""es"")"),"esclarecedor")</f>
        <v>esclarecedor</v>
      </c>
      <c r="B1039" s="1">
        <v>2</v>
      </c>
      <c r="C1039" s="1" t="s">
        <v>999</v>
      </c>
    </row>
    <row r="1040" spans="1:3" ht="12.75" x14ac:dyDescent="0.2">
      <c r="A1040" s="1" t="str">
        <f ca="1">IFERROR(__xludf.DUMMYFUNCTION("GOOGLETRANSLATE(C998, ""en"", ""es"")"),"esclavitud")</f>
        <v>esclavitud</v>
      </c>
      <c r="B1040" s="1">
        <v>-3</v>
      </c>
      <c r="C1040" s="1" t="s">
        <v>1000</v>
      </c>
    </row>
    <row r="1041" spans="1:3" ht="12.75" x14ac:dyDescent="0.2">
      <c r="A1041" s="1" t="str">
        <f ca="1">IFERROR(__xludf.DUMMYFUNCTION("GOOGLETRANSLATE(C1000, ""en"", ""es"")"),"esclavizado")</f>
        <v>esclavizado</v>
      </c>
      <c r="B1041" s="1">
        <v>-2</v>
      </c>
      <c r="C1041" s="1" t="s">
        <v>1002</v>
      </c>
    </row>
    <row r="1042" spans="1:3" ht="12.75" x14ac:dyDescent="0.2">
      <c r="A1042" s="1" t="str">
        <f ca="1">IFERROR(__xludf.DUMMYFUNCTION("GOOGLETRANSLATE(C1001, ""en"", ""es"")"),"esclavizar")</f>
        <v>esclavizar</v>
      </c>
      <c r="B1042" s="1">
        <v>-2</v>
      </c>
      <c r="C1042" s="1" t="s">
        <v>1003</v>
      </c>
    </row>
    <row r="1043" spans="1:3" ht="12.75" x14ac:dyDescent="0.2">
      <c r="A1043" s="1" t="str">
        <f ca="1">IFERROR(__xludf.DUMMYFUNCTION("GOOGLETRANSLATE(C999, ""en"", ""es"")"),"esclavos")</f>
        <v>esclavos</v>
      </c>
      <c r="B1043" s="1">
        <v>-2</v>
      </c>
      <c r="C1043" s="1" t="s">
        <v>1001</v>
      </c>
    </row>
    <row r="1044" spans="1:3" ht="12.75" x14ac:dyDescent="0.2">
      <c r="A1044" s="1" t="str">
        <f ca="1">IFERROR(__xludf.DUMMYFUNCTION("GOOGLETRANSLATE(C1003, ""en"", ""es"")"),"escondido")</f>
        <v>escondido</v>
      </c>
      <c r="B1044" s="1">
        <v>-1</v>
      </c>
      <c r="C1044" s="1" t="s">
        <v>1005</v>
      </c>
    </row>
    <row r="1045" spans="1:3" ht="12.75" x14ac:dyDescent="0.2">
      <c r="A1045" s="1" t="str">
        <f ca="1">IFERROR(__xludf.DUMMYFUNCTION("GOOGLETRANSLATE(C1004, ""en"", ""es"")"),"escoria")</f>
        <v>escoria</v>
      </c>
      <c r="B1045" s="1">
        <v>-4</v>
      </c>
      <c r="C1045" s="1" t="s">
        <v>1006</v>
      </c>
    </row>
    <row r="1046" spans="1:3" ht="12.75" x14ac:dyDescent="0.2">
      <c r="A1046" s="1" t="str">
        <f ca="1">IFERROR(__xludf.DUMMYFUNCTION("GOOGLETRANSLATE(C1005, ""en"", ""es"")"),"esmeradamente")</f>
        <v>esmeradamente</v>
      </c>
      <c r="B1046" s="1">
        <v>2</v>
      </c>
      <c r="C1046" s="1" t="s">
        <v>1007</v>
      </c>
    </row>
    <row r="1047" spans="1:3" ht="12.75" x14ac:dyDescent="0.2">
      <c r="A1047" s="1" t="str">
        <f ca="1">IFERROR(__xludf.DUMMYFUNCTION("GOOGLETRANSLATE(C1006, ""en"", ""es"")"),"espalda")</f>
        <v>espalda</v>
      </c>
      <c r="B1047" s="1">
        <v>1</v>
      </c>
      <c r="C1047" s="1" t="s">
        <v>1008</v>
      </c>
    </row>
    <row r="1048" spans="1:3" ht="12.75" x14ac:dyDescent="0.2">
      <c r="A1048" s="1" t="str">
        <f ca="1">IFERROR(__xludf.DUMMYFUNCTION("GOOGLETRANSLATE(C1007, ""en"", ""es"")"),"espantado")</f>
        <v>espantado</v>
      </c>
      <c r="B1048" s="1">
        <v>-2</v>
      </c>
      <c r="C1048" s="1" t="s">
        <v>1009</v>
      </c>
    </row>
    <row r="1049" spans="1:3" ht="12.75" x14ac:dyDescent="0.2">
      <c r="A1049" s="1" t="str">
        <f ca="1">IFERROR(__xludf.DUMMYFUNCTION("GOOGLETRANSLATE(C301, ""en"", ""es"")"),"espantoso")</f>
        <v>espantoso</v>
      </c>
      <c r="B1049" s="1">
        <v>-2</v>
      </c>
      <c r="C1049" s="1" t="s">
        <v>301</v>
      </c>
    </row>
    <row r="1050" spans="1:3" ht="12.75" x14ac:dyDescent="0.2">
      <c r="A1050" s="1" t="str">
        <f ca="1">IFERROR(__xludf.DUMMYFUNCTION("GOOGLETRANSLATE(C1008, ""en"", ""es"")"),"especulativo")</f>
        <v>especulativo</v>
      </c>
      <c r="B1050" s="1">
        <v>-2</v>
      </c>
      <c r="C1050" s="1" t="s">
        <v>1010</v>
      </c>
    </row>
    <row r="1051" spans="1:3" ht="12.75" x14ac:dyDescent="0.2">
      <c r="A1051" s="1" t="str">
        <f ca="1">IFERROR(__xludf.DUMMYFUNCTION("GOOGLETRANSLATE(C1009, ""en"", ""es"")"),"espera")</f>
        <v>espera</v>
      </c>
      <c r="B1051" s="1">
        <v>-1</v>
      </c>
      <c r="C1051" s="1" t="s">
        <v>1011</v>
      </c>
    </row>
    <row r="1052" spans="1:3" ht="12.75" x14ac:dyDescent="0.2">
      <c r="A1052" s="1" t="str">
        <f ca="1">IFERROR(__xludf.DUMMYFUNCTION("GOOGLETRANSLATE(C1010, ""en"", ""es"")"),"esperado")</f>
        <v>esperado</v>
      </c>
      <c r="B1052" s="1">
        <v>-1</v>
      </c>
      <c r="C1052" s="1" t="s">
        <v>1012</v>
      </c>
    </row>
    <row r="1053" spans="1:3" ht="12.75" x14ac:dyDescent="0.2">
      <c r="A1053" s="1" t="str">
        <f ca="1">IFERROR(__xludf.DUMMYFUNCTION("GOOGLETRANSLATE(C1011, ""en"", ""es"")"),"esperando")</f>
        <v>esperando</v>
      </c>
      <c r="B1053" s="1">
        <v>2</v>
      </c>
      <c r="C1053" s="1" t="s">
        <v>1013</v>
      </c>
    </row>
    <row r="1054" spans="1:3" ht="12.75" x14ac:dyDescent="0.2">
      <c r="A1054" s="1" t="str">
        <f ca="1">IFERROR(__xludf.DUMMYFUNCTION("GOOGLETRANSLATE(C1012, ""en"", ""es"")"),"esperanza")</f>
        <v>esperanza</v>
      </c>
      <c r="B1054" s="1">
        <v>2</v>
      </c>
      <c r="C1054" s="1" t="s">
        <v>1014</v>
      </c>
    </row>
    <row r="1055" spans="1:3" ht="12.75" x14ac:dyDescent="0.2">
      <c r="A1055" s="1" t="str">
        <f ca="1">IFERROR(__xludf.DUMMYFUNCTION("GOOGLETRANSLATE(C1013, ""en"", ""es"")"),"esperanzado")</f>
        <v>esperanzado</v>
      </c>
      <c r="B1055" s="1">
        <v>2</v>
      </c>
      <c r="C1055" s="1" t="s">
        <v>1015</v>
      </c>
    </row>
    <row r="1056" spans="1:3" ht="12.75" x14ac:dyDescent="0.2">
      <c r="A1056" s="1" t="str">
        <f ca="1">IFERROR(__xludf.DUMMYFUNCTION("GOOGLETRANSLATE(C1014, ""en"", ""es"")"),"esperanzas")</f>
        <v>esperanzas</v>
      </c>
      <c r="B1056" s="1">
        <v>2</v>
      </c>
      <c r="C1056" s="1" t="s">
        <v>1016</v>
      </c>
    </row>
    <row r="1057" spans="1:3" ht="12.75" x14ac:dyDescent="0.2">
      <c r="A1057" s="1" t="str">
        <f ca="1">IFERROR(__xludf.DUMMYFUNCTION("GOOGLETRANSLATE(C1015, ""en"", ""es"")"),"esperar")</f>
        <v>esperar</v>
      </c>
      <c r="B1057" s="1">
        <v>-1</v>
      </c>
      <c r="C1057" s="1" t="s">
        <v>1017</v>
      </c>
    </row>
    <row r="1058" spans="1:3" ht="12.75" x14ac:dyDescent="0.2">
      <c r="A1058" s="1" t="str">
        <f ca="1">IFERROR(__xludf.DUMMYFUNCTION("GOOGLETRANSLATE(C1016, ""en"", ""es"")"),"espinoso")</f>
        <v>espinoso</v>
      </c>
      <c r="B1058" s="1">
        <v>-2</v>
      </c>
      <c r="C1058" s="1" t="s">
        <v>1018</v>
      </c>
    </row>
    <row r="1059" spans="1:3" ht="12.75" x14ac:dyDescent="0.2">
      <c r="A1059" s="1" t="str">
        <f ca="1">IFERROR(__xludf.DUMMYFUNCTION("GOOGLETRANSLATE(C1017, ""en"", ""es"")"),"espíritu")</f>
        <v>espíritu</v>
      </c>
      <c r="B1059" s="1">
        <v>1</v>
      </c>
      <c r="C1059" s="1" t="s">
        <v>1019</v>
      </c>
    </row>
    <row r="1060" spans="1:3" ht="12.75" x14ac:dyDescent="0.2">
      <c r="A1060" s="1" t="str">
        <f ca="1">IFERROR(__xludf.DUMMYFUNCTION("GOOGLETRANSLATE(C1018, ""en"", ""es"")"),"espléndido")</f>
        <v>espléndido</v>
      </c>
      <c r="B1060" s="1">
        <v>3</v>
      </c>
      <c r="C1060" s="1" t="s">
        <v>1020</v>
      </c>
    </row>
    <row r="1061" spans="1:3" ht="12.75" x14ac:dyDescent="0.2">
      <c r="A1061" s="1" t="str">
        <f ca="1">IFERROR(__xludf.DUMMYFUNCTION("GOOGLETRANSLATE(C1019, ""en"", ""es"")"),"espumoso")</f>
        <v>espumoso</v>
      </c>
      <c r="B1061" s="1">
        <v>3</v>
      </c>
      <c r="C1061" s="1" t="s">
        <v>1021</v>
      </c>
    </row>
    <row r="1062" spans="1:3" ht="12.75" x14ac:dyDescent="0.2">
      <c r="A1062" s="1" t="str">
        <f ca="1">IFERROR(__xludf.DUMMYFUNCTION("GOOGLETRANSLATE(C1022, ""en"", ""es"")"),"estable")</f>
        <v>estable</v>
      </c>
      <c r="B1062" s="1">
        <v>2</v>
      </c>
      <c r="C1062" s="1" t="s">
        <v>1024</v>
      </c>
    </row>
    <row r="1063" spans="1:3" ht="12.75" x14ac:dyDescent="0.2">
      <c r="A1063" s="1" t="str">
        <f ca="1">IFERROR(__xludf.DUMMYFUNCTION("GOOGLETRANSLATE(C1023, ""en"", ""es"")"),"establecido")</f>
        <v>establecido</v>
      </c>
      <c r="B1063" s="1">
        <v>1</v>
      </c>
      <c r="C1063" s="1" t="s">
        <v>1025</v>
      </c>
    </row>
    <row r="1064" spans="1:3" ht="12.75" x14ac:dyDescent="0.2">
      <c r="A1064" s="1" t="str">
        <f ca="1">IFERROR(__xludf.DUMMYFUNCTION("GOOGLETRANSLATE(C1024, ""en"", ""es"")"),"estafa")</f>
        <v>estafa</v>
      </c>
      <c r="B1064" s="1">
        <v>-2</v>
      </c>
      <c r="C1064" s="1" t="s">
        <v>1026</v>
      </c>
    </row>
    <row r="1065" spans="1:3" ht="12.75" x14ac:dyDescent="0.2">
      <c r="A1065" s="1" t="str">
        <f ca="1">IFERROR(__xludf.DUMMYFUNCTION("GOOGLETRANSLATE(C1025, ""en"", ""es"")"),"estafa")</f>
        <v>estafa</v>
      </c>
      <c r="B1065" s="1">
        <v>-3</v>
      </c>
      <c r="C1065" s="1" t="s">
        <v>1027</v>
      </c>
    </row>
    <row r="1066" spans="1:3" ht="12.75" x14ac:dyDescent="0.2">
      <c r="A1066" s="1" t="str">
        <f ca="1">IFERROR(__xludf.DUMMYFUNCTION("GOOGLETRANSLATE(C1026, ""en"", ""es"")"),"estafa")</f>
        <v>estafa</v>
      </c>
      <c r="B1066" s="1">
        <v>-2</v>
      </c>
      <c r="C1066" s="1" t="s">
        <v>1028</v>
      </c>
    </row>
    <row r="1067" spans="1:3" ht="12.75" x14ac:dyDescent="0.2">
      <c r="A1067" s="1" t="str">
        <f ca="1">IFERROR(__xludf.DUMMYFUNCTION("GOOGLETRANSLATE(C665, ""en"", ""es"")"),"estafador")</f>
        <v>estafador</v>
      </c>
      <c r="B1067" s="1">
        <v>-4</v>
      </c>
      <c r="C1067" s="1" t="s">
        <v>665</v>
      </c>
    </row>
    <row r="1068" spans="1:3" ht="12.75" x14ac:dyDescent="0.2">
      <c r="A1068" s="1" t="str">
        <f ca="1">IFERROR(__xludf.DUMMYFUNCTION("GOOGLETRANSLATE(C666, ""en"", ""es"")"),"estafadores")</f>
        <v>estafadores</v>
      </c>
      <c r="B1068" s="1">
        <v>-4</v>
      </c>
      <c r="C1068" s="1" t="s">
        <v>666</v>
      </c>
    </row>
    <row r="1069" spans="1:3" ht="12.75" x14ac:dyDescent="0.2">
      <c r="A1069" s="1" t="str">
        <f ca="1">IFERROR(__xludf.DUMMYFUNCTION("GOOGLETRANSLATE(C1027, ""en"", ""es"")"),"estafadores")</f>
        <v>estafadores</v>
      </c>
      <c r="B1069" s="1">
        <v>-3</v>
      </c>
      <c r="C1069" s="1" t="s">
        <v>1029</v>
      </c>
    </row>
    <row r="1070" spans="1:3" ht="12.75" x14ac:dyDescent="0.2">
      <c r="A1070" s="1" t="str">
        <f ca="1">IFERROR(__xludf.DUMMYFUNCTION("GOOGLETRANSLATE(C1028, ""en"", ""es"")"),"estampida")</f>
        <v>estampida</v>
      </c>
      <c r="B1070" s="1">
        <v>-2</v>
      </c>
      <c r="C1070" s="1" t="s">
        <v>1030</v>
      </c>
    </row>
    <row r="1071" spans="1:3" ht="12.75" x14ac:dyDescent="0.2">
      <c r="A1071" s="1" t="str">
        <f ca="1">IFERROR(__xludf.DUMMYFUNCTION("GOOGLETRANSLATE(C1032, ""en"", ""es"")"),"estereotipo")</f>
        <v>estereotipo</v>
      </c>
      <c r="B1071" s="1">
        <v>-2</v>
      </c>
      <c r="C1071" s="1" t="s">
        <v>1034</v>
      </c>
    </row>
    <row r="1072" spans="1:3" ht="12.75" x14ac:dyDescent="0.2">
      <c r="A1072" s="1" t="str">
        <f ca="1">IFERROR(__xludf.DUMMYFUNCTION("GOOGLETRANSLATE(C1033, ""en"", ""es"")"),"esteriotipado")</f>
        <v>esteriotipado</v>
      </c>
      <c r="B1072" s="1">
        <v>-2</v>
      </c>
      <c r="C1072" s="1" t="s">
        <v>1035</v>
      </c>
    </row>
    <row r="1073" spans="1:3" ht="12.75" x14ac:dyDescent="0.2">
      <c r="A1073" s="1" t="str">
        <f ca="1">IFERROR(__xludf.DUMMYFUNCTION("GOOGLETRANSLATE(C1034, ""en"", ""es"")"),"estimado")</f>
        <v>estimado</v>
      </c>
      <c r="B1073" s="1">
        <v>3</v>
      </c>
      <c r="C1073" s="1" t="s">
        <v>1036</v>
      </c>
    </row>
    <row r="1074" spans="1:3" ht="12.75" x14ac:dyDescent="0.2">
      <c r="A1074" s="1" t="str">
        <f ca="1">IFERROR(__xludf.DUMMYFUNCTION("GOOGLETRANSLATE(C1035, ""en"", ""es"")"),"estimado")</f>
        <v>estimado</v>
      </c>
      <c r="B1074" s="1">
        <v>2</v>
      </c>
      <c r="C1074" s="1" t="s">
        <v>1037</v>
      </c>
    </row>
    <row r="1075" spans="1:3" ht="12.75" x14ac:dyDescent="0.2">
      <c r="A1075" s="1" t="str">
        <f ca="1">IFERROR(__xludf.DUMMYFUNCTION("GOOGLETRANSLATE(C2009, ""en"", ""es"")"),"Estimado")</f>
        <v>Estimado</v>
      </c>
      <c r="B1075" s="1">
        <v>2</v>
      </c>
      <c r="C1075" s="1" t="s">
        <v>2007</v>
      </c>
    </row>
    <row r="1076" spans="1:3" ht="12.75" x14ac:dyDescent="0.2">
      <c r="A1076" s="1" t="str">
        <f ca="1">IFERROR(__xludf.DUMMYFUNCTION("GOOGLETRANSLATE(C1037, ""en"", ""es"")"),"estimulado")</f>
        <v>estimulado</v>
      </c>
      <c r="B1076" s="1">
        <v>1</v>
      </c>
      <c r="C1076" s="1" t="s">
        <v>1039</v>
      </c>
    </row>
    <row r="1077" spans="1:3" ht="12.75" x14ac:dyDescent="0.2">
      <c r="A1077" s="1" t="str">
        <f ca="1">IFERROR(__xludf.DUMMYFUNCTION("GOOGLETRANSLATE(C1038, ""en"", ""es"")"),"estimulante")</f>
        <v>estimulante</v>
      </c>
      <c r="B1077" s="1">
        <v>3</v>
      </c>
      <c r="C1077" s="1" t="s">
        <v>1040</v>
      </c>
    </row>
    <row r="1078" spans="1:3" ht="12.75" x14ac:dyDescent="0.2">
      <c r="A1078" s="1" t="str">
        <f ca="1">IFERROR(__xludf.DUMMYFUNCTION("GOOGLETRANSLATE(C1039, ""en"", ""es"")"),"estimulante")</f>
        <v>estimulante</v>
      </c>
      <c r="B1078" s="1">
        <v>2</v>
      </c>
      <c r="C1078" s="1" t="s">
        <v>1041</v>
      </c>
    </row>
    <row r="1079" spans="1:3" ht="12.75" x14ac:dyDescent="0.2">
      <c r="A1079" s="1" t="str">
        <f ca="1">IFERROR(__xludf.DUMMYFUNCTION("GOOGLETRANSLATE(C1036, ""en"", ""es"")"),"estimular")</f>
        <v>estimular</v>
      </c>
      <c r="B1079" s="1">
        <v>1</v>
      </c>
      <c r="C1079" s="1" t="s">
        <v>1038</v>
      </c>
    </row>
    <row r="1080" spans="1:3" ht="12.75" x14ac:dyDescent="0.2">
      <c r="A1080" s="1" t="str">
        <f ca="1">IFERROR(__xludf.DUMMYFUNCTION("GOOGLETRANSLATE(C1040, ""en"", ""es"")"),"estimular")</f>
        <v>estimular</v>
      </c>
      <c r="B1080" s="1">
        <v>1</v>
      </c>
      <c r="C1080" s="1" t="s">
        <v>1042</v>
      </c>
    </row>
    <row r="1081" spans="1:3" ht="12.75" x14ac:dyDescent="0.2">
      <c r="A1081" s="1" t="str">
        <f ca="1">IFERROR(__xludf.DUMMYFUNCTION("GOOGLETRANSLATE(C221, ""en"", ""es"")"),"estorbo")</f>
        <v>estorbo</v>
      </c>
      <c r="B1081" s="1">
        <v>-1</v>
      </c>
      <c r="C1081" s="1" t="s">
        <v>221</v>
      </c>
    </row>
    <row r="1082" spans="1:3" ht="12.75" x14ac:dyDescent="0.2">
      <c r="A1082" s="1" t="str">
        <f ca="1">IFERROR(__xludf.DUMMYFUNCTION("GOOGLETRANSLATE(C1041, ""en"", ""es"")"),"estragos")</f>
        <v>estragos</v>
      </c>
      <c r="B1082" s="1">
        <v>-2</v>
      </c>
      <c r="C1082" s="1" t="s">
        <v>1043</v>
      </c>
    </row>
    <row r="1083" spans="1:3" ht="12.75" x14ac:dyDescent="0.2">
      <c r="A1083" s="1" t="str">
        <f ca="1">IFERROR(__xludf.DUMMYFUNCTION("GOOGLETRANSLATE(C1043, ""en"", ""es"")"),"estrangulado")</f>
        <v>estrangulado</v>
      </c>
      <c r="B1083" s="1">
        <v>-2</v>
      </c>
      <c r="C1083" s="1" t="s">
        <v>1045</v>
      </c>
    </row>
    <row r="1084" spans="1:3" ht="12.75" x14ac:dyDescent="0.2">
      <c r="A1084" s="1" t="str">
        <f ca="1">IFERROR(__xludf.DUMMYFUNCTION("GOOGLETRANSLATE(C1044, ""en"", ""es"")"),"estranguladores")</f>
        <v>estranguladores</v>
      </c>
      <c r="B1084" s="1">
        <v>-2</v>
      </c>
      <c r="C1084" s="1" t="s">
        <v>1046</v>
      </c>
    </row>
    <row r="1085" spans="1:3" ht="12.75" x14ac:dyDescent="0.2">
      <c r="A1085" s="1" t="str">
        <f ca="1">IFERROR(__xludf.DUMMYFUNCTION("GOOGLETRANSLATE(C1045, ""en"", ""es"")"),"estresado")</f>
        <v>estresado</v>
      </c>
      <c r="B1085" s="1">
        <v>-2</v>
      </c>
      <c r="C1085" s="1" t="s">
        <v>1047</v>
      </c>
    </row>
    <row r="1086" spans="1:3" ht="12.75" x14ac:dyDescent="0.2">
      <c r="A1086" s="1" t="str">
        <f ca="1">IFERROR(__xludf.DUMMYFUNCTION("GOOGLETRANSLATE(C1046, ""en"", ""es"")"),"estresante")</f>
        <v>estresante</v>
      </c>
      <c r="B1086" s="1">
        <v>-2</v>
      </c>
      <c r="C1086" s="1" t="s">
        <v>1048</v>
      </c>
    </row>
    <row r="1087" spans="1:3" ht="12.75" x14ac:dyDescent="0.2">
      <c r="A1087" s="1" t="str">
        <f ca="1">IFERROR(__xludf.DUMMYFUNCTION("GOOGLETRANSLATE(C1123, ""en"", ""es"")"),"estresores")</f>
        <v>estresores</v>
      </c>
      <c r="B1087" s="1">
        <v>-2</v>
      </c>
      <c r="C1087" s="1" t="s">
        <v>1125</v>
      </c>
    </row>
    <row r="1088" spans="1:3" ht="12.75" x14ac:dyDescent="0.2">
      <c r="A1088" s="1" t="str">
        <f ca="1">IFERROR(__xludf.DUMMYFUNCTION("GOOGLETRANSLATE(C874, ""en"", ""es"")"),"Estropeando")</f>
        <v>Estropeando</v>
      </c>
      <c r="B1088" s="1">
        <v>-2</v>
      </c>
      <c r="C1088" s="1" t="s">
        <v>876</v>
      </c>
    </row>
    <row r="1089" spans="1:3" ht="12.75" x14ac:dyDescent="0.2">
      <c r="A1089" s="1" t="str">
        <f ca="1">IFERROR(__xludf.DUMMYFUNCTION("GOOGLETRANSLATE(C1047, ""en"", ""es"")"),"estupendo")</f>
        <v>estupendo</v>
      </c>
      <c r="B1089" s="1">
        <v>3</v>
      </c>
      <c r="C1089" s="1" t="s">
        <v>1049</v>
      </c>
    </row>
    <row r="1090" spans="1:3" ht="12.75" x14ac:dyDescent="0.2">
      <c r="A1090" s="1" t="str">
        <f ca="1">IFERROR(__xludf.DUMMYFUNCTION("GOOGLETRANSLATE(C1049, ""en"", ""es"")"),"estúpidamente")</f>
        <v>estúpidamente</v>
      </c>
      <c r="B1090" s="1">
        <v>-2</v>
      </c>
      <c r="C1090" s="1" t="s">
        <v>1051</v>
      </c>
    </row>
    <row r="1091" spans="1:3" ht="12.75" x14ac:dyDescent="0.2">
      <c r="A1091" s="1" t="str">
        <f ca="1">IFERROR(__xludf.DUMMYFUNCTION("GOOGLETRANSLATE(C1050, ""en"", ""es"")"),"Estúpido")</f>
        <v>Estúpido</v>
      </c>
      <c r="B1091" s="1">
        <v>-4</v>
      </c>
      <c r="C1091" s="1" t="s">
        <v>1052</v>
      </c>
    </row>
    <row r="1092" spans="1:3" ht="12.75" x14ac:dyDescent="0.2">
      <c r="A1092" s="1" t="str">
        <f ca="1">IFERROR(__xludf.DUMMYFUNCTION("GOOGLETRANSLATE(C1051, ""en"", ""es"")"),"estúpido")</f>
        <v>estúpido</v>
      </c>
      <c r="B1092" s="1">
        <v>-2</v>
      </c>
      <c r="C1092" s="1" t="s">
        <v>1053</v>
      </c>
    </row>
    <row r="1093" spans="1:3" ht="12.75" x14ac:dyDescent="0.2">
      <c r="A1093" s="1" t="str">
        <f ca="1">IFERROR(__xludf.DUMMYFUNCTION("GOOGLETRANSLATE(C1330, ""en"", ""es"")"),"estúpido")</f>
        <v>estúpido</v>
      </c>
      <c r="B1093" s="1">
        <v>-3</v>
      </c>
      <c r="C1093" s="1" t="s">
        <v>1331</v>
      </c>
    </row>
    <row r="1094" spans="1:3" ht="12.75" x14ac:dyDescent="0.2">
      <c r="A1094" s="1" t="str">
        <f ca="1">IFERROR(__xludf.DUMMYFUNCTION("GOOGLETRANSLATE(C1052, ""en"", ""es"")"),"ético")</f>
        <v>ético</v>
      </c>
      <c r="B1094" s="1">
        <v>2</v>
      </c>
      <c r="C1094" s="1" t="s">
        <v>1054</v>
      </c>
    </row>
    <row r="1095" spans="1:3" ht="12.75" x14ac:dyDescent="0.2">
      <c r="A1095" s="1" t="str">
        <f ca="1">IFERROR(__xludf.DUMMYFUNCTION("GOOGLETRANSLATE(C1053, ""en"", ""es"")"),"euforia")</f>
        <v>euforia</v>
      </c>
      <c r="B1095" s="1">
        <v>3</v>
      </c>
      <c r="C1095" s="1" t="s">
        <v>1055</v>
      </c>
    </row>
    <row r="1096" spans="1:3" ht="12.75" x14ac:dyDescent="0.2">
      <c r="A1096" s="1" t="str">
        <f ca="1">IFERROR(__xludf.DUMMYFUNCTION("GOOGLETRANSLATE(C1054, ""en"", ""es"")"),"eufórico")</f>
        <v>eufórico</v>
      </c>
      <c r="B1096" s="1">
        <v>4</v>
      </c>
      <c r="C1096" s="1" t="s">
        <v>1056</v>
      </c>
    </row>
    <row r="1097" spans="1:3" ht="12.75" x14ac:dyDescent="0.2">
      <c r="A1097" s="1" t="str">
        <f ca="1">IFERROR(__xludf.DUMMYFUNCTION("GOOGLETRANSLATE(C1056, ""en"", ""es"")"),"evita")</f>
        <v>evita</v>
      </c>
      <c r="B1097" s="1">
        <v>-1</v>
      </c>
      <c r="C1097" s="1" t="s">
        <v>1058</v>
      </c>
    </row>
    <row r="1098" spans="1:3" ht="12.75" x14ac:dyDescent="0.2">
      <c r="A1098" s="1" t="str">
        <f ca="1">IFERROR(__xludf.DUMMYFUNCTION("GOOGLETRANSLATE(C1057, ""en"", ""es"")"),"evitado")</f>
        <v>evitado</v>
      </c>
      <c r="B1098" s="1">
        <v>-1</v>
      </c>
      <c r="C1098" s="1" t="s">
        <v>1059</v>
      </c>
    </row>
    <row r="1099" spans="1:3" ht="12.75" x14ac:dyDescent="0.2">
      <c r="A1099" s="1" t="str">
        <f ca="1">IFERROR(__xludf.DUMMYFUNCTION("GOOGLETRANSLATE(C1058, ""en"", ""es"")"),"evitado")</f>
        <v>evitado</v>
      </c>
      <c r="B1099" s="1">
        <v>-1</v>
      </c>
      <c r="C1099" s="1" t="s">
        <v>1060</v>
      </c>
    </row>
    <row r="1100" spans="1:3" ht="12.75" x14ac:dyDescent="0.2">
      <c r="A1100" s="1" t="str">
        <f ca="1">IFERROR(__xludf.DUMMYFUNCTION("GOOGLETRANSLATE(C1350, ""en"", ""es"")"),"evitado")</f>
        <v>evitado</v>
      </c>
      <c r="B1100" s="1">
        <v>-1</v>
      </c>
      <c r="C1100" s="1" t="s">
        <v>1351</v>
      </c>
    </row>
    <row r="1101" spans="1:3" ht="12.75" x14ac:dyDescent="0.2">
      <c r="A1101" s="1" t="str">
        <f ca="1">IFERROR(__xludf.DUMMYFUNCTION("GOOGLETRANSLATE(C1957, ""en"", ""es"")"),"evitan")</f>
        <v>evitan</v>
      </c>
      <c r="B1101" s="1">
        <v>-1</v>
      </c>
      <c r="C1101" s="1" t="s">
        <v>1955</v>
      </c>
    </row>
    <row r="1102" spans="1:3" ht="12.75" x14ac:dyDescent="0.2">
      <c r="A1102" s="1" t="str">
        <f ca="1">IFERROR(__xludf.DUMMYFUNCTION("GOOGLETRANSLATE(C1059, ""en"", ""es"")"),"evitar")</f>
        <v>evitar</v>
      </c>
      <c r="B1102" s="1">
        <v>-1</v>
      </c>
      <c r="C1102" s="1" t="s">
        <v>1061</v>
      </c>
    </row>
    <row r="1103" spans="1:3" ht="12.75" x14ac:dyDescent="0.2">
      <c r="A1103" s="1" t="str">
        <f ca="1">IFERROR(__xludf.DUMMYFUNCTION("GOOGLETRANSLATE(C1060, ""en"", ""es"")"),"evitar")</f>
        <v>evitar</v>
      </c>
      <c r="B1103" s="1">
        <v>-1</v>
      </c>
      <c r="C1103" s="1" t="s">
        <v>1062</v>
      </c>
    </row>
    <row r="1104" spans="1:3" ht="12.75" x14ac:dyDescent="0.2">
      <c r="A1104" s="1" t="str">
        <f ca="1">IFERROR(__xludf.DUMMYFUNCTION("GOOGLETRANSLATE(C1063, ""en"", ""es"")"),"exageración")</f>
        <v>exageración</v>
      </c>
      <c r="B1104" s="1">
        <v>-2</v>
      </c>
      <c r="C1104" s="1" t="s">
        <v>1065</v>
      </c>
    </row>
    <row r="1105" spans="1:3" ht="12.75" x14ac:dyDescent="0.2">
      <c r="A1105" s="1" t="str">
        <f ca="1">IFERROR(__xludf.DUMMYFUNCTION("GOOGLETRANSLATE(C1064, ""en"", ""es"")"),"exageración")</f>
        <v>exageración</v>
      </c>
      <c r="B1105" s="1">
        <v>-2</v>
      </c>
      <c r="C1105" s="1" t="s">
        <v>1066</v>
      </c>
    </row>
    <row r="1106" spans="1:3" ht="12.75" x14ac:dyDescent="0.2">
      <c r="A1106" s="1" t="str">
        <f ca="1">IFERROR(__xludf.DUMMYFUNCTION("GOOGLETRANSLATE(C1065, ""en"", ""es"")"),"exagerado")</f>
        <v>exagerado</v>
      </c>
      <c r="B1106" s="1">
        <v>-2</v>
      </c>
      <c r="C1106" s="1" t="s">
        <v>1067</v>
      </c>
    </row>
    <row r="1107" spans="1:3" ht="12.75" x14ac:dyDescent="0.2">
      <c r="A1107" s="1" t="str">
        <f ca="1">IFERROR(__xludf.DUMMYFUNCTION("GOOGLETRANSLATE(C1066, ""en"", ""es"")"),"exagerado")</f>
        <v>exagerado</v>
      </c>
      <c r="B1107" s="1">
        <v>-2</v>
      </c>
      <c r="C1107" s="1" t="s">
        <v>1068</v>
      </c>
    </row>
    <row r="1108" spans="1:3" ht="12.75" x14ac:dyDescent="0.2">
      <c r="A1108" s="1" t="str">
        <f ca="1">IFERROR(__xludf.DUMMYFUNCTION("GOOGLETRANSLATE(C1831, ""en"", ""es"")"),"exagerado")</f>
        <v>exagerado</v>
      </c>
      <c r="B1108" s="1">
        <v>-2</v>
      </c>
      <c r="C1108" s="1" t="s">
        <v>1829</v>
      </c>
    </row>
    <row r="1109" spans="1:3" ht="12.75" x14ac:dyDescent="0.2">
      <c r="A1109" s="1" t="str">
        <f ca="1">IFERROR(__xludf.DUMMYFUNCTION("GOOGLETRANSLATE(C1062, ""en"", ""es"")"),"exagerar")</f>
        <v>exagerar</v>
      </c>
      <c r="B1109" s="1">
        <v>-2</v>
      </c>
      <c r="C1109" s="1" t="s">
        <v>1064</v>
      </c>
    </row>
    <row r="1110" spans="1:3" ht="12.75" x14ac:dyDescent="0.2">
      <c r="A1110" s="1" t="str">
        <f ca="1">IFERROR(__xludf.DUMMYFUNCTION("GOOGLETRANSLATE(C1067, ""en"", ""es"")"),"exagerar")</f>
        <v>exagerar</v>
      </c>
      <c r="B1110" s="1">
        <v>-2</v>
      </c>
      <c r="C1110" s="1" t="s">
        <v>1069</v>
      </c>
    </row>
    <row r="1111" spans="1:3" ht="12.75" x14ac:dyDescent="0.2">
      <c r="A1111" s="1" t="str">
        <f ca="1">IFERROR(__xludf.DUMMYFUNCTION("GOOGLETRANSLATE(C1069, ""en"", ""es"")"),"exaltado")</f>
        <v>exaltado</v>
      </c>
      <c r="B1111" s="1">
        <v>3</v>
      </c>
      <c r="C1111" s="1" t="s">
        <v>1071</v>
      </c>
    </row>
    <row r="1112" spans="1:3" ht="12.75" x14ac:dyDescent="0.2">
      <c r="A1112" s="1" t="str">
        <f ca="1">IFERROR(__xludf.DUMMYFUNCTION("GOOGLETRANSLATE(C1070, ""en"", ""es"")"),"exasperado")</f>
        <v>exasperado</v>
      </c>
      <c r="B1112" s="1">
        <v>2</v>
      </c>
      <c r="C1112" s="1" t="s">
        <v>1072</v>
      </c>
    </row>
    <row r="1113" spans="1:3" ht="12.75" x14ac:dyDescent="0.2">
      <c r="A1113" s="1" t="str">
        <f ca="1">IFERROR(__xludf.DUMMYFUNCTION("GOOGLETRANSLATE(C1071, ""en"", ""es"")"),"exasperante")</f>
        <v>exasperante</v>
      </c>
      <c r="B1113" s="1">
        <v>-2</v>
      </c>
      <c r="C1113" s="1" t="s">
        <v>1073</v>
      </c>
    </row>
    <row r="1114" spans="1:3" ht="12.75" x14ac:dyDescent="0.2">
      <c r="A1114" s="1" t="str">
        <f ca="1">IFERROR(__xludf.DUMMYFUNCTION("GOOGLETRANSLATE(C1072, ""en"", ""es"")"),"excelencia")</f>
        <v>excelencia</v>
      </c>
      <c r="B1114" s="1">
        <v>3</v>
      </c>
      <c r="C1114" s="1" t="s">
        <v>1074</v>
      </c>
    </row>
    <row r="1115" spans="1:3" ht="12.75" x14ac:dyDescent="0.2">
      <c r="A1115" s="1" t="str">
        <f ca="1">IFERROR(__xludf.DUMMYFUNCTION("GOOGLETRANSLATE(C1073, ""en"", ""es"")"),"excelente")</f>
        <v>excelente</v>
      </c>
      <c r="B1115" s="1">
        <v>3</v>
      </c>
      <c r="C1115" s="1" t="s">
        <v>1075</v>
      </c>
    </row>
    <row r="1116" spans="1:3" ht="12.75" x14ac:dyDescent="0.2">
      <c r="A1116" s="1" t="str">
        <f ca="1">IFERROR(__xludf.DUMMYFUNCTION("GOOGLETRANSLATE(C1832, ""en"", ""es"")"),"excesivo")</f>
        <v>excesivo</v>
      </c>
      <c r="B1116" s="1">
        <v>-2</v>
      </c>
      <c r="C1116" s="1" t="s">
        <v>1830</v>
      </c>
    </row>
    <row r="1117" spans="1:3" ht="12.75" x14ac:dyDescent="0.2">
      <c r="A1117" s="1" t="str">
        <f ca="1">IFERROR(__xludf.DUMMYFUNCTION("GOOGLETRANSLATE(C1075, ""en"", ""es"")"),"exceso de peso")</f>
        <v>exceso de peso</v>
      </c>
      <c r="B1117" s="1">
        <v>-1</v>
      </c>
      <c r="C1117" s="1" t="s">
        <v>1077</v>
      </c>
    </row>
    <row r="1118" spans="1:3" ht="12.75" x14ac:dyDescent="0.2">
      <c r="A1118" s="1" t="str">
        <f ca="1">IFERROR(__xludf.DUMMYFUNCTION("GOOGLETRANSLATE(C1068, ""en"", ""es"")"),"exceso de venta")</f>
        <v>exceso de venta</v>
      </c>
      <c r="B1118" s="1">
        <v>-2</v>
      </c>
      <c r="C1118" s="1" t="s">
        <v>1070</v>
      </c>
    </row>
    <row r="1119" spans="1:3" ht="12.75" x14ac:dyDescent="0.2">
      <c r="A1119" s="1" t="str">
        <f ca="1">IFERROR(__xludf.DUMMYFUNCTION("GOOGLETRANSLATE(C893, ""en"", ""es"")"),"excitación")</f>
        <v>excitación</v>
      </c>
      <c r="B1119" s="1">
        <v>3</v>
      </c>
      <c r="C1119" s="1" t="s">
        <v>895</v>
      </c>
    </row>
    <row r="1120" spans="1:3" ht="12.75" x14ac:dyDescent="0.2">
      <c r="A1120" s="1" t="str">
        <f ca="1">IFERROR(__xludf.DUMMYFUNCTION("GOOGLETRANSLATE(C896, ""en"", ""es"")"),"excitante")</f>
        <v>excitante</v>
      </c>
      <c r="B1120" s="1">
        <v>3</v>
      </c>
      <c r="C1120" s="1" t="s">
        <v>898</v>
      </c>
    </row>
    <row r="1121" spans="1:3" ht="12.75" x14ac:dyDescent="0.2">
      <c r="A1121" s="1" t="str">
        <f ca="1">IFERROR(__xludf.DUMMYFUNCTION("GOOGLETRANSLATE(C1076, ""en"", ""es"")"),"excitar")</f>
        <v>excitar</v>
      </c>
      <c r="B1121" s="1">
        <v>3</v>
      </c>
      <c r="C1121" s="1" t="s">
        <v>1078</v>
      </c>
    </row>
    <row r="1122" spans="1:3" ht="12.75" x14ac:dyDescent="0.2">
      <c r="A1122" s="1" t="str">
        <f ca="1">IFERROR(__xludf.DUMMYFUNCTION("GOOGLETRANSLATE(C1077, ""en"", ""es"")"),"excluido")</f>
        <v>excluido</v>
      </c>
      <c r="B1122" s="1">
        <v>-2</v>
      </c>
      <c r="C1122" s="1" t="s">
        <v>1079</v>
      </c>
    </row>
    <row r="1123" spans="1:3" ht="12.75" x14ac:dyDescent="0.2">
      <c r="A1123" s="1" t="str">
        <f ca="1">IFERROR(__xludf.DUMMYFUNCTION("GOOGLETRANSLATE(C1078, ""en"", ""es"")"),"excluir")</f>
        <v>excluir</v>
      </c>
      <c r="B1123" s="1">
        <v>-1</v>
      </c>
      <c r="C1123" s="1" t="s">
        <v>1080</v>
      </c>
    </row>
    <row r="1124" spans="1:3" ht="12.75" x14ac:dyDescent="0.2">
      <c r="A1124" s="1" t="str">
        <f ca="1">IFERROR(__xludf.DUMMYFUNCTION("GOOGLETRANSLATE(C1079, ""en"", ""es"")"),"exclusión")</f>
        <v>exclusión</v>
      </c>
      <c r="B1124" s="1">
        <v>-1</v>
      </c>
      <c r="C1124" s="1" t="s">
        <v>1081</v>
      </c>
    </row>
    <row r="1125" spans="1:3" ht="12.75" x14ac:dyDescent="0.2">
      <c r="A1125" s="1" t="str">
        <f ca="1">IFERROR(__xludf.DUMMYFUNCTION("GOOGLETRANSLATE(C1080, ""en"", ""es"")"),"exclusivo")</f>
        <v>exclusivo</v>
      </c>
      <c r="B1125" s="1">
        <v>2</v>
      </c>
      <c r="C1125" s="1" t="s">
        <v>1082</v>
      </c>
    </row>
    <row r="1126" spans="1:3" ht="12.75" x14ac:dyDescent="0.2">
      <c r="A1126" s="1" t="str">
        <f ca="1">IFERROR(__xludf.DUMMYFUNCTION("GOOGLETRANSLATE(C102, ""en"", ""es"")"),"exhausto")</f>
        <v>exhausto</v>
      </c>
      <c r="B1126" s="1">
        <v>-2</v>
      </c>
      <c r="C1126" s="1" t="s">
        <v>102</v>
      </c>
    </row>
    <row r="1127" spans="1:3" ht="12.75" x14ac:dyDescent="0.2">
      <c r="A1127" s="1" t="str">
        <f ca="1">IFERROR(__xludf.DUMMYFUNCTION("GOOGLETRANSLATE(C1084, ""en"", ""es"")"),"exigido")</f>
        <v>exigido</v>
      </c>
      <c r="B1127" s="1">
        <v>-1</v>
      </c>
      <c r="C1127" s="1" t="s">
        <v>1086</v>
      </c>
    </row>
    <row r="1128" spans="1:3" ht="12.75" x14ac:dyDescent="0.2">
      <c r="A1128" s="1" t="str">
        <f ca="1">IFERROR(__xludf.DUMMYFUNCTION("GOOGLETRANSLATE(C1085, ""en"", ""es"")"),"eximir")</f>
        <v>eximir</v>
      </c>
      <c r="B1128" s="1">
        <v>-1</v>
      </c>
      <c r="C1128" s="1" t="s">
        <v>1087</v>
      </c>
    </row>
    <row r="1129" spans="1:3" ht="12.75" x14ac:dyDescent="0.2">
      <c r="A1129" s="1" t="str">
        <f ca="1">IFERROR(__xludf.DUMMYFUNCTION("GOOGLETRANSLATE(C1086, ""en"", ""es"")"),"éxito")</f>
        <v>éxito</v>
      </c>
      <c r="B1129" s="1">
        <v>2</v>
      </c>
      <c r="C1129" s="1" t="s">
        <v>1088</v>
      </c>
    </row>
    <row r="1130" spans="1:3" ht="12.75" x14ac:dyDescent="0.2">
      <c r="A1130" s="1" t="str">
        <f ca="1">IFERROR(__xludf.DUMMYFUNCTION("GOOGLETRANSLATE(C1087, ""en"", ""es"")"),"éxito de taquilla")</f>
        <v>éxito de taquilla</v>
      </c>
      <c r="B1130" s="1">
        <v>3</v>
      </c>
      <c r="C1130" s="1" t="s">
        <v>1089</v>
      </c>
    </row>
    <row r="1131" spans="1:3" ht="12.75" x14ac:dyDescent="0.2">
      <c r="A1131" s="1" t="str">
        <f ca="1">IFERROR(__xludf.DUMMYFUNCTION("GOOGLETRANSLATE(C1088, ""en"", ""es"")"),"exitoso")</f>
        <v>exitoso</v>
      </c>
      <c r="B1131" s="1">
        <v>3</v>
      </c>
      <c r="C1131" s="1" t="s">
        <v>1090</v>
      </c>
    </row>
    <row r="1132" spans="1:3" ht="12.75" x14ac:dyDescent="0.2">
      <c r="A1132" s="1" t="str">
        <f ca="1">IFERROR(__xludf.DUMMYFUNCTION("GOOGLETRANSLATE(C1090, ""en"", ""es"")"),"exonerado")</f>
        <v>exonerado</v>
      </c>
      <c r="B1132" s="1">
        <v>2</v>
      </c>
      <c r="C1132" s="1" t="s">
        <v>1092</v>
      </c>
    </row>
    <row r="1133" spans="1:3" ht="12.75" x14ac:dyDescent="0.2">
      <c r="A1133" s="1" t="str">
        <f ca="1">IFERROR(__xludf.DUMMYFUNCTION("GOOGLETRANSLATE(C1091, ""en"", ""es"")"),"exonerado")</f>
        <v>exonerado</v>
      </c>
      <c r="B1133" s="1">
        <v>2</v>
      </c>
      <c r="C1133" s="1" t="s">
        <v>1093</v>
      </c>
    </row>
    <row r="1134" spans="1:3" ht="12.75" x14ac:dyDescent="0.2">
      <c r="A1134" s="1" t="str">
        <f ca="1">IFERROR(__xludf.DUMMYFUNCTION("GOOGLETRANSLATE(C1092, ""en"", ""es"")"),"exonerar")</f>
        <v>exonerar</v>
      </c>
      <c r="B1134" s="1">
        <v>2</v>
      </c>
      <c r="C1134" s="1" t="s">
        <v>1094</v>
      </c>
    </row>
    <row r="1135" spans="1:3" ht="12.75" x14ac:dyDescent="0.2">
      <c r="A1135" s="1" t="str">
        <f ca="1">IFERROR(__xludf.DUMMYFUNCTION("GOOGLETRANSLATE(C1089, ""en"", ""es"")"),"exonerarse")</f>
        <v>exonerarse</v>
      </c>
      <c r="B1135" s="1">
        <v>2</v>
      </c>
      <c r="C1135" s="1" t="s">
        <v>1091</v>
      </c>
    </row>
    <row r="1136" spans="1:3" ht="12.75" x14ac:dyDescent="0.2">
      <c r="A1136" s="1" t="str">
        <f ca="1">IFERROR(__xludf.DUMMYFUNCTION("GOOGLETRANSLATE(C1094, ""en"", ""es"")"),"expandir")</f>
        <v>expandir</v>
      </c>
      <c r="B1136" s="1">
        <v>1</v>
      </c>
      <c r="C1136" s="1" t="s">
        <v>1096</v>
      </c>
    </row>
    <row r="1137" spans="1:3" ht="12.75" x14ac:dyDescent="0.2">
      <c r="A1137" s="1" t="str">
        <f ca="1">IFERROR(__xludf.DUMMYFUNCTION("GOOGLETRANSLATE(C1095, ""en"", ""es"")"),"exploits")</f>
        <v>exploits</v>
      </c>
      <c r="B1137" s="1">
        <v>-2</v>
      </c>
      <c r="C1137" s="1" t="s">
        <v>1097</v>
      </c>
    </row>
    <row r="1138" spans="1:3" ht="12.75" x14ac:dyDescent="0.2">
      <c r="A1138" s="1" t="str">
        <f ca="1">IFERROR(__xludf.DUMMYFUNCTION("GOOGLETRANSLATE(C1096, ""en"", ""es"")"),"exploración")</f>
        <v>exploración</v>
      </c>
      <c r="B1138" s="1">
        <v>1</v>
      </c>
      <c r="C1138" s="1" t="s">
        <v>1098</v>
      </c>
    </row>
    <row r="1139" spans="1:3" ht="12.75" x14ac:dyDescent="0.2">
      <c r="A1139" s="1" t="str">
        <f ca="1">IFERROR(__xludf.DUMMYFUNCTION("GOOGLETRANSLATE(C1097, ""en"", ""es"")"),"exploraciones")</f>
        <v>exploraciones</v>
      </c>
      <c r="B1139" s="1">
        <v>1</v>
      </c>
      <c r="C1139" s="1" t="s">
        <v>1099</v>
      </c>
    </row>
    <row r="1140" spans="1:3" ht="12.75" x14ac:dyDescent="0.2">
      <c r="A1140" s="1" t="str">
        <f ca="1">IFERROR(__xludf.DUMMYFUNCTION("GOOGLETRANSLATE(C1100, ""en"", ""es"")"),"explotación")</f>
        <v>explotación</v>
      </c>
      <c r="B1140" s="1">
        <v>-2</v>
      </c>
      <c r="C1140" s="1" t="s">
        <v>1102</v>
      </c>
    </row>
    <row r="1141" spans="1:3" ht="12.75" x14ac:dyDescent="0.2">
      <c r="A1141" s="1" t="str">
        <f ca="1">IFERROR(__xludf.DUMMYFUNCTION("GOOGLETRANSLATE(C1098, ""en"", ""es"")"),"explotado")</f>
        <v>explotado</v>
      </c>
      <c r="B1141" s="1">
        <v>-2</v>
      </c>
      <c r="C1141" s="1" t="s">
        <v>1100</v>
      </c>
    </row>
    <row r="1142" spans="1:3" ht="12.75" x14ac:dyDescent="0.2">
      <c r="A1142" s="1" t="str">
        <f ca="1">IFERROR(__xludf.DUMMYFUNCTION("GOOGLETRANSLATE(C1099, ""en"", ""es"")"),"explotado")</f>
        <v>explotado</v>
      </c>
      <c r="B1142" s="1">
        <v>-2</v>
      </c>
      <c r="C1142" s="1" t="s">
        <v>1101</v>
      </c>
    </row>
    <row r="1143" spans="1:3" ht="12.75" x14ac:dyDescent="0.2">
      <c r="A1143" s="1" t="str">
        <f ca="1">IFERROR(__xludf.DUMMYFUNCTION("GOOGLETRANSLATE(C1101, ""en"", ""es"")"),"explotar")</f>
        <v>explotar</v>
      </c>
      <c r="B1143" s="1">
        <v>-2</v>
      </c>
      <c r="C1143" s="1" t="s">
        <v>1103</v>
      </c>
    </row>
    <row r="1144" spans="1:3" ht="12.75" x14ac:dyDescent="0.2">
      <c r="A1144" s="1" t="str">
        <f ca="1">IFERROR(__xludf.DUMMYFUNCTION("GOOGLETRANSLATE(C1103, ""en"", ""es"")"),"exponer")</f>
        <v>exponer</v>
      </c>
      <c r="B1144" s="1">
        <v>-1</v>
      </c>
      <c r="C1144" s="1" t="s">
        <v>1105</v>
      </c>
    </row>
    <row r="1145" spans="1:3" ht="12.75" x14ac:dyDescent="0.2">
      <c r="A1145" s="1" t="str">
        <f ca="1">IFERROR(__xludf.DUMMYFUNCTION("GOOGLETRANSLATE(C1102, ""en"", ""es"")"),"exponido")</f>
        <v>exponido</v>
      </c>
      <c r="B1145" s="1">
        <v>-1</v>
      </c>
      <c r="C1145" s="1" t="s">
        <v>1104</v>
      </c>
    </row>
    <row r="1146" spans="1:3" ht="12.75" x14ac:dyDescent="0.2">
      <c r="A1146" s="1" t="str">
        <f ca="1">IFERROR(__xludf.DUMMYFUNCTION("GOOGLETRANSLATE(C1104, ""en"", ""es"")"),"exposición")</f>
        <v>exposición</v>
      </c>
      <c r="B1146" s="1">
        <v>-1</v>
      </c>
      <c r="C1146" s="1" t="s">
        <v>1106</v>
      </c>
    </row>
    <row r="1147" spans="1:3" ht="12.75" x14ac:dyDescent="0.2">
      <c r="A1147" s="1" t="str">
        <f ca="1">IFERROR(__xludf.DUMMYFUNCTION("GOOGLETRANSLATE(C1105, ""en"", ""es"")"),"expuesto")</f>
        <v>expuesto</v>
      </c>
      <c r="B1147" s="1">
        <v>-1</v>
      </c>
      <c r="C1147" s="1" t="s">
        <v>1107</v>
      </c>
    </row>
    <row r="1148" spans="1:3" ht="12.75" x14ac:dyDescent="0.2">
      <c r="A1148" s="1" t="str">
        <f ca="1">IFERROR(__xludf.DUMMYFUNCTION("GOOGLETRANSLATE(C1107, ""en"", ""es"")"),"expulsado")</f>
        <v>expulsado</v>
      </c>
      <c r="B1148" s="1">
        <v>-2</v>
      </c>
      <c r="C1148" s="1" t="s">
        <v>1109</v>
      </c>
    </row>
    <row r="1149" spans="1:3" ht="12.75" x14ac:dyDescent="0.2">
      <c r="A1149" s="1" t="str">
        <f ca="1">IFERROR(__xludf.DUMMYFUNCTION("GOOGLETRANSLATE(C1109, ""en"", ""es"")"),"expulsar")</f>
        <v>expulsar</v>
      </c>
      <c r="B1149" s="1">
        <v>-2</v>
      </c>
      <c r="C1149" s="1" t="s">
        <v>1111</v>
      </c>
    </row>
    <row r="1150" spans="1:3" ht="12.75" x14ac:dyDescent="0.2">
      <c r="A1150" s="1" t="str">
        <f ca="1">IFERROR(__xludf.DUMMYFUNCTION("GOOGLETRANSLATE(C1106, ""en"", ""es"")"),"expulsión")</f>
        <v>expulsión</v>
      </c>
      <c r="B1150" s="1">
        <v>-2</v>
      </c>
      <c r="C1150" s="1" t="s">
        <v>1108</v>
      </c>
    </row>
    <row r="1151" spans="1:3" ht="12.75" x14ac:dyDescent="0.2">
      <c r="A1151" s="1" t="str">
        <f ca="1">IFERROR(__xludf.DUMMYFUNCTION("GOOGLETRANSLATE(C1108, ""en"", ""es"")"),"expulsión")</f>
        <v>expulsión</v>
      </c>
      <c r="B1151" s="1">
        <v>-2</v>
      </c>
      <c r="C1151" s="1" t="s">
        <v>1110</v>
      </c>
    </row>
    <row r="1152" spans="1:3" ht="12.75" x14ac:dyDescent="0.2">
      <c r="A1152" s="1" t="str">
        <f ca="1">IFERROR(__xludf.DUMMYFUNCTION("GOOGLETRANSLATE(C1110, ""en"", ""es"")"),"extasiar")</f>
        <v>extasiar</v>
      </c>
      <c r="B1152" s="1">
        <v>3</v>
      </c>
      <c r="C1152" s="1" t="s">
        <v>1112</v>
      </c>
    </row>
    <row r="1153" spans="1:3" ht="12.75" x14ac:dyDescent="0.2">
      <c r="A1153" s="1" t="str">
        <f ca="1">IFERROR(__xludf.DUMMYFUNCTION("GOOGLETRANSLATE(C1111, ""en"", ""es"")"),"éxtasis")</f>
        <v>éxtasis</v>
      </c>
      <c r="B1153" s="1">
        <v>2</v>
      </c>
      <c r="C1153" s="1" t="s">
        <v>1113</v>
      </c>
    </row>
    <row r="1154" spans="1:3" ht="12.75" x14ac:dyDescent="0.2">
      <c r="A1154" s="1" t="str">
        <f ca="1">IFERROR(__xludf.DUMMYFUNCTION("GOOGLETRANSLATE(C1112, ""en"", ""es"")"),"extático")</f>
        <v>extático</v>
      </c>
      <c r="B1154" s="1">
        <v>4</v>
      </c>
      <c r="C1154" s="1" t="s">
        <v>1114</v>
      </c>
    </row>
    <row r="1155" spans="1:3" ht="12.75" x14ac:dyDescent="0.2">
      <c r="A1155" s="1" t="str">
        <f ca="1">IFERROR(__xludf.DUMMYFUNCTION("GOOGLETRANSLATE(C1113, ""en"", ""es"")"),"extático")</f>
        <v>extático</v>
      </c>
      <c r="B1155" s="1">
        <v>4</v>
      </c>
      <c r="C1155" s="1" t="s">
        <v>1115</v>
      </c>
    </row>
    <row r="1156" spans="1:3" ht="12.75" x14ac:dyDescent="0.2">
      <c r="A1156" s="1" t="str">
        <f ca="1">IFERROR(__xludf.DUMMYFUNCTION("GOOGLETRANSLATE(C187, ""en"", ""es"")"),"extender")</f>
        <v>extender</v>
      </c>
      <c r="B1156" s="1">
        <v>1</v>
      </c>
      <c r="C1156" s="1" t="s">
        <v>187</v>
      </c>
    </row>
    <row r="1157" spans="1:3" ht="12.75" x14ac:dyDescent="0.2">
      <c r="A1157" s="1" t="str">
        <f ca="1">IFERROR(__xludf.DUMMYFUNCTION("GOOGLETRANSLATE(C2171, ""en"", ""es"")"),"extender")</f>
        <v>extender</v>
      </c>
      <c r="B1157" s="1">
        <v>1</v>
      </c>
      <c r="C1157" s="1" t="s">
        <v>2169</v>
      </c>
    </row>
    <row r="1158" spans="1:3" ht="12.75" x14ac:dyDescent="0.2">
      <c r="A1158" s="1" t="str">
        <f ca="1">IFERROR(__xludf.DUMMYFUNCTION("GOOGLETRANSLATE(C1114, ""en"", ""es"")"),"extrañamente")</f>
        <v>extrañamente</v>
      </c>
      <c r="B1158" s="1">
        <v>-1</v>
      </c>
      <c r="C1158" s="1" t="s">
        <v>1116</v>
      </c>
    </row>
    <row r="1159" spans="1:3" ht="12.75" x14ac:dyDescent="0.2">
      <c r="A1159" s="1" t="str">
        <f ca="1">IFERROR(__xludf.DUMMYFUNCTION("GOOGLETRANSLATE(C1115, ""en"", ""es"")"),"extraño")</f>
        <v>extraño</v>
      </c>
      <c r="B1159" s="1">
        <v>-2</v>
      </c>
      <c r="C1159" s="1" t="s">
        <v>1117</v>
      </c>
    </row>
    <row r="1160" spans="1:3" ht="12.75" x14ac:dyDescent="0.2">
      <c r="A1160" s="1" t="str">
        <f ca="1">IFERROR(__xludf.DUMMYFUNCTION("GOOGLETRANSLATE(C1116, ""en"", ""es"")"),"extraño")</f>
        <v>extraño</v>
      </c>
      <c r="B1160" s="1">
        <v>-1</v>
      </c>
      <c r="C1160" s="1" t="s">
        <v>1118</v>
      </c>
    </row>
    <row r="1161" spans="1:3" ht="12.75" x14ac:dyDescent="0.2">
      <c r="A1161" s="1" t="str">
        <f ca="1">IFERROR(__xludf.DUMMYFUNCTION("GOOGLETRANSLATE(C1117, ""en"", ""es"")"),"extraño")</f>
        <v>extraño</v>
      </c>
      <c r="B1161" s="1">
        <v>-2</v>
      </c>
      <c r="C1161" s="1" t="s">
        <v>1119</v>
      </c>
    </row>
    <row r="1162" spans="1:3" ht="12.75" x14ac:dyDescent="0.2">
      <c r="A1162" s="1" t="str">
        <f ca="1">IFERROR(__xludf.DUMMYFUNCTION("GOOGLETRANSLATE(C2339, ""en"", ""es"")"),"extraño")</f>
        <v>extraño</v>
      </c>
      <c r="B1162" s="1">
        <v>-2</v>
      </c>
      <c r="C1162" s="1" t="s">
        <v>2335</v>
      </c>
    </row>
    <row r="1163" spans="1:3" ht="12.75" x14ac:dyDescent="0.2">
      <c r="A1163" s="1" t="str">
        <f ca="1">IFERROR(__xludf.DUMMYFUNCTION("GOOGLETRANSLATE(C1118, ""en"", ""es"")"),"exuberante")</f>
        <v>exuberante</v>
      </c>
      <c r="B1163" s="1">
        <v>4</v>
      </c>
      <c r="C1163" s="1" t="s">
        <v>1120</v>
      </c>
    </row>
    <row r="1164" spans="1:3" ht="12.75" x14ac:dyDescent="0.2">
      <c r="A1164" s="1" t="str">
        <f ca="1">IFERROR(__xludf.DUMMYFUNCTION("GOOGLETRANSLATE(C1119, ""en"", ""es"")"),"exultamente")</f>
        <v>exultamente</v>
      </c>
      <c r="B1164" s="1">
        <v>3</v>
      </c>
      <c r="C1164" s="1" t="s">
        <v>1121</v>
      </c>
    </row>
    <row r="1165" spans="1:3" ht="12.75" x14ac:dyDescent="0.2">
      <c r="A1165" s="1" t="str">
        <f ca="1">IFERROR(__xludf.DUMMYFUNCTION("GOOGLETRANSLATE(C1120, ""en"", ""es"")"),"fabuloso")</f>
        <v>fabuloso</v>
      </c>
      <c r="B1165" s="1">
        <v>4</v>
      </c>
      <c r="C1165" s="1" t="s">
        <v>1122</v>
      </c>
    </row>
    <row r="1166" spans="1:3" ht="12.75" x14ac:dyDescent="0.2">
      <c r="A1166" s="1" t="s">
        <v>2481</v>
      </c>
      <c r="B1166" s="1">
        <v>-2</v>
      </c>
      <c r="C1166" s="1" t="s">
        <v>2481</v>
      </c>
    </row>
    <row r="1167" spans="1:3" ht="12.75" x14ac:dyDescent="0.2">
      <c r="A1167" s="1" t="str">
        <f ca="1">IFERROR(__xludf.DUMMYFUNCTION("GOOGLETRANSLATE(C1121, ""en"", ""es"")"),"fácil")</f>
        <v>fácil</v>
      </c>
      <c r="B1167" s="1">
        <v>1</v>
      </c>
      <c r="C1167" s="1" t="s">
        <v>1123</v>
      </c>
    </row>
    <row r="1168" spans="1:3" ht="12.75" x14ac:dyDescent="0.2">
      <c r="A1168" s="1" t="str">
        <f ca="1">IFERROR(__xludf.DUMMYFUNCTION("GOOGLETRANSLATE(C1122, ""en"", ""es"")"),"facilidad")</f>
        <v>facilidad</v>
      </c>
      <c r="B1168" s="1">
        <v>2</v>
      </c>
      <c r="C1168" s="1" t="s">
        <v>1124</v>
      </c>
    </row>
    <row r="1169" spans="1:3" ht="12.75" x14ac:dyDescent="0.2">
      <c r="A1169" s="1" t="str">
        <f ca="1">IFERROR(__xludf.DUMMYFUNCTION("GOOGLETRANSLATE(C1185, ""en"", ""es"")"),"falla")</f>
        <v>falla</v>
      </c>
      <c r="B1169" s="1">
        <v>-2</v>
      </c>
      <c r="C1169" s="1" t="s">
        <v>1187</v>
      </c>
    </row>
    <row r="1170" spans="1:3" ht="12.75" x14ac:dyDescent="0.2">
      <c r="A1170" s="1" t="str">
        <f ca="1">IFERROR(__xludf.DUMMYFUNCTION("GOOGLETRANSLATE(C1126, ""en"", ""es"")"),"fallar")</f>
        <v>fallar</v>
      </c>
      <c r="B1170" s="1">
        <v>-2</v>
      </c>
      <c r="C1170" s="1" t="s">
        <v>1128</v>
      </c>
    </row>
    <row r="1171" spans="1:3" ht="12.75" x14ac:dyDescent="0.2">
      <c r="A1171" s="1" t="str">
        <f ca="1">IFERROR(__xludf.DUMMYFUNCTION("GOOGLETRANSLATE(C1125, ""en"", ""es"")"),"fallas")</f>
        <v>fallas</v>
      </c>
      <c r="B1171" s="1">
        <v>-2</v>
      </c>
      <c r="C1171" s="1" t="s">
        <v>1127</v>
      </c>
    </row>
    <row r="1172" spans="1:3" ht="12.75" x14ac:dyDescent="0.2">
      <c r="A1172" s="1" t="str">
        <f ca="1">IFERROR(__xludf.DUMMYFUNCTION("GOOGLETRANSLATE(C1187, ""en"", ""es"")"),"fallas")</f>
        <v>fallas</v>
      </c>
      <c r="B1172" s="1">
        <v>-2</v>
      </c>
      <c r="C1172" s="1" t="s">
        <v>1189</v>
      </c>
    </row>
    <row r="1173" spans="1:3" ht="12.75" x14ac:dyDescent="0.2">
      <c r="A1173" s="1" t="str">
        <f ca="1">IFERROR(__xludf.DUMMYFUNCTION("GOOGLETRANSLATE(C1281, ""en"", ""es"")"),"fallido")</f>
        <v>fallido</v>
      </c>
      <c r="B1173" s="1">
        <v>-2</v>
      </c>
      <c r="C1173" s="1" t="s">
        <v>1283</v>
      </c>
    </row>
    <row r="1174" spans="1:3" ht="12.75" x14ac:dyDescent="0.2">
      <c r="A1174" s="1" t="str">
        <f ca="1">IFERROR(__xludf.DUMMYFUNCTION("GOOGLETRANSLATE(C1127, ""en"", ""es"")"),"falsificación")</f>
        <v>falsificación</v>
      </c>
      <c r="B1174" s="1">
        <v>-3</v>
      </c>
      <c r="C1174" s="1" t="s">
        <v>1129</v>
      </c>
    </row>
    <row r="1175" spans="1:3" ht="12.75" x14ac:dyDescent="0.2">
      <c r="A1175" s="1" t="str">
        <f ca="1">IFERROR(__xludf.DUMMYFUNCTION("GOOGLETRANSLATE(C1128, ""en"", ""es"")"),"falsificaciones")</f>
        <v>falsificaciones</v>
      </c>
      <c r="B1175" s="1">
        <v>-3</v>
      </c>
      <c r="C1175" s="1" t="s">
        <v>1130</v>
      </c>
    </row>
    <row r="1176" spans="1:3" ht="12.75" x14ac:dyDescent="0.2">
      <c r="A1176" s="1" t="str">
        <f ca="1">IFERROR(__xludf.DUMMYFUNCTION("GOOGLETRANSLATE(C1129, ""en"", ""es"")"),"falsificado")</f>
        <v>falsificado</v>
      </c>
      <c r="B1176" s="1">
        <v>-3</v>
      </c>
      <c r="C1176" s="1" t="s">
        <v>1131</v>
      </c>
    </row>
    <row r="1177" spans="1:3" ht="12.75" x14ac:dyDescent="0.2">
      <c r="A1177" s="1" t="str">
        <f ca="1">IFERROR(__xludf.DUMMYFUNCTION("GOOGLETRANSLATE(C1130, ""en"", ""es"")"),"falsificar")</f>
        <v>falsificar</v>
      </c>
      <c r="B1177" s="1">
        <v>-3</v>
      </c>
      <c r="C1177" s="1" t="s">
        <v>1132</v>
      </c>
    </row>
    <row r="1178" spans="1:3" ht="12.75" x14ac:dyDescent="0.2">
      <c r="A1178" s="1" t="str">
        <f ca="1">IFERROR(__xludf.DUMMYFUNCTION("GOOGLETRANSLATE(C1131, ""en"", ""es"")"),"falso")</f>
        <v>falso</v>
      </c>
      <c r="B1178" s="1">
        <v>-2</v>
      </c>
      <c r="C1178" s="1" t="s">
        <v>1133</v>
      </c>
    </row>
    <row r="1179" spans="1:3" ht="12.75" x14ac:dyDescent="0.2">
      <c r="A1179" s="1" t="str">
        <f ca="1">IFERROR(__xludf.DUMMYFUNCTION("GOOGLETRANSLATE(C1132, ""en"", ""es"")"),"falso")</f>
        <v>falso</v>
      </c>
      <c r="B1179" s="1">
        <v>-3</v>
      </c>
      <c r="C1179" s="1" t="s">
        <v>1134</v>
      </c>
    </row>
    <row r="1180" spans="1:3" ht="12.75" x14ac:dyDescent="0.2">
      <c r="A1180" s="1" t="str">
        <f ca="1">IFERROR(__xludf.DUMMYFUNCTION("GOOGLETRANSLATE(C325, ""en"", ""es"")"),"falta")</f>
        <v>falta</v>
      </c>
      <c r="B1180" s="1">
        <v>-2</v>
      </c>
      <c r="C1180" s="1" t="s">
        <v>325</v>
      </c>
    </row>
    <row r="1181" spans="1:3" ht="12.75" x14ac:dyDescent="0.2">
      <c r="A1181" s="1" t="str">
        <f ca="1">IFERROR(__xludf.DUMMYFUNCTION("GOOGLETRANSLATE(C1133, ""en"", ""es"")"),"falta de respeto")</f>
        <v>falta de respeto</v>
      </c>
      <c r="B1181" s="1">
        <v>-2</v>
      </c>
      <c r="C1181" s="1" t="s">
        <v>1135</v>
      </c>
    </row>
    <row r="1182" spans="1:3" ht="12.75" x14ac:dyDescent="0.2">
      <c r="A1182" s="1" t="str">
        <f ca="1">IFERROR(__xludf.DUMMYFUNCTION("GOOGLETRANSLATE(C1134, ""en"", ""es"")"),"fama")</f>
        <v>fama</v>
      </c>
      <c r="B1182" s="1">
        <v>1</v>
      </c>
      <c r="C1182" s="1" t="s">
        <v>1136</v>
      </c>
    </row>
    <row r="1183" spans="1:3" ht="12.75" x14ac:dyDescent="0.2">
      <c r="A1183" s="1" t="str">
        <f ca="1">IFERROR(__xludf.DUMMYFUNCTION("GOOGLETRANSLATE(C1135, ""en"", ""es"")"),"famélico")</f>
        <v>famélico</v>
      </c>
      <c r="B1183" s="1">
        <v>-2</v>
      </c>
      <c r="C1183" s="1" t="s">
        <v>1137</v>
      </c>
    </row>
    <row r="1184" spans="1:3" ht="12.75" x14ac:dyDescent="0.2">
      <c r="A1184" s="1" t="str">
        <f ca="1">IFERROR(__xludf.DUMMYFUNCTION("GOOGLETRANSLATE(C1136, ""en"", ""es"")"),"fanático")</f>
        <v>fanático</v>
      </c>
      <c r="B1184" s="1">
        <v>-2</v>
      </c>
      <c r="C1184" s="1" t="s">
        <v>1138</v>
      </c>
    </row>
    <row r="1185" spans="1:3" ht="12.75" x14ac:dyDescent="0.2">
      <c r="A1185" s="1" t="str">
        <f ca="1">IFERROR(__xludf.DUMMYFUNCTION("GOOGLETRANSLATE(C1137, ""en"", ""es"")"),"fanáticos")</f>
        <v>fanáticos</v>
      </c>
      <c r="B1185" s="1">
        <v>-2</v>
      </c>
      <c r="C1185" s="1" t="s">
        <v>1139</v>
      </c>
    </row>
    <row r="1186" spans="1:3" ht="12.75" x14ac:dyDescent="0.2">
      <c r="A1186" s="1" t="str">
        <f ca="1">IFERROR(__xludf.DUMMYFUNCTION("GOOGLETRANSLATE(C1138, ""en"", ""es"")"),"fantasma")</f>
        <v>fantasma</v>
      </c>
      <c r="B1186" s="1">
        <v>-1</v>
      </c>
      <c r="C1186" s="1" t="s">
        <v>1140</v>
      </c>
    </row>
    <row r="1187" spans="1:3" ht="12.75" x14ac:dyDescent="0.2">
      <c r="A1187" s="1" t="str">
        <f ca="1">IFERROR(__xludf.DUMMYFUNCTION("GOOGLETRANSLATE(C1048, ""en"", ""es"")"),"fantástico")</f>
        <v>fantástico</v>
      </c>
      <c r="B1187" s="1">
        <v>4</v>
      </c>
      <c r="C1187" s="1" t="s">
        <v>1050</v>
      </c>
    </row>
    <row r="1188" spans="1:3" ht="12.75" x14ac:dyDescent="0.2">
      <c r="A1188" s="1" t="str">
        <f ca="1">IFERROR(__xludf.DUMMYFUNCTION("GOOGLETRANSLATE(C1139, ""en"", ""es"")"),"fantástico")</f>
        <v>fantástico</v>
      </c>
      <c r="B1188" s="1">
        <v>4</v>
      </c>
      <c r="C1188" s="1" t="s">
        <v>1141</v>
      </c>
    </row>
    <row r="1189" spans="1:3" ht="12.75" x14ac:dyDescent="0.2">
      <c r="A1189" s="1" t="str">
        <f ca="1">IFERROR(__xludf.DUMMYFUNCTION("GOOGLETRANSLATE(C1140, ""en"", ""es"")"),"farsa")</f>
        <v>farsa</v>
      </c>
      <c r="B1189" s="1">
        <v>-1</v>
      </c>
      <c r="C1189" s="1" t="s">
        <v>1142</v>
      </c>
    </row>
    <row r="1190" spans="1:3" ht="12.75" x14ac:dyDescent="0.2">
      <c r="A1190" s="1" t="str">
        <f ca="1">IFERROR(__xludf.DUMMYFUNCTION("GOOGLETRANSLATE(C912, ""en"", ""es"")"),"fascinado")</f>
        <v>fascinado</v>
      </c>
      <c r="B1190" s="1">
        <v>5</v>
      </c>
      <c r="C1190" s="1" t="s">
        <v>914</v>
      </c>
    </row>
    <row r="1191" spans="1:3" ht="12.75" x14ac:dyDescent="0.2">
      <c r="A1191" s="1" t="str">
        <f ca="1">IFERROR(__xludf.DUMMYFUNCTION("GOOGLETRANSLATE(C1143, ""en"", ""es"")"),"fascinado")</f>
        <v>fascinado</v>
      </c>
      <c r="B1191" s="1">
        <v>3</v>
      </c>
      <c r="C1191" s="1" t="s">
        <v>1145</v>
      </c>
    </row>
    <row r="1192" spans="1:3" ht="12.75" x14ac:dyDescent="0.2">
      <c r="A1192" s="1" t="str">
        <f ca="1">IFERROR(__xludf.DUMMYFUNCTION("GOOGLETRANSLATE(C1142, ""en"", ""es"")"),"fascinante")</f>
        <v>fascinante</v>
      </c>
      <c r="B1192" s="1">
        <v>3</v>
      </c>
      <c r="C1192" s="1" t="s">
        <v>1144</v>
      </c>
    </row>
    <row r="1193" spans="1:3" ht="12.75" x14ac:dyDescent="0.2">
      <c r="A1193" s="1" t="str">
        <f ca="1">IFERROR(__xludf.DUMMYFUNCTION("GOOGLETRANSLATE(C1144, ""en"", ""es"")"),"fascinante")</f>
        <v>fascinante</v>
      </c>
      <c r="B1193" s="1">
        <v>3</v>
      </c>
      <c r="C1193" s="1" t="s">
        <v>1146</v>
      </c>
    </row>
    <row r="1194" spans="1:3" ht="12.75" x14ac:dyDescent="0.2">
      <c r="A1194" s="1" t="str">
        <f ca="1">IFERROR(__xludf.DUMMYFUNCTION("GOOGLETRANSLATE(C1145, ""en"", ""es"")"),"fascinar")</f>
        <v>fascinar</v>
      </c>
      <c r="B1194" s="1">
        <v>3</v>
      </c>
      <c r="C1194" s="1" t="s">
        <v>1147</v>
      </c>
    </row>
    <row r="1195" spans="1:3" ht="12.75" x14ac:dyDescent="0.2">
      <c r="A1195" s="1" t="str">
        <f ca="1">IFERROR(__xludf.DUMMYFUNCTION("GOOGLETRANSLATE(C1146, ""en"", ""es"")"),"fascista")</f>
        <v>fascista</v>
      </c>
      <c r="B1195" s="1">
        <v>-2</v>
      </c>
      <c r="C1195" s="1" t="s">
        <v>1148</v>
      </c>
    </row>
    <row r="1196" spans="1:3" ht="12.75" x14ac:dyDescent="0.2">
      <c r="A1196" s="1" t="str">
        <f ca="1">IFERROR(__xludf.DUMMYFUNCTION("GOOGLETRANSLATE(C1147, ""en"", ""es"")"),"fascistas")</f>
        <v>fascistas</v>
      </c>
      <c r="B1196" s="1">
        <v>-2</v>
      </c>
      <c r="C1196" s="1" t="s">
        <v>1149</v>
      </c>
    </row>
    <row r="1197" spans="1:3" ht="12.75" x14ac:dyDescent="0.2">
      <c r="A1197" s="1" t="str">
        <f ca="1">IFERROR(__xludf.DUMMYFUNCTION("GOOGLETRANSLATE(C1149, ""en"", ""es"")"),"fatalidad")</f>
        <v>fatalidad</v>
      </c>
      <c r="B1197" s="1">
        <v>-3</v>
      </c>
      <c r="C1197" s="1" t="s">
        <v>1151</v>
      </c>
    </row>
    <row r="1198" spans="1:3" ht="12.75" x14ac:dyDescent="0.2">
      <c r="A1198" s="1" t="str">
        <f ca="1">IFERROR(__xludf.DUMMYFUNCTION("GOOGLETRANSLATE(C2434, ""en"", ""es"")"),"fatalidad")</f>
        <v>fatalidad</v>
      </c>
      <c r="B1198" s="1">
        <v>-3</v>
      </c>
      <c r="C1198" s="1" t="s">
        <v>2430</v>
      </c>
    </row>
    <row r="1199" spans="1:3" ht="12.75" x14ac:dyDescent="0.2">
      <c r="A1199" s="1" t="str">
        <f ca="1">IFERROR(__xludf.DUMMYFUNCTION("GOOGLETRANSLATE(C1150, ""en"", ""es"")"),"fatiga")</f>
        <v>fatiga</v>
      </c>
      <c r="B1199" s="1">
        <v>-2</v>
      </c>
      <c r="C1199" s="1" t="s">
        <v>1152</v>
      </c>
    </row>
    <row r="1200" spans="1:3" ht="12.75" x14ac:dyDescent="0.2">
      <c r="A1200" s="1" t="str">
        <f ca="1">IFERROR(__xludf.DUMMYFUNCTION("GOOGLETRANSLATE(C1151, ""en"", ""es"")"),"fatigado")</f>
        <v>fatigado</v>
      </c>
      <c r="B1200" s="1">
        <v>-2</v>
      </c>
      <c r="C1200" s="1" t="s">
        <v>1153</v>
      </c>
    </row>
    <row r="1201" spans="1:3" ht="12.75" x14ac:dyDescent="0.2">
      <c r="A1201" s="1" t="str">
        <f ca="1">IFERROR(__xludf.DUMMYFUNCTION("GOOGLETRANSLATE(C1152, ""en"", ""es"")"),"fatigar")</f>
        <v>fatigar</v>
      </c>
      <c r="B1201" s="1">
        <v>-2</v>
      </c>
      <c r="C1201" s="1" t="s">
        <v>1154</v>
      </c>
    </row>
    <row r="1202" spans="1:3" ht="12.75" x14ac:dyDescent="0.2">
      <c r="A1202" s="1" t="str">
        <f ca="1">IFERROR(__xludf.DUMMYFUNCTION("GOOGLETRANSLATE(C1153, ""en"", ""es"")"),"fatigoso")</f>
        <v>fatigoso</v>
      </c>
      <c r="B1202" s="1">
        <v>-2</v>
      </c>
      <c r="C1202" s="1" t="s">
        <v>1155</v>
      </c>
    </row>
    <row r="1203" spans="1:3" ht="12.75" x14ac:dyDescent="0.2">
      <c r="A1203" s="1" t="str">
        <f ca="1">IFERROR(__xludf.DUMMYFUNCTION("GOOGLETRANSLATE(C1154, ""en"", ""es"")"),"favor")</f>
        <v>favor</v>
      </c>
      <c r="B1203" s="1">
        <v>2</v>
      </c>
      <c r="C1203" s="1" t="s">
        <v>1156</v>
      </c>
    </row>
    <row r="1204" spans="1:3" ht="12.75" x14ac:dyDescent="0.2">
      <c r="A1204" s="1" t="str">
        <f ca="1">IFERROR(__xludf.DUMMYFUNCTION("GOOGLETRANSLATE(C1155, ""en"", ""es"")"),"favorecido")</f>
        <v>favorecido</v>
      </c>
      <c r="B1204" s="1">
        <v>2</v>
      </c>
      <c r="C1204" s="1" t="s">
        <v>1157</v>
      </c>
    </row>
    <row r="1205" spans="1:3" ht="12.75" x14ac:dyDescent="0.2">
      <c r="A1205" s="1" t="str">
        <f ca="1">IFERROR(__xludf.DUMMYFUNCTION("GOOGLETRANSLATE(C1158, ""en"", ""es"")"),"favorecido")</f>
        <v>favorecido</v>
      </c>
      <c r="B1205" s="1">
        <v>2</v>
      </c>
      <c r="C1205" s="1" t="s">
        <v>1160</v>
      </c>
    </row>
    <row r="1206" spans="1:3" ht="12.75" x14ac:dyDescent="0.2">
      <c r="A1206" s="1" t="str">
        <f ca="1">IFERROR(__xludf.DUMMYFUNCTION("GOOGLETRANSLATE(C1156, ""en"", ""es"")"),"favores")</f>
        <v>favores</v>
      </c>
      <c r="B1206" s="1">
        <v>2</v>
      </c>
      <c r="C1206" s="1" t="s">
        <v>1158</v>
      </c>
    </row>
    <row r="1207" spans="1:3" ht="12.75" x14ac:dyDescent="0.2">
      <c r="A1207" s="1" t="str">
        <f ca="1">IFERROR(__xludf.DUMMYFUNCTION("GOOGLETRANSLATE(C1157, ""en"", ""es"")"),"favorito")</f>
        <v>favorito</v>
      </c>
      <c r="B1207" s="1">
        <v>2</v>
      </c>
      <c r="C1207" s="1" t="s">
        <v>1159</v>
      </c>
    </row>
    <row r="1208" spans="1:3" ht="12.75" x14ac:dyDescent="0.2">
      <c r="A1208" s="1" t="str">
        <f ca="1">IFERROR(__xludf.DUMMYFUNCTION("GOOGLETRANSLATE(C1159, ""en"", ""es"")"),"favoritos")</f>
        <v>favoritos</v>
      </c>
      <c r="B1208" s="1">
        <v>2</v>
      </c>
      <c r="C1208" s="1" t="s">
        <v>1161</v>
      </c>
    </row>
    <row r="1209" spans="1:3" ht="12.75" x14ac:dyDescent="0.2">
      <c r="A1209" s="1" t="str">
        <f ca="1">IFERROR(__xludf.DUMMYFUNCTION("GOOGLETRANSLATE(C1160, ""en"", ""es"")"),"fe")</f>
        <v>fe</v>
      </c>
      <c r="B1209" s="1">
        <v>1</v>
      </c>
      <c r="C1209" s="1" t="s">
        <v>1162</v>
      </c>
    </row>
    <row r="1210" spans="1:3" ht="12.75" x14ac:dyDescent="0.2">
      <c r="A1210" s="1" t="str">
        <f ca="1">IFERROR(__xludf.DUMMYFUNCTION("GOOGLETRANSLATE(C1161, ""en"", ""es"")"),"felicidad")</f>
        <v>felicidad</v>
      </c>
      <c r="B1210" s="1">
        <v>3</v>
      </c>
      <c r="C1210" s="1" t="s">
        <v>1163</v>
      </c>
    </row>
    <row r="1211" spans="1:3" ht="12.75" x14ac:dyDescent="0.2">
      <c r="A1211" s="1" t="str">
        <f ca="1">IFERROR(__xludf.DUMMYFUNCTION("GOOGLETRANSLATE(C1162, ""en"", ""es"")"),"felicidad")</f>
        <v>felicidad</v>
      </c>
      <c r="B1211" s="1">
        <v>3</v>
      </c>
      <c r="C1211" s="1" t="s">
        <v>1164</v>
      </c>
    </row>
    <row r="1212" spans="1:3" ht="12.75" x14ac:dyDescent="0.2">
      <c r="A1212" s="1" t="str">
        <f ca="1">IFERROR(__xludf.DUMMYFUNCTION("GOOGLETRANSLATE(C1164, ""en"", ""es"")"),"Felicidades")</f>
        <v>Felicidades</v>
      </c>
      <c r="B1212" s="1">
        <v>2</v>
      </c>
      <c r="C1212" s="1" t="s">
        <v>1166</v>
      </c>
    </row>
    <row r="1213" spans="1:3" ht="12.75" x14ac:dyDescent="0.2">
      <c r="A1213" s="1" t="str">
        <f ca="1">IFERROR(__xludf.DUMMYFUNCTION("GOOGLETRANSLATE(C952, ""en"", ""es"")"),"felicitación")</f>
        <v>felicitación</v>
      </c>
      <c r="B1213" s="1">
        <v>2</v>
      </c>
      <c r="C1213" s="1" t="s">
        <v>954</v>
      </c>
    </row>
    <row r="1214" spans="1:3" ht="12.75" x14ac:dyDescent="0.2">
      <c r="A1214" s="1" t="str">
        <f ca="1">IFERROR(__xludf.DUMMYFUNCTION("GOOGLETRANSLATE(C1163, ""en"", ""es"")"),"felicitaciones")</f>
        <v>felicitaciones</v>
      </c>
      <c r="B1214" s="1">
        <v>2</v>
      </c>
      <c r="C1214" s="1" t="s">
        <v>1165</v>
      </c>
    </row>
    <row r="1215" spans="1:3" ht="12.75" x14ac:dyDescent="0.2">
      <c r="A1215" s="1" t="str">
        <f ca="1">IFERROR(__xludf.DUMMYFUNCTION("GOOGLETRANSLATE(C1165, ""en"", ""es"")"),"felicitar")</f>
        <v>felicitar</v>
      </c>
      <c r="B1215" s="1">
        <v>2</v>
      </c>
      <c r="C1215" s="1" t="s">
        <v>1167</v>
      </c>
    </row>
    <row r="1216" spans="1:3" ht="12.75" x14ac:dyDescent="0.2">
      <c r="A1216" s="1" t="str">
        <f ca="1">IFERROR(__xludf.DUMMYFUNCTION("GOOGLETRANSLATE(C1166, ""en"", ""es"")"),"feliz")</f>
        <v>feliz</v>
      </c>
      <c r="B1216" s="1">
        <v>3</v>
      </c>
      <c r="C1216" s="1" t="s">
        <v>1168</v>
      </c>
    </row>
    <row r="1217" spans="1:3" ht="12.75" x14ac:dyDescent="0.2">
      <c r="A1217" s="1" t="str">
        <f ca="1">IFERROR(__xludf.DUMMYFUNCTION("GOOGLETRANSLATE(C1167, ""en"", ""es"")"),"feo")</f>
        <v>feo</v>
      </c>
      <c r="B1217" s="1">
        <v>-3</v>
      </c>
      <c r="C1217" s="1" t="s">
        <v>1169</v>
      </c>
    </row>
    <row r="1218" spans="1:3" ht="12.75" x14ac:dyDescent="0.2">
      <c r="A1218" s="1" t="str">
        <f ca="1">IFERROR(__xludf.DUMMYFUNCTION("GOOGLETRANSLATE(C1168, ""en"", ""es"")"),"ferviente")</f>
        <v>ferviente</v>
      </c>
      <c r="B1218" s="1">
        <v>2</v>
      </c>
      <c r="C1218" s="1" t="s">
        <v>1170</v>
      </c>
    </row>
    <row r="1219" spans="1:3" ht="12.75" x14ac:dyDescent="0.2">
      <c r="A1219" s="1" t="str">
        <f ca="1">IFERROR(__xludf.DUMMYFUNCTION("GOOGLETRANSLATE(C1169, ""en"", ""es"")"),"fervoroso")</f>
        <v>fervoroso</v>
      </c>
      <c r="B1219" s="1">
        <v>2</v>
      </c>
      <c r="C1219" s="1" t="s">
        <v>1171</v>
      </c>
    </row>
    <row r="1220" spans="1:3" ht="12.75" x14ac:dyDescent="0.2">
      <c r="A1220" s="1" t="str">
        <f ca="1">IFERROR(__xludf.DUMMYFUNCTION("GOOGLETRANSLATE(C1170, ""en"", ""es"")"),"festivo")</f>
        <v>festivo</v>
      </c>
      <c r="B1220" s="1">
        <v>2</v>
      </c>
      <c r="C1220" s="1" t="s">
        <v>1172</v>
      </c>
    </row>
    <row r="1221" spans="1:3" ht="12.75" x14ac:dyDescent="0.2">
      <c r="A1221" s="1" t="str">
        <f ca="1">IFERROR(__xludf.DUMMYFUNCTION("GOOGLETRANSLATE(C1171, ""en"", ""es"")"),"fiasco")</f>
        <v>fiasco</v>
      </c>
      <c r="B1221" s="1">
        <v>-3</v>
      </c>
      <c r="C1221" s="1" t="s">
        <v>1173</v>
      </c>
    </row>
    <row r="1222" spans="1:3" ht="12.75" x14ac:dyDescent="0.2">
      <c r="A1222" s="1" t="str">
        <f ca="1">IFERROR(__xludf.DUMMYFUNCTION("GOOGLETRANSLATE(C1172, ""en"", ""es"")"),"fiel")</f>
        <v>fiel</v>
      </c>
      <c r="B1222" s="1">
        <v>3</v>
      </c>
      <c r="C1222" s="1" t="s">
        <v>1174</v>
      </c>
    </row>
    <row r="1223" spans="1:3" ht="12.75" x14ac:dyDescent="0.2">
      <c r="A1223" s="1" t="str">
        <f ca="1">IFERROR(__xludf.DUMMYFUNCTION("GOOGLETRANSLATE(C1173, ""en"", ""es"")"),"filtrado")</f>
        <v>filtrado</v>
      </c>
      <c r="B1223" s="1">
        <v>-1</v>
      </c>
      <c r="C1223" s="1" t="s">
        <v>1175</v>
      </c>
    </row>
    <row r="1224" spans="1:3" ht="12.75" x14ac:dyDescent="0.2">
      <c r="A1224" s="1" t="str">
        <f ca="1">IFERROR(__xludf.DUMMYFUNCTION("GOOGLETRANSLATE(C1955, ""en"", ""es"")"),"fingido")</f>
        <v>fingido</v>
      </c>
      <c r="B1224" s="1">
        <v>-1</v>
      </c>
      <c r="C1224" s="1" t="s">
        <v>1953</v>
      </c>
    </row>
    <row r="1225" spans="1:3" ht="12.75" x14ac:dyDescent="0.2">
      <c r="A1225" s="1" t="str">
        <f ca="1">IFERROR(__xludf.DUMMYFUNCTION("GOOGLETRANSLATE(C1174, ""en"", ""es"")"),"fingir")</f>
        <v>fingir</v>
      </c>
      <c r="B1225" s="1">
        <v>-1</v>
      </c>
      <c r="C1225" s="1" t="s">
        <v>1176</v>
      </c>
    </row>
    <row r="1226" spans="1:3" ht="12.75" x14ac:dyDescent="0.2">
      <c r="A1226" s="1" t="str">
        <f ca="1">IFERROR(__xludf.DUMMYFUNCTION("GOOGLETRANSLATE(C1175, ""en"", ""es"")"),"fingir")</f>
        <v>fingir</v>
      </c>
      <c r="B1226" s="1">
        <v>-1</v>
      </c>
      <c r="C1226" s="1" t="s">
        <v>1177</v>
      </c>
    </row>
    <row r="1227" spans="1:3" ht="12.75" x14ac:dyDescent="0.2">
      <c r="A1227" s="1" t="str">
        <f ca="1">IFERROR(__xludf.DUMMYFUNCTION("GOOGLETRANSLATE(C1176, ""en"", ""es"")"),"firme")</f>
        <v>firme</v>
      </c>
      <c r="B1227" s="1">
        <v>2</v>
      </c>
      <c r="C1227" s="1" t="s">
        <v>1178</v>
      </c>
    </row>
    <row r="1228" spans="1:3" ht="12.75" x14ac:dyDescent="0.2">
      <c r="A1228" s="1" t="str">
        <f ca="1">IFERROR(__xludf.DUMMYFUNCTION("GOOGLETRANSLATE(C1329, ""en"", ""es"")"),"fluida")</f>
        <v>fluida</v>
      </c>
      <c r="B1228" s="1">
        <v>-1</v>
      </c>
      <c r="C1228" s="1" t="s">
        <v>1330</v>
      </c>
    </row>
    <row r="1229" spans="1:3" ht="12.75" x14ac:dyDescent="0.2">
      <c r="A1229" s="1" t="str">
        <f ca="1">IFERROR(__xludf.DUMMYFUNCTION("GOOGLETRANSLATE(C1178, ""en"", ""es"")"),"fóbico")</f>
        <v>fóbico</v>
      </c>
      <c r="B1229" s="1">
        <v>-2</v>
      </c>
      <c r="C1229" s="1" t="s">
        <v>1180</v>
      </c>
    </row>
    <row r="1230" spans="1:3" ht="12.75" x14ac:dyDescent="0.2">
      <c r="A1230" s="1" t="str">
        <f ca="1">IFERROR(__xludf.DUMMYFUNCTION("GOOGLETRANSLATE(C1179, ""en"", ""es"")"),"follado")</f>
        <v>follado</v>
      </c>
      <c r="B1230" s="1">
        <v>-4</v>
      </c>
      <c r="C1230" s="1" t="s">
        <v>1181</v>
      </c>
    </row>
    <row r="1231" spans="1:3" ht="12.75" x14ac:dyDescent="0.2">
      <c r="A1231" s="1" t="str">
        <f ca="1">IFERROR(__xludf.DUMMYFUNCTION("GOOGLETRANSLATE(C160, ""en"", ""es"")"),"fomentar")</f>
        <v>fomentar</v>
      </c>
      <c r="B1231" s="1">
        <v>2</v>
      </c>
      <c r="C1231" s="1" t="s">
        <v>160</v>
      </c>
    </row>
    <row r="1232" spans="1:3" ht="12.75" x14ac:dyDescent="0.2">
      <c r="A1232" s="1" t="str">
        <f ca="1">IFERROR(__xludf.DUMMYFUNCTION("GOOGLETRANSLATE(C1180, ""en"", ""es"")"),"fortalecer")</f>
        <v>fortalecer</v>
      </c>
      <c r="B1232" s="1">
        <v>2</v>
      </c>
      <c r="C1232" s="1" t="s">
        <v>1182</v>
      </c>
    </row>
    <row r="1233" spans="1:3" ht="12.75" x14ac:dyDescent="0.2">
      <c r="A1233" s="1" t="str">
        <f ca="1">IFERROR(__xludf.DUMMYFUNCTION("GOOGLETRANSLATE(C1181, ""en"", ""es"")"),"fortalecer")</f>
        <v>fortalecer</v>
      </c>
      <c r="B1233" s="1">
        <v>2</v>
      </c>
      <c r="C1233" s="1" t="s">
        <v>1183</v>
      </c>
    </row>
    <row r="1234" spans="1:3" ht="12.75" x14ac:dyDescent="0.2">
      <c r="A1234" s="1" t="str">
        <f ca="1">IFERROR(__xludf.DUMMYFUNCTION("GOOGLETRANSLATE(C1182, ""en"", ""es"")"),"fortalecimiento")</f>
        <v>fortalecimiento</v>
      </c>
      <c r="B1234" s="1">
        <v>2</v>
      </c>
      <c r="C1234" s="1" t="s">
        <v>1184</v>
      </c>
    </row>
    <row r="1235" spans="1:3" ht="12.75" x14ac:dyDescent="0.2">
      <c r="A1235" s="1" t="str">
        <f ca="1">IFERROR(__xludf.DUMMYFUNCTION("GOOGLETRANSLATE(C1183, ""en"", ""es"")"),"fortificado")</f>
        <v>fortificado</v>
      </c>
      <c r="B1235" s="1">
        <v>2</v>
      </c>
      <c r="C1235" s="1" t="s">
        <v>1185</v>
      </c>
    </row>
    <row r="1236" spans="1:3" ht="12.75" x14ac:dyDescent="0.2">
      <c r="A1236" s="1" t="str">
        <f ca="1">IFERROR(__xludf.DUMMYFUNCTION("GOOGLETRANSLATE(C491, ""en"", ""es"")"),"forzado")</f>
        <v>forzado</v>
      </c>
      <c r="B1236" s="1">
        <v>-2</v>
      </c>
      <c r="C1236" s="1" t="s">
        <v>490</v>
      </c>
    </row>
    <row r="1237" spans="1:3" ht="12.75" x14ac:dyDescent="0.2">
      <c r="A1237" s="1" t="str">
        <f ca="1">IFERROR(__xludf.DUMMYFUNCTION("GOOGLETRANSLATE(C1184, ""en"", ""es"")"),"forzado")</f>
        <v>forzado</v>
      </c>
      <c r="B1237" s="1">
        <v>-1</v>
      </c>
      <c r="C1237" s="1" t="s">
        <v>1186</v>
      </c>
    </row>
    <row r="1238" spans="1:3" ht="12.75" x14ac:dyDescent="0.2">
      <c r="A1238" s="1" t="str">
        <f ca="1">IFERROR(__xludf.DUMMYFUNCTION("GOOGLETRANSLATE(C1186, ""en"", ""es"")"),"fracaso")</f>
        <v>fracaso</v>
      </c>
      <c r="B1238" s="1">
        <v>-2</v>
      </c>
      <c r="C1238" s="1" t="s">
        <v>1188</v>
      </c>
    </row>
    <row r="1239" spans="1:3" ht="12.75" x14ac:dyDescent="0.2">
      <c r="A1239" s="1" t="str">
        <f ca="1">IFERROR(__xludf.DUMMYFUNCTION("GOOGLETRANSLATE(C1188, ""en"", ""es"")"),"frase")</f>
        <v>frase</v>
      </c>
      <c r="B1239" s="1">
        <v>-2</v>
      </c>
      <c r="C1239" s="1" t="s">
        <v>1190</v>
      </c>
    </row>
    <row r="1240" spans="1:3" ht="12.75" x14ac:dyDescent="0.2">
      <c r="A1240" s="1" t="str">
        <f ca="1">IFERROR(__xludf.DUMMYFUNCTION("GOOGLETRANSLATE(C1190, ""en"", ""es"")"),"fraude")</f>
        <v>fraude</v>
      </c>
      <c r="B1240" s="1">
        <v>-4</v>
      </c>
      <c r="C1240" s="1" t="s">
        <v>1192</v>
      </c>
    </row>
    <row r="1241" spans="1:3" ht="12.75" x14ac:dyDescent="0.2">
      <c r="A1241" s="1" t="str">
        <f ca="1">IFERROR(__xludf.DUMMYFUNCTION("GOOGLETRANSLATE(C1191, ""en"", ""es"")"),"fraude")</f>
        <v>fraude</v>
      </c>
      <c r="B1241" s="1">
        <v>-4</v>
      </c>
      <c r="C1241" s="1" t="s">
        <v>1193</v>
      </c>
    </row>
    <row r="1242" spans="1:3" ht="12.75" x14ac:dyDescent="0.2">
      <c r="A1242" s="1" t="str">
        <f ca="1">IFERROR(__xludf.DUMMYFUNCTION("GOOGLETRANSLATE(C1192, ""en"", ""es"")"),"fraudes")</f>
        <v>fraudes</v>
      </c>
      <c r="B1242" s="1">
        <v>-4</v>
      </c>
      <c r="C1242" s="1" t="s">
        <v>1194</v>
      </c>
    </row>
    <row r="1243" spans="1:3" ht="12.75" x14ac:dyDescent="0.2">
      <c r="A1243" s="1" t="str">
        <f ca="1">IFERROR(__xludf.DUMMYFUNCTION("GOOGLETRANSLATE(C1193, ""en"", ""es"")"),"fraudulento")</f>
        <v>fraudulento</v>
      </c>
      <c r="B1243" s="1">
        <v>-4</v>
      </c>
      <c r="C1243" s="1" t="s">
        <v>1195</v>
      </c>
    </row>
    <row r="1244" spans="1:3" ht="12.75" x14ac:dyDescent="0.2">
      <c r="A1244" s="1" t="str">
        <f ca="1">IFERROR(__xludf.DUMMYFUNCTION("GOOGLETRANSLATE(C409, ""en"", ""es"")"),"frenado")</f>
        <v>frenado</v>
      </c>
      <c r="B1244" s="1">
        <v>-2</v>
      </c>
      <c r="C1244" s="1" t="s">
        <v>409</v>
      </c>
    </row>
    <row r="1245" spans="1:3" ht="12.75" x14ac:dyDescent="0.2">
      <c r="A1245" s="1" t="str">
        <f ca="1">IFERROR(__xludf.DUMMYFUNCTION("GOOGLETRANSLATE(C1194, ""en"", ""es"")"),"frenesí")</f>
        <v>frenesí</v>
      </c>
      <c r="B1245" s="1">
        <v>-3</v>
      </c>
      <c r="C1245" s="1" t="s">
        <v>1196</v>
      </c>
    </row>
    <row r="1246" spans="1:3" ht="12.75" x14ac:dyDescent="0.2">
      <c r="A1246" s="1" t="str">
        <f ca="1">IFERROR(__xludf.DUMMYFUNCTION("GOOGLETRANSLATE(C1195, ""en"", ""es"")"),"frenético")</f>
        <v>frenético</v>
      </c>
      <c r="B1246" s="1">
        <v>-1</v>
      </c>
      <c r="C1246" s="1" t="s">
        <v>1197</v>
      </c>
    </row>
    <row r="1247" spans="1:3" ht="12.75" x14ac:dyDescent="0.2">
      <c r="A1247" s="1" t="str">
        <f ca="1">IFERROR(__xludf.DUMMYFUNCTION("GOOGLETRANSLATE(C1196, ""en"", ""es"")"),"fresco")</f>
        <v>fresco</v>
      </c>
      <c r="B1247" s="1">
        <v>1</v>
      </c>
      <c r="C1247" s="1" t="s">
        <v>1198</v>
      </c>
    </row>
    <row r="1248" spans="1:3" ht="12.75" x14ac:dyDescent="0.2">
      <c r="A1248" s="1" t="str">
        <f ca="1">IFERROR(__xludf.DUMMYFUNCTION("GOOGLETRANSLATE(C1197, ""en"", ""es"")"),"frikin")</f>
        <v>frikin</v>
      </c>
      <c r="B1248" s="1">
        <v>-2</v>
      </c>
      <c r="C1248" s="1" t="s">
        <v>1199</v>
      </c>
    </row>
    <row r="1249" spans="1:3" ht="12.75" x14ac:dyDescent="0.2">
      <c r="A1249" s="1" t="str">
        <f ca="1">IFERROR(__xludf.DUMMYFUNCTION("GOOGLETRANSLATE(C1276, ""en"", ""es"")"),"Frío")</f>
        <v>Frío</v>
      </c>
      <c r="B1249" s="1">
        <v>1</v>
      </c>
      <c r="C1249" s="1" t="s">
        <v>1278</v>
      </c>
    </row>
    <row r="1250" spans="1:3" ht="12.75" x14ac:dyDescent="0.2">
      <c r="A1250" s="1" t="str">
        <f ca="1">IFERROR(__xludf.DUMMYFUNCTION("GOOGLETRANSLATE(C1198, ""en"", ""es"")"),"frotis")</f>
        <v>frotis</v>
      </c>
      <c r="B1250" s="1">
        <v>-2</v>
      </c>
      <c r="C1250" s="1" t="s">
        <v>1200</v>
      </c>
    </row>
    <row r="1251" spans="1:3" ht="12.75" x14ac:dyDescent="0.2">
      <c r="A1251" s="1" t="str">
        <f ca="1">IFERROR(__xludf.DUMMYFUNCTION("GOOGLETRANSLATE(C1200, ""en"", ""es"")"),"frustración")</f>
        <v>frustración</v>
      </c>
      <c r="B1251" s="1">
        <v>-2</v>
      </c>
      <c r="C1251" s="1" t="s">
        <v>1202</v>
      </c>
    </row>
    <row r="1252" spans="1:3" ht="12.75" x14ac:dyDescent="0.2">
      <c r="A1252" s="1" t="str">
        <f ca="1">IFERROR(__xludf.DUMMYFUNCTION("GOOGLETRANSLATE(C1201, ""en"", ""es"")"),"frustrado")</f>
        <v>frustrado</v>
      </c>
      <c r="B1252" s="1">
        <v>-2</v>
      </c>
      <c r="C1252" s="1" t="s">
        <v>1203</v>
      </c>
    </row>
    <row r="1253" spans="1:3" ht="12.75" x14ac:dyDescent="0.2">
      <c r="A1253" s="1" t="str">
        <f ca="1">IFERROR(__xludf.DUMMYFUNCTION("GOOGLETRANSLATE(C1202, ""en"", ""es"")"),"frustrado")</f>
        <v>frustrado</v>
      </c>
      <c r="B1253" s="1">
        <v>-2</v>
      </c>
      <c r="C1253" s="1" t="s">
        <v>1204</v>
      </c>
    </row>
    <row r="1254" spans="1:3" ht="12.75" x14ac:dyDescent="0.2">
      <c r="A1254" s="1" t="str">
        <f ca="1">IFERROR(__xludf.DUMMYFUNCTION("GOOGLETRANSLATE(C1203, ""en"", ""es"")"),"frustrante")</f>
        <v>frustrante</v>
      </c>
      <c r="B1254" s="1">
        <v>-2</v>
      </c>
      <c r="C1254" s="1" t="s">
        <v>1205</v>
      </c>
    </row>
    <row r="1255" spans="1:3" ht="12.75" x14ac:dyDescent="0.2">
      <c r="A1255" s="1" t="str">
        <f ca="1">IFERROR(__xludf.DUMMYFUNCTION("GOOGLETRANSLATE(C1206, ""en"", ""es"")"),"frustrante")</f>
        <v>frustrante</v>
      </c>
      <c r="B1255" s="1">
        <v>-2</v>
      </c>
      <c r="C1255" s="1" t="s">
        <v>1208</v>
      </c>
    </row>
    <row r="1256" spans="1:3" ht="12.75" x14ac:dyDescent="0.2">
      <c r="A1256" s="1" t="str">
        <f ca="1">IFERROR(__xludf.DUMMYFUNCTION("GOOGLETRANSLATE(C1199, ""en"", ""es"")"),"frustrar")</f>
        <v>frustrar</v>
      </c>
      <c r="B1256" s="1">
        <v>-2</v>
      </c>
      <c r="C1256" s="1" t="s">
        <v>1201</v>
      </c>
    </row>
    <row r="1257" spans="1:3" ht="12.75" x14ac:dyDescent="0.2">
      <c r="A1257" s="1" t="str">
        <f ca="1">IFERROR(__xludf.DUMMYFUNCTION("GOOGLETRANSLATE(C1204, ""en"", ""es"")"),"frustrar")</f>
        <v>frustrar</v>
      </c>
      <c r="B1257" s="1">
        <v>-2</v>
      </c>
      <c r="C1257" s="1" t="s">
        <v>1206</v>
      </c>
    </row>
    <row r="1258" spans="1:3" ht="12.75" x14ac:dyDescent="0.2">
      <c r="A1258" s="1" t="str">
        <f ca="1">IFERROR(__xludf.DUMMYFUNCTION("GOOGLETRANSLATE(C1205, ""en"", ""es"")"),"frustrar")</f>
        <v>frustrar</v>
      </c>
      <c r="B1258" s="1">
        <v>-2</v>
      </c>
      <c r="C1258" s="1" t="s">
        <v>1207</v>
      </c>
    </row>
    <row r="1259" spans="1:3" ht="12.75" x14ac:dyDescent="0.2">
      <c r="A1259" s="1" t="str">
        <f ca="1">IFERROR(__xludf.DUMMYFUNCTION("GOOGLETRANSLATE(C345, ""en"", ""es"")"),"frwarts")</f>
        <v>frwarts</v>
      </c>
      <c r="B1259" s="1">
        <v>-2</v>
      </c>
      <c r="C1259" s="1" t="s">
        <v>345</v>
      </c>
    </row>
    <row r="1260" spans="1:3" ht="12.75" x14ac:dyDescent="0.2">
      <c r="A1260" s="1" t="str">
        <f ca="1">IFERROR(__xludf.DUMMYFUNCTION("GOOGLETRANSLATE(C1207, ""en"", ""es"")"),"FTW")</f>
        <v>FTW</v>
      </c>
      <c r="B1260" s="1">
        <v>3</v>
      </c>
      <c r="C1260" s="1" t="s">
        <v>1209</v>
      </c>
    </row>
    <row r="1261" spans="1:3" ht="12.75" x14ac:dyDescent="0.2">
      <c r="A1261" s="1" t="str">
        <f ca="1">IFERROR(__xludf.DUMMYFUNCTION("GOOGLETRANSLATE(C1210, ""en"", ""es"")"),"fucktard")</f>
        <v>fucktard</v>
      </c>
      <c r="B1261" s="1">
        <v>-4</v>
      </c>
      <c r="C1261" s="1" t="s">
        <v>1212</v>
      </c>
    </row>
    <row r="1262" spans="1:3" ht="12.75" x14ac:dyDescent="0.2">
      <c r="A1262" s="1" t="str">
        <f ca="1">IFERROR(__xludf.DUMMYFUNCTION("GOOGLETRANSLATE(C1211, ""en"", ""es"")"),"fud")</f>
        <v>fud</v>
      </c>
      <c r="B1262" s="1">
        <v>-3</v>
      </c>
      <c r="C1262" s="1" t="s">
        <v>1213</v>
      </c>
    </row>
    <row r="1263" spans="1:3" ht="12.75" x14ac:dyDescent="0.2">
      <c r="A1263" s="1" t="str">
        <f ca="1">IFERROR(__xludf.DUMMYFUNCTION("GOOGLETRANSLATE(C1212, ""en"", ""es"")"),"fuego")</f>
        <v>fuego</v>
      </c>
      <c r="B1263" s="1">
        <v>-2</v>
      </c>
      <c r="C1263" s="1" t="s">
        <v>1214</v>
      </c>
    </row>
    <row r="1264" spans="1:3" ht="12.75" x14ac:dyDescent="0.2">
      <c r="A1264" s="1" t="str">
        <f ca="1">IFERROR(__xludf.DUMMYFUNCTION("GOOGLETRANSLATE(C1213, ""en"", ""es"")"),"fuerte")</f>
        <v>fuerte</v>
      </c>
      <c r="B1264" s="1">
        <v>2</v>
      </c>
      <c r="C1264" s="1" t="s">
        <v>1215</v>
      </c>
    </row>
    <row r="1265" spans="1:3" ht="12.75" x14ac:dyDescent="0.2">
      <c r="A1265" s="1" t="str">
        <f ca="1">IFERROR(__xludf.DUMMYFUNCTION("GOOGLETRANSLATE(C1214, ""en"", ""es"")"),"fuerza")</f>
        <v>fuerza</v>
      </c>
      <c r="B1265" s="1">
        <v>2</v>
      </c>
      <c r="C1265" s="1" t="s">
        <v>1216</v>
      </c>
    </row>
    <row r="1266" spans="1:3" ht="12.75" x14ac:dyDescent="0.2">
      <c r="A1266" s="1" t="str">
        <f ca="1">IFERROR(__xludf.DUMMYFUNCTION("GOOGLETRANSLATE(C1215, ""en"", ""es"")"),"fuga")</f>
        <v>fuga</v>
      </c>
      <c r="B1266" s="1">
        <v>-1</v>
      </c>
      <c r="C1266" s="1" t="s">
        <v>1217</v>
      </c>
    </row>
    <row r="1267" spans="1:3" ht="12.75" x14ac:dyDescent="0.2">
      <c r="A1267" s="1" t="str">
        <f ca="1">IFERROR(__xludf.DUMMYFUNCTION("GOOGLETRANSLATE(C1219, ""en"", ""es"")"),"funeral")</f>
        <v>funeral</v>
      </c>
      <c r="B1267" s="1">
        <v>-1</v>
      </c>
      <c r="C1267" s="1" t="s">
        <v>1221</v>
      </c>
    </row>
    <row r="1268" spans="1:3" ht="12.75" x14ac:dyDescent="0.2">
      <c r="A1268" s="1" t="str">
        <f ca="1">IFERROR(__xludf.DUMMYFUNCTION("GOOGLETRANSLATE(C1220, ""en"", ""es"")"),"funerales")</f>
        <v>funerales</v>
      </c>
      <c r="B1268" s="1">
        <v>-1</v>
      </c>
      <c r="C1268" s="1" t="s">
        <v>1222</v>
      </c>
    </row>
    <row r="1269" spans="1:3" ht="12.75" x14ac:dyDescent="0.2">
      <c r="A1269" s="1" t="str">
        <f ca="1">IFERROR(__xludf.DUMMYFUNCTION("GOOGLETRANSLATE(C2010, ""en"", ""es"")"),"furia")</f>
        <v>furia</v>
      </c>
      <c r="B1269" s="1">
        <v>-2</v>
      </c>
      <c r="C1269" s="1" t="s">
        <v>2008</v>
      </c>
    </row>
    <row r="1270" spans="1:3" ht="12.75" x14ac:dyDescent="0.2">
      <c r="A1270" s="1" t="str">
        <f ca="1">IFERROR(__xludf.DUMMYFUNCTION("GOOGLETRANSLATE(C1221, ""en"", ""es"")"),"furioso")</f>
        <v>furioso</v>
      </c>
      <c r="B1270" s="1">
        <v>-3</v>
      </c>
      <c r="C1270" s="1" t="s">
        <v>1223</v>
      </c>
    </row>
    <row r="1271" spans="1:3" ht="12.75" x14ac:dyDescent="0.2">
      <c r="A1271" s="1" t="str">
        <f ca="1">IFERROR(__xludf.DUMMYFUNCTION("GOOGLETRANSLATE(C2011, ""en"", ""es"")"),"furioso")</f>
        <v>furioso</v>
      </c>
      <c r="B1271" s="1">
        <v>-2</v>
      </c>
      <c r="C1271" s="1" t="s">
        <v>2009</v>
      </c>
    </row>
    <row r="1272" spans="1:3" ht="12.75" x14ac:dyDescent="0.2">
      <c r="A1272" s="1" t="str">
        <f ca="1">IFERROR(__xludf.DUMMYFUNCTION("GOOGLETRANSLATE(C1222, ""en"", ""es"")"),"furtivo")</f>
        <v>furtivo</v>
      </c>
      <c r="B1272" s="1">
        <v>-1</v>
      </c>
      <c r="C1272" s="1" t="s">
        <v>1224</v>
      </c>
    </row>
    <row r="1273" spans="1:3" ht="12.75" x14ac:dyDescent="0.2">
      <c r="A1273" s="1" t="str">
        <f ca="1">IFERROR(__xludf.DUMMYFUNCTION("GOOGLETRANSLATE(C1216, ""en"", ""es"")"),"fútido")</f>
        <v>fútido</v>
      </c>
      <c r="B1273" s="1">
        <v>-4</v>
      </c>
      <c r="C1273" s="1" t="s">
        <v>1218</v>
      </c>
    </row>
    <row r="1274" spans="1:3" ht="12.75" x14ac:dyDescent="0.2">
      <c r="A1274" s="1" t="str">
        <f ca="1">IFERROR(__xludf.DUMMYFUNCTION("GOOGLETRANSLATE(C1223, ""en"", ""es"")"),"fútil")</f>
        <v>fútil</v>
      </c>
      <c r="B1274" s="1">
        <v>2</v>
      </c>
      <c r="C1274" s="1" t="s">
        <v>1225</v>
      </c>
    </row>
    <row r="1275" spans="1:3" ht="12.75" x14ac:dyDescent="0.2">
      <c r="A1275" s="1" t="str">
        <f ca="1">IFERROR(__xludf.DUMMYFUNCTION("GOOGLETRANSLATE(C1224, ""en"", ""es"")"),"galante")</f>
        <v>galante</v>
      </c>
      <c r="B1275" s="1">
        <v>3</v>
      </c>
      <c r="C1275" s="1" t="s">
        <v>1226</v>
      </c>
    </row>
    <row r="1276" spans="1:3" ht="12.75" x14ac:dyDescent="0.2">
      <c r="A1276" s="1" t="str">
        <f ca="1">IFERROR(__xludf.DUMMYFUNCTION("GOOGLETRANSLATE(C1225, ""en"", ""es"")"),"galantería")</f>
        <v>galantería</v>
      </c>
      <c r="B1276" s="1">
        <v>3</v>
      </c>
      <c r="C1276" s="1" t="s">
        <v>1227</v>
      </c>
    </row>
    <row r="1277" spans="1:3" ht="12.75" x14ac:dyDescent="0.2">
      <c r="A1277" s="1" t="str">
        <f ca="1">IFERROR(__xludf.DUMMYFUNCTION("GOOGLETRANSLATE(C1226, ""en"", ""es"")"),"galardonado")</f>
        <v>galardonado</v>
      </c>
      <c r="B1277" s="1">
        <v>3</v>
      </c>
      <c r="C1277" s="1" t="s">
        <v>1228</v>
      </c>
    </row>
    <row r="1278" spans="1:3" ht="12.75" x14ac:dyDescent="0.2">
      <c r="A1278" s="1" t="str">
        <f ca="1">IFERROR(__xludf.DUMMYFUNCTION("GOOGLETRANSLATE(C1227, ""en"", ""es"")"),"gallardamente")</f>
        <v>gallardamente</v>
      </c>
      <c r="B1278" s="1">
        <v>3</v>
      </c>
      <c r="C1278" s="1" t="s">
        <v>1229</v>
      </c>
    </row>
    <row r="1279" spans="1:3" ht="12.75" x14ac:dyDescent="0.2">
      <c r="A1279" s="1" t="str">
        <f ca="1">IFERROR(__xludf.DUMMYFUNCTION("GOOGLETRANSLATE(C1228, ""en"", ""es"")"),"gamberrismo")</f>
        <v>gamberrismo</v>
      </c>
      <c r="B1279" s="1">
        <v>-2</v>
      </c>
      <c r="C1279" s="1" t="s">
        <v>1230</v>
      </c>
    </row>
    <row r="1280" spans="1:3" ht="12.75" x14ac:dyDescent="0.2">
      <c r="A1280" s="1" t="str">
        <f ca="1">IFERROR(__xludf.DUMMYFUNCTION("GOOGLETRANSLATE(C1229, ""en"", ""es"")"),"gamberro")</f>
        <v>gamberro</v>
      </c>
      <c r="B1280" s="1">
        <v>-2</v>
      </c>
      <c r="C1280" s="1" t="s">
        <v>1231</v>
      </c>
    </row>
    <row r="1281" spans="1:3" ht="12.75" x14ac:dyDescent="0.2">
      <c r="A1281" s="1" t="str">
        <f ca="1">IFERROR(__xludf.DUMMYFUNCTION("GOOGLETRANSLATE(C1230, ""en"", ""es"")"),"ganado")</f>
        <v>ganado</v>
      </c>
      <c r="B1281" s="1">
        <v>2</v>
      </c>
      <c r="C1281" s="1" t="s">
        <v>1232</v>
      </c>
    </row>
    <row r="1282" spans="1:3" ht="12.75" x14ac:dyDescent="0.2">
      <c r="A1282" s="1" t="str">
        <f ca="1">IFERROR(__xludf.DUMMYFUNCTION("GOOGLETRANSLATE(C2468, ""en"", ""es"")"),"ganado")</f>
        <v>ganado</v>
      </c>
      <c r="B1282" s="1">
        <v>3</v>
      </c>
      <c r="C1282" s="1" t="s">
        <v>2463</v>
      </c>
    </row>
    <row r="1283" spans="1:3" ht="12.75" x14ac:dyDescent="0.2">
      <c r="A1283" s="1" t="str">
        <f ca="1">IFERROR(__xludf.DUMMYFUNCTION("GOOGLETRANSLATE(C1231, ""en"", ""es"")"),"ganador")</f>
        <v>ganador</v>
      </c>
      <c r="B1283" s="1">
        <v>4</v>
      </c>
      <c r="C1283" s="1" t="s">
        <v>1233</v>
      </c>
    </row>
    <row r="1284" spans="1:3" ht="12.75" x14ac:dyDescent="0.2">
      <c r="A1284" s="1" t="str">
        <f ca="1">IFERROR(__xludf.DUMMYFUNCTION("GOOGLETRANSLATE(C1234, ""en"", ""es"")"),"ganancia")</f>
        <v>ganancia</v>
      </c>
      <c r="B1284" s="1">
        <v>2</v>
      </c>
      <c r="C1284" s="1" t="s">
        <v>1236</v>
      </c>
    </row>
    <row r="1285" spans="1:3" ht="12.75" x14ac:dyDescent="0.2">
      <c r="A1285" s="1" t="str">
        <f ca="1">IFERROR(__xludf.DUMMYFUNCTION("GOOGLETRANSLATE(C1233, ""en"", ""es"")"),"ganancias")</f>
        <v>ganancias</v>
      </c>
      <c r="B1285" s="1">
        <v>2</v>
      </c>
      <c r="C1285" s="1" t="s">
        <v>1235</v>
      </c>
    </row>
    <row r="1286" spans="1:3" ht="12.75" x14ac:dyDescent="0.2">
      <c r="A1286" s="1" t="str">
        <f ca="1">IFERROR(__xludf.DUMMYFUNCTION("GOOGLETRANSLATE(C1232, ""en"", ""es"")"),"ganar")</f>
        <v>ganar</v>
      </c>
      <c r="B1286" s="1">
        <v>2</v>
      </c>
      <c r="C1286" s="1" t="s">
        <v>1234</v>
      </c>
    </row>
    <row r="1287" spans="1:3" ht="12.75" x14ac:dyDescent="0.2">
      <c r="A1287" s="1" t="str">
        <f ca="1">IFERROR(__xludf.DUMMYFUNCTION("GOOGLETRANSLATE(C1236, ""en"", ""es"")"),"garantizar")</f>
        <v>garantizar</v>
      </c>
      <c r="B1287" s="1">
        <v>1</v>
      </c>
      <c r="C1287" s="1" t="s">
        <v>1238</v>
      </c>
    </row>
    <row r="1288" spans="1:3" ht="12.75" x14ac:dyDescent="0.2">
      <c r="A1288" s="1" t="str">
        <f ca="1">IFERROR(__xludf.DUMMYFUNCTION("GOOGLETRANSLATE(C1237, ""en"", ""es"")"),"gemido")</f>
        <v>gemido</v>
      </c>
      <c r="B1288" s="1">
        <v>-2</v>
      </c>
      <c r="C1288" s="1" t="s">
        <v>1239</v>
      </c>
    </row>
    <row r="1289" spans="1:3" ht="12.75" x14ac:dyDescent="0.2">
      <c r="A1289" s="1" t="str">
        <f ca="1">IFERROR(__xludf.DUMMYFUNCTION("GOOGLETRANSLATE(C1239, ""en"", ""es"")"),"gemido")</f>
        <v>gemido</v>
      </c>
      <c r="B1289" s="1">
        <v>-2</v>
      </c>
      <c r="C1289" s="1" t="s">
        <v>1241</v>
      </c>
    </row>
    <row r="1290" spans="1:3" ht="12.75" x14ac:dyDescent="0.2">
      <c r="A1290" s="1" t="str">
        <f ca="1">IFERROR(__xludf.DUMMYFUNCTION("GOOGLETRANSLATE(C1240, ""en"", ""es"")"),"gemido")</f>
        <v>gemido</v>
      </c>
      <c r="B1290" s="1">
        <v>-2</v>
      </c>
      <c r="C1290" s="1" t="s">
        <v>1242</v>
      </c>
    </row>
    <row r="1291" spans="1:3" ht="12.75" x14ac:dyDescent="0.2">
      <c r="A1291" s="1" t="str">
        <f ca="1">IFERROR(__xludf.DUMMYFUNCTION("GOOGLETRANSLATE(C1238, ""en"", ""es"")"),"gemir")</f>
        <v>gemir</v>
      </c>
      <c r="B1291" s="1">
        <v>-2</v>
      </c>
      <c r="C1291" s="1" t="s">
        <v>1240</v>
      </c>
    </row>
    <row r="1292" spans="1:3" ht="12.75" x14ac:dyDescent="0.2">
      <c r="A1292" s="1" t="str">
        <f ca="1">IFERROR(__xludf.DUMMYFUNCTION("GOOGLETRANSLATE(C1241, ""en"", ""es"")"),"generoso")</f>
        <v>generoso</v>
      </c>
      <c r="B1292" s="1">
        <v>2</v>
      </c>
      <c r="C1292" s="1" t="s">
        <v>1243</v>
      </c>
    </row>
    <row r="1293" spans="1:3" ht="12.75" x14ac:dyDescent="0.2">
      <c r="A1293" s="1" t="str">
        <f ca="1">IFERROR(__xludf.DUMMYFUNCTION("GOOGLETRANSLATE(C1242, ""en"", ""es"")"),"genial")</f>
        <v>genial</v>
      </c>
      <c r="B1293" s="1">
        <v>3</v>
      </c>
      <c r="C1293" s="1" t="s">
        <v>1244</v>
      </c>
    </row>
    <row r="1294" spans="1:3" ht="12.75" x14ac:dyDescent="0.2">
      <c r="A1294" s="1" t="str">
        <f ca="1">IFERROR(__xludf.DUMMYFUNCTION("GOOGLETRANSLATE(C1243, ""en"", ""es"")"),"gilipollas")</f>
        <v>gilipollas</v>
      </c>
      <c r="B1294" s="1">
        <v>-4</v>
      </c>
      <c r="C1294" s="1" t="s">
        <v>1245</v>
      </c>
    </row>
    <row r="1295" spans="1:3" ht="12.75" x14ac:dyDescent="0.2">
      <c r="A1295" s="1" t="str">
        <f ca="1">IFERROR(__xludf.DUMMYFUNCTION("GOOGLETRANSLATE(C1244, ""en"", ""es"")"),"gilipollas")</f>
        <v>gilipollas</v>
      </c>
      <c r="B1295" s="1">
        <v>-3</v>
      </c>
      <c r="C1295" s="1" t="s">
        <v>1246</v>
      </c>
    </row>
    <row r="1296" spans="1:3" ht="12.75" x14ac:dyDescent="0.2">
      <c r="A1296" s="1" t="str">
        <f ca="1">IFERROR(__xludf.DUMMYFUNCTION("GOOGLETRANSLATE(C1245, ""en"", ""es"")"),"gilipollas")</f>
        <v>gilipollas</v>
      </c>
      <c r="B1296" s="1">
        <v>-4</v>
      </c>
      <c r="C1296" s="1" t="s">
        <v>1247</v>
      </c>
    </row>
    <row r="1297" spans="1:3" ht="12.75" x14ac:dyDescent="0.2">
      <c r="A1297" s="1" t="str">
        <f ca="1">IFERROR(__xludf.DUMMYFUNCTION("GOOGLETRANSLATE(C1246, ""en"", ""es"")"),"gilipollas")</f>
        <v>gilipollas</v>
      </c>
      <c r="B1297" s="1">
        <v>-3</v>
      </c>
      <c r="C1297" s="1" t="s">
        <v>1248</v>
      </c>
    </row>
    <row r="1298" spans="1:3" ht="12.75" x14ac:dyDescent="0.2">
      <c r="A1298" s="1" t="str">
        <f ca="1">IFERROR(__xludf.DUMMYFUNCTION("GOOGLETRANSLATE(C1247, ""en"", ""es"")"),"glamoroso")</f>
        <v>glamoroso</v>
      </c>
      <c r="B1298" s="1">
        <v>3</v>
      </c>
      <c r="C1298" s="1" t="s">
        <v>1249</v>
      </c>
    </row>
    <row r="1299" spans="1:3" ht="12.75" x14ac:dyDescent="0.2">
      <c r="A1299" s="1" t="str">
        <f ca="1">IFERROR(__xludf.DUMMYFUNCTION("GOOGLETRANSLATE(C1248, ""en"", ""es"")"),"gloria")</f>
        <v>gloria</v>
      </c>
      <c r="B1299" s="1">
        <v>2</v>
      </c>
      <c r="C1299" s="1" t="s">
        <v>1250</v>
      </c>
    </row>
    <row r="1300" spans="1:3" ht="12.75" x14ac:dyDescent="0.2">
      <c r="A1300" s="1" t="str">
        <f ca="1">IFERROR(__xludf.DUMMYFUNCTION("GOOGLETRANSLATE(C1249, ""en"", ""es"")"),"glorioso")</f>
        <v>glorioso</v>
      </c>
      <c r="B1300" s="1">
        <v>2</v>
      </c>
      <c r="C1300" s="1" t="s">
        <v>1251</v>
      </c>
    </row>
    <row r="1301" spans="1:3" ht="12.75" x14ac:dyDescent="0.2">
      <c r="A1301" s="1" t="str">
        <f ca="1">IFERROR(__xludf.DUMMYFUNCTION("GOOGLETRANSLATE(C1250, ""en"", ""es"")"),"golpe")</f>
        <v>golpe</v>
      </c>
      <c r="B1301" s="1">
        <v>-2</v>
      </c>
      <c r="C1301" s="1" t="s">
        <v>1252</v>
      </c>
    </row>
    <row r="1302" spans="1:3" ht="12.75" x14ac:dyDescent="0.2">
      <c r="A1302" s="1" t="s">
        <v>2518</v>
      </c>
      <c r="B1302" s="1">
        <v>-2</v>
      </c>
      <c r="C1302" s="1" t="s">
        <v>2519</v>
      </c>
    </row>
    <row r="1303" spans="1:3" ht="12.75" x14ac:dyDescent="0.2">
      <c r="A1303" s="1" t="str">
        <f ca="1">IFERROR(__xludf.DUMMYFUNCTION("GOOGLETRANSLATE(C1251, ""en"", ""es"")"),"golpeado")</f>
        <v>golpeado</v>
      </c>
      <c r="B1303" s="1">
        <v>-1</v>
      </c>
      <c r="C1303" s="1" t="s">
        <v>1253</v>
      </c>
    </row>
    <row r="1304" spans="1:3" ht="12.75" x14ac:dyDescent="0.2">
      <c r="A1304" s="1" t="str">
        <f ca="1">IFERROR(__xludf.DUMMYFUNCTION("GOOGLETRANSLATE(C1838, ""en"", ""es"")"),"golpeando")</f>
        <v>golpeando</v>
      </c>
      <c r="B1304" s="1">
        <v>-1</v>
      </c>
      <c r="C1304" s="1" t="s">
        <v>1836</v>
      </c>
    </row>
    <row r="1305" spans="1:3" ht="12.75" x14ac:dyDescent="0.2">
      <c r="A1305" s="1" t="str">
        <f ca="1">IFERROR(__xludf.DUMMYFUNCTION("GOOGLETRANSLATE(C1252, ""en"", ""es"")"),"gorrón")</f>
        <v>gorrón</v>
      </c>
      <c r="B1305" s="1">
        <v>-2</v>
      </c>
      <c r="C1305" s="1" t="s">
        <v>1254</v>
      </c>
    </row>
    <row r="1306" spans="1:3" ht="12.75" x14ac:dyDescent="0.2">
      <c r="A1306" s="1" t="str">
        <f ca="1">IFERROR(__xludf.DUMMYFUNCTION("GOOGLETRANSLATE(C1253, ""en"", ""es"")"),"gracia")</f>
        <v>gracia</v>
      </c>
      <c r="B1306" s="1">
        <v>1</v>
      </c>
      <c r="C1306" s="1" t="s">
        <v>1255</v>
      </c>
    </row>
    <row r="1307" spans="1:3" ht="12.75" x14ac:dyDescent="0.2">
      <c r="A1307" s="1" t="str">
        <f ca="1">IFERROR(__xludf.DUMMYFUNCTION("GOOGLETRANSLATE(C1254, ""en"", ""es"")"),"gracias")</f>
        <v>gracias</v>
      </c>
      <c r="B1307" s="1">
        <v>2</v>
      </c>
      <c r="C1307" s="1" t="s">
        <v>1256</v>
      </c>
    </row>
    <row r="1308" spans="1:3" ht="12.75" x14ac:dyDescent="0.2">
      <c r="A1308" s="1" t="str">
        <f ca="1">IFERROR(__xludf.DUMMYFUNCTION("GOOGLETRANSLATE(C1255, ""en"", ""es"")"),"Gracias")</f>
        <v>Gracias</v>
      </c>
      <c r="B1308" s="1">
        <v>2</v>
      </c>
      <c r="C1308" s="1" t="s">
        <v>1257</v>
      </c>
    </row>
    <row r="1309" spans="1:3" ht="12.75" x14ac:dyDescent="0.2">
      <c r="A1309" s="1" t="str">
        <f ca="1">IFERROR(__xludf.DUMMYFUNCTION("GOOGLETRANSLATE(C1256, ""en"", ""es"")"),"gracioso")</f>
        <v>gracioso</v>
      </c>
      <c r="B1309" s="1">
        <v>4</v>
      </c>
      <c r="C1309" s="1" t="s">
        <v>1258</v>
      </c>
    </row>
    <row r="1310" spans="1:3" ht="12.75" x14ac:dyDescent="0.2">
      <c r="A1310" s="1" t="str">
        <f ca="1">IFERROR(__xludf.DUMMYFUNCTION("GOOGLETRANSLATE(C1257, ""en"", ""es"")"),"grande")</f>
        <v>grande</v>
      </c>
      <c r="B1310" s="1">
        <v>1</v>
      </c>
      <c r="C1310" s="1" t="s">
        <v>1259</v>
      </c>
    </row>
    <row r="1311" spans="1:3" ht="12.75" x14ac:dyDescent="0.2">
      <c r="A1311" s="1" t="str">
        <f ca="1">IFERROR(__xludf.DUMMYFUNCTION("GOOGLETRANSLATE(C1258, ""en"", ""es"")"),"grandioso")</f>
        <v>grandioso</v>
      </c>
      <c r="B1311" s="1">
        <v>3</v>
      </c>
      <c r="C1311" s="1" t="s">
        <v>1260</v>
      </c>
    </row>
    <row r="1312" spans="1:3" ht="12.75" x14ac:dyDescent="0.2">
      <c r="A1312" s="1" t="str">
        <f ca="1">IFERROR(__xludf.DUMMYFUNCTION("GOOGLETRANSLATE(C1261, ""en"", ""es"")"),"gratificación")</f>
        <v>gratificación</v>
      </c>
      <c r="B1312" s="1">
        <v>2</v>
      </c>
      <c r="C1312" s="1" t="s">
        <v>1263</v>
      </c>
    </row>
    <row r="1313" spans="1:3" ht="12.75" x14ac:dyDescent="0.2">
      <c r="A1313" s="1" t="str">
        <f ca="1">IFERROR(__xludf.DUMMYFUNCTION("GOOGLETRANSLATE(C1262, ""en"", ""es"")"),"gratificante")</f>
        <v>gratificante</v>
      </c>
      <c r="B1313" s="1">
        <v>2</v>
      </c>
      <c r="C1313" s="1" t="s">
        <v>1264</v>
      </c>
    </row>
    <row r="1314" spans="1:3" ht="12.75" x14ac:dyDescent="0.2">
      <c r="A1314" s="1" t="str">
        <f ca="1">IFERROR(__xludf.DUMMYFUNCTION("GOOGLETRANSLATE(C1263, ""en"", ""es"")"),"gratis")</f>
        <v>gratis</v>
      </c>
      <c r="B1314" s="1">
        <v>1</v>
      </c>
      <c r="C1314" s="1" t="s">
        <v>1265</v>
      </c>
    </row>
    <row r="1315" spans="1:3" ht="12.75" x14ac:dyDescent="0.2">
      <c r="A1315" s="1" t="str">
        <f ca="1">IFERROR(__xludf.DUMMYFUNCTION("GOOGLETRANSLATE(C1611, ""en"", ""es"")"),"gravemente")</f>
        <v>gravemente</v>
      </c>
      <c r="B1315" s="1">
        <v>-3</v>
      </c>
      <c r="C1315" s="1" t="s">
        <v>1609</v>
      </c>
    </row>
    <row r="1316" spans="1:3" ht="12.75" x14ac:dyDescent="0.2">
      <c r="A1316" s="1" t="str">
        <f ca="1">IFERROR(__xludf.DUMMYFUNCTION("GOOGLETRANSLATE(C1267, ""en"", ""es"")"),"gripe")</f>
        <v>gripe</v>
      </c>
      <c r="B1316" s="1">
        <v>-2</v>
      </c>
      <c r="C1316" s="1" t="s">
        <v>1269</v>
      </c>
    </row>
    <row r="1317" spans="1:3" ht="12.75" x14ac:dyDescent="0.2">
      <c r="A1317" s="1" t="str">
        <f ca="1">IFERROR(__xludf.DUMMYFUNCTION("GOOGLETRANSLATE(C1268, ""en"", ""es"")"),"gris")</f>
        <v>gris</v>
      </c>
      <c r="B1317" s="1">
        <v>-1</v>
      </c>
      <c r="C1317" s="1" t="s">
        <v>1270</v>
      </c>
    </row>
    <row r="1318" spans="1:3" ht="12.75" x14ac:dyDescent="0.2">
      <c r="A1318" s="1" t="str">
        <f ca="1">IFERROR(__xludf.DUMMYFUNCTION("GOOGLETRANSLATE(C1269, ""en"", ""es"")"),"gris")</f>
        <v>gris</v>
      </c>
      <c r="B1318" s="1">
        <v>-1</v>
      </c>
      <c r="C1318" s="1" t="s">
        <v>1271</v>
      </c>
    </row>
    <row r="1319" spans="1:3" ht="12.75" x14ac:dyDescent="0.2">
      <c r="A1319" s="1" t="str">
        <f ca="1">IFERROR(__xludf.DUMMYFUNCTION("GOOGLETRANSLATE(C1271, ""en"", ""es"")"),"gritando")</f>
        <v>gritando</v>
      </c>
      <c r="B1319" s="1">
        <v>-2</v>
      </c>
      <c r="C1319" s="1" t="s">
        <v>1273</v>
      </c>
    </row>
    <row r="1320" spans="1:3" ht="12.75" x14ac:dyDescent="0.2">
      <c r="A1320" s="1" t="str">
        <f ca="1">IFERROR(__xludf.DUMMYFUNCTION("GOOGLETRANSLATE(C1272, ""en"", ""es"")"),"gritar")</f>
        <v>gritar</v>
      </c>
      <c r="B1320" s="1">
        <v>-2</v>
      </c>
      <c r="C1320" s="1" t="s">
        <v>1274</v>
      </c>
    </row>
    <row r="1321" spans="1:3" ht="12.75" x14ac:dyDescent="0.2">
      <c r="A1321" s="1" t="str">
        <f ca="1">IFERROR(__xludf.DUMMYFUNCTION("GOOGLETRANSLATE(C1270, ""en"", ""es"")"),"grito")</f>
        <v>grito</v>
      </c>
      <c r="B1321" s="1">
        <v>-2</v>
      </c>
      <c r="C1321" s="1" t="s">
        <v>1272</v>
      </c>
    </row>
    <row r="1322" spans="1:3" ht="12.75" x14ac:dyDescent="0.2">
      <c r="A1322" s="1" t="str">
        <f ca="1">IFERROR(__xludf.DUMMYFUNCTION("GOOGLETRANSLATE(C1273, ""en"", ""es"")"),"grito")</f>
        <v>grito</v>
      </c>
      <c r="B1322" s="1">
        <v>-2</v>
      </c>
      <c r="C1322" s="1" t="s">
        <v>1275</v>
      </c>
    </row>
    <row r="1323" spans="1:3" ht="12.75" x14ac:dyDescent="0.2">
      <c r="A1323" s="1" t="str">
        <f ca="1">IFERROR(__xludf.DUMMYFUNCTION("GOOGLETRANSLATE(C1274, ""en"", ""es"")"),"guarida")</f>
        <v>guarida</v>
      </c>
      <c r="B1323" s="1">
        <v>-1</v>
      </c>
      <c r="C1323" s="1" t="s">
        <v>1276</v>
      </c>
    </row>
    <row r="1324" spans="1:3" ht="12.75" x14ac:dyDescent="0.2">
      <c r="A1324" s="1" t="str">
        <f ca="1">IFERROR(__xludf.DUMMYFUNCTION("GOOGLETRANSLATE(C2047, ""en"", ""es"")"),"guaridas")</f>
        <v>guaridas</v>
      </c>
      <c r="B1324" s="1">
        <v>-1</v>
      </c>
      <c r="C1324" s="1" t="s">
        <v>2045</v>
      </c>
    </row>
    <row r="1325" spans="1:3" ht="12.75" x14ac:dyDescent="0.2">
      <c r="A1325" s="1" t="str">
        <f ca="1">IFERROR(__xludf.DUMMYFUNCTION("GOOGLETRANSLATE(C1275, ""en"", ""es"")"),"guau")</f>
        <v>guau</v>
      </c>
      <c r="B1325" s="1">
        <v>4</v>
      </c>
      <c r="C1325" s="1" t="s">
        <v>1277</v>
      </c>
    </row>
    <row r="1326" spans="1:3" ht="12.75" x14ac:dyDescent="0.2">
      <c r="A1326" s="1" t="str">
        <f ca="1">IFERROR(__xludf.DUMMYFUNCTION("GOOGLETRANSLATE(C1277, ""en"", ""es"")"),"guerra")</f>
        <v>guerra</v>
      </c>
      <c r="B1326" s="1">
        <v>-2</v>
      </c>
      <c r="C1326" s="1" t="s">
        <v>1279</v>
      </c>
    </row>
    <row r="1327" spans="1:3" ht="12.75" x14ac:dyDescent="0.2">
      <c r="A1327" s="1" t="str">
        <f ca="1">IFERROR(__xludf.DUMMYFUNCTION("GOOGLETRANSLATE(C1278, ""en"", ""es"")"),"guerra")</f>
        <v>guerra</v>
      </c>
      <c r="B1327" s="1">
        <v>-2</v>
      </c>
      <c r="C1327" s="1" t="s">
        <v>1280</v>
      </c>
    </row>
    <row r="1328" spans="1:3" ht="12.75" x14ac:dyDescent="0.2">
      <c r="A1328" s="1" t="s">
        <v>2471</v>
      </c>
      <c r="B1328" s="1">
        <v>-5</v>
      </c>
      <c r="C1328" s="1" t="s">
        <v>2470</v>
      </c>
    </row>
    <row r="1329" spans="1:3" ht="12.75" x14ac:dyDescent="0.2">
      <c r="A1329" s="1" t="str">
        <f ca="1">IFERROR(__xludf.DUMMYFUNCTION("GOOGLETRANSLATE(C1279, ""en"", ""es"")"),"gustó")</f>
        <v>gustó</v>
      </c>
      <c r="B1329" s="1">
        <v>2</v>
      </c>
      <c r="C1329" s="1" t="s">
        <v>1281</v>
      </c>
    </row>
    <row r="1330" spans="1:3" ht="12.75" x14ac:dyDescent="0.2">
      <c r="A1330" s="1" t="str">
        <f ca="1">IFERROR(__xludf.DUMMYFUNCTION("GOOGLETRANSLATE(C1280, ""en"", ""es"")"),"gustos")</f>
        <v>gustos</v>
      </c>
      <c r="B1330" s="1">
        <v>2</v>
      </c>
      <c r="C1330" s="1" t="s">
        <v>1282</v>
      </c>
    </row>
    <row r="1331" spans="1:3" ht="12.75" x14ac:dyDescent="0.2">
      <c r="A1331" s="1" t="str">
        <f ca="1">IFERROR(__xludf.DUMMYFUNCTION("GOOGLETRANSLATE(C1282, ""en"", ""es"")"),"hábil")</f>
        <v>hábil</v>
      </c>
      <c r="B1331" s="1">
        <v>2</v>
      </c>
      <c r="C1331" s="1" t="s">
        <v>1284</v>
      </c>
    </row>
    <row r="1332" spans="1:3" ht="12.75" x14ac:dyDescent="0.2">
      <c r="A1332" s="1" t="str">
        <f ca="1">IFERROR(__xludf.DUMMYFUNCTION("GOOGLETRANSLATE(C429, ""en"", ""es"")"),"habilidad")</f>
        <v>habilidad</v>
      </c>
      <c r="B1332" s="1">
        <v>2</v>
      </c>
      <c r="C1332" s="1" t="s">
        <v>429</v>
      </c>
    </row>
    <row r="1333" spans="1:3" ht="12.75" x14ac:dyDescent="0.2">
      <c r="A1333" s="1" t="str">
        <f ca="1">IFERROR(__xludf.DUMMYFUNCTION("GOOGLETRANSLATE(C1283, ""en"", ""es"")"),"habilidades")</f>
        <v>habilidades</v>
      </c>
      <c r="B1333" s="1">
        <v>2</v>
      </c>
      <c r="C1333" s="1" t="s">
        <v>1285</v>
      </c>
    </row>
    <row r="1334" spans="1:3" ht="12.75" x14ac:dyDescent="0.2">
      <c r="A1334" s="1" t="str">
        <f ca="1">IFERROR(__xludf.DUMMYFUNCTION("GOOGLETRANSLATE(C1285, ""en"", ""es"")"),"hacer descarrilar")</f>
        <v>hacer descarrilar</v>
      </c>
      <c r="B1334" s="1">
        <v>-2</v>
      </c>
      <c r="C1334" s="1" t="s">
        <v>1287</v>
      </c>
    </row>
    <row r="1335" spans="1:3" ht="12.75" x14ac:dyDescent="0.2">
      <c r="A1335" s="1" t="str">
        <f ca="1">IFERROR(__xludf.DUMMYFUNCTION("GOOGLETRANSLATE(C1286, ""en"", ""es"")"),"hacha")</f>
        <v>hacha</v>
      </c>
      <c r="B1335" s="1">
        <v>-1</v>
      </c>
      <c r="C1335" s="1" t="s">
        <v>1288</v>
      </c>
    </row>
    <row r="1336" spans="1:3" ht="12.75" x14ac:dyDescent="0.2">
      <c r="A1336" s="1" t="str">
        <f ca="1">IFERROR(__xludf.DUMMYFUNCTION("GOOGLETRANSLATE(C1289, ""en"", ""es"")"),"hambre")</f>
        <v>hambre</v>
      </c>
      <c r="B1336" s="1">
        <v>-2</v>
      </c>
      <c r="C1336" s="1" t="s">
        <v>1290</v>
      </c>
    </row>
    <row r="1337" spans="1:3" ht="12.75" x14ac:dyDescent="0.2">
      <c r="A1337" s="1" t="str">
        <f ca="1">IFERROR(__xludf.DUMMYFUNCTION("GOOGLETRANSLATE(C1729, ""en"", ""es"")"),"hambriento")</f>
        <v>hambriento</v>
      </c>
      <c r="B1337" s="1">
        <v>-2</v>
      </c>
      <c r="C1337" s="1" t="s">
        <v>1728</v>
      </c>
    </row>
    <row r="1338" spans="1:3" ht="12.75" x14ac:dyDescent="0.2">
      <c r="A1338" s="1" t="str">
        <f ca="1">IFERROR(__xludf.DUMMYFUNCTION("GOOGLETRANSLATE(C1733, ""en"", ""es"")"),"hambriento")</f>
        <v>hambriento</v>
      </c>
      <c r="B1338" s="1">
        <v>-2</v>
      </c>
      <c r="C1338" s="1" t="s">
        <v>1732</v>
      </c>
    </row>
    <row r="1339" spans="1:3" ht="12.75" x14ac:dyDescent="0.2">
      <c r="A1339" s="1" t="str">
        <f ca="1">IFERROR(__xludf.DUMMYFUNCTION("GOOGLETRANSLATE(C1290, ""en"", ""es"")"),"harto")</f>
        <v>harto</v>
      </c>
      <c r="B1339" s="1">
        <v>-3</v>
      </c>
      <c r="C1339" s="1" t="s">
        <v>1291</v>
      </c>
    </row>
    <row r="1340" spans="1:3" ht="12.75" x14ac:dyDescent="0.2">
      <c r="A1340" s="1" t="str">
        <f ca="1">IFERROR(__xludf.DUMMYFUNCTION("GOOGLETRANSLATE(C1561, ""en"", ""es"")"),"herido")</f>
        <v>herido</v>
      </c>
      <c r="B1340" s="1">
        <v>-2</v>
      </c>
      <c r="C1340" s="1" t="s">
        <v>1560</v>
      </c>
    </row>
    <row r="1341" spans="1:3" ht="12.75" x14ac:dyDescent="0.2">
      <c r="A1341" s="1" t="str">
        <f ca="1">IFERROR(__xludf.DUMMYFUNCTION("GOOGLETRANSLATE(C1292, ""en"", ""es"")"),"hermosa")</f>
        <v>hermosa</v>
      </c>
      <c r="B1341" s="1">
        <v>3</v>
      </c>
      <c r="C1341" s="1" t="s">
        <v>1293</v>
      </c>
    </row>
    <row r="1342" spans="1:3" ht="12.75" x14ac:dyDescent="0.2">
      <c r="A1342" s="1" t="str">
        <f ca="1">IFERROR(__xludf.DUMMYFUNCTION("GOOGLETRANSLATE(C1293, ""en"", ""es"")"),"hermosamente")</f>
        <v>hermosamente</v>
      </c>
      <c r="B1342" s="1">
        <v>3</v>
      </c>
      <c r="C1342" s="1" t="s">
        <v>1294</v>
      </c>
    </row>
    <row r="1343" spans="1:3" ht="12.75" x14ac:dyDescent="0.2">
      <c r="A1343" s="1" t="str">
        <f ca="1">IFERROR(__xludf.DUMMYFUNCTION("GOOGLETRANSLATE(C1294, ""en"", ""es"")"),"héroe")</f>
        <v>héroe</v>
      </c>
      <c r="B1343" s="1">
        <v>2</v>
      </c>
      <c r="C1343" s="1" t="s">
        <v>1295</v>
      </c>
    </row>
    <row r="1344" spans="1:3" ht="12.75" x14ac:dyDescent="0.2">
      <c r="A1344" s="1" t="str">
        <f ca="1">IFERROR(__xludf.DUMMYFUNCTION("GOOGLETRANSLATE(C1295, ""en"", ""es"")"),"héroes")</f>
        <v>héroes</v>
      </c>
      <c r="B1344" s="1">
        <v>2</v>
      </c>
      <c r="C1344" s="1" t="s">
        <v>1296</v>
      </c>
    </row>
    <row r="1345" spans="1:3" ht="12.75" x14ac:dyDescent="0.2">
      <c r="A1345" s="1" t="str">
        <f ca="1">IFERROR(__xludf.DUMMYFUNCTION("GOOGLETRANSLATE(C1296, ""en"", ""es"")"),"heroico")</f>
        <v>heroico</v>
      </c>
      <c r="B1345" s="1">
        <v>3</v>
      </c>
      <c r="C1345" s="1" t="s">
        <v>1297</v>
      </c>
    </row>
    <row r="1346" spans="1:3" ht="12.75" x14ac:dyDescent="0.2">
      <c r="A1346" s="1" t="str">
        <f ca="1">IFERROR(__xludf.DUMMYFUNCTION("GOOGLETRANSLATE(C1297, ""en"", ""es"")"),"hijo de puta")</f>
        <v>hijo de puta</v>
      </c>
      <c r="B1346" s="1">
        <v>-5</v>
      </c>
      <c r="C1346" s="1" t="s">
        <v>1298</v>
      </c>
    </row>
    <row r="1347" spans="1:3" ht="12.75" x14ac:dyDescent="0.2">
      <c r="A1347" s="1" t="str">
        <f ca="1">IFERROR(__xludf.DUMMYFUNCTION("GOOGLETRANSLATE(C1298, ""en"", ""es"")"),"Hijo de puta")</f>
        <v>Hijo de puta</v>
      </c>
      <c r="B1347" s="1">
        <v>-5</v>
      </c>
      <c r="C1347" s="1" t="s">
        <v>1299</v>
      </c>
    </row>
    <row r="1348" spans="1:3" ht="12.75" x14ac:dyDescent="0.2">
      <c r="A1348" s="1" t="s">
        <v>2476</v>
      </c>
      <c r="B1348" s="1">
        <v>-4</v>
      </c>
      <c r="C1348" s="1" t="s">
        <v>2476</v>
      </c>
    </row>
    <row r="1349" spans="1:3" ht="12.75" x14ac:dyDescent="0.2">
      <c r="A1349" s="1" t="str">
        <f ca="1">IFERROR(__xludf.DUMMYFUNCTION("GOOGLETRANSLATE(C1300, ""en"", ""es"")"),"hipócrita")</f>
        <v>hipócrita</v>
      </c>
      <c r="B1349" s="1">
        <v>-2</v>
      </c>
      <c r="C1349" s="1" t="s">
        <v>1301</v>
      </c>
    </row>
    <row r="1350" spans="1:3" ht="12.75" x14ac:dyDescent="0.2">
      <c r="A1350" s="1" t="str">
        <f ca="1">IFERROR(__xludf.DUMMYFUNCTION("GOOGLETRANSLATE(C1301, ""en"", ""es"")"),"histeria")</f>
        <v>histeria</v>
      </c>
      <c r="B1350" s="1">
        <v>-3</v>
      </c>
      <c r="C1350" s="1" t="s">
        <v>1302</v>
      </c>
    </row>
    <row r="1351" spans="1:3" ht="12.75" x14ac:dyDescent="0.2">
      <c r="A1351" s="1" t="str">
        <f ca="1">IFERROR(__xludf.DUMMYFUNCTION("GOOGLETRANSLATE(C1302, ""en"", ""es"")"),"histérico")</f>
        <v>histérico</v>
      </c>
      <c r="B1351" s="1">
        <v>-3</v>
      </c>
      <c r="C1351" s="1" t="s">
        <v>1303</v>
      </c>
    </row>
    <row r="1352" spans="1:3" ht="12.75" x14ac:dyDescent="0.2">
      <c r="A1352" s="1" t="str">
        <f ca="1">IFERROR(__xludf.DUMMYFUNCTION("GOOGLETRANSLATE(C1303, ""en"", ""es"")"),"histerismo")</f>
        <v>histerismo</v>
      </c>
      <c r="B1352" s="1">
        <v>-3</v>
      </c>
      <c r="C1352" s="1" t="s">
        <v>1304</v>
      </c>
    </row>
    <row r="1353" spans="1:3" ht="12.75" x14ac:dyDescent="0.2">
      <c r="A1353" s="1" t="str">
        <f ca="1">IFERROR(__xludf.DUMMYFUNCTION("GOOGLETRANSLATE(C1306, ""en"", ""es"")"),"honesto")</f>
        <v>honesto</v>
      </c>
      <c r="B1353" s="1">
        <v>2</v>
      </c>
      <c r="C1353" s="1" t="s">
        <v>1307</v>
      </c>
    </row>
    <row r="1354" spans="1:3" ht="12.75" x14ac:dyDescent="0.2">
      <c r="A1354" s="1" t="str">
        <f ca="1">IFERROR(__xludf.DUMMYFUNCTION("GOOGLETRANSLATE(C1304, ""en"", ""es"")"),"honor")</f>
        <v>honor</v>
      </c>
      <c r="B1354" s="1">
        <v>2</v>
      </c>
      <c r="C1354" s="1" t="s">
        <v>1305</v>
      </c>
    </row>
    <row r="1355" spans="1:3" ht="12.75" x14ac:dyDescent="0.2">
      <c r="A1355" s="1" t="str">
        <f ca="1">IFERROR(__xludf.DUMMYFUNCTION("GOOGLETRANSLATE(C1305, ""en"", ""es"")"),"honor")</f>
        <v>honor</v>
      </c>
      <c r="B1355" s="1">
        <v>2</v>
      </c>
      <c r="C1355" s="1" t="s">
        <v>1306</v>
      </c>
    </row>
    <row r="1356" spans="1:3" ht="12.75" x14ac:dyDescent="0.2">
      <c r="A1356" s="1" t="str">
        <f ca="1">IFERROR(__xludf.DUMMYFUNCTION("GOOGLETRANSLATE(C1307, ""en"", ""es"")"),"honor")</f>
        <v>honor</v>
      </c>
      <c r="B1356" s="1">
        <v>2</v>
      </c>
      <c r="C1356" s="1" t="s">
        <v>1308</v>
      </c>
    </row>
    <row r="1357" spans="1:3" ht="12.75" x14ac:dyDescent="0.2">
      <c r="A1357" s="1" t="str">
        <f ca="1">IFERROR(__xludf.DUMMYFUNCTION("GOOGLETRANSLATE(C1308, ""en"", ""es"")"),"honor")</f>
        <v>honor</v>
      </c>
      <c r="B1357" s="1">
        <v>2</v>
      </c>
      <c r="C1357" s="1" t="s">
        <v>1309</v>
      </c>
    </row>
    <row r="1358" spans="1:3" ht="12.75" x14ac:dyDescent="0.2">
      <c r="A1358" s="1" t="str">
        <f ca="1">IFERROR(__xludf.DUMMYFUNCTION("GOOGLETRANSLATE(C1309, ""en"", ""es"")"),"honrado")</f>
        <v>honrado</v>
      </c>
      <c r="B1358" s="1">
        <v>2</v>
      </c>
      <c r="C1358" s="1" t="s">
        <v>1310</v>
      </c>
    </row>
    <row r="1359" spans="1:3" ht="12.75" x14ac:dyDescent="0.2">
      <c r="A1359" s="1" t="str">
        <f ca="1">IFERROR(__xludf.DUMMYFUNCTION("GOOGLETRANSLATE(C1310, ""en"", ""es"")"),"honrado")</f>
        <v>honrado</v>
      </c>
      <c r="B1359" s="1">
        <v>2</v>
      </c>
      <c r="C1359" s="1" t="s">
        <v>1311</v>
      </c>
    </row>
    <row r="1360" spans="1:3" ht="12.75" x14ac:dyDescent="0.2">
      <c r="A1360" s="1" t="str">
        <f ca="1">IFERROR(__xludf.DUMMYFUNCTION("GOOGLETRANSLATE(C1311, ""en"", ""es"")"),"hooligans")</f>
        <v>hooligans</v>
      </c>
      <c r="B1360" s="1">
        <v>-2</v>
      </c>
      <c r="C1360" s="1" t="s">
        <v>1312</v>
      </c>
    </row>
    <row r="1361" spans="1:3" ht="12.75" x14ac:dyDescent="0.2">
      <c r="A1361" s="1" t="str">
        <f ca="1">IFERROR(__xludf.DUMMYFUNCTION("GOOGLETRANSLATE(C1312, ""en"", ""es"")"),"horrendo")</f>
        <v>horrendo</v>
      </c>
      <c r="B1361" s="1">
        <v>-3</v>
      </c>
      <c r="C1361" s="1" t="s">
        <v>1313</v>
      </c>
    </row>
    <row r="1362" spans="1:3" ht="12.75" x14ac:dyDescent="0.2">
      <c r="A1362" s="1" t="str">
        <f ca="1">IFERROR(__xludf.DUMMYFUNCTION("GOOGLETRANSLATE(C1313, ""en"", ""es"")"),"horrendo")</f>
        <v>horrendo</v>
      </c>
      <c r="B1362" s="1">
        <v>-3</v>
      </c>
      <c r="C1362" s="1" t="s">
        <v>1314</v>
      </c>
    </row>
    <row r="1363" spans="1:3" ht="12.75" x14ac:dyDescent="0.2">
      <c r="A1363" s="1" t="str">
        <f ca="1">IFERROR(__xludf.DUMMYFUNCTION("GOOGLETRANSLATE(C1314, ""en"", ""es"")"),"horrible")</f>
        <v>horrible</v>
      </c>
      <c r="B1363" s="1">
        <v>-3</v>
      </c>
      <c r="C1363" s="1" t="s">
        <v>1315</v>
      </c>
    </row>
    <row r="1364" spans="1:3" ht="12.75" x14ac:dyDescent="0.2">
      <c r="A1364" s="1" t="str">
        <f ca="1">IFERROR(__xludf.DUMMYFUNCTION("GOOGLETRANSLATE(C1315, ""en"", ""es"")"),"horrible")</f>
        <v>horrible</v>
      </c>
      <c r="B1364" s="1">
        <v>-3</v>
      </c>
      <c r="C1364" s="1" t="s">
        <v>1316</v>
      </c>
    </row>
    <row r="1365" spans="1:3" ht="12.75" x14ac:dyDescent="0.2">
      <c r="A1365" s="1" t="str">
        <f ca="1">IFERROR(__xludf.DUMMYFUNCTION("GOOGLETRANSLATE(C1316, ""en"", ""es"")"),"horrible")</f>
        <v>horrible</v>
      </c>
      <c r="B1365" s="1">
        <v>-3</v>
      </c>
      <c r="C1365" s="1" t="s">
        <v>1317</v>
      </c>
    </row>
    <row r="1366" spans="1:3" ht="12.75" x14ac:dyDescent="0.2">
      <c r="A1366" s="1" t="str">
        <f ca="1">IFERROR(__xludf.DUMMYFUNCTION("GOOGLETRANSLATE(C1317, ""en"", ""es"")"),"horrorizado")</f>
        <v>horrorizado</v>
      </c>
      <c r="B1366" s="1">
        <v>-3</v>
      </c>
      <c r="C1366" s="1" t="s">
        <v>1318</v>
      </c>
    </row>
    <row r="1367" spans="1:3" ht="12.75" x14ac:dyDescent="0.2">
      <c r="A1367" s="1" t="str">
        <f ca="1">IFERROR(__xludf.DUMMYFUNCTION("GOOGLETRANSLATE(C1318, ""en"", ""es"")"),"hosco")</f>
        <v>hosco</v>
      </c>
      <c r="B1367" s="1">
        <v>-2</v>
      </c>
      <c r="C1367" s="1" t="s">
        <v>1319</v>
      </c>
    </row>
    <row r="1368" spans="1:3" ht="12.75" x14ac:dyDescent="0.2">
      <c r="A1368" s="1" t="str">
        <f ca="1">IFERROR(__xludf.DUMMYFUNCTION("GOOGLETRANSLATE(C1319, ""en"", ""es"")"),"hostil")</f>
        <v>hostil</v>
      </c>
      <c r="B1368" s="1">
        <v>-2</v>
      </c>
      <c r="C1368" s="1" t="s">
        <v>1320</v>
      </c>
    </row>
    <row r="1369" spans="1:3" ht="12.75" x14ac:dyDescent="0.2">
      <c r="A1369" s="1" t="str">
        <f ca="1">IFERROR(__xludf.DUMMYFUNCTION("GOOGLETRANSLATE(C1320, ""en"", ""es"")"),"Huelga")</f>
        <v>Huelga</v>
      </c>
      <c r="B1369" s="1">
        <v>-1</v>
      </c>
      <c r="C1369" s="1" t="s">
        <v>1321</v>
      </c>
    </row>
    <row r="1370" spans="1:3" ht="12.75" x14ac:dyDescent="0.2">
      <c r="A1370" s="1" t="str">
        <f ca="1">IFERROR(__xludf.DUMMYFUNCTION("GOOGLETRANSLATE(C1851, ""en"", ""es"")"),"huelga")</f>
        <v>huelga</v>
      </c>
      <c r="B1370" s="1">
        <v>-2</v>
      </c>
      <c r="C1370" s="1" t="s">
        <v>1849</v>
      </c>
    </row>
    <row r="1371" spans="1:3" ht="12.75" x14ac:dyDescent="0.2">
      <c r="A1371" s="1" t="str">
        <f ca="1">IFERROR(__xludf.DUMMYFUNCTION("GOOGLETRANSLATE(C1321, ""en"", ""es"")"),"huelgas")</f>
        <v>huelgas</v>
      </c>
      <c r="B1371" s="1">
        <v>-1</v>
      </c>
      <c r="C1371" s="1" t="s">
        <v>1322</v>
      </c>
    </row>
    <row r="1372" spans="1:3" ht="12.75" x14ac:dyDescent="0.2">
      <c r="A1372" s="1" t="str">
        <f ca="1">IFERROR(__xludf.DUMMYFUNCTION("GOOGLETRANSLATE(C672, ""en"", ""es"")"),"huelguistas")</f>
        <v>huelguistas</v>
      </c>
      <c r="B1372" s="1">
        <v>-2</v>
      </c>
      <c r="C1372" s="1" t="s">
        <v>672</v>
      </c>
    </row>
    <row r="1373" spans="1:3" ht="12.75" x14ac:dyDescent="0.2">
      <c r="A1373" s="1" t="str">
        <f ca="1">IFERROR(__xludf.DUMMYFUNCTION("GOOGLETRANSLATE(C1322, ""en"", ""es"")"),"humeante")</f>
        <v>humeante</v>
      </c>
      <c r="B1373" s="1">
        <v>3</v>
      </c>
      <c r="C1373" s="1" t="s">
        <v>1323</v>
      </c>
    </row>
    <row r="1374" spans="1:3" ht="12.75" x14ac:dyDescent="0.2">
      <c r="A1374" s="1" t="str">
        <f ca="1">IFERROR(__xludf.DUMMYFUNCTION("GOOGLETRANSLATE(C1323, ""en"", ""es"")"),"humillación")</f>
        <v>humillación</v>
      </c>
      <c r="B1374" s="1">
        <v>-3</v>
      </c>
      <c r="C1374" s="1" t="s">
        <v>1324</v>
      </c>
    </row>
    <row r="1375" spans="1:3" ht="12.75" x14ac:dyDescent="0.2">
      <c r="A1375" s="1" t="str">
        <f ca="1">IFERROR(__xludf.DUMMYFUNCTION("GOOGLETRANSLATE(C1324, ""en"", ""es"")"),"humillado")</f>
        <v>humillado</v>
      </c>
      <c r="B1375" s="1">
        <v>-3</v>
      </c>
      <c r="C1375" s="1" t="s">
        <v>1325</v>
      </c>
    </row>
    <row r="1376" spans="1:3" ht="12.75" x14ac:dyDescent="0.2">
      <c r="A1376" s="1" t="str">
        <f ca="1">IFERROR(__xludf.DUMMYFUNCTION("GOOGLETRANSLATE(C1325, ""en"", ""es"")"),"humor")</f>
        <v>humor</v>
      </c>
      <c r="B1376" s="1">
        <v>2</v>
      </c>
      <c r="C1376" s="1" t="s">
        <v>1326</v>
      </c>
    </row>
    <row r="1377" spans="1:3" ht="12.75" x14ac:dyDescent="0.2">
      <c r="A1377" s="1" t="str">
        <f ca="1">IFERROR(__xludf.DUMMYFUNCTION("GOOGLETRANSLATE(C1326, ""en"", ""es"")"),"humor")</f>
        <v>humor</v>
      </c>
      <c r="B1377" s="1">
        <v>2</v>
      </c>
      <c r="C1377" s="1" t="s">
        <v>1327</v>
      </c>
    </row>
    <row r="1378" spans="1:3" ht="12.75" x14ac:dyDescent="0.2">
      <c r="A1378" s="1" t="str">
        <f ca="1">IFERROR(__xludf.DUMMYFUNCTION("GOOGLETRANSLATE(C1327, ""en"", ""es"")"),"humorístico")</f>
        <v>humorístico</v>
      </c>
      <c r="B1378" s="1">
        <v>2</v>
      </c>
      <c r="C1378" s="1" t="s">
        <v>1328</v>
      </c>
    </row>
    <row r="1379" spans="1:3" ht="12.75" x14ac:dyDescent="0.2">
      <c r="A1379" s="1" t="str">
        <f ca="1">IFERROR(__xludf.DUMMYFUNCTION("GOOGLETRANSLATE(C1328, ""en"", ""es"")"),"Hurra")</f>
        <v>Hurra</v>
      </c>
      <c r="B1379" s="1">
        <v>5</v>
      </c>
      <c r="C1379" s="1" t="s">
        <v>1329</v>
      </c>
    </row>
    <row r="1380" spans="1:3" ht="12.75" x14ac:dyDescent="0.2">
      <c r="A1380" s="1" t="str">
        <f ca="1">IFERROR(__xludf.DUMMYFUNCTION("GOOGLETRANSLATE(C1331, ""en"", ""es"")"),"idiota")</f>
        <v>idiota</v>
      </c>
      <c r="B1380" s="1">
        <v>-3</v>
      </c>
      <c r="C1380" s="1" t="s">
        <v>1332</v>
      </c>
    </row>
    <row r="1381" spans="1:3" ht="12.75" x14ac:dyDescent="0.2">
      <c r="A1381" s="1" t="str">
        <f ca="1">IFERROR(__xludf.DUMMYFUNCTION("GOOGLETRANSLATE(C1344, ""en"", ""es"")"),"idiota")</f>
        <v>idiota</v>
      </c>
      <c r="B1381" s="1">
        <v>-3</v>
      </c>
      <c r="C1381" s="1" t="s">
        <v>1345</v>
      </c>
    </row>
    <row r="1382" spans="1:3" ht="12.75" x14ac:dyDescent="0.2">
      <c r="A1382" s="1" t="str">
        <f ca="1">IFERROR(__xludf.DUMMYFUNCTION("GOOGLETRANSLATE(C1333, ""en"", ""es"")"),"ignora")</f>
        <v>ignora</v>
      </c>
      <c r="B1382" s="1">
        <v>-1</v>
      </c>
      <c r="C1382" s="1" t="s">
        <v>1334</v>
      </c>
    </row>
    <row r="1383" spans="1:3" ht="12.75" x14ac:dyDescent="0.2">
      <c r="A1383" s="1" t="str">
        <f ca="1">IFERROR(__xludf.DUMMYFUNCTION("GOOGLETRANSLATE(C1334, ""en"", ""es"")"),"ignorado")</f>
        <v>ignorado</v>
      </c>
      <c r="B1383" s="1">
        <v>-2</v>
      </c>
      <c r="C1383" s="1" t="s">
        <v>1335</v>
      </c>
    </row>
    <row r="1384" spans="1:3" ht="12.75" x14ac:dyDescent="0.2">
      <c r="A1384" s="1" t="str">
        <f ca="1">IFERROR(__xludf.DUMMYFUNCTION("GOOGLETRANSLATE(C1335, ""en"", ""es"")"),"ignorado")</f>
        <v>ignorado</v>
      </c>
      <c r="B1384" s="1">
        <v>-2</v>
      </c>
      <c r="C1384" s="1" t="s">
        <v>1336</v>
      </c>
    </row>
    <row r="1385" spans="1:3" ht="12.75" x14ac:dyDescent="0.2">
      <c r="A1385" s="1" t="str">
        <f ca="1">IFERROR(__xludf.DUMMYFUNCTION("GOOGLETRANSLATE(C1336, ""en"", ""es"")"),"ignorancia")</f>
        <v>ignorancia</v>
      </c>
      <c r="B1385" s="1">
        <v>-2</v>
      </c>
      <c r="C1385" s="1" t="s">
        <v>1337</v>
      </c>
    </row>
    <row r="1386" spans="1:3" ht="12.75" x14ac:dyDescent="0.2">
      <c r="A1386" s="1" t="str">
        <f ca="1">IFERROR(__xludf.DUMMYFUNCTION("GOOGLETRANSLATE(C1337, ""en"", ""es"")"),"ignorante")</f>
        <v>ignorante</v>
      </c>
      <c r="B1386" s="1">
        <v>-2</v>
      </c>
      <c r="C1386" s="1" t="s">
        <v>1338</v>
      </c>
    </row>
    <row r="1387" spans="1:3" ht="12.75" x14ac:dyDescent="0.2">
      <c r="A1387" s="1" t="str">
        <f ca="1">IFERROR(__xludf.DUMMYFUNCTION("GOOGLETRANSLATE(C1338, ""en"", ""es"")"),"ignorar")</f>
        <v>ignorar</v>
      </c>
      <c r="B1387" s="1">
        <v>-1</v>
      </c>
      <c r="C1387" s="1" t="s">
        <v>1339</v>
      </c>
    </row>
    <row r="1388" spans="1:3" ht="12.75" x14ac:dyDescent="0.2">
      <c r="A1388" s="1" t="str">
        <f ca="1">IFERROR(__xludf.DUMMYFUNCTION("GOOGLETRANSLATE(C1339, ""en"", ""es"")"),"ilegal")</f>
        <v>ilegal</v>
      </c>
      <c r="B1388" s="1">
        <v>-3</v>
      </c>
      <c r="C1388" s="1" t="s">
        <v>1340</v>
      </c>
    </row>
    <row r="1389" spans="1:3" ht="12.75" x14ac:dyDescent="0.2">
      <c r="A1389" s="1" t="str">
        <f ca="1">IFERROR(__xludf.DUMMYFUNCTION("GOOGLETRANSLATE(C2478, ""en"", ""es"")"),"ilegítimo")</f>
        <v>ilegítimo</v>
      </c>
      <c r="B1389" s="1">
        <v>-3</v>
      </c>
      <c r="C1389" s="1" t="s">
        <v>2466</v>
      </c>
    </row>
    <row r="1390" spans="1:3" ht="12.75" x14ac:dyDescent="0.2">
      <c r="A1390" s="1" t="str">
        <f ca="1">IFERROR(__xludf.DUMMYFUNCTION("GOOGLETRANSLATE(C1340, ""en"", ""es"")"),"iluminar")</f>
        <v>iluminar</v>
      </c>
      <c r="B1390" s="1">
        <v>2</v>
      </c>
      <c r="C1390" s="1" t="s">
        <v>1341</v>
      </c>
    </row>
    <row r="1391" spans="1:3" ht="12.75" x14ac:dyDescent="0.2">
      <c r="A1391" s="1" t="str">
        <f ca="1">IFERROR(__xludf.DUMMYFUNCTION("GOOGLETRANSLATE(C1341, ""en"", ""es"")"),"iluminar")</f>
        <v>iluminar</v>
      </c>
      <c r="B1391" s="1">
        <v>2</v>
      </c>
      <c r="C1391" s="1" t="s">
        <v>1342</v>
      </c>
    </row>
    <row r="1392" spans="1:3" ht="12.75" x14ac:dyDescent="0.2">
      <c r="A1392" s="1" t="str">
        <f ca="1">IFERROR(__xludf.DUMMYFUNCTION("GOOGLETRANSLATE(C1342, ""en"", ""es"")"),"ilustrado")</f>
        <v>ilustrado</v>
      </c>
      <c r="B1392" s="1">
        <v>2</v>
      </c>
      <c r="C1392" s="1" t="s">
        <v>1343</v>
      </c>
    </row>
    <row r="1393" spans="1:3" ht="12.75" x14ac:dyDescent="0.2">
      <c r="A1393" s="1" t="str">
        <f ca="1">IFERROR(__xludf.DUMMYFUNCTION("GOOGLETRANSLATE(C404, ""en"", ""es"")"),"imbécil")</f>
        <v>imbécil</v>
      </c>
      <c r="B1393" s="1">
        <v>-3</v>
      </c>
      <c r="C1393" s="1" t="s">
        <v>404</v>
      </c>
    </row>
    <row r="1394" spans="1:3" ht="12.75" x14ac:dyDescent="0.2">
      <c r="A1394" s="1" t="str">
        <f ca="1">IFERROR(__xludf.DUMMYFUNCTION("GOOGLETRANSLATE(C1332, ""en"", ""es"")"),"imbécil")</f>
        <v>imbécil</v>
      </c>
      <c r="B1394" s="1">
        <v>-3</v>
      </c>
      <c r="C1394" s="1" t="s">
        <v>1333</v>
      </c>
    </row>
    <row r="1395" spans="1:3" ht="12.75" x14ac:dyDescent="0.2">
      <c r="A1395" s="1" t="str">
        <f ca="1">IFERROR(__xludf.DUMMYFUNCTION("GOOGLETRANSLATE(C1343, ""en"", ""es"")"),"imbécil")</f>
        <v>imbécil</v>
      </c>
      <c r="B1395" s="1">
        <v>-3</v>
      </c>
      <c r="C1395" s="1" t="s">
        <v>1344</v>
      </c>
    </row>
    <row r="1396" spans="1:3" ht="12.75" x14ac:dyDescent="0.2">
      <c r="A1396" s="1" t="str">
        <f ca="1">IFERROR(__xludf.DUMMYFUNCTION("GOOGLETRANSLATE(C1345, ""en"", ""es"")"),"imbécil")</f>
        <v>imbécil</v>
      </c>
      <c r="B1396" s="1">
        <v>-2</v>
      </c>
      <c r="C1396" s="1" t="s">
        <v>1346</v>
      </c>
    </row>
    <row r="1397" spans="1:3" ht="12.75" x14ac:dyDescent="0.2">
      <c r="A1397" s="1" t="str">
        <f ca="1">IFERROR(__xludf.DUMMYFUNCTION("GOOGLETRANSLATE(C1507, ""en"", ""es"")"),"imbéciles")</f>
        <v>imbéciles</v>
      </c>
      <c r="B1397" s="1">
        <v>-4</v>
      </c>
      <c r="C1397" s="1" t="s">
        <v>1508</v>
      </c>
    </row>
    <row r="1398" spans="1:3" ht="12.75" x14ac:dyDescent="0.2">
      <c r="A1398" s="1" t="str">
        <f ca="1">IFERROR(__xludf.DUMMYFUNCTION("GOOGLETRANSLATE(C397, ""en"", ""es"")"),"imitar")</f>
        <v>imitar</v>
      </c>
      <c r="B1398" s="1">
        <v>-2</v>
      </c>
      <c r="C1398" s="1" t="s">
        <v>397</v>
      </c>
    </row>
    <row r="1399" spans="1:3" ht="12.75" x14ac:dyDescent="0.2">
      <c r="A1399" s="1" t="str">
        <f ca="1">IFERROR(__xludf.DUMMYFUNCTION("GOOGLETRANSLATE(C1346, ""en"", ""es"")"),"impaciente")</f>
        <v>impaciente</v>
      </c>
      <c r="B1399" s="1">
        <v>-2</v>
      </c>
      <c r="C1399" s="1" t="s">
        <v>1347</v>
      </c>
    </row>
    <row r="1400" spans="1:3" ht="12.75" x14ac:dyDescent="0.2">
      <c r="A1400" s="1" t="str">
        <f ca="1">IFERROR(__xludf.DUMMYFUNCTION("GOOGLETRANSLATE(C473, ""en"", ""es"")"),"impactante")</f>
        <v>impactante</v>
      </c>
      <c r="B1400" s="1">
        <v>-2</v>
      </c>
      <c r="C1400" s="1" t="s">
        <v>473</v>
      </c>
    </row>
    <row r="1401" spans="1:3" ht="12.75" x14ac:dyDescent="0.2">
      <c r="A1401" s="1" t="str">
        <f ca="1">IFERROR(__xludf.DUMMYFUNCTION("GOOGLETRANSLATE(C1347, ""en"", ""es"")"),"impar")</f>
        <v>impar</v>
      </c>
      <c r="B1401" s="1">
        <v>-2</v>
      </c>
      <c r="C1401" s="1" t="s">
        <v>1348</v>
      </c>
    </row>
    <row r="1402" spans="1:3" ht="12.75" x14ac:dyDescent="0.2">
      <c r="A1402" s="1" t="str">
        <f ca="1">IFERROR(__xludf.DUMMYFUNCTION("GOOGLETRANSLATE(C1348, ""en"", ""es"")"),"Imparable")</f>
        <v>Imparable</v>
      </c>
      <c r="B1402" s="1">
        <v>2</v>
      </c>
      <c r="C1402" s="1" t="s">
        <v>1349</v>
      </c>
    </row>
    <row r="1403" spans="1:3" ht="12.75" x14ac:dyDescent="0.2">
      <c r="A1403" s="1" t="str">
        <f ca="1">IFERROR(__xludf.DUMMYFUNCTION("GOOGLETRANSLATE(C1349, ""en"", ""es"")"),"imparcial")</f>
        <v>imparcial</v>
      </c>
      <c r="B1403" s="1">
        <v>2</v>
      </c>
      <c r="C1403" s="1" t="s">
        <v>1350</v>
      </c>
    </row>
    <row r="1404" spans="1:3" ht="12.75" x14ac:dyDescent="0.2">
      <c r="A1404" s="1" t="str">
        <f ca="1">IFERROR(__xludf.DUMMYFUNCTION("GOOGLETRANSLATE(C1351, ""en"", ""es"")"),"imperfecto")</f>
        <v>imperfecto</v>
      </c>
      <c r="B1404" s="1">
        <v>-2</v>
      </c>
      <c r="C1404" s="1" t="s">
        <v>1352</v>
      </c>
    </row>
    <row r="1405" spans="1:3" ht="12.75" x14ac:dyDescent="0.2">
      <c r="A1405" s="1" t="str">
        <f ca="1">IFERROR(__xludf.DUMMYFUNCTION("GOOGLETRANSLATE(C1352, ""en"", ""es"")"),"impermeable")</f>
        <v>impermeable</v>
      </c>
      <c r="B1405" s="1">
        <v>2</v>
      </c>
      <c r="C1405" s="1" t="s">
        <v>1353</v>
      </c>
    </row>
    <row r="1406" spans="1:3" ht="12.75" x14ac:dyDescent="0.2">
      <c r="A1406" s="1" t="str">
        <f ca="1">IFERROR(__xludf.DUMMYFUNCTION("GOOGLETRANSLATE(C1353, ""en"", ""es"")"),"implacable")</f>
        <v>implacable</v>
      </c>
      <c r="B1406" s="1">
        <v>-1</v>
      </c>
      <c r="C1406" s="1" t="s">
        <v>1354</v>
      </c>
    </row>
    <row r="1407" spans="1:3" ht="12.75" x14ac:dyDescent="0.2">
      <c r="A1407" s="1" t="str">
        <f ca="1">IFERROR(__xludf.DUMMYFUNCTION("GOOGLETRANSLATE(C1355, ""en"", ""es"")"),"imponente")</f>
        <v>imponente</v>
      </c>
      <c r="B1407" s="1">
        <v>-1</v>
      </c>
      <c r="C1407" s="1" t="s">
        <v>1356</v>
      </c>
    </row>
    <row r="1408" spans="1:3" ht="12.75" x14ac:dyDescent="0.2">
      <c r="A1408" s="1" t="str">
        <f ca="1">IFERROR(__xludf.DUMMYFUNCTION("GOOGLETRANSLATE(C1354, ""en"", ""es"")"),"imponer")</f>
        <v>imponer</v>
      </c>
      <c r="B1408" s="1">
        <v>-1</v>
      </c>
      <c r="C1408" s="1" t="s">
        <v>1355</v>
      </c>
    </row>
    <row r="1409" spans="1:3" ht="12.75" x14ac:dyDescent="0.2">
      <c r="A1409" s="1" t="str">
        <f ca="1">IFERROR(__xludf.DUMMYFUNCTION("GOOGLETRANSLATE(C1356, ""en"", ""es"")"),"imponer")</f>
        <v>imponer</v>
      </c>
      <c r="B1409" s="1">
        <v>-1</v>
      </c>
      <c r="C1409" s="1" t="s">
        <v>1357</v>
      </c>
    </row>
    <row r="1410" spans="1:3" ht="12.75" x14ac:dyDescent="0.2">
      <c r="A1410" s="1" t="str">
        <f ca="1">IFERROR(__xludf.DUMMYFUNCTION("GOOGLETRANSLATE(C1357, ""en"", ""es"")"),"importancia")</f>
        <v>importancia</v>
      </c>
      <c r="B1410" s="1">
        <v>2</v>
      </c>
      <c r="C1410" s="1" t="s">
        <v>1358</v>
      </c>
    </row>
    <row r="1411" spans="1:3" ht="12.75" x14ac:dyDescent="0.2">
      <c r="A1411" s="1" t="str">
        <f ca="1">IFERROR(__xludf.DUMMYFUNCTION("GOOGLETRANSLATE(C1358, ""en"", ""es"")"),"importante")</f>
        <v>importante</v>
      </c>
      <c r="B1411" s="1">
        <v>2</v>
      </c>
      <c r="C1411" s="1" t="s">
        <v>1359</v>
      </c>
    </row>
    <row r="1412" spans="1:3" ht="12.75" x14ac:dyDescent="0.2">
      <c r="A1412" s="1" t="str">
        <f ca="1">IFERROR(__xludf.DUMMYFUNCTION("GOOGLETRANSLATE(C2199, ""en"", ""es"")"),"importante")</f>
        <v>importante</v>
      </c>
      <c r="B1412" s="1">
        <v>1</v>
      </c>
      <c r="C1412" s="1" t="s">
        <v>2195</v>
      </c>
    </row>
    <row r="1413" spans="1:3" ht="12.75" x14ac:dyDescent="0.2">
      <c r="A1413" s="1" t="str">
        <f ca="1">IFERROR(__xludf.DUMMYFUNCTION("GOOGLETRANSLATE(C1360, ""en"", ""es"")"),"impotente")</f>
        <v>impotente</v>
      </c>
      <c r="B1413" s="1">
        <v>-2</v>
      </c>
      <c r="C1413" s="1" t="s">
        <v>1361</v>
      </c>
    </row>
    <row r="1414" spans="1:3" ht="12.75" x14ac:dyDescent="0.2">
      <c r="A1414" s="1" t="str">
        <f ca="1">IFERROR(__xludf.DUMMYFUNCTION("GOOGLETRANSLATE(C1361, ""en"", ""es"")"),"impotente")</f>
        <v>impotente</v>
      </c>
      <c r="B1414" s="1">
        <v>-2</v>
      </c>
      <c r="C1414" s="1" t="s">
        <v>1362</v>
      </c>
    </row>
    <row r="1415" spans="1:3" ht="12.75" x14ac:dyDescent="0.2">
      <c r="A1415" s="1" t="str">
        <f ca="1">IFERROR(__xludf.DUMMYFUNCTION("GOOGLETRANSLATE(C2402, ""en"", ""es"")"),"impreciso")</f>
        <v>impreciso</v>
      </c>
      <c r="B1415" s="1">
        <v>-2</v>
      </c>
      <c r="C1415" s="1" t="s">
        <v>2398</v>
      </c>
    </row>
    <row r="1416" spans="1:3" ht="12.75" x14ac:dyDescent="0.2">
      <c r="A1416" s="1" t="str">
        <f ca="1">IFERROR(__xludf.DUMMYFUNCTION("GOOGLETRANSLATE(C1362, ""en"", ""es"")"),"impresión")</f>
        <v>impresión</v>
      </c>
      <c r="B1416" s="1">
        <v>3</v>
      </c>
      <c r="C1416" s="1" t="s">
        <v>1363</v>
      </c>
    </row>
    <row r="1417" spans="1:3" ht="12.75" x14ac:dyDescent="0.2">
      <c r="A1417" s="1" t="str">
        <f ca="1">IFERROR(__xludf.DUMMYFUNCTION("GOOGLETRANSLATE(C1363, ""en"", ""es"")"),"impresionado")</f>
        <v>impresionado</v>
      </c>
      <c r="B1417" s="1">
        <v>3</v>
      </c>
      <c r="C1417" s="1" t="s">
        <v>1364</v>
      </c>
    </row>
    <row r="1418" spans="1:3" ht="12.75" x14ac:dyDescent="0.2">
      <c r="A1418" s="1" t="str">
        <f ca="1">IFERROR(__xludf.DUMMYFUNCTION("GOOGLETRANSLATE(C283, ""en"", ""es"")"),"Impresionante")</f>
        <v>Impresionante</v>
      </c>
      <c r="B1418" s="1">
        <v>4</v>
      </c>
      <c r="C1418" s="1" t="s">
        <v>283</v>
      </c>
    </row>
    <row r="1419" spans="1:3" ht="12.75" x14ac:dyDescent="0.2">
      <c r="A1419" s="1" t="str">
        <f ca="1">IFERROR(__xludf.DUMMYFUNCTION("GOOGLETRANSLATE(C1365, ""en"", ""es"")"),"impresionante")</f>
        <v>impresionante</v>
      </c>
      <c r="B1419" s="1">
        <v>3</v>
      </c>
      <c r="C1419" s="1" t="s">
        <v>1366</v>
      </c>
    </row>
    <row r="1420" spans="1:3" ht="12.75" x14ac:dyDescent="0.2">
      <c r="A1420" s="1" t="str">
        <f ca="1">IFERROR(__xludf.DUMMYFUNCTION("GOOGLETRANSLATE(C1639, ""en"", ""es"")"),"impresionante")</f>
        <v>impresionante</v>
      </c>
      <c r="B1420" s="1">
        <v>4</v>
      </c>
      <c r="C1420" s="1" t="s">
        <v>1637</v>
      </c>
    </row>
    <row r="1421" spans="1:3" ht="12.75" x14ac:dyDescent="0.2">
      <c r="A1421" s="1" t="str">
        <f ca="1">IFERROR(__xludf.DUMMYFUNCTION("GOOGLETRANSLATE(C2141, ""en"", ""es"")"),"impresionante")</f>
        <v>impresionante</v>
      </c>
      <c r="B1421" s="1">
        <v>-3</v>
      </c>
      <c r="C1421" s="1" t="s">
        <v>2139</v>
      </c>
    </row>
    <row r="1422" spans="1:3" ht="12.75" x14ac:dyDescent="0.2">
      <c r="A1422" s="1" t="str">
        <f ca="1">IFERROR(__xludf.DUMMYFUNCTION("GOOGLETRANSLATE(C1366, ""en"", ""es"")"),"impresionar")</f>
        <v>impresionar</v>
      </c>
      <c r="B1422" s="1">
        <v>3</v>
      </c>
      <c r="C1422" s="1" t="s">
        <v>1367</v>
      </c>
    </row>
    <row r="1423" spans="1:3" ht="12.75" x14ac:dyDescent="0.2">
      <c r="A1423" s="1" t="str">
        <f ca="1">IFERROR(__xludf.DUMMYFUNCTION("GOOGLETRANSLATE(C2480, ""en"", ""es"")"),"improvisador")</f>
        <v>improvisador</v>
      </c>
      <c r="B1423" s="1">
        <v>-3</v>
      </c>
      <c r="C1423" s="1" t="s">
        <v>2467</v>
      </c>
    </row>
    <row r="1424" spans="1:3" ht="12.75" x14ac:dyDescent="0.2">
      <c r="A1424" s="1" t="str">
        <f ca="1">IFERROR(__xludf.DUMMYFUNCTION("GOOGLETRANSLATE(C2308, ""en"", ""es"")"),"imprudente")</f>
        <v>imprudente</v>
      </c>
      <c r="B1424" s="1">
        <v>-2</v>
      </c>
      <c r="C1424" s="1" t="s">
        <v>2304</v>
      </c>
    </row>
    <row r="1425" spans="1:3" ht="12.75" x14ac:dyDescent="0.2">
      <c r="A1425" s="1" t="str">
        <f ca="1">IFERROR(__xludf.DUMMYFUNCTION("GOOGLETRANSLATE(C1368, ""en"", ""es"")"),"impulsado")</f>
        <v>impulsado</v>
      </c>
      <c r="B1425" s="1">
        <v>1</v>
      </c>
      <c r="C1425" s="1" t="s">
        <v>1369</v>
      </c>
    </row>
    <row r="1426" spans="1:3" ht="12.75" x14ac:dyDescent="0.2">
      <c r="A1426" s="1" t="str">
        <f ca="1">IFERROR(__xludf.DUMMYFUNCTION("GOOGLETRANSLATE(C322, ""en"", ""es"")"),"impulso")</f>
        <v>impulso</v>
      </c>
      <c r="B1426" s="1">
        <v>1</v>
      </c>
      <c r="C1426" s="1" t="s">
        <v>322</v>
      </c>
    </row>
    <row r="1427" spans="1:3" ht="12.75" x14ac:dyDescent="0.2">
      <c r="A1427" s="1" t="str">
        <f ca="1">IFERROR(__xludf.DUMMYFUNCTION("GOOGLETRANSLATE(C1369, ""en"", ""es"")"),"impulso")</f>
        <v>impulso</v>
      </c>
      <c r="B1427" s="1">
        <v>1</v>
      </c>
      <c r="C1427" s="1" t="s">
        <v>1370</v>
      </c>
    </row>
    <row r="1428" spans="1:3" ht="12.75" x14ac:dyDescent="0.2">
      <c r="A1428" s="1" t="str">
        <f ca="1">IFERROR(__xludf.DUMMYFUNCTION("GOOGLETRANSLATE(C1367, ""en"", ""es"")"),"impuso")</f>
        <v>impuso</v>
      </c>
      <c r="B1428" s="1">
        <v>-1</v>
      </c>
      <c r="C1428" s="1" t="s">
        <v>1368</v>
      </c>
    </row>
    <row r="1429" spans="1:3" ht="12.75" x14ac:dyDescent="0.2">
      <c r="A1429" s="1" t="str">
        <f ca="1">IFERROR(__xludf.DUMMYFUNCTION("GOOGLETRANSLATE(C1371, ""en"", ""es"")"),"inaceptable")</f>
        <v>inaceptable</v>
      </c>
      <c r="B1429" s="1">
        <v>-2</v>
      </c>
      <c r="C1429" s="1" t="s">
        <v>1372</v>
      </c>
    </row>
    <row r="1430" spans="1:3" ht="12.75" x14ac:dyDescent="0.2">
      <c r="A1430" s="1" t="str">
        <f ca="1">IFERROR(__xludf.DUMMYFUNCTION("GOOGLETRANSLATE(C1372, ""en"", ""es"")"),"inadecuado")</f>
        <v>inadecuado</v>
      </c>
      <c r="B1430" s="1">
        <v>-2</v>
      </c>
      <c r="C1430" s="1" t="s">
        <v>1373</v>
      </c>
    </row>
    <row r="1431" spans="1:3" ht="12.75" x14ac:dyDescent="0.2">
      <c r="A1431" s="1" t="str">
        <f ca="1">IFERROR(__xludf.DUMMYFUNCTION("GOOGLETRANSLATE(C1373, ""en"", ""es"")"),"incapacidad")</f>
        <v>incapacidad</v>
      </c>
      <c r="B1431" s="1">
        <v>-2</v>
      </c>
      <c r="C1431" s="1" t="s">
        <v>1374</v>
      </c>
    </row>
    <row r="1432" spans="1:3" ht="12.75" x14ac:dyDescent="0.2">
      <c r="A1432" s="1" t="str">
        <f ca="1">IFERROR(__xludf.DUMMYFUNCTION("GOOGLETRANSLATE(C1374, ""en"", ""es"")"),"incapacitado")</f>
        <v>incapacitado</v>
      </c>
      <c r="B1432" s="1">
        <v>-2</v>
      </c>
      <c r="C1432" s="1" t="s">
        <v>1375</v>
      </c>
    </row>
    <row r="1433" spans="1:3" ht="12.75" x14ac:dyDescent="0.2">
      <c r="A1433" s="1" t="str">
        <f ca="1">IFERROR(__xludf.DUMMYFUNCTION("GOOGLETRANSLATE(C1375, ""en"", ""es"")"),"incapacitante")</f>
        <v>incapacitante</v>
      </c>
      <c r="B1433" s="1">
        <v>-1</v>
      </c>
      <c r="C1433" s="1" t="s">
        <v>1376</v>
      </c>
    </row>
    <row r="1434" spans="1:3" ht="12.75" x14ac:dyDescent="0.2">
      <c r="A1434" s="1" t="str">
        <f ca="1">IFERROR(__xludf.DUMMYFUNCTION("GOOGLETRANSLATE(C1376, ""en"", ""es"")"),"incapaz")</f>
        <v>incapaz</v>
      </c>
      <c r="B1434" s="1">
        <v>-2</v>
      </c>
      <c r="C1434" s="1" t="s">
        <v>1377</v>
      </c>
    </row>
    <row r="1435" spans="1:3" ht="12.75" x14ac:dyDescent="0.2">
      <c r="A1435" s="1" t="str">
        <f ca="1">IFERROR(__xludf.DUMMYFUNCTION("GOOGLETRANSLATE(C1377, ""en"", ""es"")"),"incierto")</f>
        <v>incierto</v>
      </c>
      <c r="B1435" s="1">
        <v>-1</v>
      </c>
      <c r="C1435" s="1" t="s">
        <v>1378</v>
      </c>
    </row>
    <row r="1436" spans="1:3" ht="12.75" x14ac:dyDescent="0.2">
      <c r="A1436" s="1" t="str">
        <f ca="1">IFERROR(__xludf.DUMMYFUNCTION("GOOGLETRANSLATE(C1378, ""en"", ""es"")"),"incómodo")</f>
        <v>incómodo</v>
      </c>
      <c r="B1436" s="1">
        <v>-2</v>
      </c>
      <c r="C1436" s="1" t="s">
        <v>1379</v>
      </c>
    </row>
    <row r="1437" spans="1:3" ht="12.75" x14ac:dyDescent="0.2">
      <c r="A1437" s="1" t="str">
        <f ca="1">IFERROR(__xludf.DUMMYFUNCTION("GOOGLETRANSLATE(C1379, ""en"", ""es"")"),"incompetencia")</f>
        <v>incompetencia</v>
      </c>
      <c r="B1437" s="1">
        <v>-2</v>
      </c>
      <c r="C1437" s="1" t="s">
        <v>1380</v>
      </c>
    </row>
    <row r="1438" spans="1:3" ht="12.75" x14ac:dyDescent="0.2">
      <c r="A1438" s="1" t="str">
        <f ca="1">IFERROR(__xludf.DUMMYFUNCTION("GOOGLETRANSLATE(C1380, ""en"", ""es"")"),"incompetente")</f>
        <v>incompetente</v>
      </c>
      <c r="B1438" s="1">
        <v>-2</v>
      </c>
      <c r="C1438" s="1" t="s">
        <v>1381</v>
      </c>
    </row>
    <row r="1439" spans="1:3" ht="12.75" x14ac:dyDescent="0.2">
      <c r="A1439" s="1" t="str">
        <f ca="1">IFERROR(__xludf.DUMMYFUNCTION("GOOGLETRANSLATE(C1381, ""en"", ""es"")"),"incomprendido")</f>
        <v>incomprendido</v>
      </c>
      <c r="B1439" s="1">
        <v>-2</v>
      </c>
      <c r="C1439" s="1" t="s">
        <v>1382</v>
      </c>
    </row>
    <row r="1440" spans="1:3" ht="12.75" x14ac:dyDescent="0.2">
      <c r="A1440" s="1" t="str">
        <f ca="1">IFERROR(__xludf.DUMMYFUNCTION("GOOGLETRANSLATE(C1382, ""en"", ""es"")"),"inconexo")</f>
        <v>inconexo</v>
      </c>
      <c r="B1440" s="1">
        <v>-2</v>
      </c>
      <c r="C1440" s="1" t="s">
        <v>1383</v>
      </c>
    </row>
    <row r="1441" spans="1:3" ht="12.75" x14ac:dyDescent="0.2">
      <c r="A1441" s="1" t="str">
        <f ca="1">IFERROR(__xludf.DUMMYFUNCTION("GOOGLETRANSLATE(C1383, ""en"", ""es"")"),"inconfirmado")</f>
        <v>inconfirmado</v>
      </c>
      <c r="B1441" s="1">
        <v>-1</v>
      </c>
      <c r="C1441" s="1" t="s">
        <v>1384</v>
      </c>
    </row>
    <row r="1442" spans="1:3" ht="12.75" x14ac:dyDescent="0.2">
      <c r="A1442" s="1" t="str">
        <f ca="1">IFERROR(__xludf.DUMMYFUNCTION("GOOGLETRANSLATE(C1384, ""en"", ""es"")"),"inconsciente")</f>
        <v>inconsciente</v>
      </c>
      <c r="B1442" s="1">
        <v>-2</v>
      </c>
      <c r="C1442" s="1" t="s">
        <v>1385</v>
      </c>
    </row>
    <row r="1443" spans="1:3" ht="12.75" x14ac:dyDescent="0.2">
      <c r="A1443" s="1" t="str">
        <f ca="1">IFERROR(__xludf.DUMMYFUNCTION("GOOGLETRANSLATE(C1385, ""en"", ""es"")"),"inconveniencia")</f>
        <v>inconveniencia</v>
      </c>
      <c r="B1443" s="1">
        <v>-2</v>
      </c>
      <c r="C1443" s="1" t="s">
        <v>1386</v>
      </c>
    </row>
    <row r="1444" spans="1:3" ht="12.75" x14ac:dyDescent="0.2">
      <c r="A1444" s="1" t="str">
        <f ca="1">IFERROR(__xludf.DUMMYFUNCTION("GOOGLETRANSLATE(C1386, ""en"", ""es"")"),"inconveniente")</f>
        <v>inconveniente</v>
      </c>
      <c r="B1444" s="1">
        <v>-2</v>
      </c>
      <c r="C1444" s="1" t="s">
        <v>1387</v>
      </c>
    </row>
    <row r="1445" spans="1:3" ht="12.75" x14ac:dyDescent="0.2">
      <c r="A1445" s="1" t="str">
        <f ca="1">IFERROR(__xludf.DUMMYFUNCTION("GOOGLETRANSLATE(C1388, ""en"", ""es"")"),"incrédulo")</f>
        <v>incrédulo</v>
      </c>
      <c r="B1445" s="1">
        <v>-1</v>
      </c>
      <c r="C1445" s="1" t="s">
        <v>1389</v>
      </c>
    </row>
    <row r="1446" spans="1:3" ht="12.75" x14ac:dyDescent="0.2">
      <c r="A1446" s="1" t="str">
        <f ca="1">IFERROR(__xludf.DUMMYFUNCTION("GOOGLETRANSLATE(C1389, ""en"", ""es"")"),"increíble")</f>
        <v>increíble</v>
      </c>
      <c r="B1446" s="1">
        <v>4</v>
      </c>
      <c r="C1446" s="1" t="s">
        <v>1390</v>
      </c>
    </row>
    <row r="1447" spans="1:3" ht="12.75" x14ac:dyDescent="0.2">
      <c r="A1447" s="1" t="str">
        <f ca="1">IFERROR(__xludf.DUMMYFUNCTION("GOOGLETRANSLATE(C1390, ""en"", ""es"")"),"increíble")</f>
        <v>increíble</v>
      </c>
      <c r="B1447" s="1">
        <v>-1</v>
      </c>
      <c r="C1447" s="1" t="s">
        <v>1391</v>
      </c>
    </row>
    <row r="1448" spans="1:3" ht="12.75" x14ac:dyDescent="0.2">
      <c r="A1448" s="1" t="str">
        <f ca="1">IFERROR(__xludf.DUMMYFUNCTION("GOOGLETRANSLATE(C1391, ""en"", ""es"")"),"incrementar")</f>
        <v>incrementar</v>
      </c>
      <c r="B1448" s="1">
        <v>1</v>
      </c>
      <c r="C1448" s="1" t="s">
        <v>1392</v>
      </c>
    </row>
    <row r="1449" spans="1:3" ht="12.75" x14ac:dyDescent="0.2">
      <c r="A1449" s="1" t="str">
        <f ca="1">IFERROR(__xludf.DUMMYFUNCTION("GOOGLETRANSLATE(C1392, ""en"", ""es"")"),"incumplido")</f>
        <v>incumplido</v>
      </c>
      <c r="B1449" s="1">
        <v>-2</v>
      </c>
      <c r="C1449" s="1" t="s">
        <v>1393</v>
      </c>
    </row>
    <row r="1450" spans="1:3" ht="12.75" x14ac:dyDescent="0.2">
      <c r="A1450" s="1" t="str">
        <f ca="1">IFERROR(__xludf.DUMMYFUNCTION("GOOGLETRANSLATE(C1393, ""en"", ""es"")"),"indeciso")</f>
        <v>indeciso</v>
      </c>
      <c r="B1450" s="1">
        <v>-2</v>
      </c>
      <c r="C1450" s="1" t="s">
        <v>1394</v>
      </c>
    </row>
    <row r="1451" spans="1:3" ht="12.75" x14ac:dyDescent="0.2">
      <c r="A1451" s="1" t="str">
        <f ca="1">IFERROR(__xludf.DUMMYFUNCTION("GOOGLETRANSLATE(C1394, ""en"", ""es"")"),"indeciso")</f>
        <v>indeciso</v>
      </c>
      <c r="B1451" s="1">
        <v>-1</v>
      </c>
      <c r="C1451" s="1" t="s">
        <v>1395</v>
      </c>
    </row>
    <row r="1452" spans="1:3" ht="12.75" x14ac:dyDescent="0.2">
      <c r="A1452" s="1" t="str">
        <f ca="1">IFERROR(__xludf.DUMMYFUNCTION("GOOGLETRANSLATE(C1395, ""en"", ""es"")"),"indefenso")</f>
        <v>indefenso</v>
      </c>
      <c r="B1452" s="1">
        <v>-2</v>
      </c>
      <c r="C1452" s="1" t="s">
        <v>1396</v>
      </c>
    </row>
    <row r="1453" spans="1:3" ht="12.75" x14ac:dyDescent="0.2">
      <c r="A1453" s="1" t="str">
        <f ca="1">IFERROR(__xludf.DUMMYFUNCTION("GOOGLETRANSLATE(C1396, ""en"", ""es"")"),"indefenso")</f>
        <v>indefenso</v>
      </c>
      <c r="B1453" s="1">
        <v>-2</v>
      </c>
      <c r="C1453" s="1" t="s">
        <v>1397</v>
      </c>
    </row>
    <row r="1454" spans="1:3" ht="12.75" x14ac:dyDescent="0.2">
      <c r="A1454" s="1" t="str">
        <f ca="1">IFERROR(__xludf.DUMMYFUNCTION("GOOGLETRANSLATE(C1397, ""en"", ""es"")"),"indeseable")</f>
        <v>indeseable</v>
      </c>
      <c r="B1454" s="1">
        <v>-2</v>
      </c>
      <c r="C1454" s="1" t="s">
        <v>1398</v>
      </c>
    </row>
    <row r="1455" spans="1:3" ht="12.75" x14ac:dyDescent="0.2">
      <c r="A1455" s="1" t="str">
        <f ca="1">IFERROR(__xludf.DUMMYFUNCTION("GOOGLETRANSLATE(C1398, ""en"", ""es"")"),"indestructible")</f>
        <v>indestructible</v>
      </c>
      <c r="B1455" s="1">
        <v>2</v>
      </c>
      <c r="C1455" s="1" t="s">
        <v>1399</v>
      </c>
    </row>
    <row r="1456" spans="1:3" ht="12.75" x14ac:dyDescent="0.2">
      <c r="A1456" s="1" t="str">
        <f ca="1">IFERROR(__xludf.DUMMYFUNCTION("GOOGLETRANSLATE(C65, ""en"", ""es"")"),"indicador")</f>
        <v>indicador</v>
      </c>
      <c r="B1456" s="1">
        <v>-2</v>
      </c>
      <c r="C1456" s="1" t="s">
        <v>65</v>
      </c>
    </row>
    <row r="1457" spans="1:3" ht="12.75" x14ac:dyDescent="0.2">
      <c r="A1457" s="1" t="str">
        <f ca="1">IFERROR(__xludf.DUMMYFUNCTION("GOOGLETRANSLATE(C1399, ""en"", ""es"")"),"indiferencia")</f>
        <v>indiferencia</v>
      </c>
      <c r="B1457" s="1">
        <v>-2</v>
      </c>
      <c r="C1457" s="1" t="s">
        <v>1400</v>
      </c>
    </row>
    <row r="1458" spans="1:3" ht="12.75" x14ac:dyDescent="0.2">
      <c r="A1458" s="1" t="str">
        <f ca="1">IFERROR(__xludf.DUMMYFUNCTION("GOOGLETRANSLATE(C1400, ""en"", ""es"")"),"indiferencia")</f>
        <v>indiferencia</v>
      </c>
      <c r="B1458" s="1">
        <v>-2</v>
      </c>
      <c r="C1458" s="1" t="s">
        <v>1401</v>
      </c>
    </row>
    <row r="1459" spans="1:3" ht="12.75" x14ac:dyDescent="0.2">
      <c r="A1459" s="1" t="str">
        <f ca="1">IFERROR(__xludf.DUMMYFUNCTION("GOOGLETRANSLATE(C1401, ""en"", ""es"")"),"indiferente")</f>
        <v>indiferente</v>
      </c>
      <c r="B1459" s="1">
        <v>-2</v>
      </c>
      <c r="C1459" s="1" t="s">
        <v>1402</v>
      </c>
    </row>
    <row r="1460" spans="1:3" ht="12.75" x14ac:dyDescent="0.2">
      <c r="A1460" s="1" t="str">
        <f ca="1">IFERROR(__xludf.DUMMYFUNCTION("GOOGLETRANSLATE(C318, ""en"", ""es"")"),"Indignacion")</f>
        <v>Indignacion</v>
      </c>
      <c r="B1460" s="1">
        <v>-3</v>
      </c>
      <c r="C1460" s="1" t="s">
        <v>318</v>
      </c>
    </row>
    <row r="1461" spans="1:3" ht="12.75" x14ac:dyDescent="0.2">
      <c r="A1461" s="1" t="str">
        <f ca="1">IFERROR(__xludf.DUMMYFUNCTION("GOOGLETRANSLATE(C1402, ""en"", ""es"")"),"indignación")</f>
        <v>indignación</v>
      </c>
      <c r="B1461" s="1">
        <v>-2</v>
      </c>
      <c r="C1461" s="1" t="s">
        <v>1403</v>
      </c>
    </row>
    <row r="1462" spans="1:3" ht="12.75" x14ac:dyDescent="0.2">
      <c r="A1462" s="1" t="str">
        <f ca="1">IFERROR(__xludf.DUMMYFUNCTION("GOOGLETRANSLATE(C1403, ""en"", ""es"")"),"indignado")</f>
        <v>indignado</v>
      </c>
      <c r="B1462" s="1">
        <v>-2</v>
      </c>
      <c r="C1462" s="1" t="s">
        <v>1404</v>
      </c>
    </row>
    <row r="1463" spans="1:3" ht="12.75" x14ac:dyDescent="0.2">
      <c r="A1463" s="1" t="str">
        <f ca="1">IFERROR(__xludf.DUMMYFUNCTION("GOOGLETRANSLATE(C1404, ""en"", ""es"")"),"indignado")</f>
        <v>indignado</v>
      </c>
      <c r="B1463" s="1">
        <v>-2</v>
      </c>
      <c r="C1463" s="1" t="s">
        <v>1405</v>
      </c>
    </row>
    <row r="1464" spans="1:3" ht="12.75" x14ac:dyDescent="0.2">
      <c r="A1464" s="1" t="str">
        <f ca="1">IFERROR(__xludf.DUMMYFUNCTION("GOOGLETRANSLATE(C1405, ""en"", ""es"")"),"indignado")</f>
        <v>indignado</v>
      </c>
      <c r="B1464" s="1">
        <v>-3</v>
      </c>
      <c r="C1464" s="1" t="s">
        <v>1406</v>
      </c>
    </row>
    <row r="1465" spans="1:3" ht="12.75" x14ac:dyDescent="0.2">
      <c r="A1465" s="1" t="str">
        <f ca="1">IFERROR(__xludf.DUMMYFUNCTION("GOOGLETRANSLATE(C1406, ""en"", ""es"")"),"indigno de")</f>
        <v>indigno de</v>
      </c>
      <c r="B1465" s="1">
        <v>-2</v>
      </c>
      <c r="C1465" s="1" t="s">
        <v>1407</v>
      </c>
    </row>
    <row r="1466" spans="1:3" ht="12.75" x14ac:dyDescent="0.2">
      <c r="A1466" s="1" t="str">
        <f ca="1">IFERROR(__xludf.DUMMYFUNCTION("GOOGLETRANSLATE(C1409, ""en"", ""es"")"),"indulgencia")</f>
        <v>indulgencia</v>
      </c>
      <c r="B1466" s="1">
        <v>2</v>
      </c>
      <c r="C1466" s="1" t="s">
        <v>1410</v>
      </c>
    </row>
    <row r="1467" spans="1:3" ht="12.75" x14ac:dyDescent="0.2">
      <c r="A1467" s="1" t="str">
        <f ca="1">IFERROR(__xludf.DUMMYFUNCTION("GOOGLETRANSLATE(C1407, ""en"", ""es"")"),"indulgente")</f>
        <v>indulgente</v>
      </c>
      <c r="B1467" s="1">
        <v>1</v>
      </c>
      <c r="C1467" s="1" t="s">
        <v>1408</v>
      </c>
    </row>
    <row r="1468" spans="1:3" ht="12.75" x14ac:dyDescent="0.2">
      <c r="A1468" s="1" t="str">
        <f ca="1">IFERROR(__xludf.DUMMYFUNCTION("GOOGLETRANSLATE(C1408, ""en"", ""es"")"),"indulgente")</f>
        <v>indulgente</v>
      </c>
      <c r="B1468" s="1">
        <v>1</v>
      </c>
      <c r="C1468" s="1" t="s">
        <v>1409</v>
      </c>
    </row>
    <row r="1469" spans="1:3" ht="12.75" x14ac:dyDescent="0.2">
      <c r="A1469" s="1" t="str">
        <f ca="1">IFERROR(__xludf.DUMMYFUNCTION("GOOGLETRANSLATE(C1880, ""en"", ""es"")"),"indulto")</f>
        <v>indulto</v>
      </c>
      <c r="B1469" s="1">
        <v>2</v>
      </c>
      <c r="C1469" s="1" t="s">
        <v>1878</v>
      </c>
    </row>
    <row r="1470" spans="1:3" ht="12.75" x14ac:dyDescent="0.2">
      <c r="A1470" s="1" t="str">
        <f ca="1">IFERROR(__xludf.DUMMYFUNCTION("GOOGLETRANSLATE(C1410, ""en"", ""es"")"),"ineficaz")</f>
        <v>ineficaz</v>
      </c>
      <c r="B1470" s="1">
        <v>-2</v>
      </c>
      <c r="C1470" s="1" t="s">
        <v>1411</v>
      </c>
    </row>
    <row r="1471" spans="1:3" ht="12.75" x14ac:dyDescent="0.2">
      <c r="A1471" s="1" t="str">
        <f ca="1">IFERROR(__xludf.DUMMYFUNCTION("GOOGLETRANSLATE(C1411, ""en"", ""es"")"),"ineficazmente")</f>
        <v>ineficazmente</v>
      </c>
      <c r="B1471" s="1">
        <v>-2</v>
      </c>
      <c r="C1471" s="1" t="s">
        <v>1412</v>
      </c>
    </row>
    <row r="1472" spans="1:3" ht="12.75" x14ac:dyDescent="0.2">
      <c r="A1472" s="1" t="str">
        <f ca="1">IFERROR(__xludf.DUMMYFUNCTION("GOOGLETRANSLATE(C1412, ""en"", ""es"")"),"inestable")</f>
        <v>inestable</v>
      </c>
      <c r="B1472" s="1">
        <v>-1</v>
      </c>
      <c r="C1472" s="1" t="s">
        <v>1413</v>
      </c>
    </row>
    <row r="1473" spans="1:3" ht="12.75" x14ac:dyDescent="0.2">
      <c r="A1473" s="1" t="str">
        <f ca="1">IFERROR(__xludf.DUMMYFUNCTION("GOOGLETRANSLATE(C1413, ""en"", ""es"")"),"inestable")</f>
        <v>inestable</v>
      </c>
      <c r="B1473" s="1">
        <v>-2</v>
      </c>
      <c r="C1473" s="1" t="s">
        <v>1414</v>
      </c>
    </row>
    <row r="1474" spans="1:3" ht="12.75" x14ac:dyDescent="0.2">
      <c r="A1474" s="1" t="str">
        <f ca="1">IFERROR(__xludf.DUMMYFUNCTION("GOOGLETRANSLATE(C1414, ""en"", ""es"")"),"infantil")</f>
        <v>infantil</v>
      </c>
      <c r="B1474" s="1">
        <v>-2</v>
      </c>
      <c r="C1474" s="1" t="s">
        <v>1415</v>
      </c>
    </row>
    <row r="1475" spans="1:3" ht="12.75" x14ac:dyDescent="0.2">
      <c r="A1475" s="1" t="str">
        <f ca="1">IFERROR(__xludf.DUMMYFUNCTION("GOOGLETRANSLATE(C1416, ""en"", ""es"")"),"infectado")</f>
        <v>infectado</v>
      </c>
      <c r="B1475" s="1">
        <v>-2</v>
      </c>
      <c r="C1475" s="1" t="s">
        <v>1417</v>
      </c>
    </row>
    <row r="1476" spans="1:3" ht="12.75" x14ac:dyDescent="0.2">
      <c r="A1476" s="1" t="str">
        <f ca="1">IFERROR(__xludf.DUMMYFUNCTION("GOOGLETRANSLATE(C1417, ""en"", ""es"")"),"infeliz")</f>
        <v>infeliz</v>
      </c>
      <c r="B1476" s="1">
        <v>-2</v>
      </c>
      <c r="C1476" s="1" t="s">
        <v>1418</v>
      </c>
    </row>
    <row r="1477" spans="1:3" ht="12.75" x14ac:dyDescent="0.2">
      <c r="A1477" s="1" t="str">
        <f ca="1">IFERROR(__xludf.DUMMYFUNCTION("GOOGLETRANSLATE(C1418, ""en"", ""es"")"),"inferior")</f>
        <v>inferior</v>
      </c>
      <c r="B1477" s="1">
        <v>-2</v>
      </c>
      <c r="C1477" s="1" t="s">
        <v>1419</v>
      </c>
    </row>
    <row r="1478" spans="1:3" ht="12.75" x14ac:dyDescent="0.2">
      <c r="A1478" s="1" t="str">
        <f ca="1">IFERROR(__xludf.DUMMYFUNCTION("GOOGLETRANSLATE(C1419, ""en"", ""es"")"),"infierno")</f>
        <v>infierno</v>
      </c>
      <c r="B1478" s="1">
        <v>-4</v>
      </c>
      <c r="C1478" s="1" t="s">
        <v>1420</v>
      </c>
    </row>
    <row r="1479" spans="1:3" ht="12.75" x14ac:dyDescent="0.2">
      <c r="A1479" s="1" t="str">
        <f ca="1">IFERROR(__xludf.DUMMYFUNCTION("GOOGLETRANSLATE(C1420, ""en"", ""es"")"),"influyente")</f>
        <v>influyente</v>
      </c>
      <c r="B1479" s="1">
        <v>2</v>
      </c>
      <c r="C1479" s="1" t="s">
        <v>1421</v>
      </c>
    </row>
    <row r="1480" spans="1:3" ht="12.75" x14ac:dyDescent="0.2">
      <c r="A1480" s="1" t="str">
        <f ca="1">IFERROR(__xludf.DUMMYFUNCTION("GOOGLETRANSLATE(C1423, ""en"", ""es"")"),"infracción")</f>
        <v>infracción</v>
      </c>
      <c r="B1480" s="1">
        <v>-2</v>
      </c>
      <c r="C1480" s="1" t="s">
        <v>1424</v>
      </c>
    </row>
    <row r="1481" spans="1:3" ht="12.75" x14ac:dyDescent="0.2">
      <c r="A1481" s="1" t="str">
        <f ca="1">IFERROR(__xludf.DUMMYFUNCTION("GOOGLETRANSLATE(C1424, ""en"", ""es"")"),"infractor")</f>
        <v>infractor</v>
      </c>
      <c r="B1481" s="1">
        <v>-2</v>
      </c>
      <c r="C1481" s="1" t="s">
        <v>1425</v>
      </c>
    </row>
    <row r="1482" spans="1:3" ht="12.75" x14ac:dyDescent="0.2">
      <c r="A1482" s="1" t="str">
        <f ca="1">IFERROR(__xludf.DUMMYFUNCTION("GOOGLETRANSLATE(C1425, ""en"", ""es"")"),"ingenuo")</f>
        <v>ingenuo</v>
      </c>
      <c r="B1482" s="1">
        <v>-2</v>
      </c>
      <c r="C1482" s="1" t="s">
        <v>1426</v>
      </c>
    </row>
    <row r="1483" spans="1:3" ht="12.75" x14ac:dyDescent="0.2">
      <c r="A1483" s="1" t="str">
        <f ca="1">IFERROR(__xludf.DUMMYFUNCTION("GOOGLETRANSLATE(C1426, ""en"", ""es"")"),"inhibir")</f>
        <v>inhibir</v>
      </c>
      <c r="B1483" s="1">
        <v>-1</v>
      </c>
      <c r="C1483" s="1" t="s">
        <v>1427</v>
      </c>
    </row>
    <row r="1484" spans="1:3" ht="12.75" x14ac:dyDescent="0.2">
      <c r="A1484" s="1" t="str">
        <f ca="1">IFERROR(__xludf.DUMMYFUNCTION("GOOGLETRANSLATE(C2213, ""en"", ""es"")"),"inigualable")</f>
        <v>inigualable</v>
      </c>
      <c r="B1484" s="1">
        <v>2</v>
      </c>
      <c r="C1484" s="1" t="s">
        <v>2209</v>
      </c>
    </row>
    <row r="1485" spans="1:3" ht="12.75" x14ac:dyDescent="0.2">
      <c r="A1485" s="1" t="str">
        <f ca="1">IFERROR(__xludf.DUMMYFUNCTION("GOOGLETRANSLATE(C2214, ""en"", ""es"")"),"ininteligente")</f>
        <v>ininteligente</v>
      </c>
      <c r="B1485" s="1">
        <v>-2</v>
      </c>
      <c r="C1485" s="1" t="s">
        <v>2210</v>
      </c>
    </row>
    <row r="1486" spans="1:3" ht="12.75" x14ac:dyDescent="0.2">
      <c r="A1486" s="1" t="str">
        <f ca="1">IFERROR(__xludf.DUMMYFUNCTION("GOOGLETRANSLATE(C1427, ""en"", ""es"")"),"injusticia")</f>
        <v>injusticia</v>
      </c>
      <c r="B1486" s="1">
        <v>-2</v>
      </c>
      <c r="C1486" s="1" t="s">
        <v>1428</v>
      </c>
    </row>
    <row r="1487" spans="1:3" ht="12.75" x14ac:dyDescent="0.2">
      <c r="A1487" s="1" t="str">
        <f ca="1">IFERROR(__xludf.DUMMYFUNCTION("GOOGLETRANSLATE(C1428, ""en"", ""es"")"),"injusto")</f>
        <v>injusto</v>
      </c>
      <c r="B1487" s="1">
        <v>-2</v>
      </c>
      <c r="C1487" s="1" t="s">
        <v>1429</v>
      </c>
    </row>
    <row r="1488" spans="1:3" ht="12.75" x14ac:dyDescent="0.2">
      <c r="A1488" s="1" t="str">
        <f ca="1">IFERROR(__xludf.DUMMYFUNCTION("GOOGLETRANSLATE(C1429, ""en"", ""es"")"),"injusto")</f>
        <v>injusto</v>
      </c>
      <c r="B1488" s="1">
        <v>-2</v>
      </c>
      <c r="C1488" s="1" t="s">
        <v>1430</v>
      </c>
    </row>
    <row r="1489" spans="1:3" ht="12.75" x14ac:dyDescent="0.2">
      <c r="A1489" s="1" t="str">
        <f ca="1">IFERROR(__xludf.DUMMYFUNCTION("GOOGLETRANSLATE(C2164, ""en"", ""es"")"),"inminente")</f>
        <v>inminente</v>
      </c>
      <c r="B1489" s="1">
        <v>-1</v>
      </c>
      <c r="C1489" s="1" t="s">
        <v>2162</v>
      </c>
    </row>
    <row r="1490" spans="1:3" ht="12.75" x14ac:dyDescent="0.2">
      <c r="A1490" s="1" t="str">
        <f ca="1">IFERROR(__xludf.DUMMYFUNCTION("GOOGLETRANSLATE(C1430, ""en"", ""es"")"),"inmortal")</f>
        <v>inmortal</v>
      </c>
      <c r="B1490" s="1">
        <v>2</v>
      </c>
      <c r="C1490" s="1" t="s">
        <v>1431</v>
      </c>
    </row>
    <row r="1491" spans="1:3" ht="12.75" x14ac:dyDescent="0.2">
      <c r="A1491" s="1" t="str">
        <f ca="1">IFERROR(__xludf.DUMMYFUNCTION("GOOGLETRANSLATE(C1431, ""en"", ""es"")"),"inmovilizado")</f>
        <v>inmovilizado</v>
      </c>
      <c r="B1491" s="1">
        <v>-1</v>
      </c>
      <c r="C1491" s="1" t="s">
        <v>1432</v>
      </c>
    </row>
    <row r="1492" spans="1:3" ht="12.75" x14ac:dyDescent="0.2">
      <c r="A1492" s="1" t="str">
        <f ca="1">IFERROR(__xludf.DUMMYFUNCTION("GOOGLETRANSLATE(C1432, ""en"", ""es"")"),"inmune")</f>
        <v>inmune</v>
      </c>
      <c r="B1492" s="1">
        <v>1</v>
      </c>
      <c r="C1492" s="1" t="s">
        <v>1433</v>
      </c>
    </row>
    <row r="1493" spans="1:3" ht="12.75" x14ac:dyDescent="0.2">
      <c r="A1493" s="1" t="str">
        <f ca="1">IFERROR(__xludf.DUMMYFUNCTION("GOOGLETRANSLATE(C1433, ""en"", ""es"")"),"innovación")</f>
        <v>innovación</v>
      </c>
      <c r="B1493" s="1">
        <v>1</v>
      </c>
      <c r="C1493" s="1" t="s">
        <v>1434</v>
      </c>
    </row>
    <row r="1494" spans="1:3" ht="12.75" x14ac:dyDescent="0.2">
      <c r="A1494" s="1" t="str">
        <f ca="1">IFERROR(__xludf.DUMMYFUNCTION("GOOGLETRANSLATE(C1434, ""en"", ""es"")"),"innovación")</f>
        <v>innovación</v>
      </c>
      <c r="B1494" s="1">
        <v>1</v>
      </c>
      <c r="C1494" s="1" t="s">
        <v>1435</v>
      </c>
    </row>
    <row r="1495" spans="1:3" ht="12.75" x14ac:dyDescent="0.2">
      <c r="A1495" s="1" t="str">
        <f ca="1">IFERROR(__xludf.DUMMYFUNCTION("GOOGLETRANSLATE(C1435, ""en"", ""es"")"),"innovador")</f>
        <v>innovador</v>
      </c>
      <c r="B1495" s="1">
        <v>2</v>
      </c>
      <c r="C1495" s="1" t="s">
        <v>1436</v>
      </c>
    </row>
    <row r="1496" spans="1:3" ht="12.75" x14ac:dyDescent="0.2">
      <c r="A1496" s="1" t="str">
        <f ca="1">IFERROR(__xludf.DUMMYFUNCTION("GOOGLETRANSLATE(C1436, ""en"", ""es"")"),"innovar")</f>
        <v>innovar</v>
      </c>
      <c r="B1496" s="1">
        <v>1</v>
      </c>
      <c r="C1496" s="1" t="s">
        <v>1437</v>
      </c>
    </row>
    <row r="1497" spans="1:3" ht="12.75" x14ac:dyDescent="0.2">
      <c r="A1497" s="1" t="str">
        <f ca="1">IFERROR(__xludf.DUMMYFUNCTION("GOOGLETRANSLATE(C1437, ""en"", ""es"")"),"inquieto")</f>
        <v>inquieto</v>
      </c>
      <c r="B1497" s="1">
        <v>-2</v>
      </c>
      <c r="C1497" s="1" t="s">
        <v>1438</v>
      </c>
    </row>
    <row r="1498" spans="1:3" ht="12.75" x14ac:dyDescent="0.2">
      <c r="A1498" s="1" t="str">
        <f ca="1">IFERROR(__xludf.DUMMYFUNCTION("GOOGLETRANSLATE(C1438, ""en"", ""es"")"),"inquisición")</f>
        <v>inquisición</v>
      </c>
      <c r="B1498" s="1">
        <v>-2</v>
      </c>
      <c r="C1498" s="1" t="s">
        <v>1439</v>
      </c>
    </row>
    <row r="1499" spans="1:3" ht="12.75" x14ac:dyDescent="0.2">
      <c r="A1499" s="1" t="str">
        <f ca="1">IFERROR(__xludf.DUMMYFUNCTION("GOOGLETRANSLATE(C1439, ""en"", ""es"")"),"inquisitivo")</f>
        <v>inquisitivo</v>
      </c>
      <c r="B1499" s="1">
        <v>2</v>
      </c>
      <c r="C1499" s="1" t="s">
        <v>1440</v>
      </c>
    </row>
    <row r="1500" spans="1:3" ht="12.75" x14ac:dyDescent="0.2">
      <c r="A1500" s="1" t="str">
        <f ca="1">IFERROR(__xludf.DUMMYFUNCTION("GOOGLETRANSLATE(C1440, ""en"", ""es"")"),"insalubre")</f>
        <v>insalubre</v>
      </c>
      <c r="B1500" s="1">
        <v>-2</v>
      </c>
      <c r="C1500" s="1" t="s">
        <v>1441</v>
      </c>
    </row>
    <row r="1501" spans="1:3" ht="12.75" x14ac:dyDescent="0.2">
      <c r="A1501" s="1" t="str">
        <f ca="1">IFERROR(__xludf.DUMMYFUNCTION("GOOGLETRANSLATE(C1442, ""en"", ""es"")"),"insatisfecho")</f>
        <v>insatisfecho</v>
      </c>
      <c r="B1501" s="1">
        <v>-2</v>
      </c>
      <c r="C1501" s="1" t="s">
        <v>1443</v>
      </c>
    </row>
    <row r="1502" spans="1:3" ht="12.75" x14ac:dyDescent="0.2">
      <c r="A1502" s="1" t="str">
        <f ca="1">IFERROR(__xludf.DUMMYFUNCTION("GOOGLETRANSLATE(C1443, ""en"", ""es"")"),"insatisfecho")</f>
        <v>insatisfecho</v>
      </c>
      <c r="B1502" s="1">
        <v>-2</v>
      </c>
      <c r="C1502" s="1" t="s">
        <v>1444</v>
      </c>
    </row>
    <row r="1503" spans="1:3" ht="12.75" x14ac:dyDescent="0.2">
      <c r="A1503" s="1" t="str">
        <f ca="1">IFERROR(__xludf.DUMMYFUNCTION("GOOGLETRANSLATE(C1444, ""en"", ""es"")"),"inseguro")</f>
        <v>inseguro</v>
      </c>
      <c r="B1503" s="1">
        <v>-1</v>
      </c>
      <c r="C1503" s="1" t="s">
        <v>1445</v>
      </c>
    </row>
    <row r="1504" spans="1:3" ht="12.75" x14ac:dyDescent="0.2">
      <c r="A1504" s="1" t="str">
        <f ca="1">IFERROR(__xludf.DUMMYFUNCTION("GOOGLETRANSLATE(C1445, ""en"", ""es"")"),"inseguro")</f>
        <v>inseguro</v>
      </c>
      <c r="B1504" s="1">
        <v>-2</v>
      </c>
      <c r="C1504" s="1" t="s">
        <v>1446</v>
      </c>
    </row>
    <row r="1505" spans="1:3" ht="12.75" x14ac:dyDescent="0.2">
      <c r="A1505" s="1" t="str">
        <f ca="1">IFERROR(__xludf.DUMMYFUNCTION("GOOGLETRANSLATE(C1446, ""en"", ""es"")"),"inseguro")</f>
        <v>inseguro</v>
      </c>
      <c r="B1505" s="1">
        <v>-1</v>
      </c>
      <c r="C1505" s="1" t="s">
        <v>1447</v>
      </c>
    </row>
    <row r="1506" spans="1:3" ht="12.75" x14ac:dyDescent="0.2">
      <c r="A1506" s="1" t="str">
        <f ca="1">IFERROR(__xludf.DUMMYFUNCTION("GOOGLETRANSLATE(C2212, ""en"", ""es"")"),"Inseguro")</f>
        <v>Inseguro</v>
      </c>
      <c r="B1506" s="1">
        <v>-2</v>
      </c>
      <c r="C1506" s="1" t="s">
        <v>2208</v>
      </c>
    </row>
    <row r="1507" spans="1:3" ht="12.75" x14ac:dyDescent="0.2">
      <c r="A1507" s="1" t="str">
        <f ca="1">IFERROR(__xludf.DUMMYFUNCTION("GOOGLETRANSLATE(C1447, ""en"", ""es"")"),"insensibilidad")</f>
        <v>insensibilidad</v>
      </c>
      <c r="B1507" s="1">
        <v>-2</v>
      </c>
      <c r="C1507" s="1" t="s">
        <v>1448</v>
      </c>
    </row>
    <row r="1508" spans="1:3" ht="12.75" x14ac:dyDescent="0.2">
      <c r="A1508" s="1" t="str">
        <f ca="1">IFERROR(__xludf.DUMMYFUNCTION("GOOGLETRANSLATE(C1448, ""en"", ""es"")"),"insensible")</f>
        <v>insensible</v>
      </c>
      <c r="B1508" s="1">
        <v>-2</v>
      </c>
      <c r="C1508" s="1" t="s">
        <v>1449</v>
      </c>
    </row>
    <row r="1509" spans="1:3" ht="12.75" x14ac:dyDescent="0.2">
      <c r="A1509" s="1" t="str">
        <f ca="1">IFERROR(__xludf.DUMMYFUNCTION("GOOGLETRANSLATE(C1449, ""en"", ""es"")"),"insignificante")</f>
        <v>insignificante</v>
      </c>
      <c r="B1509" s="1">
        <v>-2</v>
      </c>
      <c r="C1509" s="1" t="s">
        <v>1450</v>
      </c>
    </row>
    <row r="1510" spans="1:3" ht="12.75" x14ac:dyDescent="0.2">
      <c r="A1510" s="1" t="str">
        <f ca="1">IFERROR(__xludf.DUMMYFUNCTION("GOOGLETRANSLATE(C1450, ""en"", ""es"")"),"insípido")</f>
        <v>insípido</v>
      </c>
      <c r="B1510" s="1">
        <v>-2</v>
      </c>
      <c r="C1510" s="1" t="s">
        <v>1451</v>
      </c>
    </row>
    <row r="1511" spans="1:3" ht="12.75" x14ac:dyDescent="0.2">
      <c r="A1511" s="1" t="str">
        <f ca="1">IFERROR(__xludf.DUMMYFUNCTION("GOOGLETRANSLATE(C1452, ""en"", ""es"")"),"insomnio")</f>
        <v>insomnio</v>
      </c>
      <c r="B1511" s="1">
        <v>-2</v>
      </c>
      <c r="C1511" s="1" t="s">
        <v>1453</v>
      </c>
    </row>
    <row r="1512" spans="1:3" ht="12.75" x14ac:dyDescent="0.2">
      <c r="A1512" s="1" t="str">
        <f ca="1">IFERROR(__xludf.DUMMYFUNCTION("GOOGLETRANSLATE(C1454, ""en"", ""es"")"),"inspiración")</f>
        <v>inspiración</v>
      </c>
      <c r="B1512" s="1">
        <v>2</v>
      </c>
      <c r="C1512" s="1" t="s">
        <v>1455</v>
      </c>
    </row>
    <row r="1513" spans="1:3" ht="12.75" x14ac:dyDescent="0.2">
      <c r="A1513" s="1" t="str">
        <f ca="1">IFERROR(__xludf.DUMMYFUNCTION("GOOGLETRANSLATE(C1453, ""en"", ""es"")"),"inspirado")</f>
        <v>inspirado</v>
      </c>
      <c r="B1513" s="1">
        <v>2</v>
      </c>
      <c r="C1513" s="1" t="s">
        <v>1454</v>
      </c>
    </row>
    <row r="1514" spans="1:3" ht="12.75" x14ac:dyDescent="0.2">
      <c r="A1514" s="1" t="str">
        <f ca="1">IFERROR(__xludf.DUMMYFUNCTION("GOOGLETRANSLATE(C1456, ""en"", ""es"")"),"inspirado")</f>
        <v>inspirado</v>
      </c>
      <c r="B1514" s="1">
        <v>2</v>
      </c>
      <c r="C1514" s="1" t="s">
        <v>1457</v>
      </c>
    </row>
    <row r="1515" spans="1:3" ht="12.75" x14ac:dyDescent="0.2">
      <c r="A1515" s="1" t="str">
        <f ca="1">IFERROR(__xludf.DUMMYFUNCTION("GOOGLETRANSLATE(C1455, ""en"", ""es"")"),"inspirador")</f>
        <v>inspirador</v>
      </c>
      <c r="B1515" s="1">
        <v>2</v>
      </c>
      <c r="C1515" s="1" t="s">
        <v>1456</v>
      </c>
    </row>
    <row r="1516" spans="1:3" ht="12.75" x14ac:dyDescent="0.2">
      <c r="A1516" s="1" t="str">
        <f ca="1">IFERROR(__xludf.DUMMYFUNCTION("GOOGLETRANSLATE(C1457, ""en"", ""es"")"),"inspirador")</f>
        <v>inspirador</v>
      </c>
      <c r="B1516" s="1">
        <v>3</v>
      </c>
      <c r="C1516" s="1" t="s">
        <v>1458</v>
      </c>
    </row>
    <row r="1517" spans="1:3" ht="12.75" x14ac:dyDescent="0.2">
      <c r="A1517" s="1" t="str">
        <f ca="1">IFERROR(__xludf.DUMMYFUNCTION("GOOGLETRANSLATE(C1458, ""en"", ""es"")"),"inspirar")</f>
        <v>inspirar</v>
      </c>
      <c r="B1517" s="1">
        <v>2</v>
      </c>
      <c r="C1517" s="1" t="s">
        <v>1459</v>
      </c>
    </row>
    <row r="1518" spans="1:3" ht="12.75" x14ac:dyDescent="0.2">
      <c r="A1518" s="1" t="str">
        <f ca="1">IFERROR(__xludf.DUMMYFUNCTION("GOOGLETRANSLATE(C1459, ""en"", ""es"")"),"insultado")</f>
        <v>insultado</v>
      </c>
      <c r="B1518" s="1">
        <v>-2</v>
      </c>
      <c r="C1518" s="1" t="s">
        <v>1460</v>
      </c>
    </row>
    <row r="1519" spans="1:3" ht="12.75" x14ac:dyDescent="0.2">
      <c r="A1519" s="1" t="str">
        <f ca="1">IFERROR(__xludf.DUMMYFUNCTION("GOOGLETRANSLATE(C1460, ""en"", ""es"")"),"insultante")</f>
        <v>insultante</v>
      </c>
      <c r="B1519" s="1">
        <v>-2</v>
      </c>
      <c r="C1519" s="1" t="s">
        <v>1461</v>
      </c>
    </row>
    <row r="1520" spans="1:3" ht="12.75" x14ac:dyDescent="0.2">
      <c r="A1520" s="1" t="str">
        <f ca="1">IFERROR(__xludf.DUMMYFUNCTION("GOOGLETRANSLATE(C1461, ""en"", ""es"")"),"insulto")</f>
        <v>insulto</v>
      </c>
      <c r="B1520" s="1">
        <v>-2</v>
      </c>
      <c r="C1520" s="1" t="s">
        <v>1462</v>
      </c>
    </row>
    <row r="1521" spans="1:3" ht="12.75" x14ac:dyDescent="0.2">
      <c r="A1521" s="1" t="str">
        <f ca="1">IFERROR(__xludf.DUMMYFUNCTION("GOOGLETRANSLATE(C1462, ""en"", ""es"")"),"insultos")</f>
        <v>insultos</v>
      </c>
      <c r="B1521" s="1">
        <v>-2</v>
      </c>
      <c r="C1521" s="1" t="s">
        <v>1463</v>
      </c>
    </row>
    <row r="1522" spans="1:3" ht="12.75" x14ac:dyDescent="0.2">
      <c r="A1522" s="1" t="str">
        <f ca="1">IFERROR(__xludf.DUMMYFUNCTION("GOOGLETRANSLATE(C1463, ""en"", ""es"")"),"intacto")</f>
        <v>intacto</v>
      </c>
      <c r="B1522" s="1">
        <v>2</v>
      </c>
      <c r="C1522" s="1" t="s">
        <v>1464</v>
      </c>
    </row>
    <row r="1523" spans="1:3" ht="12.75" x14ac:dyDescent="0.2">
      <c r="A1523" s="1" t="str">
        <f ca="1">IFERROR(__xludf.DUMMYFUNCTION("GOOGLETRANSLATE(C1082, ""en"", ""es"")"),"integral")</f>
        <v>integral</v>
      </c>
      <c r="B1523" s="1">
        <v>2</v>
      </c>
      <c r="C1523" s="1" t="s">
        <v>1084</v>
      </c>
    </row>
    <row r="1524" spans="1:3" ht="12.75" x14ac:dyDescent="0.2">
      <c r="A1524" s="1" t="str">
        <f ca="1">IFERROR(__xludf.DUMMYFUNCTION("GOOGLETRANSLATE(C1464, ""en"", ""es"")"),"integridad")</f>
        <v>integridad</v>
      </c>
      <c r="B1524" s="1">
        <v>2</v>
      </c>
      <c r="C1524" s="1" t="s">
        <v>1465</v>
      </c>
    </row>
    <row r="1525" spans="1:3" ht="12.75" x14ac:dyDescent="0.2">
      <c r="A1525" s="1" t="str">
        <f ca="1">IFERROR(__xludf.DUMMYFUNCTION("GOOGLETRANSLATE(C1465, ""en"", ""es"")"),"inteligente")</f>
        <v>inteligente</v>
      </c>
      <c r="B1525" s="1">
        <v>2</v>
      </c>
      <c r="C1525" s="1" t="s">
        <v>1466</v>
      </c>
    </row>
    <row r="1526" spans="1:3" ht="12.75" x14ac:dyDescent="0.2">
      <c r="A1526" s="1" t="str">
        <f ca="1">IFERROR(__xludf.DUMMYFUNCTION("GOOGLETRANSLATE(C1466, ""en"", ""es"")"),"inteligente")</f>
        <v>inteligente</v>
      </c>
      <c r="B1526" s="1">
        <v>2</v>
      </c>
      <c r="C1526" s="1" t="s">
        <v>1467</v>
      </c>
    </row>
    <row r="1527" spans="1:3" ht="12.75" x14ac:dyDescent="0.2">
      <c r="A1527" s="1" t="str">
        <f ca="1">IFERROR(__xludf.DUMMYFUNCTION("GOOGLETRANSLATE(C1467, ""en"", ""es"")"),"inteligente")</f>
        <v>inteligente</v>
      </c>
      <c r="B1527" s="1">
        <v>1</v>
      </c>
      <c r="C1527" s="1" t="s">
        <v>1468</v>
      </c>
    </row>
    <row r="1528" spans="1:3" ht="12.75" x14ac:dyDescent="0.2">
      <c r="A1528" s="1" t="str">
        <f ca="1">IFERROR(__xludf.DUMMYFUNCTION("GOOGLETRANSLATE(C1468, ""en"", ""es"")"),"intenso")</f>
        <v>intenso</v>
      </c>
      <c r="B1528" s="1">
        <v>1</v>
      </c>
      <c r="C1528" s="1" t="s">
        <v>1469</v>
      </c>
    </row>
    <row r="1529" spans="1:3" ht="12.75" x14ac:dyDescent="0.2">
      <c r="A1529" s="1" t="str">
        <f ca="1">IFERROR(__xludf.DUMMYFUNCTION("GOOGLETRANSLATE(C1471, ""en"", ""es"")"),"interés")</f>
        <v>interés</v>
      </c>
      <c r="B1529" s="1">
        <v>1</v>
      </c>
      <c r="C1529" s="1" t="s">
        <v>1472</v>
      </c>
    </row>
    <row r="1530" spans="1:3" ht="12.75" x14ac:dyDescent="0.2">
      <c r="A1530" s="1" t="str">
        <f ca="1">IFERROR(__xludf.DUMMYFUNCTION("GOOGLETRANSLATE(C1469, ""en"", ""es"")"),"interesado")</f>
        <v>interesado</v>
      </c>
      <c r="B1530" s="1">
        <v>2</v>
      </c>
      <c r="C1530" s="1" t="s">
        <v>1470</v>
      </c>
    </row>
    <row r="1531" spans="1:3" ht="12.75" x14ac:dyDescent="0.2">
      <c r="A1531" s="1" t="str">
        <f ca="1">IFERROR(__xludf.DUMMYFUNCTION("GOOGLETRANSLATE(C1470, ""en"", ""es"")"),"interesante")</f>
        <v>interesante</v>
      </c>
      <c r="B1531" s="1">
        <v>2</v>
      </c>
      <c r="C1531" s="1" t="s">
        <v>1471</v>
      </c>
    </row>
    <row r="1532" spans="1:3" ht="12.75" x14ac:dyDescent="0.2">
      <c r="A1532" s="1" t="str">
        <f ca="1">IFERROR(__xludf.DUMMYFUNCTION("GOOGLETRANSLATE(C1472, ""en"", ""es"")"),"intereses")</f>
        <v>intereses</v>
      </c>
      <c r="B1532" s="1">
        <v>1</v>
      </c>
      <c r="C1532" s="1" t="s">
        <v>1473</v>
      </c>
    </row>
    <row r="1533" spans="1:3" ht="12.75" x14ac:dyDescent="0.2">
      <c r="A1533" s="1" t="str">
        <f ca="1">IFERROR(__xludf.DUMMYFUNCTION("GOOGLETRANSLATE(C1473, ""en"", ""es"")"),"interrogado")</f>
        <v>interrogado</v>
      </c>
      <c r="B1533" s="1">
        <v>-2</v>
      </c>
      <c r="C1533" s="1" t="s">
        <v>1474</v>
      </c>
    </row>
    <row r="1534" spans="1:3" ht="12.75" x14ac:dyDescent="0.2">
      <c r="A1534" s="1" t="str">
        <f ca="1">IFERROR(__xludf.DUMMYFUNCTION("GOOGLETRANSLATE(C1474, ""en"", ""es"")"),"interrogatorio")</f>
        <v>interrogatorio</v>
      </c>
      <c r="B1534" s="1">
        <v>-1</v>
      </c>
      <c r="C1534" s="1" t="s">
        <v>1475</v>
      </c>
    </row>
    <row r="1535" spans="1:3" ht="12.75" x14ac:dyDescent="0.2">
      <c r="A1535" s="1" t="str">
        <f ca="1">IFERROR(__xludf.DUMMYFUNCTION("GOOGLETRANSLATE(C796, ""en"", ""es"")"),"interrumpido")</f>
        <v>interrumpido</v>
      </c>
      <c r="B1535" s="1">
        <v>-1</v>
      </c>
      <c r="C1535" s="1" t="s">
        <v>797</v>
      </c>
    </row>
    <row r="1536" spans="1:3" ht="12.75" x14ac:dyDescent="0.2">
      <c r="A1536" s="1" t="str">
        <f ca="1">IFERROR(__xludf.DUMMYFUNCTION("GOOGLETRANSLATE(C1475, ""en"", ""es"")"),"interrumpido")</f>
        <v>interrumpido</v>
      </c>
      <c r="B1536" s="1">
        <v>-2</v>
      </c>
      <c r="C1536" s="1" t="s">
        <v>1476</v>
      </c>
    </row>
    <row r="1537" spans="1:3" ht="12.75" x14ac:dyDescent="0.2">
      <c r="A1537" s="1" t="str">
        <f ca="1">IFERROR(__xludf.DUMMYFUNCTION("GOOGLETRANSLATE(C1477, ""en"", ""es"")"),"interrumpir")</f>
        <v>interrumpir</v>
      </c>
      <c r="B1537" s="1">
        <v>-2</v>
      </c>
      <c r="C1537" s="1" t="s">
        <v>1478</v>
      </c>
    </row>
    <row r="1538" spans="1:3" ht="12.75" x14ac:dyDescent="0.2">
      <c r="A1538" s="1" t="str">
        <f ca="1">IFERROR(__xludf.DUMMYFUNCTION("GOOGLETRANSLATE(C1476, ""en"", ""es"")"),"interrupción")</f>
        <v>interrupción</v>
      </c>
      <c r="B1538" s="1">
        <v>-2</v>
      </c>
      <c r="C1538" s="1" t="s">
        <v>1477</v>
      </c>
    </row>
    <row r="1539" spans="1:3" ht="12.75" x14ac:dyDescent="0.2">
      <c r="A1539" s="1" t="str">
        <f ca="1">IFERROR(__xludf.DUMMYFUNCTION("GOOGLETRANSLATE(C1478, ""en"", ""es"")"),"interrupción")</f>
        <v>interrupción</v>
      </c>
      <c r="B1539" s="1">
        <v>-2</v>
      </c>
      <c r="C1539" s="1" t="s">
        <v>1479</v>
      </c>
    </row>
    <row r="1540" spans="1:3" ht="12.75" x14ac:dyDescent="0.2">
      <c r="A1540" s="1" t="str">
        <f ca="1">IFERROR(__xludf.DUMMYFUNCTION("GOOGLETRANSLATE(C1479, ""en"", ""es"")"),"interrupciones")</f>
        <v>interrupciones</v>
      </c>
      <c r="B1540" s="1">
        <v>-2</v>
      </c>
      <c r="C1540" s="1" t="s">
        <v>1480</v>
      </c>
    </row>
    <row r="1541" spans="1:3" ht="12.75" x14ac:dyDescent="0.2">
      <c r="A1541" s="1" t="str">
        <f ca="1">IFERROR(__xludf.DUMMYFUNCTION("GOOGLETRANSLATE(C1480, ""en"", ""es"")"),"interrupciones")</f>
        <v>interrupciones</v>
      </c>
      <c r="B1541" s="1">
        <v>-2</v>
      </c>
      <c r="C1541" s="1" t="s">
        <v>1481</v>
      </c>
    </row>
    <row r="1542" spans="1:3" ht="12.75" x14ac:dyDescent="0.2">
      <c r="A1542" s="1" t="str">
        <f ca="1">IFERROR(__xludf.DUMMYFUNCTION("GOOGLETRANSLATE(C1482, ""en"", ""es"")"),"intimidación")</f>
        <v>intimidación</v>
      </c>
      <c r="B1542" s="1">
        <v>-2</v>
      </c>
      <c r="C1542" s="1" t="s">
        <v>1483</v>
      </c>
    </row>
    <row r="1543" spans="1:3" ht="12.75" x14ac:dyDescent="0.2">
      <c r="A1543" s="1" t="str">
        <f ca="1">IFERROR(__xludf.DUMMYFUNCTION("GOOGLETRANSLATE(C1485, ""en"", ""es"")"),"intimidado")</f>
        <v>intimidado</v>
      </c>
      <c r="B1543" s="1">
        <v>-2</v>
      </c>
      <c r="C1543" s="1" t="s">
        <v>1486</v>
      </c>
    </row>
    <row r="1544" spans="1:3" ht="12.75" x14ac:dyDescent="0.2">
      <c r="A1544" s="1" t="str">
        <f ca="1">IFERROR(__xludf.DUMMYFUNCTION("GOOGLETRANSLATE(C1481, ""en"", ""es"")"),"intimidados")</f>
        <v>intimidados</v>
      </c>
      <c r="B1544" s="1">
        <v>-2</v>
      </c>
      <c r="C1544" s="1" t="s">
        <v>1482</v>
      </c>
    </row>
    <row r="1545" spans="1:3" ht="12.75" x14ac:dyDescent="0.2">
      <c r="A1545" s="1" t="str">
        <f ca="1">IFERROR(__xludf.DUMMYFUNCTION("GOOGLETRANSLATE(C1483, ""en"", ""es"")"),"intimidante")</f>
        <v>intimidante</v>
      </c>
      <c r="B1545" s="1">
        <v>-2</v>
      </c>
      <c r="C1545" s="1" t="s">
        <v>1484</v>
      </c>
    </row>
    <row r="1546" spans="1:3" ht="12.75" x14ac:dyDescent="0.2">
      <c r="A1546" s="1" t="str">
        <f ca="1">IFERROR(__xludf.DUMMYFUNCTION("GOOGLETRANSLATE(C1484, ""en"", ""es"")"),"intimidar")</f>
        <v>intimidar</v>
      </c>
      <c r="B1546" s="1">
        <v>-2</v>
      </c>
      <c r="C1546" s="1" t="s">
        <v>1485</v>
      </c>
    </row>
    <row r="1547" spans="1:3" ht="12.75" x14ac:dyDescent="0.2">
      <c r="A1547" s="1" t="str">
        <f ca="1">IFERROR(__xludf.DUMMYFUNCTION("GOOGLETRANSLATE(C1487, ""en"", ""es"")"),"intrépido")</f>
        <v>intrépido</v>
      </c>
      <c r="B1547" s="1">
        <v>2</v>
      </c>
      <c r="C1547" s="1" t="s">
        <v>1488</v>
      </c>
    </row>
    <row r="1548" spans="1:3" ht="12.75" x14ac:dyDescent="0.2">
      <c r="A1548" s="1" t="str">
        <f ca="1">IFERROR(__xludf.DUMMYFUNCTION("GOOGLETRANSLATE(C1488, ""en"", ""es"")"),"intrigas")</f>
        <v>intrigas</v>
      </c>
      <c r="B1548" s="1">
        <v>1</v>
      </c>
      <c r="C1548" s="1" t="s">
        <v>1489</v>
      </c>
    </row>
    <row r="1549" spans="1:3" ht="12.75" x14ac:dyDescent="0.2">
      <c r="A1549" s="1" t="str">
        <f ca="1">IFERROR(__xludf.DUMMYFUNCTION("GOOGLETRANSLATE(C1489, ""en"", ""es"")"),"intrincado")</f>
        <v>intrincado</v>
      </c>
      <c r="B1549" s="1">
        <v>2</v>
      </c>
      <c r="C1549" s="1" t="s">
        <v>1490</v>
      </c>
    </row>
    <row r="1550" spans="1:3" ht="12.75" x14ac:dyDescent="0.2">
      <c r="A1550" s="1" t="str">
        <f ca="1">IFERROR(__xludf.DUMMYFUNCTION("GOOGLETRANSLATE(C1490, ""en"", ""es"")"),"inútil")</f>
        <v>inútil</v>
      </c>
      <c r="B1550" s="1">
        <v>-2</v>
      </c>
      <c r="C1550" s="1" t="s">
        <v>1491</v>
      </c>
    </row>
    <row r="1551" spans="1:3" ht="12.75" x14ac:dyDescent="0.2">
      <c r="A1551" s="1" t="str">
        <f ca="1">IFERROR(__xludf.DUMMYFUNCTION("GOOGLETRANSLATE(C1491, ""en"", ""es"")"),"inutilidad")</f>
        <v>inutilidad</v>
      </c>
      <c r="B1551" s="1">
        <v>-2</v>
      </c>
      <c r="C1551" s="1" t="s">
        <v>1492</v>
      </c>
    </row>
    <row r="1552" spans="1:3" ht="12.75" x14ac:dyDescent="0.2">
      <c r="A1552" s="1" t="str">
        <f ca="1">IFERROR(__xludf.DUMMYFUNCTION("GOOGLETRANSLATE(C1492, ""en"", ""es"")"),"invencible")</f>
        <v>invencible</v>
      </c>
      <c r="B1552" s="1">
        <v>2</v>
      </c>
      <c r="C1552" s="1" t="s">
        <v>1493</v>
      </c>
    </row>
    <row r="1553" spans="1:3" ht="12.75" x14ac:dyDescent="0.2">
      <c r="A1553" s="1" t="str">
        <f ca="1">IFERROR(__xludf.DUMMYFUNCTION("GOOGLETRANSLATE(C1493, ""en"", ""es"")"),"invitar")</f>
        <v>invitar</v>
      </c>
      <c r="B1553" s="1">
        <v>1</v>
      </c>
      <c r="C1553" s="1" t="s">
        <v>1494</v>
      </c>
    </row>
    <row r="1554" spans="1:3" ht="12.75" x14ac:dyDescent="0.2">
      <c r="A1554" s="1" t="str">
        <f ca="1">IFERROR(__xludf.DUMMYFUNCTION("GOOGLETRANSLATE(C1494, ""en"", ""es"")"),"invulnerable")</f>
        <v>invulnerable</v>
      </c>
      <c r="B1554" s="1">
        <v>2</v>
      </c>
      <c r="C1554" s="1" t="s">
        <v>1495</v>
      </c>
    </row>
    <row r="1555" spans="1:3" ht="12.75" x14ac:dyDescent="0.2">
      <c r="A1555" s="1" t="str">
        <f ca="1">IFERROR(__xludf.DUMMYFUNCTION("GOOGLETRANSLATE(C1495, ""en"", ""es"")"),"ironía")</f>
        <v>ironía</v>
      </c>
      <c r="B1555" s="1">
        <v>-1</v>
      </c>
      <c r="C1555" s="1" t="s">
        <v>1496</v>
      </c>
    </row>
    <row r="1556" spans="1:3" ht="12.75" x14ac:dyDescent="0.2">
      <c r="A1556" s="1" t="str">
        <f ca="1">IFERROR(__xludf.DUMMYFUNCTION("GOOGLETRANSLATE(C1496, ""en"", ""es"")"),"irónico")</f>
        <v>irónico</v>
      </c>
      <c r="B1556" s="1">
        <v>-1</v>
      </c>
      <c r="C1556" s="1" t="s">
        <v>1497</v>
      </c>
    </row>
    <row r="1557" spans="1:3" ht="12.75" x14ac:dyDescent="0.2">
      <c r="A1557" s="1" t="str">
        <f ca="1">IFERROR(__xludf.DUMMYFUNCTION("GOOGLETRANSLATE(C1497, ""en"", ""es"")"),"irracional")</f>
        <v>irracional</v>
      </c>
      <c r="B1557" s="1">
        <v>-1</v>
      </c>
      <c r="C1557" s="1" t="s">
        <v>1498</v>
      </c>
    </row>
    <row r="1558" spans="1:3" ht="12.75" x14ac:dyDescent="0.2">
      <c r="A1558" s="1" t="str">
        <f ca="1">IFERROR(__xludf.DUMMYFUNCTION("GOOGLETRANSLATE(C1498, ""en"", ""es"")"),"irresistible")</f>
        <v>irresistible</v>
      </c>
      <c r="B1558" s="1">
        <v>2</v>
      </c>
      <c r="C1558" s="1" t="s">
        <v>1499</v>
      </c>
    </row>
    <row r="1559" spans="1:3" ht="12.75" x14ac:dyDescent="0.2">
      <c r="A1559" s="1" t="str">
        <f ca="1">IFERROR(__xludf.DUMMYFUNCTION("GOOGLETRANSLATE(C1499, ""en"", ""es"")"),"irresoluto")</f>
        <v>irresoluto</v>
      </c>
      <c r="B1559" s="1">
        <v>-2</v>
      </c>
      <c r="C1559" s="1" t="s">
        <v>1500</v>
      </c>
    </row>
    <row r="1560" spans="1:3" ht="12.75" x14ac:dyDescent="0.2">
      <c r="A1560" s="1" t="str">
        <f ca="1">IFERROR(__xludf.DUMMYFUNCTION("GOOGLETRANSLATE(C1500, ""en"", ""es"")"),"irresponsable")</f>
        <v>irresponsable</v>
      </c>
      <c r="B1560" s="1">
        <v>2</v>
      </c>
      <c r="C1560" s="1" t="s">
        <v>1501</v>
      </c>
    </row>
    <row r="1561" spans="1:3" ht="12.75" x14ac:dyDescent="0.2">
      <c r="A1561" s="1" t="str">
        <f ca="1">IFERROR(__xludf.DUMMYFUNCTION("GOOGLETRANSLATE(C1501, ""en"", ""es"")"),"irreversible")</f>
        <v>irreversible</v>
      </c>
      <c r="B1561" s="1">
        <v>-1</v>
      </c>
      <c r="C1561" s="1" t="s">
        <v>1502</v>
      </c>
    </row>
    <row r="1562" spans="1:3" ht="12.75" x14ac:dyDescent="0.2">
      <c r="A1562" s="1" t="str">
        <f ca="1">IFERROR(__xludf.DUMMYFUNCTION("GOOGLETRANSLATE(C1503, ""en"", ""es"")"),"irritado")</f>
        <v>irritado</v>
      </c>
      <c r="B1562" s="1">
        <v>-3</v>
      </c>
      <c r="C1562" s="1" t="s">
        <v>1504</v>
      </c>
    </row>
    <row r="1563" spans="1:3" ht="12.75" x14ac:dyDescent="0.2">
      <c r="A1563" s="1" t="str">
        <f ca="1">IFERROR(__xludf.DUMMYFUNCTION("GOOGLETRANSLATE(C1504, ""en"", ""es"")"),"irritante")</f>
        <v>irritante</v>
      </c>
      <c r="B1563" s="1">
        <v>-3</v>
      </c>
      <c r="C1563" s="1" t="s">
        <v>1505</v>
      </c>
    </row>
    <row r="1564" spans="1:3" ht="12.75" x14ac:dyDescent="0.2">
      <c r="A1564" s="1" t="str">
        <f ca="1">IFERROR(__xludf.DUMMYFUNCTION("GOOGLETRANSLATE(C1506, ""en"", ""es"")"),"irritar")</f>
        <v>irritar</v>
      </c>
      <c r="B1564" s="1">
        <v>-3</v>
      </c>
      <c r="C1564" s="1" t="s">
        <v>1507</v>
      </c>
    </row>
    <row r="1565" spans="1:3" ht="12.75" x14ac:dyDescent="0.2">
      <c r="A1565" s="1" t="str">
        <f ca="1">IFERROR(__xludf.DUMMYFUNCTION("GOOGLETRANSLATE(C71, ""en"", ""es"")"),"itree")</f>
        <v>itree</v>
      </c>
      <c r="B1565" s="1">
        <v>3</v>
      </c>
      <c r="C1565" s="1" t="s">
        <v>71</v>
      </c>
    </row>
    <row r="1566" spans="1:3" ht="12.75" x14ac:dyDescent="0.2">
      <c r="A1566" s="1" t="str">
        <f ca="1">IFERROR(__xludf.DUMMYFUNCTION("GOOGLETRANSLATE(C1508, ""en"", ""es"")"),"jactancioso")</f>
        <v>jactancioso</v>
      </c>
      <c r="B1566" s="1">
        <v>-2</v>
      </c>
      <c r="C1566" s="1" t="s">
        <v>1509</v>
      </c>
    </row>
    <row r="1567" spans="1:3" ht="12.75" x14ac:dyDescent="0.2">
      <c r="A1567" s="1" t="str">
        <f ca="1">IFERROR(__xludf.DUMMYFUNCTION("GOOGLETRANSLATE(C1511, ""en"", ""es"")"),"Jesús")</f>
        <v>Jesús</v>
      </c>
      <c r="B1567" s="1">
        <v>1</v>
      </c>
      <c r="C1567" s="1" t="s">
        <v>1510</v>
      </c>
    </row>
    <row r="1568" spans="1:3" ht="12.75" x14ac:dyDescent="0.2">
      <c r="A1568" s="1" t="str">
        <f ca="1">IFERROR(__xludf.DUMMYFUNCTION("GOOGLETRANSLATE(C1512, ""en"", ""es"")"),"jocoso")</f>
        <v>jocoso</v>
      </c>
      <c r="B1568" s="1">
        <v>2</v>
      </c>
      <c r="C1568" s="1" t="s">
        <v>1511</v>
      </c>
    </row>
    <row r="1569" spans="1:3" ht="12.75" x14ac:dyDescent="0.2">
      <c r="A1569" s="1" t="str">
        <f ca="1">IFERROR(__xludf.DUMMYFUNCTION("GOOGLETRANSLATE(C1513, ""en"", ""es"")"),"jovial")</f>
        <v>jovial</v>
      </c>
      <c r="B1569" s="1">
        <v>2</v>
      </c>
      <c r="C1569" s="1" t="s">
        <v>1512</v>
      </c>
    </row>
    <row r="1570" spans="1:3" ht="12.75" x14ac:dyDescent="0.2">
      <c r="A1570" s="1" t="str">
        <f ca="1">IFERROR(__xludf.DUMMYFUNCTION("GOOGLETRANSLATE(C1514, ""en"", ""es"")"),"joya")</f>
        <v>joya</v>
      </c>
      <c r="B1570" s="1">
        <v>1</v>
      </c>
      <c r="C1570" s="1" t="s">
        <v>1513</v>
      </c>
    </row>
    <row r="1571" spans="1:3" ht="12.75" x14ac:dyDescent="0.2">
      <c r="A1571" s="1" t="str">
        <f ca="1">IFERROR(__xludf.DUMMYFUNCTION("GOOGLETRANSLATE(C1515, ""en"", ""es"")"),"joyas")</f>
        <v>joyas</v>
      </c>
      <c r="B1571" s="1">
        <v>1</v>
      </c>
      <c r="C1571" s="1" t="s">
        <v>1514</v>
      </c>
    </row>
    <row r="1572" spans="1:3" ht="12.75" x14ac:dyDescent="0.2">
      <c r="A1572" s="1" t="str">
        <f ca="1">IFERROR(__xludf.DUMMYFUNCTION("GOOGLETRANSLATE(C1516, ""en"", ""es"")"),"jubiloso")</f>
        <v>jubiloso</v>
      </c>
      <c r="B1572" s="1">
        <v>3</v>
      </c>
      <c r="C1572" s="1" t="s">
        <v>1515</v>
      </c>
    </row>
    <row r="1573" spans="1:3" ht="12.75" x14ac:dyDescent="0.2">
      <c r="A1573" s="1" t="str">
        <f ca="1">IFERROR(__xludf.DUMMYFUNCTION("GOOGLETRANSLATE(C1517, ""en"", ""es"")"),"jubiloso")</f>
        <v>jubiloso</v>
      </c>
      <c r="B1573" s="1">
        <v>3</v>
      </c>
      <c r="C1573" s="1" t="s">
        <v>1516</v>
      </c>
    </row>
    <row r="1574" spans="1:3" ht="12.75" x14ac:dyDescent="0.2">
      <c r="A1574" s="1" t="str">
        <f ca="1">IFERROR(__xludf.DUMMYFUNCTION("GOOGLETRANSLATE(C1518, ""en"", ""es"")"),"jubiloso")</f>
        <v>jubiloso</v>
      </c>
      <c r="B1574" s="1">
        <v>3</v>
      </c>
      <c r="C1574" s="1" t="s">
        <v>1517</v>
      </c>
    </row>
    <row r="1575" spans="1:3" ht="12.75" x14ac:dyDescent="0.2">
      <c r="A1575" s="1" t="str">
        <f ca="1">IFERROR(__xludf.DUMMYFUNCTION("GOOGLETRANSLATE(C1519, ""en"", ""es"")"),"jubiloso")</f>
        <v>jubiloso</v>
      </c>
      <c r="B1575" s="1">
        <v>3</v>
      </c>
      <c r="C1575" s="1" t="s">
        <v>1518</v>
      </c>
    </row>
    <row r="1576" spans="1:3" ht="12.75" x14ac:dyDescent="0.2">
      <c r="A1576" s="1" t="str">
        <f ca="1">IFERROR(__xludf.DUMMYFUNCTION("GOOGLETRANSLATE(C1520, ""en"", ""es"")"),"juguetón")</f>
        <v>juguetón</v>
      </c>
      <c r="B1576" s="1">
        <v>2</v>
      </c>
      <c r="C1576" s="1" t="s">
        <v>1519</v>
      </c>
    </row>
    <row r="1577" spans="1:3" ht="12.75" x14ac:dyDescent="0.2">
      <c r="A1577" s="1" t="str">
        <f ca="1">IFERROR(__xludf.DUMMYFUNCTION("GOOGLETRANSLATE(C1521, ""en"", ""es"")"),"juicio hipotecario")</f>
        <v>juicio hipotecario</v>
      </c>
      <c r="B1577" s="1">
        <v>-2</v>
      </c>
      <c r="C1577" s="1" t="s">
        <v>1520</v>
      </c>
    </row>
    <row r="1578" spans="1:3" ht="12.75" x14ac:dyDescent="0.2">
      <c r="A1578" s="1" t="str">
        <f ca="1">IFERROR(__xludf.DUMMYFUNCTION("GOOGLETRANSLATE(C1523, ""en"", ""es"")"),"jurar")</f>
        <v>jurar</v>
      </c>
      <c r="B1578" s="1">
        <v>-2</v>
      </c>
      <c r="C1578" s="1" t="s">
        <v>1522</v>
      </c>
    </row>
    <row r="1579" spans="1:3" ht="12.75" x14ac:dyDescent="0.2">
      <c r="A1579" s="1" t="str">
        <f ca="1">IFERROR(__xludf.DUMMYFUNCTION("GOOGLETRANSLATE(C1524, ""en"", ""es"")"),"justa")</f>
        <v>justa</v>
      </c>
      <c r="B1579" s="1">
        <v>2</v>
      </c>
      <c r="C1579" s="1" t="s">
        <v>1523</v>
      </c>
    </row>
    <row r="1580" spans="1:3" ht="12.75" x14ac:dyDescent="0.2">
      <c r="A1580" s="1" t="str">
        <f ca="1">IFERROR(__xludf.DUMMYFUNCTION("GOOGLETRANSLATE(C1525, ""en"", ""es"")"),"justicia")</f>
        <v>justicia</v>
      </c>
      <c r="B1580" s="1">
        <v>2</v>
      </c>
      <c r="C1580" s="1" t="s">
        <v>1524</v>
      </c>
    </row>
    <row r="1581" spans="1:3" ht="12.75" x14ac:dyDescent="0.2">
      <c r="A1581" s="1" t="str">
        <f ca="1">IFERROR(__xludf.DUMMYFUNCTION("GOOGLETRANSLATE(C1526, ""en"", ""es"")"),"justificadamente")</f>
        <v>justificadamente</v>
      </c>
      <c r="B1581" s="1">
        <v>2</v>
      </c>
      <c r="C1581" s="1" t="s">
        <v>1525</v>
      </c>
    </row>
    <row r="1582" spans="1:3" ht="12.75" x14ac:dyDescent="0.2">
      <c r="A1582" s="1" t="str">
        <f ca="1">IFERROR(__xludf.DUMMYFUNCTION("GOOGLETRANSLATE(C1527, ""en"", ""es"")"),"justificado")</f>
        <v>justificado</v>
      </c>
      <c r="B1582" s="1">
        <v>2</v>
      </c>
      <c r="C1582" s="1" t="s">
        <v>1526</v>
      </c>
    </row>
    <row r="1583" spans="1:3" ht="12.75" x14ac:dyDescent="0.2">
      <c r="A1583" s="1" t="str">
        <f ca="1">IFERROR(__xludf.DUMMYFUNCTION("GOOGLETRANSLATE(C1528, ""en"", ""es"")"),"juvenil")</f>
        <v>juvenil</v>
      </c>
      <c r="B1583" s="1">
        <v>2</v>
      </c>
      <c r="C1583" s="1" t="s">
        <v>1527</v>
      </c>
    </row>
    <row r="1584" spans="1:3" ht="12.75" x14ac:dyDescent="0.2">
      <c r="A1584" s="1" t="str">
        <f ca="1">IFERROR(__xludf.DUMMYFUNCTION("GOOGLETRANSLATE(C1534, ""en"", ""es"")"),"ladrón")</f>
        <v>ladrón</v>
      </c>
      <c r="B1584" s="1">
        <v>-2</v>
      </c>
      <c r="C1584" s="1" t="s">
        <v>1533</v>
      </c>
    </row>
    <row r="1585" spans="1:3" ht="12.75" x14ac:dyDescent="0.2">
      <c r="A1585" s="1" t="s">
        <v>2502</v>
      </c>
      <c r="B1585" s="1">
        <v>-2</v>
      </c>
      <c r="C1585" s="1" t="s">
        <v>2501</v>
      </c>
    </row>
    <row r="1586" spans="1:3" ht="12.75" x14ac:dyDescent="0.2">
      <c r="A1586" s="1" t="s">
        <v>2503</v>
      </c>
      <c r="B1586" s="2">
        <v>-2</v>
      </c>
      <c r="C1586" s="1" t="s">
        <v>2504</v>
      </c>
    </row>
    <row r="1587" spans="1:3" ht="12.75" x14ac:dyDescent="0.2">
      <c r="A1587" s="1" t="str">
        <f ca="1">IFERROR(__xludf.DUMMYFUNCTION("GOOGLETRANSLATE(C1536, ""en"", ""es"")"),"lágrimas")</f>
        <v>lágrimas</v>
      </c>
      <c r="B1587" s="1">
        <v>-2</v>
      </c>
      <c r="C1587" s="1" t="s">
        <v>1535</v>
      </c>
    </row>
    <row r="1588" spans="1:3" ht="12.75" x14ac:dyDescent="0.2">
      <c r="A1588" s="1" t="str">
        <f ca="1">IFERROR(__xludf.DUMMYFUNCTION("GOOGLETRANSLATE(C1537, ""en"", ""es"")"),"lamentable")</f>
        <v>lamentable</v>
      </c>
      <c r="B1588" s="1">
        <v>-3</v>
      </c>
      <c r="C1588" s="1" t="s">
        <v>1536</v>
      </c>
    </row>
    <row r="1589" spans="1:3" ht="12.75" x14ac:dyDescent="0.2">
      <c r="A1589" s="1" t="str">
        <f ca="1">IFERROR(__xludf.DUMMYFUNCTION("GOOGLETRANSLATE(C1540, ""en"", ""es"")"),"lamentado")</f>
        <v>lamentado</v>
      </c>
      <c r="B1589" s="1">
        <v>-2</v>
      </c>
      <c r="C1589" s="1" t="s">
        <v>1539</v>
      </c>
    </row>
    <row r="1590" spans="1:3" ht="12.75" x14ac:dyDescent="0.2">
      <c r="A1590" s="1" t="str">
        <f ca="1">IFERROR(__xludf.DUMMYFUNCTION("GOOGLETRANSLATE(C1538, ""en"", ""es"")"),"lamentando")</f>
        <v>lamentando</v>
      </c>
      <c r="B1590" s="1">
        <v>-2</v>
      </c>
      <c r="C1590" s="1" t="s">
        <v>1537</v>
      </c>
    </row>
    <row r="1591" spans="1:3" ht="12.75" x14ac:dyDescent="0.2">
      <c r="A1591" s="1" t="str">
        <f ca="1">IFERROR(__xludf.DUMMYFUNCTION("GOOGLETRANSLATE(C1541, ""en"", ""es"")"),"lánguido")</f>
        <v>lánguido</v>
      </c>
      <c r="B1591" s="1">
        <v>-2</v>
      </c>
      <c r="C1591" s="1" t="s">
        <v>1540</v>
      </c>
    </row>
    <row r="1592" spans="1:3" ht="12.75" x14ac:dyDescent="0.2">
      <c r="A1592" s="1" t="str">
        <f ca="1">IFERROR(__xludf.DUMMYFUNCTION("GOOGLETRANSLATE(C1542, ""en"", ""es"")"),"lanzado")</f>
        <v>lanzado</v>
      </c>
      <c r="B1592" s="1">
        <v>1</v>
      </c>
      <c r="C1592" s="1" t="s">
        <v>1541</v>
      </c>
    </row>
    <row r="1593" spans="1:3" ht="12.75" x14ac:dyDescent="0.2">
      <c r="A1593" s="1" t="str">
        <f ca="1">IFERROR(__xludf.DUMMYFUNCTION("GOOGLETRANSLATE(C1543, ""en"", ""es"")"),"lástima")</f>
        <v>lástima</v>
      </c>
      <c r="B1593" s="1">
        <v>-2</v>
      </c>
      <c r="C1593" s="1" t="s">
        <v>1542</v>
      </c>
    </row>
    <row r="1594" spans="1:3" ht="12.75" x14ac:dyDescent="0.2">
      <c r="A1594" s="1" t="str">
        <f ca="1">IFERROR(__xludf.DUMMYFUNCTION("GOOGLETRANSLATE(C1291, ""en"", ""es"")"),"lastimar")</f>
        <v>lastimar</v>
      </c>
      <c r="B1594" s="1">
        <v>-2</v>
      </c>
      <c r="C1594" s="1" t="s">
        <v>1292</v>
      </c>
    </row>
    <row r="1595" spans="1:3" ht="12.75" x14ac:dyDescent="0.2">
      <c r="A1595" s="1" t="str">
        <f ca="1">IFERROR(__xludf.DUMMYFUNCTION("GOOGLETRANSLATE(C1544, ""en"", ""es"")"),"lastimoso")</f>
        <v>lastimoso</v>
      </c>
      <c r="B1595" s="1">
        <v>-2</v>
      </c>
      <c r="C1595" s="1" t="s">
        <v>1543</v>
      </c>
    </row>
    <row r="1596" spans="1:3" ht="12.75" x14ac:dyDescent="0.2">
      <c r="A1596" s="1" t="str">
        <f ca="1">IFERROR(__xludf.DUMMYFUNCTION("GOOGLETRANSLATE(C1548, ""en"", ""es"")"),"lavado del cerebro")</f>
        <v>lavado del cerebro</v>
      </c>
      <c r="B1596" s="1">
        <v>-3</v>
      </c>
      <c r="C1596" s="1" t="s">
        <v>1547</v>
      </c>
    </row>
    <row r="1597" spans="1:3" ht="12.75" x14ac:dyDescent="0.2">
      <c r="A1597" s="1" t="str">
        <f ca="1">IFERROR(__xludf.DUMMYFUNCTION("GOOGLETRANSLATE(C1549, ""en"", ""es"")"),"lavado verde")</f>
        <v>lavado verde</v>
      </c>
      <c r="B1597" s="1">
        <v>-3</v>
      </c>
      <c r="C1597" s="1" t="s">
        <v>1548</v>
      </c>
    </row>
    <row r="1598" spans="1:3" ht="12.75" x14ac:dyDescent="0.2">
      <c r="A1598" s="1" t="str">
        <f ca="1">IFERROR(__xludf.DUMMYFUNCTION("GOOGLETRANSLATE(C1550, ""en"", ""es"")"),"lavado verde")</f>
        <v>lavado verde</v>
      </c>
      <c r="B1598" s="1">
        <v>-3</v>
      </c>
      <c r="C1598" s="1" t="s">
        <v>1549</v>
      </c>
    </row>
    <row r="1599" spans="1:3" ht="12.75" x14ac:dyDescent="0.2">
      <c r="A1599" s="1" t="str">
        <f ca="1">IFERROR(__xludf.DUMMYFUNCTION("GOOGLETRANSLATE(C1552, ""en"", ""es"")"),"lavado verde")</f>
        <v>lavado verde</v>
      </c>
      <c r="B1599" s="1">
        <v>-3</v>
      </c>
      <c r="C1599" s="1" t="s">
        <v>1551</v>
      </c>
    </row>
    <row r="1600" spans="1:3" ht="12.75" x14ac:dyDescent="0.2">
      <c r="A1600" s="1" t="str">
        <f ca="1">IFERROR(__xludf.DUMMYFUNCTION("GOOGLETRANSLATE(C1265, ""en"", ""es"")"),"lavavajillas")</f>
        <v>lavavajillas</v>
      </c>
      <c r="B1600" s="1">
        <v>-3</v>
      </c>
      <c r="C1600" s="1" t="s">
        <v>1267</v>
      </c>
    </row>
    <row r="1601" spans="1:3" ht="12.75" x14ac:dyDescent="0.2">
      <c r="A1601" s="1" t="str">
        <f ca="1">IFERROR(__xludf.DUMMYFUNCTION("GOOGLETRANSLATE(C1266, ""en"", ""es"")"),"lavavajillas")</f>
        <v>lavavajillas</v>
      </c>
      <c r="B1601" s="1">
        <v>-3</v>
      </c>
      <c r="C1601" s="1" t="s">
        <v>1268</v>
      </c>
    </row>
    <row r="1602" spans="1:3" ht="12.75" x14ac:dyDescent="0.2">
      <c r="A1602" s="1" t="str">
        <f ca="1">IFERROR(__xludf.DUMMYFUNCTION("GOOGLETRANSLATE(C1554, ""en"", ""es"")"),"leal")</f>
        <v>leal</v>
      </c>
      <c r="B1602" s="1">
        <v>3</v>
      </c>
      <c r="C1602" s="1" t="s">
        <v>1553</v>
      </c>
    </row>
    <row r="1603" spans="1:3" ht="12.75" x14ac:dyDescent="0.2">
      <c r="A1603" s="1" t="str">
        <f ca="1">IFERROR(__xludf.DUMMYFUNCTION("GOOGLETRANSLATE(C1555, ""en"", ""es"")"),"lealtad")</f>
        <v>lealtad</v>
      </c>
      <c r="B1603" s="1">
        <v>3</v>
      </c>
      <c r="C1603" s="1" t="s">
        <v>1554</v>
      </c>
    </row>
    <row r="1604" spans="1:3" ht="12.75" x14ac:dyDescent="0.2">
      <c r="A1604" s="1" t="str">
        <f ca="1">IFERROR(__xludf.DUMMYFUNCTION("GOOGLETRANSLATE(C1556, ""en"", ""es"")"),"leer mal")</f>
        <v>leer mal</v>
      </c>
      <c r="B1604" s="1">
        <v>-1</v>
      </c>
      <c r="C1604" s="1" t="s">
        <v>1555</v>
      </c>
    </row>
    <row r="1605" spans="1:3" ht="12.75" x14ac:dyDescent="0.2">
      <c r="A1605" s="1" t="str">
        <f ca="1">IFERROR(__xludf.DUMMYFUNCTION("GOOGLETRANSLATE(C1557, ""en"", ""es"")"),"legal")</f>
        <v>legal</v>
      </c>
      <c r="B1605" s="1">
        <v>1</v>
      </c>
      <c r="C1605" s="1" t="s">
        <v>1556</v>
      </c>
    </row>
    <row r="1606" spans="1:3" ht="12.75" x14ac:dyDescent="0.2">
      <c r="A1606" s="1" t="str">
        <f ca="1">IFERROR(__xludf.DUMMYFUNCTION("GOOGLETRANSLATE(C1558, ""en"", ""es"")"),"legalmente")</f>
        <v>legalmente</v>
      </c>
      <c r="B1606" s="1">
        <v>1</v>
      </c>
      <c r="C1606" s="1" t="s">
        <v>1557</v>
      </c>
    </row>
    <row r="1607" spans="1:3" ht="12.75" x14ac:dyDescent="0.2">
      <c r="A1607" s="1" t="str">
        <f ca="1">IFERROR(__xludf.DUMMYFUNCTION("GOOGLETRANSLATE(C1559, ""en"", ""es"")"),"lento")</f>
        <v>lento</v>
      </c>
      <c r="B1607" s="1">
        <v>-2</v>
      </c>
      <c r="C1607" s="1" t="s">
        <v>1558</v>
      </c>
    </row>
    <row r="1608" spans="1:3" ht="12.75" x14ac:dyDescent="0.2">
      <c r="A1608" s="1" t="str">
        <f ca="1">IFERROR(__xludf.DUMMYFUNCTION("GOOGLETRANSLATE(C1560, ""en"", ""es"")"),"lesión")</f>
        <v>lesión</v>
      </c>
      <c r="B1608" s="1">
        <v>-2</v>
      </c>
      <c r="C1608" s="1" t="s">
        <v>1559</v>
      </c>
    </row>
    <row r="1609" spans="1:3" ht="12.75" x14ac:dyDescent="0.2">
      <c r="A1609" s="1" t="str">
        <f ca="1">IFERROR(__xludf.DUMMYFUNCTION("GOOGLETRANSLATE(C1562, ""en"", ""es"")"),"letárgico")</f>
        <v>letárgico</v>
      </c>
      <c r="B1609" s="1">
        <v>-2</v>
      </c>
      <c r="C1609" s="1" t="s">
        <v>1561</v>
      </c>
    </row>
    <row r="1610" spans="1:3" ht="12.75" x14ac:dyDescent="0.2">
      <c r="A1610" s="1" t="str">
        <f ca="1">IFERROR(__xludf.DUMMYFUNCTION("GOOGLETRANSLATE(C1563, ""en"", ""es"")"),"letargo")</f>
        <v>letargo</v>
      </c>
      <c r="B1610" s="1">
        <v>-2</v>
      </c>
      <c r="C1610" s="1" t="s">
        <v>1562</v>
      </c>
    </row>
    <row r="1611" spans="1:3" ht="12.75" x14ac:dyDescent="0.2">
      <c r="A1611" s="1" t="str">
        <f ca="1">IFERROR(__xludf.DUMMYFUNCTION("GOOGLETRANSLATE(C1553, ""en"", ""es"")"),"ley")</f>
        <v>ley</v>
      </c>
      <c r="B1611" s="1">
        <v>3</v>
      </c>
      <c r="C1611" s="1" t="s">
        <v>1552</v>
      </c>
    </row>
    <row r="1612" spans="1:3" ht="12.75" x14ac:dyDescent="0.2">
      <c r="A1612" s="1" t="str">
        <f ca="1">IFERROR(__xludf.DUMMYFUNCTION("GOOGLETRANSLATE(C1564, ""en"", ""es"")"),"libertad")</f>
        <v>libertad</v>
      </c>
      <c r="B1612" s="1">
        <v>2</v>
      </c>
      <c r="C1612" s="1" t="s">
        <v>1563</v>
      </c>
    </row>
    <row r="1613" spans="1:3" ht="12.75" x14ac:dyDescent="0.2">
      <c r="A1613" s="1" t="str">
        <f ca="1">IFERROR(__xludf.DUMMYFUNCTION("GOOGLETRANSLATE(C1808, ""en"", ""es"")"),"licitación")</f>
        <v>licitación</v>
      </c>
      <c r="B1613" s="1">
        <v>2</v>
      </c>
      <c r="C1613" s="1" t="s">
        <v>1806</v>
      </c>
    </row>
    <row r="1614" spans="1:3" ht="12.75" x14ac:dyDescent="0.2">
      <c r="A1614" s="1" t="str">
        <f ca="1">IFERROR(__xludf.DUMMYFUNCTION("GOOGLETRANSLATE(C1565, ""en"", ""es"")"),"limitación")</f>
        <v>limitación</v>
      </c>
      <c r="B1614" s="1">
        <v>-1</v>
      </c>
      <c r="C1614" s="1" t="s">
        <v>1564</v>
      </c>
    </row>
    <row r="1615" spans="1:3" ht="12.75" x14ac:dyDescent="0.2">
      <c r="A1615" s="1" t="str">
        <f ca="1">IFERROR(__xludf.DUMMYFUNCTION("GOOGLETRANSLATE(C1566, ""en"", ""es"")"),"limitado")</f>
        <v>limitado</v>
      </c>
      <c r="B1615" s="1">
        <v>-1</v>
      </c>
      <c r="C1615" s="1" t="s">
        <v>1565</v>
      </c>
    </row>
    <row r="1616" spans="1:3" ht="12.75" x14ac:dyDescent="0.2">
      <c r="A1616" s="1" t="str">
        <f ca="1">IFERROR(__xludf.DUMMYFUNCTION("GOOGLETRANSLATE(C1567, ""en"", ""es"")"),"límites")</f>
        <v>límites</v>
      </c>
      <c r="B1616" s="1">
        <v>-1</v>
      </c>
      <c r="C1616" s="1" t="s">
        <v>1566</v>
      </c>
    </row>
    <row r="1617" spans="1:3" ht="12.75" x14ac:dyDescent="0.2">
      <c r="A1617" s="1" t="str">
        <f ca="1">IFERROR(__xludf.DUMMYFUNCTION("GOOGLETRANSLATE(C1568, ""en"", ""es"")"),"limpiador")</f>
        <v>limpiador</v>
      </c>
      <c r="B1617" s="1">
        <v>2</v>
      </c>
      <c r="C1617" s="1" t="s">
        <v>1567</v>
      </c>
    </row>
    <row r="1618" spans="1:3" ht="12.75" x14ac:dyDescent="0.2">
      <c r="A1618" s="1" t="str">
        <f ca="1">IFERROR(__xludf.DUMMYFUNCTION("GOOGLETRANSLATE(C1569, ""en"", ""es"")"),"limpio")</f>
        <v>limpio</v>
      </c>
      <c r="B1618" s="1">
        <v>2</v>
      </c>
      <c r="C1618" s="1" t="s">
        <v>1568</v>
      </c>
    </row>
    <row r="1619" spans="1:3" ht="12.75" x14ac:dyDescent="0.2">
      <c r="A1619" s="1" t="str">
        <f ca="1">IFERROR(__xludf.DUMMYFUNCTION("GOOGLETRANSLATE(C1570, ""en"", ""es"")"),"lindo")</f>
        <v>lindo</v>
      </c>
      <c r="B1619" s="1">
        <v>2</v>
      </c>
      <c r="C1619" s="1" t="s">
        <v>1569</v>
      </c>
    </row>
    <row r="1620" spans="1:3" ht="12.75" x14ac:dyDescent="0.2">
      <c r="A1620" s="1" t="str">
        <f ca="1">IFERROR(__xludf.DUMMYFUNCTION("GOOGLETRANSLATE(C1572, ""en"", ""es"")"),"listo")</f>
        <v>listo</v>
      </c>
      <c r="B1620" s="1">
        <v>-2</v>
      </c>
      <c r="C1620" s="1" t="s">
        <v>1571</v>
      </c>
    </row>
    <row r="1621" spans="1:3" ht="12.75" x14ac:dyDescent="0.2">
      <c r="A1621" s="1" t="str">
        <f ca="1">IFERROR(__xludf.DUMMYFUNCTION("GOOGLETRANSLATE(C1573, ""en"", ""es"")"),"litigio")</f>
        <v>litigio</v>
      </c>
      <c r="B1621" s="1">
        <v>-1</v>
      </c>
      <c r="C1621" s="1" t="s">
        <v>1572</v>
      </c>
    </row>
    <row r="1622" spans="1:3" ht="12.75" x14ac:dyDescent="0.2">
      <c r="A1622" s="1" t="str">
        <f ca="1">IFERROR(__xludf.DUMMYFUNCTION("GOOGLETRANSLATE(C1574, ""en"", ""es"")"),"litigioso")</f>
        <v>litigioso</v>
      </c>
      <c r="B1622" s="1">
        <v>-2</v>
      </c>
      <c r="C1622" s="1" t="s">
        <v>1573</v>
      </c>
    </row>
    <row r="1623" spans="1:3" ht="12.75" x14ac:dyDescent="0.2">
      <c r="A1623" s="1" t="str">
        <f ca="1">IFERROR(__xludf.DUMMYFUNCTION("GOOGLETRANSLATE(C1575, ""en"", ""es"")"),"lívido")</f>
        <v>lívido</v>
      </c>
      <c r="B1623" s="1">
        <v>-2</v>
      </c>
      <c r="C1623" s="1" t="s">
        <v>1574</v>
      </c>
    </row>
    <row r="1624" spans="1:3" ht="12.75" x14ac:dyDescent="0.2">
      <c r="A1624" s="1" t="str">
        <f ca="1">IFERROR(__xludf.DUMMYFUNCTION("GOOGLETRANSLATE(C1576, ""en"", ""es"")"),"llanto")</f>
        <v>llanto</v>
      </c>
      <c r="B1624" s="1">
        <v>-2</v>
      </c>
      <c r="C1624" s="1" t="s">
        <v>1575</v>
      </c>
    </row>
    <row r="1625" spans="1:3" ht="12.75" x14ac:dyDescent="0.2">
      <c r="A1625" s="1" t="str">
        <f ca="1">IFERROR(__xludf.DUMMYFUNCTION("GOOGLETRANSLATE(C1577, ""en"", ""es"")"),"llantos")</f>
        <v>llantos</v>
      </c>
      <c r="B1625" s="1">
        <v>-2</v>
      </c>
      <c r="C1625" s="1" t="s">
        <v>1576</v>
      </c>
    </row>
    <row r="1626" spans="1:3" ht="12.75" x14ac:dyDescent="0.2">
      <c r="A1626" s="1" t="str">
        <f ca="1">IFERROR(__xludf.DUMMYFUNCTION("GOOGLETRANSLATE(C1579, ""en"", ""es"")"),"lleno de alegría")</f>
        <v>lleno de alegría</v>
      </c>
      <c r="B1626" s="1">
        <v>4</v>
      </c>
      <c r="C1626" s="1" t="s">
        <v>1578</v>
      </c>
    </row>
    <row r="1627" spans="1:3" ht="12.75" x14ac:dyDescent="0.2">
      <c r="A1627" s="1" t="str">
        <f ca="1">IFERROR(__xludf.DUMMYFUNCTION("GOOGLETRANSLATE(C1580, ""en"", ""es"")"),"lleno de savia")</f>
        <v>lleno de savia</v>
      </c>
      <c r="B1627" s="1">
        <v>-1</v>
      </c>
      <c r="C1627" s="1" t="s">
        <v>1579</v>
      </c>
    </row>
    <row r="1628" spans="1:3" ht="12.75" x14ac:dyDescent="0.2">
      <c r="A1628" s="1" t="str">
        <f ca="1">IFERROR(__xludf.DUMMYFUNCTION("GOOGLETRANSLATE(C1581, ""en"", ""es"")"),"llorado")</f>
        <v>llorado</v>
      </c>
      <c r="B1628" s="1">
        <v>-2</v>
      </c>
      <c r="C1628" s="1" t="s">
        <v>1580</v>
      </c>
    </row>
    <row r="1629" spans="1:3" ht="12.75" x14ac:dyDescent="0.2">
      <c r="A1629" s="1" t="str">
        <f ca="1">IFERROR(__xludf.DUMMYFUNCTION("GOOGLETRANSLATE(C1582, ""en"", ""es"")"),"llorado")</f>
        <v>llorado</v>
      </c>
      <c r="B1629" s="1">
        <v>-2</v>
      </c>
      <c r="C1629" s="1" t="s">
        <v>1581</v>
      </c>
    </row>
    <row r="1630" spans="1:3" ht="12.75" x14ac:dyDescent="0.2">
      <c r="A1630" s="1" t="str">
        <f ca="1">IFERROR(__xludf.DUMMYFUNCTION("GOOGLETRANSLATE(C1583, ""en"", ""es"")"),"llorando")</f>
        <v>llorando</v>
      </c>
      <c r="B1630" s="1">
        <v>-2</v>
      </c>
      <c r="C1630" s="1" t="s">
        <v>1582</v>
      </c>
    </row>
    <row r="1631" spans="1:3" ht="12.75" x14ac:dyDescent="0.2">
      <c r="A1631" s="1" t="s">
        <v>2500</v>
      </c>
      <c r="B1631" s="1">
        <v>-2</v>
      </c>
      <c r="C1631" s="1" t="s">
        <v>1582</v>
      </c>
    </row>
    <row r="1632" spans="1:3" ht="12.75" x14ac:dyDescent="0.2">
      <c r="A1632" s="1" t="str">
        <f ca="1">IFERROR(__xludf.DUMMYFUNCTION("GOOGLETRANSLATE(C1584, ""en"", ""es"")"),"llorar")</f>
        <v>llorar</v>
      </c>
      <c r="B1632" s="1">
        <v>-1</v>
      </c>
      <c r="C1632" s="1" t="s">
        <v>1583</v>
      </c>
    </row>
    <row r="1633" spans="1:3" ht="12.75" x14ac:dyDescent="0.2">
      <c r="A1633" s="1" t="str">
        <f ca="1">IFERROR(__xludf.DUMMYFUNCTION("GOOGLETRANSLATE(C1585, ""en"", ""es"")"),"llorar")</f>
        <v>llorar</v>
      </c>
      <c r="B1633" s="1">
        <v>-2</v>
      </c>
      <c r="C1633" s="1" t="s">
        <v>1584</v>
      </c>
    </row>
    <row r="1634" spans="1:3" ht="12.75" x14ac:dyDescent="0.2">
      <c r="A1634" s="1" t="str">
        <f ca="1">IFERROR(__xludf.DUMMYFUNCTION("GOOGLETRANSLATE(C1586, ""en"", ""es"")"),"llorar")</f>
        <v>llorar</v>
      </c>
      <c r="B1634" s="1">
        <v>-2</v>
      </c>
      <c r="C1634" s="1" t="s">
        <v>1585</v>
      </c>
    </row>
    <row r="1635" spans="1:3" ht="12.75" x14ac:dyDescent="0.2">
      <c r="A1635" s="1" t="str">
        <f ca="1">IFERROR(__xludf.DUMMYFUNCTION("GOOGLETRANSLATE(C1587, ""en"", ""es"")"),"lluvioso")</f>
        <v>lluvioso</v>
      </c>
      <c r="B1635" s="1">
        <v>-1</v>
      </c>
      <c r="C1635" s="1" t="s">
        <v>1586</v>
      </c>
    </row>
    <row r="1636" spans="1:3" ht="12.75" x14ac:dyDescent="0.2">
      <c r="A1636" s="1" t="str">
        <f ca="1">IFERROR(__xludf.DUMMYFUNCTION("GOOGLETRANSLATE(C1588, ""en"", ""es"")"),"lmao")</f>
        <v>lmao</v>
      </c>
      <c r="B1636" s="1">
        <v>4</v>
      </c>
      <c r="C1636" s="1" t="s">
        <v>1587</v>
      </c>
    </row>
    <row r="1637" spans="1:3" ht="12.75" x14ac:dyDescent="0.2">
      <c r="A1637" s="1" t="str">
        <f ca="1">IFERROR(__xludf.DUMMYFUNCTION("GOOGLETRANSLATE(C1589, ""en"", ""es"")"),"lmfao")</f>
        <v>lmfao</v>
      </c>
      <c r="B1637" s="1">
        <v>4</v>
      </c>
      <c r="C1637" s="1" t="s">
        <v>1588</v>
      </c>
    </row>
    <row r="1638" spans="1:3" ht="12.75" x14ac:dyDescent="0.2">
      <c r="A1638" s="1" t="str">
        <f ca="1">IFERROR(__xludf.DUMMYFUNCTION("GOOGLETRANSLATE(C1592, ""en"", ""es"")"),"locamente")</f>
        <v>locamente</v>
      </c>
      <c r="B1638" s="1">
        <v>-3</v>
      </c>
      <c r="C1638" s="1" t="s">
        <v>1591</v>
      </c>
    </row>
    <row r="1639" spans="1:3" ht="12.75" x14ac:dyDescent="0.2">
      <c r="A1639" s="1" t="str">
        <f ca="1">IFERROR(__xludf.DUMMYFUNCTION("GOOGLETRANSLATE(C958, ""en"", ""es"")"),"loco")</f>
        <v>loco</v>
      </c>
      <c r="B1639" s="1">
        <v>-3</v>
      </c>
      <c r="C1639" s="1" t="s">
        <v>960</v>
      </c>
    </row>
    <row r="1640" spans="1:3" ht="12.75" x14ac:dyDescent="0.2">
      <c r="A1640" s="1" t="str">
        <f ca="1">IFERROR(__xludf.DUMMYFUNCTION("GOOGLETRANSLATE(C1441, ""en"", ""es"")"),"loco")</f>
        <v>loco</v>
      </c>
      <c r="B1640" s="1">
        <v>-2</v>
      </c>
      <c r="C1640" s="1" t="s">
        <v>1442</v>
      </c>
    </row>
    <row r="1641" spans="1:3" ht="12.75" x14ac:dyDescent="0.2">
      <c r="A1641" s="1" t="str">
        <f ca="1">IFERROR(__xludf.DUMMYFUNCTION("GOOGLETRANSLATE(C1591, ""en"", ""es"")"),"loco")</f>
        <v>loco</v>
      </c>
      <c r="B1641" s="1">
        <v>-2</v>
      </c>
      <c r="C1641" s="1" t="s">
        <v>1590</v>
      </c>
    </row>
    <row r="1642" spans="1:3" ht="12.75" x14ac:dyDescent="0.2">
      <c r="A1642" s="1" t="str">
        <f ca="1">IFERROR(__xludf.DUMMYFUNCTION("GOOGLETRANSLATE(C1595, ""en"", ""es"")"),"locura")</f>
        <v>locura</v>
      </c>
      <c r="B1642" s="1">
        <v>-2</v>
      </c>
      <c r="C1642" s="1" t="s">
        <v>1594</v>
      </c>
    </row>
    <row r="1643" spans="1:3" ht="12.75" x14ac:dyDescent="0.2">
      <c r="A1643" s="1" t="str">
        <f ca="1">IFERROR(__xludf.DUMMYFUNCTION("GOOGLETRANSLATE(C1596, ""en"", ""es"")"),"Locura")</f>
        <v>Locura</v>
      </c>
      <c r="B1643" s="1">
        <v>-3</v>
      </c>
      <c r="C1643" s="1" t="s">
        <v>1595</v>
      </c>
    </row>
    <row r="1644" spans="1:3" ht="12.75" x14ac:dyDescent="0.2">
      <c r="A1644" s="1" t="str">
        <f ca="1">IFERROR(__xludf.DUMMYFUNCTION("GOOGLETRANSLATE(C1597, ""en"", ""es"")"),"logra")</f>
        <v>logra</v>
      </c>
      <c r="B1644" s="1">
        <v>2</v>
      </c>
      <c r="C1644" s="1" t="s">
        <v>1596</v>
      </c>
    </row>
    <row r="1645" spans="1:3" ht="12.75" x14ac:dyDescent="0.2">
      <c r="A1645" s="1" t="str">
        <f ca="1">IFERROR(__xludf.DUMMYFUNCTION("GOOGLETRANSLATE(C563, ""en"", ""es"")"),"logrado")</f>
        <v>logrado</v>
      </c>
      <c r="B1645" s="1">
        <v>2</v>
      </c>
      <c r="C1645" s="1" t="s">
        <v>562</v>
      </c>
    </row>
    <row r="1646" spans="1:3" ht="12.75" x14ac:dyDescent="0.2">
      <c r="A1646" s="1" t="str">
        <f ca="1">IFERROR(__xludf.DUMMYFUNCTION("GOOGLETRANSLATE(C1602, ""en"", ""es"")"),"lucha")</f>
        <v>lucha</v>
      </c>
      <c r="B1646" s="1">
        <v>-2</v>
      </c>
      <c r="C1646" s="1" t="s">
        <v>1600</v>
      </c>
    </row>
    <row r="1647" spans="1:3" ht="12.75" x14ac:dyDescent="0.2">
      <c r="A1647" s="1" t="str">
        <f ca="1">IFERROR(__xludf.DUMMYFUNCTION("GOOGLETRANSLATE(C1603, ""en"", ""es"")"),"luchado")</f>
        <v>luchado</v>
      </c>
      <c r="B1647" s="1">
        <v>-2</v>
      </c>
      <c r="C1647" s="1" t="s">
        <v>1601</v>
      </c>
    </row>
    <row r="1648" spans="1:3" ht="12.75" x14ac:dyDescent="0.2">
      <c r="A1648" s="1" t="str">
        <f ca="1">IFERROR(__xludf.DUMMYFUNCTION("GOOGLETRANSLATE(C1604, ""en"", ""es"")"),"luchando")</f>
        <v>luchando</v>
      </c>
      <c r="B1648" s="1">
        <v>-2</v>
      </c>
      <c r="C1648" s="1" t="s">
        <v>1602</v>
      </c>
    </row>
    <row r="1649" spans="1:3" ht="12.75" x14ac:dyDescent="0.2">
      <c r="A1649" s="1" t="str">
        <f ca="1">IFERROR(__xludf.DUMMYFUNCTION("GOOGLETRANSLATE(C1605, ""en"", ""es"")"),"luchas")</f>
        <v>luchas</v>
      </c>
      <c r="B1649" s="1">
        <v>-2</v>
      </c>
      <c r="C1649" s="1" t="s">
        <v>1603</v>
      </c>
    </row>
    <row r="1650" spans="1:3" ht="12.75" x14ac:dyDescent="0.2">
      <c r="A1650" s="1" t="str">
        <f ca="1">IFERROR(__xludf.DUMMYFUNCTION("GOOGLETRANSLATE(C1606, ""en"", ""es"")"),"lúgubre")</f>
        <v>lúgubre</v>
      </c>
      <c r="B1650" s="1">
        <v>-2</v>
      </c>
      <c r="C1650" s="1" t="s">
        <v>1604</v>
      </c>
    </row>
    <row r="1651" spans="1:3" ht="12.75" x14ac:dyDescent="0.2">
      <c r="A1651" s="1" t="str">
        <f ca="1">IFERROR(__xludf.DUMMYFUNCTION("GOOGLETRANSLATE(C1607, ""en"", ""es"")"),"lunático")</f>
        <v>lunático</v>
      </c>
      <c r="B1651" s="1">
        <v>-3</v>
      </c>
      <c r="C1651" s="1" t="s">
        <v>1605</v>
      </c>
    </row>
    <row r="1652" spans="1:3" ht="12.75" x14ac:dyDescent="0.2">
      <c r="A1652" s="1" t="str">
        <f ca="1">IFERROR(__xludf.DUMMYFUNCTION("GOOGLETRANSLATE(C1594, ""en"", ""es"")"),"lunáticos")</f>
        <v>lunáticos</v>
      </c>
      <c r="B1652" s="1">
        <v>-3</v>
      </c>
      <c r="C1652" s="1" t="s">
        <v>1593</v>
      </c>
    </row>
    <row r="1653" spans="1:3" ht="12.75" x14ac:dyDescent="0.2">
      <c r="A1653" s="1" t="str">
        <f ca="1">IFERROR(__xludf.DUMMYFUNCTION("GOOGLETRANSLATE(C1608, ""en"", ""es"")"),"luto")</f>
        <v>luto</v>
      </c>
      <c r="B1653" s="1">
        <v>-2</v>
      </c>
      <c r="C1653" s="1" t="s">
        <v>1606</v>
      </c>
    </row>
    <row r="1654" spans="1:3" ht="12.75" x14ac:dyDescent="0.2">
      <c r="A1654" s="1" t="str">
        <f ca="1">IFERROR(__xludf.DUMMYFUNCTION("GOOGLETRANSLATE(C1609, ""en"", ""es"")"),"maduro")</f>
        <v>maduro</v>
      </c>
      <c r="B1654" s="1">
        <v>2</v>
      </c>
      <c r="C1654" s="1" t="s">
        <v>1607</v>
      </c>
    </row>
    <row r="1655" spans="1:3" ht="12.75" x14ac:dyDescent="0.2">
      <c r="A1655" s="1" t="str">
        <f ca="1">IFERROR(__xludf.DUMMYFUNCTION("GOOGLETRANSLATE(C1610, ""en"", ""es"")"),"magnífico")</f>
        <v>magnífico</v>
      </c>
      <c r="B1655" s="1">
        <v>5</v>
      </c>
      <c r="C1655" s="1" t="s">
        <v>1608</v>
      </c>
    </row>
    <row r="1656" spans="1:3" ht="12.75" x14ac:dyDescent="0.2">
      <c r="A1656" s="1" t="str">
        <f ca="1">IFERROR(__xludf.DUMMYFUNCTION("GOOGLETRANSLATE(C1612, ""en"", ""es"")"),"mal")</f>
        <v>mal</v>
      </c>
      <c r="B1656" s="1">
        <v>-3</v>
      </c>
      <c r="C1656" s="1" t="s">
        <v>1610</v>
      </c>
    </row>
    <row r="1657" spans="1:3" ht="12.75" x14ac:dyDescent="0.2">
      <c r="A1657" s="1" t="str">
        <f ca="1">IFERROR(__xludf.DUMMYFUNCTION("GOOGLETRANSLATE(C1421, ""en"", ""es"")"),"mal información")</f>
        <v>mal información</v>
      </c>
      <c r="B1657" s="1">
        <v>-2</v>
      </c>
      <c r="C1657" s="1" t="s">
        <v>1422</v>
      </c>
    </row>
    <row r="1658" spans="1:3" ht="12.75" x14ac:dyDescent="0.2">
      <c r="A1658" s="1" t="str">
        <f ca="1">IFERROR(__xludf.DUMMYFUNCTION("GOOGLETRANSLATE(C1615, ""en"", ""es"")"),"mal informado")</f>
        <v>mal informado</v>
      </c>
      <c r="B1658" s="1">
        <v>-2</v>
      </c>
      <c r="C1658" s="1" t="s">
        <v>1613</v>
      </c>
    </row>
    <row r="1659" spans="1:3" ht="12.75" x14ac:dyDescent="0.2">
      <c r="A1659" s="1" t="str">
        <f ca="1">IFERROR(__xludf.DUMMYFUNCTION("GOOGLETRANSLATE(C1616, ""en"", ""es"")"),"maldición")</f>
        <v>maldición</v>
      </c>
      <c r="B1659" s="1">
        <v>-1</v>
      </c>
      <c r="C1659" s="1" t="s">
        <v>1614</v>
      </c>
    </row>
    <row r="1660" spans="1:3" ht="12.75" x14ac:dyDescent="0.2">
      <c r="A1660" s="1" t="str">
        <f ca="1">IFERROR(__xludf.DUMMYFUNCTION("GOOGLETRANSLATE(C1617, ""en"", ""es"")"),"maldición")</f>
        <v>maldición</v>
      </c>
      <c r="B1660" s="1">
        <v>-4</v>
      </c>
      <c r="C1660" s="1" t="s">
        <v>1615</v>
      </c>
    </row>
    <row r="1661" spans="1:3" ht="12.75" x14ac:dyDescent="0.2">
      <c r="A1661" s="1" t="str">
        <f ca="1">IFERROR(__xludf.DUMMYFUNCTION("GOOGLETRANSLATE(C1618, ""en"", ""es"")"),"maldición")</f>
        <v>maldición</v>
      </c>
      <c r="B1661" s="1">
        <v>-4</v>
      </c>
      <c r="C1661" s="1" t="s">
        <v>1616</v>
      </c>
    </row>
    <row r="1662" spans="1:3" ht="12.75" x14ac:dyDescent="0.2">
      <c r="A1662" s="1" t="str">
        <f ca="1">IFERROR(__xludf.DUMMYFUNCTION("GOOGLETRANSLATE(C2333, ""en"", ""es"")"),"maldición")</f>
        <v>maldición</v>
      </c>
      <c r="B1662" s="1">
        <v>-2</v>
      </c>
      <c r="C1662" s="1" t="s">
        <v>2329</v>
      </c>
    </row>
    <row r="1663" spans="1:3" ht="12.75" x14ac:dyDescent="0.2">
      <c r="A1663" s="1" t="str">
        <f ca="1">IFERROR(__xludf.DUMMYFUNCTION("GOOGLETRANSLATE(C1522, ""en"", ""es"")"),"maldita")</f>
        <v>maldita</v>
      </c>
      <c r="B1663" s="1">
        <v>-2</v>
      </c>
      <c r="C1663" s="1" t="s">
        <v>1521</v>
      </c>
    </row>
    <row r="1664" spans="1:3" ht="12.75" x14ac:dyDescent="0.2">
      <c r="A1664" s="1" t="str">
        <f ca="1">IFERROR(__xludf.DUMMYFUNCTION("GOOGLETRANSLATE(C1619, ""en"", ""es"")"),"maldito")</f>
        <v>maldito</v>
      </c>
      <c r="B1664" s="1">
        <v>-4</v>
      </c>
      <c r="C1664" s="1" t="s">
        <v>1617</v>
      </c>
    </row>
    <row r="1665" spans="1:3" ht="12.75" x14ac:dyDescent="0.2">
      <c r="A1665" s="1" t="str">
        <f ca="1">IFERROR(__xludf.DUMMYFUNCTION("GOOGLETRANSLATE(C1620, ""en"", ""es"")"),"maldito")</f>
        <v>maldito</v>
      </c>
      <c r="B1665" s="1">
        <v>-4</v>
      </c>
      <c r="C1665" s="1" t="s">
        <v>1618</v>
      </c>
    </row>
    <row r="1666" spans="1:3" ht="12.75" x14ac:dyDescent="0.2">
      <c r="A1666" s="1" t="str">
        <f ca="1">IFERROR(__xludf.DUMMYFUNCTION("GOOGLETRANSLATE(C1621, ""en"", ""es"")"),"maldito")</f>
        <v>maldito</v>
      </c>
      <c r="B1666" s="1">
        <v>-3</v>
      </c>
      <c r="C1666" s="1" t="s">
        <v>1619</v>
      </c>
    </row>
    <row r="1667" spans="1:3" ht="12.75" x14ac:dyDescent="0.2">
      <c r="A1667" s="1" t="str">
        <f ca="1">IFERROR(__xludf.DUMMYFUNCTION("GOOGLETRANSLATE(C1622, ""en"", ""es"")"),"maldito")</f>
        <v>maldito</v>
      </c>
      <c r="B1667" s="1">
        <v>-2</v>
      </c>
      <c r="C1667" s="1" t="s">
        <v>1620</v>
      </c>
    </row>
    <row r="1668" spans="1:3" ht="12.75" x14ac:dyDescent="0.2">
      <c r="A1668" s="1" t="str">
        <f ca="1">IFERROR(__xludf.DUMMYFUNCTION("GOOGLETRANSLATE(C2003, ""en"", ""es"")"),"maldito")</f>
        <v>maldito</v>
      </c>
      <c r="B1668" s="1">
        <v>-5</v>
      </c>
      <c r="C1668" s="1" t="s">
        <v>2001</v>
      </c>
    </row>
    <row r="1669" spans="1:3" ht="12.75" x14ac:dyDescent="0.2">
      <c r="A1669" s="1" t="str">
        <f ca="1">IFERROR(__xludf.DUMMYFUNCTION("GOOGLETRANSLATE(C1623, ""en"", ""es"")"),"malentendido")</f>
        <v>malentendido</v>
      </c>
      <c r="B1669" s="1">
        <v>-2</v>
      </c>
      <c r="C1669" s="1" t="s">
        <v>1621</v>
      </c>
    </row>
    <row r="1670" spans="1:3" ht="12.75" x14ac:dyDescent="0.2">
      <c r="A1670" s="1" t="str">
        <f ca="1">IFERROR(__xludf.DUMMYFUNCTION("GOOGLETRANSLATE(C1625, ""en"", ""es"")"),"malévolo")</f>
        <v>malévolo</v>
      </c>
      <c r="B1670" s="1">
        <v>-2</v>
      </c>
      <c r="C1670" s="1" t="s">
        <v>1623</v>
      </c>
    </row>
    <row r="1671" spans="1:3" ht="12.75" x14ac:dyDescent="0.2">
      <c r="A1671" s="1" t="str">
        <f ca="1">IFERROR(__xludf.DUMMYFUNCTION("GOOGLETRANSLATE(C1932, ""en"", ""es"")"),"malhechado")</f>
        <v>malhechado</v>
      </c>
      <c r="B1671" s="1">
        <v>-2</v>
      </c>
      <c r="C1671" s="1" t="s">
        <v>1930</v>
      </c>
    </row>
    <row r="1672" spans="1:3" ht="12.75" x14ac:dyDescent="0.2">
      <c r="A1672" s="1" t="str">
        <f ca="1">IFERROR(__xludf.DUMMYFUNCTION("GOOGLETRANSLATE(C1931, ""en"", ""es"")"),"malhechas")</f>
        <v>malhechas</v>
      </c>
      <c r="B1672" s="1">
        <v>-2</v>
      </c>
      <c r="C1672" s="1" t="s">
        <v>1929</v>
      </c>
    </row>
    <row r="1673" spans="1:3" ht="12.75" x14ac:dyDescent="0.2">
      <c r="A1673" s="1" t="str">
        <f ca="1">IFERROR(__xludf.DUMMYFUNCTION("GOOGLETRANSLATE(C1613, ""en"", ""es"")"),"malhechor")</f>
        <v>malhechor</v>
      </c>
      <c r="B1673" s="1">
        <v>-2</v>
      </c>
      <c r="C1673" s="1" t="s">
        <v>1611</v>
      </c>
    </row>
    <row r="1674" spans="1:3" ht="12.75" x14ac:dyDescent="0.2">
      <c r="A1674" s="1" t="str">
        <f ca="1">IFERROR(__xludf.DUMMYFUNCTION("GOOGLETRANSLATE(C1614, ""en"", ""es"")"),"malhuminado")</f>
        <v>malhuminado</v>
      </c>
      <c r="B1674" s="1">
        <v>-2</v>
      </c>
      <c r="C1674" s="1" t="s">
        <v>1612</v>
      </c>
    </row>
    <row r="1675" spans="1:3" ht="12.75" x14ac:dyDescent="0.2">
      <c r="A1675" s="1" t="str">
        <f ca="1">IFERROR(__xludf.DUMMYFUNCTION("GOOGLETRANSLATE(C1626, ""en"", ""es"")"),"malhumorado")</f>
        <v>malhumorado</v>
      </c>
      <c r="B1675" s="1">
        <v>-2</v>
      </c>
      <c r="C1675" s="1" t="s">
        <v>1624</v>
      </c>
    </row>
    <row r="1676" spans="1:3" ht="12.75" x14ac:dyDescent="0.2">
      <c r="A1676" s="1" t="str">
        <f ca="1">IFERROR(__xludf.DUMMYFUNCTION("GOOGLETRANSLATE(C1627, ""en"", ""es"")"),"malhumorado")</f>
        <v>malhumorado</v>
      </c>
      <c r="B1676" s="1">
        <v>-2</v>
      </c>
      <c r="C1676" s="1" t="s">
        <v>1625</v>
      </c>
    </row>
    <row r="1677" spans="1:3" ht="12.75" x14ac:dyDescent="0.2">
      <c r="A1677" s="1" t="str">
        <f ca="1">IFERROR(__xludf.DUMMYFUNCTION("GOOGLETRANSLATE(C1628, ""en"", ""es"")"),"malinterpretado")</f>
        <v>malinterpretado</v>
      </c>
      <c r="B1677" s="1">
        <v>-2</v>
      </c>
      <c r="C1677" s="1" t="s">
        <v>1626</v>
      </c>
    </row>
    <row r="1678" spans="1:3" ht="12.75" x14ac:dyDescent="0.2">
      <c r="A1678" s="1" t="str">
        <f ca="1">IFERROR(__xludf.DUMMYFUNCTION("GOOGLETRANSLATE(C963, ""en"", ""es"")"),"malinterpretan")</f>
        <v>malinterpretan</v>
      </c>
      <c r="B1678" s="1">
        <v>-2</v>
      </c>
      <c r="C1678" s="1" t="s">
        <v>965</v>
      </c>
    </row>
    <row r="1679" spans="1:3" ht="12.75" x14ac:dyDescent="0.2">
      <c r="A1679" s="1" t="str">
        <f ca="1">IFERROR(__xludf.DUMMYFUNCTION("GOOGLETRANSLATE(C1629, ""en"", ""es"")"),"malo")</f>
        <v>malo</v>
      </c>
      <c r="B1679" s="1">
        <v>-3</v>
      </c>
      <c r="C1679" s="1" t="s">
        <v>1627</v>
      </c>
    </row>
    <row r="1680" spans="1:3" ht="12.75" x14ac:dyDescent="0.2">
      <c r="A1680" s="1" t="str">
        <f ca="1">IFERROR(__xludf.DUMMYFUNCTION("GOOGLETRANSLATE(C1630, ""en"", ""es"")"),"malvado")</f>
        <v>malvado</v>
      </c>
      <c r="B1680" s="1">
        <v>-2</v>
      </c>
      <c r="C1680" s="1" t="s">
        <v>1628</v>
      </c>
    </row>
    <row r="1681" spans="1:3" ht="12.75" x14ac:dyDescent="0.2">
      <c r="A1681" s="1" t="str">
        <f ca="1">IFERROR(__xludf.DUMMYFUNCTION("GOOGLETRANSLATE(C1632, ""en"", ""es"")"),"manifestantes")</f>
        <v>manifestantes</v>
      </c>
      <c r="B1681" s="1">
        <v>-2</v>
      </c>
      <c r="C1681" s="1" t="s">
        <v>1630</v>
      </c>
    </row>
    <row r="1682" spans="1:3" ht="12.75" x14ac:dyDescent="0.2">
      <c r="A1682" s="1" t="str">
        <f ca="1">IFERROR(__xludf.DUMMYFUNCTION("GOOGLETRANSLATE(C1633, ""en"", ""es"")"),"manipulación")</f>
        <v>manipulación</v>
      </c>
      <c r="B1682" s="1">
        <v>-1</v>
      </c>
      <c r="C1682" s="1" t="s">
        <v>1631</v>
      </c>
    </row>
    <row r="1683" spans="1:3" ht="12.75" x14ac:dyDescent="0.2">
      <c r="A1683" s="1" t="str">
        <f ca="1">IFERROR(__xludf.DUMMYFUNCTION("GOOGLETRANSLATE(C1634, ""en"", ""es"")"),"manipulación")</f>
        <v>manipulación</v>
      </c>
      <c r="B1683" s="1">
        <v>-1</v>
      </c>
      <c r="C1683" s="1" t="s">
        <v>1632</v>
      </c>
    </row>
    <row r="1684" spans="1:3" ht="12.75" x14ac:dyDescent="0.2">
      <c r="A1684" s="1" t="str">
        <f ca="1">IFERROR(__xludf.DUMMYFUNCTION("GOOGLETRANSLATE(C1635, ""en"", ""es"")"),"manipulado")</f>
        <v>manipulado</v>
      </c>
      <c r="B1684" s="1">
        <v>-1</v>
      </c>
      <c r="C1684" s="1" t="s">
        <v>1633</v>
      </c>
    </row>
    <row r="1685" spans="1:3" ht="12.75" x14ac:dyDescent="0.2">
      <c r="A1685" s="1" t="str">
        <f ca="1">IFERROR(__xludf.DUMMYFUNCTION("GOOGLETRANSLATE(C1636, ""en"", ""es"")"),"maravilla")</f>
        <v>maravilla</v>
      </c>
      <c r="B1685" s="1">
        <v>3</v>
      </c>
      <c r="C1685" s="1" t="s">
        <v>1634</v>
      </c>
    </row>
    <row r="1686" spans="1:3" ht="12.75" x14ac:dyDescent="0.2">
      <c r="A1686" s="1" t="str">
        <f ca="1">IFERROR(__xludf.DUMMYFUNCTION("GOOGLETRANSLATE(C1637, ""en"", ""es"")"),"maravillas")</f>
        <v>maravillas</v>
      </c>
      <c r="B1686" s="1">
        <v>3</v>
      </c>
      <c r="C1686" s="1" t="s">
        <v>1635</v>
      </c>
    </row>
    <row r="1687" spans="1:3" ht="12.75" x14ac:dyDescent="0.2">
      <c r="A1687" s="1" t="str">
        <f ca="1">IFERROR(__xludf.DUMMYFUNCTION("GOOGLETRANSLATE(C1638, ""en"", ""es"")"),"maravilloso")</f>
        <v>maravilloso</v>
      </c>
      <c r="B1687" s="1">
        <v>3</v>
      </c>
      <c r="C1687" s="1" t="s">
        <v>1636</v>
      </c>
    </row>
    <row r="1688" spans="1:3" ht="12.75" x14ac:dyDescent="0.2">
      <c r="A1688" s="1" t="str">
        <f ca="1">IFERROR(__xludf.DUMMYFUNCTION("GOOGLETRANSLATE(C1640, ""en"", ""es"")"),"maravilloso")</f>
        <v>maravilloso</v>
      </c>
      <c r="B1688" s="1">
        <v>4</v>
      </c>
      <c r="C1688" s="1" t="s">
        <v>1638</v>
      </c>
    </row>
    <row r="1689" spans="1:3" ht="12.75" x14ac:dyDescent="0.2">
      <c r="A1689" s="1" t="str">
        <f ca="1">IFERROR(__xludf.DUMMYFUNCTION("GOOGLETRANSLATE(C1641, ""en"", ""es"")"),"mareado")</f>
        <v>mareado</v>
      </c>
      <c r="B1689" s="1">
        <v>-1</v>
      </c>
      <c r="C1689" s="1" t="s">
        <v>1639</v>
      </c>
    </row>
    <row r="1690" spans="1:3" ht="12.75" x14ac:dyDescent="0.2">
      <c r="A1690" s="1" t="str">
        <f ca="1">IFERROR(__xludf.DUMMYFUNCTION("GOOGLETRANSLATE(C1642, ""en"", ""es"")"),"mareado")</f>
        <v>mareado</v>
      </c>
      <c r="B1690" s="1">
        <v>-2</v>
      </c>
      <c r="C1690" s="1" t="s">
        <v>1640</v>
      </c>
    </row>
    <row r="1691" spans="1:3" ht="12.75" x14ac:dyDescent="0.2">
      <c r="A1691" s="1" t="str">
        <f ca="1">IFERROR(__xludf.DUMMYFUNCTION("GOOGLETRANSLATE(C1643, ""en"", ""es"")"),"maricón")</f>
        <v>maricón</v>
      </c>
      <c r="B1691" s="1">
        <v>-3</v>
      </c>
      <c r="C1691" s="1" t="s">
        <v>1641</v>
      </c>
    </row>
    <row r="1692" spans="1:3" ht="12.75" x14ac:dyDescent="0.2">
      <c r="A1692" s="1" t="str">
        <f ca="1">IFERROR(__xludf.DUMMYFUNCTION("GOOGLETRANSLATE(C1644, ""en"", ""es"")"),"maricón")</f>
        <v>maricón</v>
      </c>
      <c r="B1692" s="1">
        <v>-3</v>
      </c>
      <c r="C1692" s="1" t="s">
        <v>1642</v>
      </c>
    </row>
    <row r="1693" spans="1:3" ht="12.75" x14ac:dyDescent="0.2">
      <c r="A1693" s="1" t="str">
        <f ca="1">IFERROR(__xludf.DUMMYFUNCTION("GOOGLETRANSLATE(C1124, ""en"", ""es"")"),"maricones")</f>
        <v>maricones</v>
      </c>
      <c r="B1693" s="1">
        <v>-3</v>
      </c>
      <c r="C1693" s="1" t="s">
        <v>1126</v>
      </c>
    </row>
    <row r="1694" spans="1:3" ht="12.75" x14ac:dyDescent="0.2">
      <c r="A1694" s="1" t="str">
        <f ca="1">IFERROR(__xludf.DUMMYFUNCTION("GOOGLETRANSLATE(C1646, ""en"", ""es"")"),"más brillante")</f>
        <v>más brillante</v>
      </c>
      <c r="B1694" s="1">
        <v>2</v>
      </c>
      <c r="C1694" s="1" t="s">
        <v>1644</v>
      </c>
    </row>
    <row r="1695" spans="1:3" ht="12.75" x14ac:dyDescent="0.2">
      <c r="A1695" s="1" t="str">
        <f ca="1">IFERROR(__xludf.DUMMYFUNCTION("GOOGLETRANSLATE(C1647, ""en"", ""es"")"),"más divertido")</f>
        <v>más divertido</v>
      </c>
      <c r="B1695" s="1">
        <v>4</v>
      </c>
      <c r="C1695" s="1" t="s">
        <v>1645</v>
      </c>
    </row>
    <row r="1696" spans="1:3" ht="12.75" x14ac:dyDescent="0.2">
      <c r="A1696" s="1" t="str">
        <f ca="1">IFERROR(__xludf.DUMMYFUNCTION("GOOGLETRANSLATE(C1648, ""en"", ""es"")"),"más duro")</f>
        <v>más duro</v>
      </c>
      <c r="B1696" s="1">
        <v>-2</v>
      </c>
      <c r="C1696" s="1" t="s">
        <v>1646</v>
      </c>
    </row>
    <row r="1697" spans="1:3" ht="12.75" x14ac:dyDescent="0.2">
      <c r="A1697" s="1" t="str">
        <f ca="1">IFERROR(__xludf.DUMMYFUNCTION("GOOGLETRANSLATE(C1649, ""en"", ""es"")"),"más duro")</f>
        <v>más duro</v>
      </c>
      <c r="B1697" s="1">
        <v>-2</v>
      </c>
      <c r="C1697" s="1" t="s">
        <v>1647</v>
      </c>
    </row>
    <row r="1698" spans="1:3" ht="12.75" x14ac:dyDescent="0.2">
      <c r="A1698" s="1" t="str">
        <f ca="1">IFERROR(__xludf.DUMMYFUNCTION("GOOGLETRANSLATE(C1650, ""en"", ""es"")"),"más fuerte")</f>
        <v>más fuerte</v>
      </c>
      <c r="B1698" s="1">
        <v>2</v>
      </c>
      <c r="C1698" s="1" t="s">
        <v>1648</v>
      </c>
    </row>
    <row r="1699" spans="1:3" ht="12.75" x14ac:dyDescent="0.2">
      <c r="A1699" s="1" t="str">
        <f ca="1">IFERROR(__xludf.DUMMYFUNCTION("GOOGLETRANSLATE(C1658, ""en"", ""es"")"),"más fuerte")</f>
        <v>más fuerte</v>
      </c>
      <c r="B1699" s="1">
        <v>2</v>
      </c>
      <c r="C1699" s="1" t="s">
        <v>1657</v>
      </c>
    </row>
    <row r="1700" spans="1:3" ht="12.75" x14ac:dyDescent="0.2">
      <c r="A1700" s="1" t="str">
        <f ca="1">IFERROR(__xludf.DUMMYFUNCTION("GOOGLETRANSLATE(C1652, ""en"", ""es"")"),"más inteligente")</f>
        <v>más inteligente</v>
      </c>
      <c r="B1700" s="1">
        <v>2</v>
      </c>
      <c r="C1700" s="1" t="s">
        <v>1650</v>
      </c>
    </row>
    <row r="1701" spans="1:3" ht="12.75" x14ac:dyDescent="0.2">
      <c r="A1701" s="1" t="str">
        <f ca="1">IFERROR(__xludf.DUMMYFUNCTION("GOOGLETRANSLATE(C1653, ""en"", ""es"")"),"más inteligente")</f>
        <v>más inteligente</v>
      </c>
      <c r="B1701" s="1">
        <v>2</v>
      </c>
      <c r="C1701" s="1" t="s">
        <v>1651</v>
      </c>
    </row>
    <row r="1702" spans="1:3" ht="12.75" x14ac:dyDescent="0.2">
      <c r="A1702" s="1" t="str">
        <f ca="1">IFERROR(__xludf.DUMMYFUNCTION("GOOGLETRANSLATE(C1593, ""en"", ""es"")"),"más loco")</f>
        <v>más loco</v>
      </c>
      <c r="B1702" s="1">
        <v>-2</v>
      </c>
      <c r="C1702" s="1" t="s">
        <v>1592</v>
      </c>
    </row>
    <row r="1703" spans="1:3" ht="12.75" x14ac:dyDescent="0.2">
      <c r="A1703" s="1" t="str">
        <f ca="1">IFERROR(__xludf.DUMMYFUNCTION("GOOGLETRANSLATE(C1654, ""en"", ""es"")"),"más loco")</f>
        <v>más loco</v>
      </c>
      <c r="B1703" s="1">
        <v>-2</v>
      </c>
      <c r="C1703" s="1" t="s">
        <v>1652</v>
      </c>
    </row>
    <row r="1704" spans="1:3" ht="12.75" x14ac:dyDescent="0.2">
      <c r="A1704" s="1" t="str">
        <f ca="1">IFERROR(__xludf.DUMMYFUNCTION("GOOGLETRANSLATE(C1657, ""en"", ""es"")"),"más pobre")</f>
        <v>más pobre</v>
      </c>
      <c r="B1704" s="1">
        <v>-2</v>
      </c>
      <c r="C1704" s="1" t="s">
        <v>1656</v>
      </c>
    </row>
    <row r="1705" spans="1:3" ht="12.75" x14ac:dyDescent="0.2">
      <c r="A1705" s="1" t="s">
        <v>1654</v>
      </c>
      <c r="B1705" s="1">
        <v>-2</v>
      </c>
      <c r="C1705" s="1" t="s">
        <v>1655</v>
      </c>
    </row>
    <row r="1706" spans="1:3" ht="12.75" x14ac:dyDescent="0.2">
      <c r="A1706" s="1" t="str">
        <f ca="1">IFERROR(__xludf.DUMMYFUNCTION("GOOGLETRANSLATE(C1659, ""en"", ""es"")"),"más sucio")</f>
        <v>más sucio</v>
      </c>
      <c r="B1706" s="1">
        <v>-2</v>
      </c>
      <c r="C1706" s="1" t="s">
        <v>1658</v>
      </c>
    </row>
    <row r="1707" spans="1:3" ht="12.75" x14ac:dyDescent="0.2">
      <c r="A1707" s="1" t="str">
        <f ca="1">IFERROR(__xludf.DUMMYFUNCTION("GOOGLETRANSLATE(C1660, ""en"", ""es"")"),"más sucio")</f>
        <v>más sucio</v>
      </c>
      <c r="B1707" s="1">
        <v>-2</v>
      </c>
      <c r="C1707" s="1" t="s">
        <v>1659</v>
      </c>
    </row>
    <row r="1708" spans="1:3" ht="12.75" x14ac:dyDescent="0.2">
      <c r="A1708" s="1" t="str">
        <f ca="1">IFERROR(__xludf.DUMMYFUNCTION("GOOGLETRANSLATE(C2225, ""en"", ""es"")"),"más tosco")</f>
        <v>más tosco</v>
      </c>
      <c r="B1708" s="1">
        <v>2</v>
      </c>
      <c r="C1708" s="1" t="s">
        <v>2221</v>
      </c>
    </row>
    <row r="1709" spans="1:3" ht="12.75" x14ac:dyDescent="0.2">
      <c r="A1709" s="1" t="str">
        <f ca="1">IFERROR(__xludf.DUMMYFUNCTION("GOOGLETRANSLATE(C1529, ""en"", ""es"")"),"matar")</f>
        <v>matar</v>
      </c>
      <c r="B1709" s="1">
        <v>-3</v>
      </c>
      <c r="C1709" s="1" t="s">
        <v>1528</v>
      </c>
    </row>
    <row r="1710" spans="1:3" ht="12.75" x14ac:dyDescent="0.2">
      <c r="A1710" s="1" t="str">
        <f ca="1">IFERROR(__xludf.DUMMYFUNCTION("GOOGLETRANSLATE(C1661, ""en"", ""es"")"),"matar")</f>
        <v>matar</v>
      </c>
      <c r="B1710" s="1">
        <v>-3</v>
      </c>
      <c r="C1710" s="1" t="s">
        <v>1660</v>
      </c>
    </row>
    <row r="1711" spans="1:3" ht="12.75" x14ac:dyDescent="0.2">
      <c r="A1711" s="1" t="str">
        <f ca="1">IFERROR(__xludf.DUMMYFUNCTION("GOOGLETRANSLATE(C1359, ""en"", ""es"")"),"Materia")</f>
        <v>Materia</v>
      </c>
      <c r="B1711" s="1">
        <v>1</v>
      </c>
      <c r="C1711" s="1" t="s">
        <v>1360</v>
      </c>
    </row>
    <row r="1712" spans="1:3" ht="12.75" x14ac:dyDescent="0.2">
      <c r="A1712" s="1" t="str">
        <f ca="1">IFERROR(__xludf.DUMMYFUNCTION("GOOGLETRANSLATE(C1662, ""en"", ""es"")"),"matón")</f>
        <v>matón</v>
      </c>
      <c r="B1712" s="1">
        <v>-2</v>
      </c>
      <c r="C1712" s="1" t="s">
        <v>1661</v>
      </c>
    </row>
    <row r="1713" spans="1:3" ht="12.75" x14ac:dyDescent="0.2">
      <c r="A1713" s="1" t="str">
        <f ca="1">IFERROR(__xludf.DUMMYFUNCTION("GOOGLETRANSLATE(C1663, ""en"", ""es"")"),"mayor que")</f>
        <v>mayor que</v>
      </c>
      <c r="B1713" s="1">
        <v>3</v>
      </c>
      <c r="C1713" s="1" t="s">
        <v>1662</v>
      </c>
    </row>
    <row r="1714" spans="1:3" ht="12.75" x14ac:dyDescent="0.2">
      <c r="A1714" s="1" t="str">
        <f ca="1">IFERROR(__xludf.DUMMYFUNCTION("GOOGLETRANSLATE(C1665, ""en"", ""es"")"),"me gusta")</f>
        <v>me gusta</v>
      </c>
      <c r="B1714" s="1">
        <v>2</v>
      </c>
      <c r="C1714" s="1" t="s">
        <v>1664</v>
      </c>
    </row>
    <row r="1715" spans="1:3" ht="12.75" x14ac:dyDescent="0.2">
      <c r="A1715" s="1" t="str">
        <f ca="1">IFERROR(__xludf.DUMMYFUNCTION("GOOGLETRANSLATE(C1668, ""en"", ""es"")"),"medalla")</f>
        <v>medalla</v>
      </c>
      <c r="B1715" s="1">
        <v>3</v>
      </c>
      <c r="C1715" s="1" t="s">
        <v>1667</v>
      </c>
    </row>
    <row r="1716" spans="1:3" ht="12.75" x14ac:dyDescent="0.2">
      <c r="A1716" s="1" t="str">
        <f ca="1">IFERROR(__xludf.DUMMYFUNCTION("GOOGLETRANSLATE(C1669, ""en"", ""es"")"),"mediocridad")</f>
        <v>mediocridad</v>
      </c>
      <c r="B1716" s="1">
        <v>-3</v>
      </c>
      <c r="C1716" s="1" t="s">
        <v>1668</v>
      </c>
    </row>
    <row r="1717" spans="1:3" ht="12.75" x14ac:dyDescent="0.2">
      <c r="A1717" s="1" t="str">
        <f ca="1">IFERROR(__xludf.DUMMYFUNCTION("GOOGLETRANSLATE(C1670, ""en"", ""es"")"),"meditativo")</f>
        <v>meditativo</v>
      </c>
      <c r="B1717" s="1">
        <v>1</v>
      </c>
      <c r="C1717" s="1" t="s">
        <v>1669</v>
      </c>
    </row>
    <row r="1718" spans="1:3" ht="12.75" x14ac:dyDescent="0.2">
      <c r="A1718" s="1" t="str">
        <f ca="1">IFERROR(__xludf.DUMMYFUNCTION("GOOGLETRANSLATE(C1664, ""en"", ""es"")"),"mejor")</f>
        <v>mejor</v>
      </c>
      <c r="B1718" s="1">
        <v>3</v>
      </c>
      <c r="C1718" s="1" t="s">
        <v>1663</v>
      </c>
    </row>
    <row r="1719" spans="1:3" ht="12.75" x14ac:dyDescent="0.2">
      <c r="A1719" s="1" t="str">
        <f ca="1">IFERROR(__xludf.DUMMYFUNCTION("GOOGLETRANSLATE(C1671, ""en"", ""es"")"),"mejor")</f>
        <v>mejor</v>
      </c>
      <c r="B1719" s="1">
        <v>3</v>
      </c>
      <c r="C1719" s="1" t="s">
        <v>1670</v>
      </c>
    </row>
    <row r="1720" spans="1:3" ht="12.75" x14ac:dyDescent="0.2">
      <c r="A1720" s="1" t="str">
        <f ca="1">IFERROR(__xludf.DUMMYFUNCTION("GOOGLETRANSLATE(C1672, ""en"", ""es"")"),"mejor")</f>
        <v>mejor</v>
      </c>
      <c r="B1720" s="1">
        <v>2</v>
      </c>
      <c r="C1720" s="1" t="s">
        <v>1671</v>
      </c>
    </row>
    <row r="1721" spans="1:3" ht="12.75" x14ac:dyDescent="0.2">
      <c r="A1721" s="1" t="str">
        <f ca="1">IFERROR(__xludf.DUMMYFUNCTION("GOOGLETRANSLATE(C1673, ""en"", ""es"")"),"mejora")</f>
        <v>mejora</v>
      </c>
      <c r="B1721" s="1">
        <v>2</v>
      </c>
      <c r="C1721" s="1" t="s">
        <v>1672</v>
      </c>
    </row>
    <row r="1722" spans="1:3" ht="12.75" x14ac:dyDescent="0.2">
      <c r="A1722" s="1" t="str">
        <f ca="1">IFERROR(__xludf.DUMMYFUNCTION("GOOGLETRANSLATE(C1674, ""en"", ""es"")"),"mejora")</f>
        <v>mejora</v>
      </c>
      <c r="B1722" s="1">
        <v>2</v>
      </c>
      <c r="C1722" s="1" t="s">
        <v>1673</v>
      </c>
    </row>
    <row r="1723" spans="1:3" ht="12.75" x14ac:dyDescent="0.2">
      <c r="A1723" s="1" t="str">
        <f ca="1">IFERROR(__xludf.DUMMYFUNCTION("GOOGLETRANSLATE(C1675, ""en"", ""es"")"),"mejorado")</f>
        <v>mejorado</v>
      </c>
      <c r="B1723" s="1">
        <v>2</v>
      </c>
      <c r="C1723" s="1" t="s">
        <v>1674</v>
      </c>
    </row>
    <row r="1724" spans="1:3" ht="12.75" x14ac:dyDescent="0.2">
      <c r="A1724" s="1" t="str">
        <f ca="1">IFERROR(__xludf.DUMMYFUNCTION("GOOGLETRANSLATE(C1676, ""en"", ""es"")"),"mejorando")</f>
        <v>mejorando</v>
      </c>
      <c r="B1724" s="1">
        <v>2</v>
      </c>
      <c r="C1724" s="1" t="s">
        <v>1675</v>
      </c>
    </row>
    <row r="1725" spans="1:3" ht="12.75" x14ac:dyDescent="0.2">
      <c r="A1725" s="1" t="str">
        <f ca="1">IFERROR(__xludf.DUMMYFUNCTION("GOOGLETRANSLATE(C1677, ""en"", ""es"")"),"mejorar")</f>
        <v>mejorar</v>
      </c>
      <c r="B1725" s="1">
        <v>2</v>
      </c>
      <c r="C1725" s="1" t="s">
        <v>1676</v>
      </c>
    </row>
    <row r="1726" spans="1:3" ht="12.75" x14ac:dyDescent="0.2">
      <c r="A1726" s="1" t="str">
        <f ca="1">IFERROR(__xludf.DUMMYFUNCTION("GOOGLETRANSLATE(C1678, ""en"", ""es"")"),"melancolía")</f>
        <v>melancolía</v>
      </c>
      <c r="B1726" s="1">
        <v>-2</v>
      </c>
      <c r="C1726" s="1" t="s">
        <v>1677</v>
      </c>
    </row>
    <row r="1727" spans="1:3" ht="12.75" x14ac:dyDescent="0.2">
      <c r="A1727" s="1" t="str">
        <f ca="1">IFERROR(__xludf.DUMMYFUNCTION("GOOGLETRANSLATE(C904, ""en"", ""es"")"),"melancólico")</f>
        <v>melancólico</v>
      </c>
      <c r="B1727" s="1">
        <v>-2</v>
      </c>
      <c r="C1727" s="1" t="s">
        <v>906</v>
      </c>
    </row>
    <row r="1728" spans="1:3" ht="12.75" x14ac:dyDescent="0.2">
      <c r="A1728" s="1" t="str">
        <f ca="1">IFERROR(__xludf.DUMMYFUNCTION("GOOGLETRANSLATE(C1680, ""en"", ""es"")"),"melancólico")</f>
        <v>melancólico</v>
      </c>
      <c r="B1728" s="1">
        <v>-1</v>
      </c>
      <c r="C1728" s="1" t="s">
        <v>1679</v>
      </c>
    </row>
    <row r="1729" spans="1:3" ht="12.75" x14ac:dyDescent="0.2">
      <c r="A1729" s="1" t="str">
        <f ca="1">IFERROR(__xludf.DUMMYFUNCTION("GOOGLETRANSLATE(C1681, ""en"", ""es"")"),"menospreciado")</f>
        <v>menospreciado</v>
      </c>
      <c r="B1729" s="1">
        <v>-2</v>
      </c>
      <c r="C1729" s="1" t="s">
        <v>1680</v>
      </c>
    </row>
    <row r="1730" spans="1:3" ht="12.75" x14ac:dyDescent="0.2">
      <c r="A1730" s="1" t="str">
        <f ca="1">IFERROR(__xludf.DUMMYFUNCTION("GOOGLETRANSLATE(C1682, ""en"", ""es"")"),"menospreciado")</f>
        <v>menospreciado</v>
      </c>
      <c r="B1730" s="1">
        <v>-2</v>
      </c>
      <c r="C1730" s="1" t="s">
        <v>1681</v>
      </c>
    </row>
    <row r="1731" spans="1:3" ht="12.75" x14ac:dyDescent="0.2">
      <c r="A1731" s="1" t="str">
        <f ca="1">IFERROR(__xludf.DUMMYFUNCTION("GOOGLETRANSLATE(C1683, ""en"", ""es"")"),"menospreciar")</f>
        <v>menospreciar</v>
      </c>
      <c r="B1731" s="1">
        <v>-2</v>
      </c>
      <c r="C1731" s="1" t="s">
        <v>1682</v>
      </c>
    </row>
    <row r="1732" spans="1:3" ht="12.75" x14ac:dyDescent="0.2">
      <c r="A1732" s="1" t="str">
        <f ca="1">IFERROR(__xludf.DUMMYFUNCTION("GOOGLETRANSLATE(C1685, ""en"", ""es"")"),"mentiroso")</f>
        <v>mentiroso</v>
      </c>
      <c r="B1732" s="1">
        <v>-3</v>
      </c>
      <c r="C1732" s="1" t="s">
        <v>1684</v>
      </c>
    </row>
    <row r="1733" spans="1:3" ht="12.75" x14ac:dyDescent="0.2">
      <c r="A1733" s="1" t="str">
        <f ca="1">IFERROR(__xludf.DUMMYFUNCTION("GOOGLETRANSLATE(C2479, ""en"", ""es"")"),"mentiroso")</f>
        <v>mentiroso</v>
      </c>
      <c r="B1733" s="1">
        <v>-3</v>
      </c>
      <c r="C1733" s="1" t="s">
        <v>1684</v>
      </c>
    </row>
    <row r="1734" spans="1:3" ht="12.75" x14ac:dyDescent="0.2">
      <c r="A1734" s="1" t="str">
        <f ca="1">IFERROR(__xludf.DUMMYFUNCTION("GOOGLETRANSLATE(C1686, ""en"", ""es"")"),"mentirosos")</f>
        <v>mentirosos</v>
      </c>
      <c r="B1734" s="1">
        <v>-3</v>
      </c>
      <c r="C1734" s="1" t="s">
        <v>1685</v>
      </c>
    </row>
    <row r="1735" spans="1:3" ht="12.75" x14ac:dyDescent="0.2">
      <c r="A1735" s="1" t="str">
        <f ca="1">IFERROR(__xludf.DUMMYFUNCTION("GOOGLETRANSLATE(C1687, ""en"", ""es"")"),"mercachifle")</f>
        <v>mercachifle</v>
      </c>
      <c r="B1735" s="1">
        <v>-2</v>
      </c>
      <c r="C1735" s="1" t="s">
        <v>1686</v>
      </c>
    </row>
    <row r="1736" spans="1:3" ht="12.75" x14ac:dyDescent="0.2">
      <c r="A1736" s="1" t="str">
        <f ca="1">IFERROR(__xludf.DUMMYFUNCTION("GOOGLETRANSLATE(C1688, ""en"", ""es"")"),"metódico")</f>
        <v>metódico</v>
      </c>
      <c r="B1736" s="1">
        <v>2</v>
      </c>
      <c r="C1736" s="1" t="s">
        <v>1687</v>
      </c>
    </row>
    <row r="1737" spans="1:3" ht="12.75" x14ac:dyDescent="0.2">
      <c r="A1737" s="1" t="str">
        <f ca="1">IFERROR(__xludf.DUMMYFUNCTION("GOOGLETRANSLATE(C1689, ""en"", ""es"")"),"miedo")</f>
        <v>miedo</v>
      </c>
      <c r="B1737" s="1">
        <v>-2</v>
      </c>
      <c r="C1737" s="1" t="s">
        <v>1688</v>
      </c>
    </row>
    <row r="1738" spans="1:3" ht="12.75" x14ac:dyDescent="0.2">
      <c r="A1738" s="1" t="str">
        <f ca="1">IFERROR(__xludf.DUMMYFUNCTION("GOOGLETRANSLATE(C1860, ""en"", ""es"")"),"miedo")</f>
        <v>miedo</v>
      </c>
      <c r="B1738" s="1">
        <v>-2</v>
      </c>
      <c r="C1738" s="1" t="s">
        <v>1858</v>
      </c>
    </row>
    <row r="1739" spans="1:3" ht="12.75" x14ac:dyDescent="0.2">
      <c r="A1739" s="1" t="str">
        <f ca="1">IFERROR(__xludf.DUMMYFUNCTION("GOOGLETRANSLATE(C1690, ""en"", ""es"")"),"miedoso")</f>
        <v>miedoso</v>
      </c>
      <c r="B1739" s="1">
        <v>2</v>
      </c>
      <c r="C1739" s="1" t="s">
        <v>1689</v>
      </c>
    </row>
    <row r="1740" spans="1:3" ht="12.75" x14ac:dyDescent="0.2">
      <c r="A1740" s="1" t="str">
        <f ca="1">IFERROR(__xludf.DUMMYFUNCTION("GOOGLETRANSLATE(C1691, ""en"", ""es"")"),"mierda")</f>
        <v>mierda</v>
      </c>
      <c r="B1740" s="1">
        <v>-4</v>
      </c>
      <c r="C1740" s="1" t="s">
        <v>1690</v>
      </c>
    </row>
    <row r="1741" spans="1:3" ht="12.75" x14ac:dyDescent="0.2">
      <c r="A1741" s="1" t="str">
        <f ca="1">IFERROR(__xludf.DUMMYFUNCTION("GOOGLETRANSLATE(C1693, ""en"", ""es"")"),"Mierda")</f>
        <v>Mierda</v>
      </c>
      <c r="B1741" s="1">
        <v>-4</v>
      </c>
      <c r="C1741" s="1" t="s">
        <v>1692</v>
      </c>
    </row>
    <row r="1742" spans="1:3" ht="12.75" x14ac:dyDescent="0.2">
      <c r="A1742" s="1" t="str">
        <f ca="1">IFERROR(__xludf.DUMMYFUNCTION("GOOGLETRANSLATE(C1694, ""en"", ""es"")"),"mierda")</f>
        <v>mierda</v>
      </c>
      <c r="B1742" s="1">
        <v>-4</v>
      </c>
      <c r="C1742" s="1" t="s">
        <v>1693</v>
      </c>
    </row>
    <row r="1743" spans="1:3" ht="12.75" x14ac:dyDescent="0.2">
      <c r="A1743" s="1" t="str">
        <f ca="1">IFERROR(__xludf.DUMMYFUNCTION("GOOGLETRANSLATE(C1695, ""en"", ""es"")"),"milagro")</f>
        <v>milagro</v>
      </c>
      <c r="B1743" s="1">
        <v>4</v>
      </c>
      <c r="C1743" s="1" t="s">
        <v>1694</v>
      </c>
    </row>
    <row r="1744" spans="1:3" ht="12.75" x14ac:dyDescent="0.2">
      <c r="A1744" s="1" t="str">
        <f ca="1">IFERROR(__xludf.DUMMYFUNCTION("GOOGLETRANSLATE(C1698, ""en"", ""es"")"),"mintió")</f>
        <v>mintió</v>
      </c>
      <c r="B1744" s="1">
        <v>-2</v>
      </c>
      <c r="C1744" s="1" t="s">
        <v>1697</v>
      </c>
    </row>
    <row r="1745" spans="1:3" ht="12.75" x14ac:dyDescent="0.2">
      <c r="A1745" s="1" t="str">
        <f ca="1">IFERROR(__xludf.DUMMYFUNCTION("GOOGLETRANSLATE(C1699, ""en"", ""es"")"),"miope")</f>
        <v>miope</v>
      </c>
      <c r="B1745" s="1">
        <v>-2</v>
      </c>
      <c r="C1745" s="1" t="s">
        <v>1698</v>
      </c>
    </row>
    <row r="1746" spans="1:3" ht="12.75" x14ac:dyDescent="0.2">
      <c r="A1746" s="1" t="str">
        <f ca="1">IFERROR(__xludf.DUMMYFUNCTION("GOOGLETRANSLATE(C1700, ""en"", ""es"")"),"miopía")</f>
        <v>miopía</v>
      </c>
      <c r="B1746" s="1">
        <v>-2</v>
      </c>
      <c r="C1746" s="1" t="s">
        <v>1699</v>
      </c>
    </row>
    <row r="1747" spans="1:3" ht="12.75" x14ac:dyDescent="0.2">
      <c r="A1747" s="1" t="str">
        <f ca="1">IFERROR(__xludf.DUMMYFUNCTION("GOOGLETRANSLATE(C1702, ""en"", ""es"")"),"miserable")</f>
        <v>miserable</v>
      </c>
      <c r="B1747" s="1">
        <v>-3</v>
      </c>
      <c r="C1747" s="1" t="s">
        <v>1701</v>
      </c>
    </row>
    <row r="1748" spans="1:3" ht="12.75" x14ac:dyDescent="0.2">
      <c r="A1748" s="1" t="str">
        <f ca="1">IFERROR(__xludf.DUMMYFUNCTION("GOOGLETRANSLATE(C1703, ""en"", ""es"")"),"miseria")</f>
        <v>miseria</v>
      </c>
      <c r="B1748" s="1">
        <v>-2</v>
      </c>
      <c r="C1748" s="1" t="s">
        <v>1702</v>
      </c>
    </row>
    <row r="1749" spans="1:3" ht="12.75" x14ac:dyDescent="0.2">
      <c r="A1749" s="1" t="str">
        <f ca="1">IFERROR(__xludf.DUMMYFUNCTION("GOOGLETRANSLATE(C1704, ""en"", ""es"")"),"misericordia")</f>
        <v>misericordia</v>
      </c>
      <c r="B1749" s="1">
        <v>2</v>
      </c>
      <c r="C1749" s="1" t="s">
        <v>1703</v>
      </c>
    </row>
    <row r="1750" spans="1:3" ht="12.75" x14ac:dyDescent="0.2">
      <c r="A1750" s="1" t="str">
        <f ca="1">IFERROR(__xludf.DUMMYFUNCTION("GOOGLETRANSLATE(C1705, ""en"", ""es"")"),"misterioso")</f>
        <v>misterioso</v>
      </c>
      <c r="B1750" s="1">
        <v>-2</v>
      </c>
      <c r="C1750" s="1" t="s">
        <v>1704</v>
      </c>
    </row>
    <row r="1751" spans="1:3" ht="12.75" x14ac:dyDescent="0.2">
      <c r="A1751" s="1" t="str">
        <f ca="1">IFERROR(__xludf.DUMMYFUNCTION("GOOGLETRANSLATE(C1706, ""en"", ""es"")"),"misterioso")</f>
        <v>misterioso</v>
      </c>
      <c r="B1751" s="1">
        <v>-2</v>
      </c>
      <c r="C1751" s="1" t="s">
        <v>1705</v>
      </c>
    </row>
    <row r="1752" spans="1:3" ht="12.75" x14ac:dyDescent="0.2">
      <c r="A1752" s="1" t="str">
        <f ca="1">IFERROR(__xludf.DUMMYFUNCTION("GOOGLETRANSLATE(C1707, ""en"", ""es"")"),"mito")</f>
        <v>mito</v>
      </c>
      <c r="B1752" s="1">
        <v>-1</v>
      </c>
      <c r="C1752" s="1" t="s">
        <v>1706</v>
      </c>
    </row>
    <row r="1753" spans="1:3" ht="12.75" x14ac:dyDescent="0.2">
      <c r="A1753" s="1" t="str">
        <f ca="1">IFERROR(__xludf.DUMMYFUNCTION("GOOGLETRANSLATE(C1708, ""en"", ""es"")"),"moda")</f>
        <v>moda</v>
      </c>
      <c r="B1753" s="1">
        <v>-2</v>
      </c>
      <c r="C1753" s="1" t="s">
        <v>1707</v>
      </c>
    </row>
    <row r="1754" spans="1:3" ht="12.75" x14ac:dyDescent="0.2">
      <c r="A1754" s="1" t="str">
        <f ca="1">IFERROR(__xludf.DUMMYFUNCTION("GOOGLETRANSLATE(C1712, ""en"", ""es"")"),"molestar")</f>
        <v>molestar</v>
      </c>
      <c r="B1754" s="1">
        <v>-2</v>
      </c>
      <c r="C1754" s="1" t="s">
        <v>1711</v>
      </c>
    </row>
    <row r="1755" spans="1:3" ht="12.75" x14ac:dyDescent="0.2">
      <c r="A1755" s="1" t="str">
        <f ca="1">IFERROR(__xludf.DUMMYFUNCTION("GOOGLETRANSLATE(C1714, ""en"", ""es"")"),"molestar")</f>
        <v>molestar</v>
      </c>
      <c r="B1755" s="1">
        <v>-2</v>
      </c>
      <c r="C1755" s="1" t="s">
        <v>1713</v>
      </c>
    </row>
    <row r="1756" spans="1:3" ht="12.75" x14ac:dyDescent="0.2">
      <c r="A1756" s="1" t="str">
        <f ca="1">IFERROR(__xludf.DUMMYFUNCTION("GOOGLETRANSLATE(C1713, ""en"", ""es"")"),"molestia")</f>
        <v>molestia</v>
      </c>
      <c r="B1756" s="1">
        <v>-2</v>
      </c>
      <c r="C1756" s="1" t="s">
        <v>1712</v>
      </c>
    </row>
    <row r="1757" spans="1:3" ht="12.75" x14ac:dyDescent="0.2">
      <c r="A1757" s="1" t="str">
        <f ca="1">IFERROR(__xludf.DUMMYFUNCTION("GOOGLETRANSLATE(C1148, ""en"", ""es"")"),"molesto")</f>
        <v>molesto</v>
      </c>
      <c r="B1757" s="1">
        <v>-2</v>
      </c>
      <c r="C1757" s="1" t="s">
        <v>1150</v>
      </c>
    </row>
    <row r="1758" spans="1:3" ht="12.75" x14ac:dyDescent="0.2">
      <c r="A1758" s="1" t="str">
        <f ca="1">IFERROR(__xludf.DUMMYFUNCTION("GOOGLETRANSLATE(C1451, ""en"", ""es"")"),"molesto")</f>
        <v>molesto</v>
      </c>
      <c r="B1758" s="1">
        <v>-1</v>
      </c>
      <c r="C1758" s="1" t="s">
        <v>1452</v>
      </c>
    </row>
    <row r="1759" spans="1:3" ht="12.75" x14ac:dyDescent="0.2">
      <c r="A1759" s="1" t="str">
        <f ca="1">IFERROR(__xludf.DUMMYFUNCTION("GOOGLETRANSLATE(C1505, ""en"", ""es"")"),"molesto")</f>
        <v>molesto</v>
      </c>
      <c r="B1759" s="1">
        <v>-2</v>
      </c>
      <c r="C1759" s="1" t="s">
        <v>1506</v>
      </c>
    </row>
    <row r="1760" spans="1:3" ht="12.75" x14ac:dyDescent="0.2">
      <c r="A1760" s="1" t="str">
        <f ca="1">IFERROR(__xludf.DUMMYFUNCTION("GOOGLETRANSLATE(C1545, ""en"", ""es"")"),"molesto")</f>
        <v>molesto</v>
      </c>
      <c r="B1760" s="1">
        <v>-2</v>
      </c>
      <c r="C1760" s="1" t="s">
        <v>1544</v>
      </c>
    </row>
    <row r="1761" spans="1:3" ht="12.75" x14ac:dyDescent="0.2">
      <c r="A1761" s="1" t="str">
        <f ca="1">IFERROR(__xludf.DUMMYFUNCTION("GOOGLETRANSLATE(C1546, ""en"", ""es"")"),"molesto")</f>
        <v>molesto</v>
      </c>
      <c r="B1761" s="1">
        <v>-2</v>
      </c>
      <c r="C1761" s="1" t="s">
        <v>1545</v>
      </c>
    </row>
    <row r="1762" spans="1:3" ht="12.75" x14ac:dyDescent="0.2">
      <c r="A1762" s="1" t="str">
        <f ca="1">IFERROR(__xludf.DUMMYFUNCTION("GOOGLETRANSLATE(C1715, ""en"", ""es"")"),"Molesto")</f>
        <v>Molesto</v>
      </c>
      <c r="B1762" s="1">
        <v>-4</v>
      </c>
      <c r="C1762" s="1" t="s">
        <v>1714</v>
      </c>
    </row>
    <row r="1763" spans="1:3" ht="12.75" x14ac:dyDescent="0.2">
      <c r="A1763" s="1" t="str">
        <f ca="1">IFERROR(__xludf.DUMMYFUNCTION("GOOGLETRANSLATE(C1718, ""en"", ""es"")"),"monopolizado")</f>
        <v>monopolizado</v>
      </c>
      <c r="B1763" s="1">
        <v>-2</v>
      </c>
      <c r="C1763" s="1" t="s">
        <v>1717</v>
      </c>
    </row>
    <row r="1764" spans="1:3" ht="12.75" x14ac:dyDescent="0.2">
      <c r="A1764" s="1" t="str">
        <f ca="1">IFERROR(__xludf.DUMMYFUNCTION("GOOGLETRANSLATE(C34, ""en"", ""es"")"),"monopolizante")</f>
        <v>monopolizante</v>
      </c>
      <c r="B1764" s="1">
        <v>-2</v>
      </c>
      <c r="C1764" s="1" t="s">
        <v>34</v>
      </c>
    </row>
    <row r="1765" spans="1:3" ht="12.75" x14ac:dyDescent="0.2">
      <c r="A1765" s="1" t="str">
        <f ca="1">IFERROR(__xludf.DUMMYFUNCTION("GOOGLETRANSLATE(C1717, ""en"", ""es"")"),"monopolizar")</f>
        <v>monopolizar</v>
      </c>
      <c r="B1765" s="1">
        <v>-2</v>
      </c>
      <c r="C1765" s="1" t="s">
        <v>1716</v>
      </c>
    </row>
    <row r="1766" spans="1:3" ht="12.75" x14ac:dyDescent="0.2">
      <c r="A1766" s="1" t="str">
        <f ca="1">IFERROR(__xludf.DUMMYFUNCTION("GOOGLETRANSLATE(C1719, ""en"", ""es"")"),"monopolizar")</f>
        <v>monopolizar</v>
      </c>
      <c r="B1766" s="1">
        <v>-2</v>
      </c>
      <c r="C1766" s="1" t="s">
        <v>1718</v>
      </c>
    </row>
    <row r="1767" spans="1:3" ht="12.75" x14ac:dyDescent="0.2">
      <c r="A1767" s="1" t="str">
        <f ca="1">IFERROR(__xludf.DUMMYFUNCTION("GOOGLETRANSLATE(C1721, ""en"", ""es"")"),"mordaz")</f>
        <v>mordaz</v>
      </c>
      <c r="B1767" s="1">
        <v>-3</v>
      </c>
      <c r="C1767" s="1" t="s">
        <v>1720</v>
      </c>
    </row>
    <row r="1768" spans="1:3" ht="12.75" x14ac:dyDescent="0.2">
      <c r="A1768" s="1" t="str">
        <f ca="1">IFERROR(__xludf.DUMMYFUNCTION("GOOGLETRANSLATE(C1722, ""en"", ""es"")"),"mordaza")</f>
        <v>mordaza</v>
      </c>
      <c r="B1768" s="1">
        <v>-2</v>
      </c>
      <c r="C1768" s="1" t="s">
        <v>1721</v>
      </c>
    </row>
    <row r="1769" spans="1:3" ht="12.75" x14ac:dyDescent="0.2">
      <c r="A1769" s="1" t="str">
        <f ca="1">IFERROR(__xludf.DUMMYFUNCTION("GOOGLETRANSLATE(C1723, ""en"", ""es"")"),"morir")</f>
        <v>morir</v>
      </c>
      <c r="B1769" s="1">
        <v>-3</v>
      </c>
      <c r="C1769" s="1" t="s">
        <v>1722</v>
      </c>
    </row>
    <row r="1770" spans="1:3" ht="12.75" x14ac:dyDescent="0.2">
      <c r="A1770" s="1" t="str">
        <f ca="1">IFERROR(__xludf.DUMMYFUNCTION("GOOGLETRANSLATE(C1724, ""en"", ""es"")"),"morir de hambre")</f>
        <v>morir de hambre</v>
      </c>
      <c r="B1770" s="1">
        <v>-2</v>
      </c>
      <c r="C1770" s="1" t="s">
        <v>1723</v>
      </c>
    </row>
    <row r="1771" spans="1:3" ht="12.75" x14ac:dyDescent="0.2">
      <c r="A1771" s="1" t="str">
        <f ca="1">IFERROR(__xludf.DUMMYFUNCTION("GOOGLETRANSLATE(C1725, ""en"", ""es"")"),"motivación")</f>
        <v>motivación</v>
      </c>
      <c r="B1771" s="1">
        <v>1</v>
      </c>
      <c r="C1771" s="1" t="s">
        <v>1724</v>
      </c>
    </row>
    <row r="1772" spans="1:3" ht="12.75" x14ac:dyDescent="0.2">
      <c r="A1772" s="1" t="str">
        <f ca="1">IFERROR(__xludf.DUMMYFUNCTION("GOOGLETRANSLATE(C1726, ""en"", ""es"")"),"motivado")</f>
        <v>motivado</v>
      </c>
      <c r="B1772" s="1">
        <v>2</v>
      </c>
      <c r="C1772" s="1" t="s">
        <v>1725</v>
      </c>
    </row>
    <row r="1773" spans="1:3" ht="12.75" x14ac:dyDescent="0.2">
      <c r="A1773" s="1" t="str">
        <f ca="1">IFERROR(__xludf.DUMMYFUNCTION("GOOGLETRANSLATE(C1727, ""en"", ""es"")"),"motivador")</f>
        <v>motivador</v>
      </c>
      <c r="B1773" s="1">
        <v>2</v>
      </c>
      <c r="C1773" s="1" t="s">
        <v>1726</v>
      </c>
    </row>
    <row r="1774" spans="1:3" ht="12.75" x14ac:dyDescent="0.2">
      <c r="A1774" s="1" t="str">
        <f ca="1">IFERROR(__xludf.DUMMYFUNCTION("GOOGLETRANSLATE(C1728, ""en"", ""es"")"),"motivar")</f>
        <v>motivar</v>
      </c>
      <c r="B1774" s="1">
        <v>1</v>
      </c>
      <c r="C1774" s="1" t="s">
        <v>1727</v>
      </c>
    </row>
    <row r="1775" spans="1:3" ht="12.75" x14ac:dyDescent="0.2">
      <c r="A1775" s="1" t="str">
        <f ca="1">IFERROR(__xludf.DUMMYFUNCTION("GOOGLETRANSLATE(C1730, ""en"", ""es"")"),"muerte")</f>
        <v>muerte</v>
      </c>
      <c r="B1775" s="1">
        <v>-2</v>
      </c>
      <c r="C1775" s="1" t="s">
        <v>1729</v>
      </c>
    </row>
    <row r="1776" spans="1:3" ht="12.75" x14ac:dyDescent="0.2">
      <c r="A1776" s="1" t="str">
        <f ca="1">IFERROR(__xludf.DUMMYFUNCTION("GOOGLETRANSLATE(C1731, ""en"", ""es"")"),"muerto")</f>
        <v>muerto</v>
      </c>
      <c r="B1776" s="1">
        <v>-3</v>
      </c>
      <c r="C1776" s="1" t="s">
        <v>1730</v>
      </c>
    </row>
    <row r="1777" spans="1:3" ht="12.75" x14ac:dyDescent="0.2">
      <c r="A1777" s="1" t="str">
        <f ca="1">IFERROR(__xludf.DUMMYFUNCTION("GOOGLETRANSLATE(C1732, ""en"", ""es"")"),"multa")</f>
        <v>multa</v>
      </c>
      <c r="B1777" s="1">
        <v>2</v>
      </c>
      <c r="C1777" s="1" t="s">
        <v>1731</v>
      </c>
    </row>
    <row r="1778" spans="1:3" ht="12.75" x14ac:dyDescent="0.2">
      <c r="A1778" s="1" t="str">
        <f ca="1">IFERROR(__xludf.DUMMYFUNCTION("GOOGLETRANSLATE(C1868, ""en"", ""es"")"),"multa")</f>
        <v>multa</v>
      </c>
      <c r="B1778" s="1">
        <v>-2</v>
      </c>
      <c r="C1778" s="1" t="s">
        <v>1866</v>
      </c>
    </row>
    <row r="1779" spans="1:3" ht="12.75" x14ac:dyDescent="0.2">
      <c r="A1779" s="1" t="str">
        <f ca="1">IFERROR(__xludf.DUMMYFUNCTION("GOOGLETRANSLATE(C1734, ""en"", ""es"")"),"murió")</f>
        <v>murió</v>
      </c>
      <c r="B1779" s="1">
        <v>-3</v>
      </c>
      <c r="C1779" s="1" t="s">
        <v>1733</v>
      </c>
    </row>
    <row r="1780" spans="1:3" ht="12.75" x14ac:dyDescent="0.2">
      <c r="A1780" s="1" t="str">
        <f ca="1">IFERROR(__xludf.DUMMYFUNCTION("GOOGLETRANSLATE(C1735, ""en"", ""es"")"),"musaraña")</f>
        <v>musaraña</v>
      </c>
      <c r="B1780" s="1">
        <v>-4</v>
      </c>
      <c r="C1780" s="1" t="s">
        <v>1734</v>
      </c>
    </row>
    <row r="1781" spans="1:3" ht="12.75" x14ac:dyDescent="0.2">
      <c r="A1781" s="1" t="str">
        <f ca="1">IFERROR(__xludf.DUMMYFUNCTION("GOOGLETRANSLATE(C1736, ""en"", ""es"")"),"N00B")</f>
        <v>N00B</v>
      </c>
      <c r="B1781" s="1">
        <v>-2</v>
      </c>
      <c r="C1781" s="1" t="s">
        <v>1735</v>
      </c>
    </row>
    <row r="1782" spans="1:3" ht="12.75" x14ac:dyDescent="0.2">
      <c r="A1782" s="1" t="s">
        <v>2505</v>
      </c>
      <c r="B1782" s="1">
        <v>-3</v>
      </c>
      <c r="C1782" s="1" t="s">
        <v>2506</v>
      </c>
    </row>
    <row r="1783" spans="1:3" ht="12.75" x14ac:dyDescent="0.2">
      <c r="A1783" s="1" t="str">
        <f ca="1">IFERROR(__xludf.DUMMYFUNCTION("GOOGLETRANSLATE(C1737, ""en"", ""es"")"),"natural")</f>
        <v>natural</v>
      </c>
      <c r="B1783" s="1">
        <v>1</v>
      </c>
      <c r="C1783" s="1" t="s">
        <v>1736</v>
      </c>
    </row>
    <row r="1784" spans="1:3" ht="12.75" x14ac:dyDescent="0.2">
      <c r="A1784" s="1" t="str">
        <f ca="1">IFERROR(__xludf.DUMMYFUNCTION("GOOGLETRANSLATE(C2144, ""en"", ""es"")"),"naufragio")</f>
        <v>naufragio</v>
      </c>
      <c r="B1784" s="1">
        <v>-2</v>
      </c>
      <c r="C1784" s="1" t="s">
        <v>2142</v>
      </c>
    </row>
    <row r="1785" spans="1:3" ht="12.75" x14ac:dyDescent="0.2">
      <c r="A1785" s="1" t="str">
        <f ca="1">IFERROR(__xludf.DUMMYFUNCTION("GOOGLETRANSLATE(C1738, ""en"", ""es"")"),"necesitado")</f>
        <v>necesitado</v>
      </c>
      <c r="B1785" s="1">
        <v>-2</v>
      </c>
      <c r="C1785" s="1" t="s">
        <v>1737</v>
      </c>
    </row>
    <row r="1786" spans="1:3" ht="12.75" x14ac:dyDescent="0.2">
      <c r="A1786" s="1" t="str">
        <f ca="1">IFERROR(__xludf.DUMMYFUNCTION("GOOGLETRANSLATE(C2336, ""en"", ""es"")"),"necio")</f>
        <v>necio</v>
      </c>
      <c r="B1786" s="1">
        <v>-2</v>
      </c>
      <c r="C1786" s="1" t="s">
        <v>2332</v>
      </c>
    </row>
    <row r="1787" spans="1:3" ht="12.75" x14ac:dyDescent="0.2">
      <c r="A1787" s="1" t="str">
        <f ca="1">IFERROR(__xludf.DUMMYFUNCTION("GOOGLETRANSLATE(C1758, ""en"", ""es"")"),"negaciones")</f>
        <v>negaciones</v>
      </c>
      <c r="B1787" s="1">
        <v>-2</v>
      </c>
      <c r="C1787" s="1" t="s">
        <v>1757</v>
      </c>
    </row>
    <row r="1788" spans="1:3" ht="12.75" x14ac:dyDescent="0.2">
      <c r="A1788" s="1" t="str">
        <f ca="1">IFERROR(__xludf.DUMMYFUNCTION("GOOGLETRANSLATE(C1740, ""en"", ""es"")"),"negador")</f>
        <v>negador</v>
      </c>
      <c r="B1788" s="1">
        <v>-2</v>
      </c>
      <c r="C1788" s="1" t="s">
        <v>1739</v>
      </c>
    </row>
    <row r="1789" spans="1:3" ht="12.75" x14ac:dyDescent="0.2">
      <c r="A1789" s="1" t="str">
        <f ca="1">IFERROR(__xludf.DUMMYFUNCTION("GOOGLETRANSLATE(C1741, ""en"", ""es"")"),"negadores")</f>
        <v>negadores</v>
      </c>
      <c r="B1789" s="1">
        <v>-2</v>
      </c>
      <c r="C1789" s="1" t="s">
        <v>1740</v>
      </c>
    </row>
    <row r="1790" spans="1:3" ht="12.75" x14ac:dyDescent="0.2">
      <c r="A1790" s="1" t="str">
        <f ca="1">IFERROR(__xludf.DUMMYFUNCTION("GOOGLETRANSLATE(C772, ""en"", ""es"")"),"negar")</f>
        <v>negar</v>
      </c>
      <c r="B1790" s="1">
        <v>-2</v>
      </c>
      <c r="C1790" s="1" t="s">
        <v>772</v>
      </c>
    </row>
    <row r="1791" spans="1:3" ht="12.75" x14ac:dyDescent="0.2">
      <c r="A1791" s="1" t="str">
        <f ca="1">IFERROR(__xludf.DUMMYFUNCTION("GOOGLETRANSLATE(C1742, ""en"", ""es"")"),"negar")</f>
        <v>negar</v>
      </c>
      <c r="B1791" s="1">
        <v>-2</v>
      </c>
      <c r="C1791" s="1" t="s">
        <v>1741</v>
      </c>
    </row>
    <row r="1792" spans="1:3" ht="12.75" x14ac:dyDescent="0.2">
      <c r="A1792" s="1" t="str">
        <f ca="1">IFERROR(__xludf.DUMMYFUNCTION("GOOGLETRANSLATE(C1744, ""en"", ""es"")"),"negar")</f>
        <v>negar</v>
      </c>
      <c r="B1792" s="1">
        <v>-2</v>
      </c>
      <c r="C1792" s="1" t="s">
        <v>1743</v>
      </c>
    </row>
    <row r="1793" spans="1:3" ht="12.75" x14ac:dyDescent="0.2">
      <c r="A1793" s="1" t="str">
        <f ca="1">IFERROR(__xludf.DUMMYFUNCTION("GOOGLETRANSLATE(C1745, ""en"", ""es"")"),"negatividad")</f>
        <v>negatividad</v>
      </c>
      <c r="B1793" s="1">
        <v>-2</v>
      </c>
      <c r="C1793" s="1" t="s">
        <v>1744</v>
      </c>
    </row>
    <row r="1794" spans="1:3" ht="12.75" x14ac:dyDescent="0.2">
      <c r="A1794" s="1" t="str">
        <f ca="1">IFERROR(__xludf.DUMMYFUNCTION("GOOGLETRANSLATE(C1746, ""en"", ""es"")"),"negativo")</f>
        <v>negativo</v>
      </c>
      <c r="B1794" s="1">
        <v>-2</v>
      </c>
      <c r="C1794" s="1" t="s">
        <v>1745</v>
      </c>
    </row>
    <row r="1795" spans="1:3" ht="12.75" x14ac:dyDescent="0.2">
      <c r="A1795" s="1" t="s">
        <v>2475</v>
      </c>
      <c r="B1795" s="1">
        <v>-5</v>
      </c>
      <c r="C1795" s="1" t="s">
        <v>1750</v>
      </c>
    </row>
    <row r="1796" spans="1:3" ht="12.75" x14ac:dyDescent="0.2">
      <c r="A1796" s="1" t="s">
        <v>2484</v>
      </c>
      <c r="B1796" s="1">
        <v>-5</v>
      </c>
      <c r="C1796" s="1" t="s">
        <v>1758</v>
      </c>
    </row>
    <row r="1797" spans="1:3" ht="12.75" x14ac:dyDescent="0.2">
      <c r="A1797" s="1" t="str">
        <f ca="1">IFERROR(__xludf.DUMMYFUNCTION("GOOGLETRANSLATE(C1751, ""en"", ""es"")"),"negro")</f>
        <v>negro</v>
      </c>
      <c r="B1797" s="1">
        <v>-5</v>
      </c>
      <c r="C1797" s="1" t="s">
        <v>1750</v>
      </c>
    </row>
    <row r="1798" spans="1:3" ht="12.75" x14ac:dyDescent="0.2">
      <c r="A1798" s="1" t="str">
        <f ca="1">IFERROR(__xludf.DUMMYFUNCTION("GOOGLETRANSLATE(C1752, ""en"", ""es"")"),"nervios")</f>
        <v>nervios</v>
      </c>
      <c r="B1798" s="1">
        <v>-1</v>
      </c>
      <c r="C1798" s="1" t="s">
        <v>1751</v>
      </c>
    </row>
    <row r="1799" spans="1:3" ht="12.75" x14ac:dyDescent="0.2">
      <c r="A1799" s="1" t="str">
        <f ca="1">IFERROR(__xludf.DUMMYFUNCTION("GOOGLETRANSLATE(C1753, ""en"", ""es"")"),"nerviosamente")</f>
        <v>nerviosamente</v>
      </c>
      <c r="B1799" s="1">
        <v>-2</v>
      </c>
      <c r="C1799" s="1" t="s">
        <v>1752</v>
      </c>
    </row>
    <row r="1800" spans="1:3" ht="12.75" x14ac:dyDescent="0.2">
      <c r="A1800" s="1" t="str">
        <f ca="1">IFERROR(__xludf.DUMMYFUNCTION("GOOGLETRANSLATE(C1754, ""en"", ""es"")"),"nervioso")</f>
        <v>nervioso</v>
      </c>
      <c r="B1800" s="1">
        <v>-2</v>
      </c>
      <c r="C1800" s="1" t="s">
        <v>1753</v>
      </c>
    </row>
    <row r="1801" spans="1:3" ht="12.75" x14ac:dyDescent="0.2">
      <c r="A1801" s="1" t="str">
        <f ca="1">IFERROR(__xludf.DUMMYFUNCTION("GOOGLETRANSLATE(C1755, ""en"", ""es"")"),"nervioso")</f>
        <v>nervioso</v>
      </c>
      <c r="B1801" s="1">
        <v>-2</v>
      </c>
      <c r="C1801" s="1" t="s">
        <v>1754</v>
      </c>
    </row>
    <row r="1802" spans="1:3" ht="12.75" x14ac:dyDescent="0.2">
      <c r="A1802" s="1" t="str">
        <f ca="1">IFERROR(__xludf.DUMMYFUNCTION("GOOGLETRANSLATE(C1756, ""en"", ""es"")"),"nervioso")</f>
        <v>nervioso</v>
      </c>
      <c r="B1802" s="1">
        <v>-2</v>
      </c>
      <c r="C1802" s="1" t="s">
        <v>1755</v>
      </c>
    </row>
    <row r="1803" spans="1:3" ht="12.75" x14ac:dyDescent="0.2">
      <c r="A1803" s="1" t="str">
        <f ca="1">IFERROR(__xludf.DUMMYFUNCTION("GOOGLETRANSLATE(C1757, ""en"", ""es"")"),"niebla tóxica")</f>
        <v>niebla tóxica</v>
      </c>
      <c r="B1803" s="1">
        <v>-2</v>
      </c>
      <c r="C1803" s="1" t="s">
        <v>1756</v>
      </c>
    </row>
    <row r="1804" spans="1:3" ht="12.75" x14ac:dyDescent="0.2">
      <c r="A1804" s="1" t="str">
        <f ca="1">IFERROR(__xludf.DUMMYFUNCTION("GOOGLETRANSLATE(C2205, ""en"", ""es"")"),"no acreditado")</f>
        <v>no acreditado</v>
      </c>
      <c r="B1804" s="1">
        <v>-1</v>
      </c>
      <c r="C1804" s="1" t="s">
        <v>2201</v>
      </c>
    </row>
    <row r="1805" spans="1:3" ht="12.75" x14ac:dyDescent="0.2">
      <c r="A1805" s="1" t="str">
        <f ca="1">IFERROR(__xludf.DUMMYFUNCTION("GOOGLETRANSLATE(C1761, ""en"", ""es"")"),"no amable")</f>
        <v>no amable</v>
      </c>
      <c r="B1805" s="1">
        <v>-2</v>
      </c>
      <c r="C1805" s="1" t="s">
        <v>1759</v>
      </c>
    </row>
    <row r="1806" spans="1:3" ht="12.75" x14ac:dyDescent="0.2">
      <c r="A1806" s="1" t="str">
        <f ca="1">IFERROR(__xludf.DUMMYFUNCTION("GOOGLETRANSLATE(C2206, ""en"", ""es"")"),"no amado")</f>
        <v>no amado</v>
      </c>
      <c r="B1806" s="1">
        <v>-2</v>
      </c>
      <c r="C1806" s="1" t="s">
        <v>2202</v>
      </c>
    </row>
    <row r="1807" spans="1:3" ht="12.75" x14ac:dyDescent="0.2">
      <c r="A1807" s="1" t="str">
        <f ca="1">IFERROR(__xludf.DUMMYFUNCTION("GOOGLETRANSLATE(C239, ""en"", ""es"")"),"no apreciado")</f>
        <v>no apreciado</v>
      </c>
      <c r="B1807" s="1">
        <v>-2</v>
      </c>
      <c r="C1807" s="1" t="s">
        <v>239</v>
      </c>
    </row>
    <row r="1808" spans="1:3" ht="12.75" x14ac:dyDescent="0.2">
      <c r="A1808" s="1" t="str">
        <f ca="1">IFERROR(__xludf.DUMMYFUNCTION("GOOGLETRANSLATE(C1762, ""en"", ""es"")"),"no aprobado")</f>
        <v>no aprobado</v>
      </c>
      <c r="B1808" s="1">
        <v>-2</v>
      </c>
      <c r="C1808" s="1" t="s">
        <v>1760</v>
      </c>
    </row>
    <row r="1809" spans="1:3" ht="12.75" x14ac:dyDescent="0.2">
      <c r="A1809" s="1" t="str">
        <f ca="1">IFERROR(__xludf.DUMMYFUNCTION("GOOGLETRANSLATE(C583, ""en"", ""es"")"),"no convencido")</f>
        <v>no convencido</v>
      </c>
      <c r="B1809" s="1">
        <v>-1</v>
      </c>
      <c r="C1809" s="1" t="s">
        <v>582</v>
      </c>
    </row>
    <row r="1810" spans="1:3" ht="12.75" x14ac:dyDescent="0.2">
      <c r="A1810" s="1" t="str">
        <f ca="1">IFERROR(__xludf.DUMMYFUNCTION("GOOGLETRANSLATE(C1763, ""en"", ""es"")"),"no creer")</f>
        <v>no creer</v>
      </c>
      <c r="B1810" s="1">
        <v>-2</v>
      </c>
      <c r="C1810" s="1" t="s">
        <v>1761</v>
      </c>
    </row>
    <row r="1811" spans="1:3" ht="12.75" x14ac:dyDescent="0.2">
      <c r="A1811" s="1" t="str">
        <f ca="1">IFERROR(__xludf.DUMMYFUNCTION("GOOGLETRANSLATE(C1764, ""en"", ""es"")"),"no deseado")</f>
        <v>no deseado</v>
      </c>
      <c r="B1811" s="1">
        <v>-2</v>
      </c>
      <c r="C1811" s="1" t="s">
        <v>1762</v>
      </c>
    </row>
    <row r="1812" spans="1:3" ht="12.75" x14ac:dyDescent="0.2">
      <c r="A1812" s="1" t="str">
        <f ca="1">IFERROR(__xludf.DUMMYFUNCTION("GOOGLETRANSLATE(C1765, ""en"", ""es"")"),"no es divertido")</f>
        <v>no es divertido</v>
      </c>
      <c r="B1812" s="1">
        <v>-3</v>
      </c>
      <c r="C1812" s="1" t="s">
        <v>1763</v>
      </c>
    </row>
    <row r="1813" spans="1:3" ht="12.75" x14ac:dyDescent="0.2">
      <c r="A1813" s="1" t="str">
        <f ca="1">IFERROR(__xludf.DUMMYFUNCTION("GOOGLETRANSLATE(C1766, ""en"", ""es"")"),"no está bien")</f>
        <v>no está bien</v>
      </c>
      <c r="B1813" s="1">
        <v>-2</v>
      </c>
      <c r="C1813" s="1" t="s">
        <v>1764</v>
      </c>
    </row>
    <row r="1814" spans="1:3" ht="12.75" x14ac:dyDescent="0.2">
      <c r="A1814" s="1" t="str">
        <f ca="1">IFERROR(__xludf.DUMMYFUNCTION("GOOGLETRANSLATE(C1767, ""en"", ""es"")"),"No funciona")</f>
        <v>No funciona</v>
      </c>
      <c r="B1814" s="1">
        <v>-3</v>
      </c>
      <c r="C1814" s="1" t="s">
        <v>1765</v>
      </c>
    </row>
    <row r="1815" spans="1:3" ht="12.75" x14ac:dyDescent="0.2">
      <c r="A1815" s="1" t="str">
        <f ca="1">IFERROR(__xludf.DUMMYFUNCTION("GOOGLETRANSLATE(C1768, ""en"", ""es"")"),"no funciona")</f>
        <v>no funciona</v>
      </c>
      <c r="B1815" s="1">
        <v>-3</v>
      </c>
      <c r="C1815" s="1" t="s">
        <v>1766</v>
      </c>
    </row>
    <row r="1816" spans="1:3" ht="12.75" x14ac:dyDescent="0.2">
      <c r="A1816" s="1" t="str">
        <f ca="1">IFERROR(__xludf.DUMMYFUNCTION("GOOGLETRANSLATE(C1364, ""en"", ""es"")"),"no impresionado")</f>
        <v>no impresionado</v>
      </c>
      <c r="B1816" s="1">
        <v>-2</v>
      </c>
      <c r="C1816" s="1" t="s">
        <v>1365</v>
      </c>
    </row>
    <row r="1817" spans="1:3" ht="12.75" x14ac:dyDescent="0.2">
      <c r="A1817" s="1" t="str">
        <f ca="1">IFERROR(__xludf.DUMMYFUNCTION("GOOGLETRANSLATE(C2393, ""en"", ""es"")"),"no investigado")</f>
        <v>no investigado</v>
      </c>
      <c r="B1817" s="1">
        <v>-2</v>
      </c>
      <c r="C1817" s="1" t="s">
        <v>2389</v>
      </c>
    </row>
    <row r="1818" spans="1:3" ht="12.75" x14ac:dyDescent="0.2">
      <c r="A1818" s="1" t="str">
        <f ca="1">IFERROR(__xludf.DUMMYFUNCTION("GOOGLETRANSLATE(C1772, ""en"", ""es"")"),"no me gusta")</f>
        <v>no me gusta</v>
      </c>
      <c r="B1818" s="1">
        <v>-2</v>
      </c>
      <c r="C1818" s="1" t="s">
        <v>1770</v>
      </c>
    </row>
    <row r="1819" spans="1:3" ht="12.75" x14ac:dyDescent="0.2">
      <c r="A1819" s="1" t="str">
        <f ca="1">IFERROR(__xludf.DUMMYFUNCTION("GOOGLETRANSLATE(C1769, ""en"", ""es"")"),"no profesional")</f>
        <v>no profesional</v>
      </c>
      <c r="B1819" s="1">
        <v>-2</v>
      </c>
      <c r="C1819" s="1" t="s">
        <v>1767</v>
      </c>
    </row>
    <row r="1820" spans="1:3" ht="12.75" x14ac:dyDescent="0.2">
      <c r="A1820" s="1" t="str">
        <f ca="1">IFERROR(__xludf.DUMMYFUNCTION("GOOGLETRANSLATE(C1770, ""en"", ""es"")"),"No puedo soportar")</f>
        <v>No puedo soportar</v>
      </c>
      <c r="B1820" s="1">
        <v>-3</v>
      </c>
      <c r="C1820" s="1" t="s">
        <v>1768</v>
      </c>
    </row>
    <row r="1821" spans="1:3" ht="12.75" x14ac:dyDescent="0.2">
      <c r="A1821" s="1" t="str">
        <f ca="1">IFERROR(__xludf.DUMMYFUNCTION("GOOGLETRANSLATE(C841, ""en"", ""es"")"),"no respetado")</f>
        <v>no respetado</v>
      </c>
      <c r="B1821" s="1">
        <v>-2</v>
      </c>
      <c r="C1821" s="1" t="s">
        <v>843</v>
      </c>
    </row>
    <row r="1822" spans="1:3" ht="12.75" x14ac:dyDescent="0.2">
      <c r="A1822" s="1" t="str">
        <f ca="1">IFERROR(__xludf.DUMMYFUNCTION("GOOGLETRANSLATE(C1771, ""en"", ""es"")"),"no sofisticado")</f>
        <v>no sofisticado</v>
      </c>
      <c r="B1822" s="1">
        <v>-2</v>
      </c>
      <c r="C1822" s="1" t="s">
        <v>1769</v>
      </c>
    </row>
    <row r="1823" spans="1:3" ht="12.75" x14ac:dyDescent="0.2">
      <c r="A1823" s="1" t="str">
        <f ca="1">IFERROR(__xludf.DUMMYFUNCTION("GOOGLETRANSLATE(C2218, ""en"", ""es"")"),"no talado")</f>
        <v>no talado</v>
      </c>
      <c r="B1823" s="1">
        <v>2</v>
      </c>
      <c r="C1823" s="1" t="s">
        <v>2214</v>
      </c>
    </row>
    <row r="1824" spans="1:3" ht="12.75" x14ac:dyDescent="0.2">
      <c r="A1824" s="1" t="str">
        <f ca="1">IFERROR(__xludf.DUMMYFUNCTION("GOOGLETRANSLATE(C1773, ""en"", ""es"")"),"noble")</f>
        <v>noble</v>
      </c>
      <c r="B1824" s="1">
        <v>2</v>
      </c>
      <c r="C1824" s="1" t="s">
        <v>1771</v>
      </c>
    </row>
    <row r="1825" spans="1:3" ht="12.75" x14ac:dyDescent="0.2">
      <c r="A1825" s="1" t="str">
        <f ca="1">IFERROR(__xludf.DUMMYFUNCTION("GOOGLETRANSLATE(C1774, ""en"", ""es"")"),"nostálgico")</f>
        <v>nostálgico</v>
      </c>
      <c r="B1825" s="1">
        <v>-2</v>
      </c>
      <c r="C1825" s="1" t="s">
        <v>1772</v>
      </c>
    </row>
    <row r="1826" spans="1:3" ht="12.75" x14ac:dyDescent="0.2">
      <c r="A1826" s="1" t="str">
        <f ca="1">IFERROR(__xludf.DUMMYFUNCTION("GOOGLETRANSLATE(C1775, ""en"", ""es"")"),"Notable")</f>
        <v>Notable</v>
      </c>
      <c r="B1826" s="1">
        <v>2</v>
      </c>
      <c r="C1826" s="1" t="s">
        <v>1773</v>
      </c>
    </row>
    <row r="1827" spans="1:3" ht="12.75" x14ac:dyDescent="0.2">
      <c r="A1827" s="1" t="str">
        <f ca="1">IFERROR(__xludf.DUMMYFUNCTION("GOOGLETRANSLATE(C1776, ""en"", ""es"")"),"notorio")</f>
        <v>notorio</v>
      </c>
      <c r="B1827" s="1">
        <v>-2</v>
      </c>
      <c r="C1827" s="1" t="s">
        <v>1774</v>
      </c>
    </row>
    <row r="1828" spans="1:3" ht="12.75" x14ac:dyDescent="0.2">
      <c r="A1828" s="1" t="str">
        <f ca="1">IFERROR(__xludf.DUMMYFUNCTION("GOOGLETRANSLATE(C1777, ""en"", ""es"")"),"novato")</f>
        <v>novato</v>
      </c>
      <c r="B1828" s="1">
        <v>-2</v>
      </c>
      <c r="C1828" s="1" t="s">
        <v>1775</v>
      </c>
    </row>
    <row r="1829" spans="1:3" ht="12.75" x14ac:dyDescent="0.2">
      <c r="A1829" s="1" t="str">
        <f ca="1">IFERROR(__xludf.DUMMYFUNCTION("GOOGLETRANSLATE(C1778, ""en"", ""es"")"),"novedoso")</f>
        <v>novedoso</v>
      </c>
      <c r="B1829" s="1">
        <v>2</v>
      </c>
      <c r="C1829" s="1" t="s">
        <v>1776</v>
      </c>
    </row>
    <row r="1830" spans="1:3" ht="12.75" x14ac:dyDescent="0.2">
      <c r="A1830" s="1" t="str">
        <f ca="1">IFERROR(__xludf.DUMMYFUNCTION("GOOGLETRANSLATE(C1779, ""en"", ""es"")"),"nubes")</f>
        <v>nubes</v>
      </c>
      <c r="B1830" s="1">
        <v>-2</v>
      </c>
      <c r="C1830" s="1" t="s">
        <v>1777</v>
      </c>
    </row>
    <row r="1831" spans="1:3" ht="12.75" x14ac:dyDescent="0.2">
      <c r="A1831" s="1" t="str">
        <f ca="1">IFERROR(__xludf.DUMMYFUNCTION("GOOGLETRANSLATE(C1780, ""en"", ""es"")"),"nublado")</f>
        <v>nublado</v>
      </c>
      <c r="B1831" s="1">
        <v>-1</v>
      </c>
      <c r="C1831" s="1" t="s">
        <v>1778</v>
      </c>
    </row>
    <row r="1832" spans="1:3" ht="12.75" x14ac:dyDescent="0.2">
      <c r="A1832" s="1" t="str">
        <f ca="1">IFERROR(__xludf.DUMMYFUNCTION("GOOGLETRANSLATE(C1781, ""en"", ""es"")"),"nueces")</f>
        <v>nueces</v>
      </c>
      <c r="B1832" s="1">
        <v>-3</v>
      </c>
      <c r="C1832" s="1" t="s">
        <v>1779</v>
      </c>
    </row>
    <row r="1833" spans="1:3" ht="12.75" x14ac:dyDescent="0.2">
      <c r="A1833" s="1" t="str">
        <f ca="1">IFERROR(__xludf.DUMMYFUNCTION("GOOGLETRANSLATE(C1783, ""en"", ""es"")"),"obligado")</f>
        <v>obligado</v>
      </c>
      <c r="B1833" s="1">
        <v>1</v>
      </c>
      <c r="C1833" s="1" t="s">
        <v>1781</v>
      </c>
    </row>
    <row r="1834" spans="1:3" ht="12.75" x14ac:dyDescent="0.2">
      <c r="A1834" s="1" t="str">
        <f ca="1">IFERROR(__xludf.DUMMYFUNCTION("GOOGLETRANSLATE(C1784, ""en"", ""es"")"),"obligatorio")</f>
        <v>obligatorio</v>
      </c>
      <c r="B1834" s="1">
        <v>-1</v>
      </c>
      <c r="C1834" s="1" t="s">
        <v>1782</v>
      </c>
    </row>
    <row r="1835" spans="1:3" ht="12.75" x14ac:dyDescent="0.2">
      <c r="A1835" s="1" t="str">
        <f ca="1">IFERROR(__xludf.DUMMYFUNCTION("GOOGLETRANSLATE(C1786, ""en"", ""es"")"),"obliterar")</f>
        <v>obliterar</v>
      </c>
      <c r="B1835" s="1">
        <v>-2</v>
      </c>
      <c r="C1835" s="1" t="s">
        <v>1784</v>
      </c>
    </row>
    <row r="1836" spans="1:3" ht="12.75" x14ac:dyDescent="0.2">
      <c r="A1836" s="1" t="str">
        <f ca="1">IFERROR(__xludf.DUMMYFUNCTION("GOOGLETRANSLATE(C1787, ""en"", ""es"")"),"obra maestra")</f>
        <v>obra maestra</v>
      </c>
      <c r="B1836" s="1">
        <v>4</v>
      </c>
      <c r="C1836" s="1" t="s">
        <v>1785</v>
      </c>
    </row>
    <row r="1837" spans="1:3" ht="12.75" x14ac:dyDescent="0.2">
      <c r="A1837" s="1" t="str">
        <f ca="1">IFERROR(__xludf.DUMMYFUNCTION("GOOGLETRANSLATE(C1788, ""en"", ""es"")"),"obras maestras")</f>
        <v>obras maestras</v>
      </c>
      <c r="B1837" s="1">
        <v>4</v>
      </c>
      <c r="C1837" s="1" t="s">
        <v>1786</v>
      </c>
    </row>
    <row r="1838" spans="1:3" ht="12.75" x14ac:dyDescent="0.2">
      <c r="A1838" s="1" t="str">
        <f ca="1">IFERROR(__xludf.DUMMYFUNCTION("GOOGLETRANSLATE(C1789, ""en"", ""es"")"),"obsceno")</f>
        <v>obsceno</v>
      </c>
      <c r="B1838" s="1">
        <v>-2</v>
      </c>
      <c r="C1838" s="1" t="s">
        <v>1787</v>
      </c>
    </row>
    <row r="1839" spans="1:3" ht="12.75" x14ac:dyDescent="0.2">
      <c r="A1839" s="1" t="str">
        <f ca="1">IFERROR(__xludf.DUMMYFUNCTION("GOOGLETRANSLATE(C1415, ""en"", ""es"")"),"Obsesión")</f>
        <v>Obsesión</v>
      </c>
      <c r="B1839" s="1">
        <v>2</v>
      </c>
      <c r="C1839" s="1" t="s">
        <v>1416</v>
      </c>
    </row>
    <row r="1840" spans="1:3" ht="12.75" x14ac:dyDescent="0.2">
      <c r="A1840" s="1" t="str">
        <f ca="1">IFERROR(__xludf.DUMMYFUNCTION("GOOGLETRANSLATE(C1790, ""en"", ""es"")"),"obsesionado")</f>
        <v>obsesionado</v>
      </c>
      <c r="B1840" s="1">
        <v>-2</v>
      </c>
      <c r="C1840" s="1" t="s">
        <v>1788</v>
      </c>
    </row>
    <row r="1841" spans="1:3" ht="12.75" x14ac:dyDescent="0.2">
      <c r="A1841" s="1" t="str">
        <f ca="1">IFERROR(__xludf.DUMMYFUNCTION("GOOGLETRANSLATE(C1791, ""en"", ""es"")"),"obsesionado")</f>
        <v>obsesionado</v>
      </c>
      <c r="B1841" s="1">
        <v>2</v>
      </c>
      <c r="C1841" s="1" t="s">
        <v>1789</v>
      </c>
    </row>
    <row r="1842" spans="1:3" ht="12.75" x14ac:dyDescent="0.2">
      <c r="A1842" s="1" t="str">
        <f ca="1">IFERROR(__xludf.DUMMYFUNCTION("GOOGLETRANSLATE(C1792, ""en"", ""es"")"),"obsesionante")</f>
        <v>obsesionante</v>
      </c>
      <c r="B1842" s="1">
        <v>1</v>
      </c>
      <c r="C1842" s="1" t="s">
        <v>1790</v>
      </c>
    </row>
    <row r="1843" spans="1:3" ht="12.75" x14ac:dyDescent="0.2">
      <c r="A1843" s="1" t="str">
        <f ca="1">IFERROR(__xludf.DUMMYFUNCTION("GOOGLETRANSLATE(C1793, ""en"", ""es"")"),"obsoleto")</f>
        <v>obsoleto</v>
      </c>
      <c r="B1843" s="1">
        <v>-2</v>
      </c>
      <c r="C1843" s="1" t="s">
        <v>1791</v>
      </c>
    </row>
    <row r="1844" spans="1:3" ht="12.75" x14ac:dyDescent="0.2">
      <c r="A1844" s="1" t="str">
        <f ca="1">IFERROR(__xludf.DUMMYFUNCTION("GOOGLETRANSLATE(C1794, ""en"", ""es"")"),"obstáculo")</f>
        <v>obstáculo</v>
      </c>
      <c r="B1844" s="1">
        <v>-2</v>
      </c>
      <c r="C1844" s="1" t="s">
        <v>1792</v>
      </c>
    </row>
    <row r="1845" spans="1:3" ht="12.75" x14ac:dyDescent="0.2">
      <c r="A1845" s="1" t="str">
        <f ca="1">IFERROR(__xludf.DUMMYFUNCTION("GOOGLETRANSLATE(C1795, ""en"", ""es"")"),"obstáculo")</f>
        <v>obstáculo</v>
      </c>
      <c r="B1845" s="1">
        <v>-2</v>
      </c>
      <c r="C1845" s="1" t="s">
        <v>1793</v>
      </c>
    </row>
    <row r="1846" spans="1:3" ht="12.75" x14ac:dyDescent="0.2">
      <c r="A1846" s="1" t="str">
        <f ca="1">IFERROR(__xludf.DUMMYFUNCTION("GOOGLETRANSLATE(C1796, ""en"", ""es"")"),"obstáculos")</f>
        <v>obstáculos</v>
      </c>
      <c r="B1846" s="1">
        <v>-2</v>
      </c>
      <c r="C1846" s="1" t="s">
        <v>1794</v>
      </c>
    </row>
    <row r="1847" spans="1:3" ht="12.75" x14ac:dyDescent="0.2">
      <c r="A1847" s="1" t="str">
        <f ca="1">IFERROR(__xludf.DUMMYFUNCTION("GOOGLETRANSLATE(C1797, ""en"", ""es"")"),"obstinado")</f>
        <v>obstinado</v>
      </c>
      <c r="B1847" s="1">
        <v>-2</v>
      </c>
      <c r="C1847" s="1" t="s">
        <v>1795</v>
      </c>
    </row>
    <row r="1848" spans="1:3" ht="12.75" x14ac:dyDescent="0.2">
      <c r="A1848" s="1" t="str">
        <f ca="1">IFERROR(__xludf.DUMMYFUNCTION("GOOGLETRANSLATE(C1799, ""en"", ""es"")"),"obstruido")</f>
        <v>obstruido</v>
      </c>
      <c r="B1848" s="1">
        <v>-1</v>
      </c>
      <c r="C1848" s="1" t="s">
        <v>1797</v>
      </c>
    </row>
    <row r="1849" spans="1:3" ht="12.75" x14ac:dyDescent="0.2">
      <c r="A1849" s="1" t="str">
        <f ca="1">IFERROR(__xludf.DUMMYFUNCTION("GOOGLETRANSLATE(C1800, ""en"", ""es"")"),"ocultación")</f>
        <v>ocultación</v>
      </c>
      <c r="B1849" s="1">
        <v>-1</v>
      </c>
      <c r="C1849" s="1" t="s">
        <v>1798</v>
      </c>
    </row>
    <row r="1850" spans="1:3" ht="12.75" x14ac:dyDescent="0.2">
      <c r="A1850" s="1" t="str">
        <f ca="1">IFERROR(__xludf.DUMMYFUNCTION("GOOGLETRANSLATE(C823, ""en"", ""es"")"),"ocultar")</f>
        <v>ocultar</v>
      </c>
      <c r="B1850" s="1">
        <v>-1</v>
      </c>
      <c r="C1850" s="1" t="s">
        <v>825</v>
      </c>
    </row>
    <row r="1851" spans="1:3" ht="12.75" x14ac:dyDescent="0.2">
      <c r="A1851" s="1" t="str">
        <f ca="1">IFERROR(__xludf.DUMMYFUNCTION("GOOGLETRANSLATE(C1002, ""en"", ""es"")"),"ocultar")</f>
        <v>ocultar</v>
      </c>
      <c r="B1851" s="1">
        <v>-1</v>
      </c>
      <c r="C1851" s="1" t="s">
        <v>1004</v>
      </c>
    </row>
    <row r="1852" spans="1:3" ht="12.75" x14ac:dyDescent="0.2">
      <c r="A1852" s="1" t="str">
        <f ca="1">IFERROR(__xludf.DUMMYFUNCTION("GOOGLETRANSLATE(C1801, ""en"", ""es"")"),"odiado")</f>
        <v>odiado</v>
      </c>
      <c r="B1852" s="1">
        <v>-3</v>
      </c>
      <c r="C1852" s="1" t="s">
        <v>1799</v>
      </c>
    </row>
    <row r="1853" spans="1:3" ht="12.75" x14ac:dyDescent="0.2">
      <c r="A1853" s="1" t="str">
        <f ca="1">IFERROR(__xludf.DUMMYFUNCTION("GOOGLETRANSLATE(C1802, ""en"", ""es"")"),"odio")</f>
        <v>odio</v>
      </c>
      <c r="B1853" s="1">
        <v>-3</v>
      </c>
      <c r="C1853" s="1" t="s">
        <v>1800</v>
      </c>
    </row>
    <row r="1854" spans="1:3" ht="12.75" x14ac:dyDescent="0.2">
      <c r="A1854" s="1" t="str">
        <f ca="1">IFERROR(__xludf.DUMMYFUNCTION("GOOGLETRANSLATE(C1803, ""en"", ""es"")"),"odio")</f>
        <v>odio</v>
      </c>
      <c r="B1854" s="1">
        <v>-3</v>
      </c>
      <c r="C1854" s="1" t="s">
        <v>1801</v>
      </c>
    </row>
    <row r="1855" spans="1:3" ht="12.75" x14ac:dyDescent="0.2">
      <c r="A1855" s="1" t="str">
        <f ca="1">IFERROR(__xludf.DUMMYFUNCTION("GOOGLETRANSLATE(C1804, ""en"", ""es"")"),"odios")</f>
        <v>odios</v>
      </c>
      <c r="B1855" s="1">
        <v>-3</v>
      </c>
      <c r="C1855" s="1" t="s">
        <v>1802</v>
      </c>
    </row>
    <row r="1856" spans="1:3" ht="12.75" x14ac:dyDescent="0.2">
      <c r="A1856" s="1" t="str">
        <f ca="1">IFERROR(__xludf.DUMMYFUNCTION("GOOGLETRANSLATE(C1805, ""en"", ""es"")"),"ofender")</f>
        <v>ofender</v>
      </c>
      <c r="B1856" s="1">
        <v>-2</v>
      </c>
      <c r="C1856" s="1" t="s">
        <v>1803</v>
      </c>
    </row>
    <row r="1857" spans="1:3" ht="12.75" x14ac:dyDescent="0.2">
      <c r="A1857" s="1" t="str">
        <f ca="1">IFERROR(__xludf.DUMMYFUNCTION("GOOGLETRANSLATE(C1806, ""en"", ""es"")"),"ofender")</f>
        <v>ofender</v>
      </c>
      <c r="B1857" s="1">
        <v>-2</v>
      </c>
      <c r="C1857" s="1" t="s">
        <v>1804</v>
      </c>
    </row>
    <row r="1858" spans="1:3" ht="12.75" x14ac:dyDescent="0.2">
      <c r="A1858" s="1" t="str">
        <f ca="1">IFERROR(__xludf.DUMMYFUNCTION("GOOGLETRANSLATE(C1807, ""en"", ""es"")"),"ofendido")</f>
        <v>ofendido</v>
      </c>
      <c r="B1858" s="1">
        <v>-2</v>
      </c>
      <c r="C1858" s="1" t="s">
        <v>1805</v>
      </c>
    </row>
    <row r="1859" spans="1:3" ht="12.75" x14ac:dyDescent="0.2">
      <c r="A1859" s="1" t="str">
        <f ca="1">IFERROR(__xludf.DUMMYFUNCTION("GOOGLETRANSLATE(C1749, ""en"", ""es"")"),"oferta")</f>
        <v>oferta</v>
      </c>
      <c r="B1859" s="1">
        <v>2</v>
      </c>
      <c r="C1859" s="1" t="s">
        <v>1748</v>
      </c>
    </row>
    <row r="1860" spans="1:3" ht="12.75" x14ac:dyDescent="0.2">
      <c r="A1860" s="1" t="str">
        <f ca="1">IFERROR(__xludf.DUMMYFUNCTION("GOOGLETRANSLATE(C1809, ""en"", ""es"")"),"Ojalá")</f>
        <v>Ojalá</v>
      </c>
      <c r="B1860" s="1">
        <v>2</v>
      </c>
      <c r="C1860" s="1" t="s">
        <v>1807</v>
      </c>
    </row>
    <row r="1861" spans="1:3" ht="12.75" x14ac:dyDescent="0.2">
      <c r="A1861" s="1" t="str">
        <f ca="1">IFERROR(__xludf.DUMMYFUNCTION("GOOGLETRANSLATE(C1810, ""en"", ""es"")"),"oks")</f>
        <v>oks</v>
      </c>
      <c r="B1861" s="1">
        <v>2</v>
      </c>
      <c r="C1861" s="1" t="s">
        <v>1808</v>
      </c>
    </row>
    <row r="1862" spans="1:3" ht="12.75" x14ac:dyDescent="0.2">
      <c r="A1862" s="1" t="str">
        <f ca="1">IFERROR(__xludf.DUMMYFUNCTION("GOOGLETRANSLATE(C1811, ""en"", ""es"")"),"olvidadizo")</f>
        <v>olvidadizo</v>
      </c>
      <c r="B1862" s="1">
        <v>-2</v>
      </c>
      <c r="C1862" s="1" t="s">
        <v>1809</v>
      </c>
    </row>
    <row r="1863" spans="1:3" ht="12.75" x14ac:dyDescent="0.2">
      <c r="A1863" s="1" t="str">
        <f ca="1">IFERROR(__xludf.DUMMYFUNCTION("GOOGLETRANSLATE(C1812, ""en"", ""es"")"),"olvidado")</f>
        <v>olvidado</v>
      </c>
      <c r="B1863" s="1">
        <v>-1</v>
      </c>
      <c r="C1863" s="1" t="s">
        <v>1810</v>
      </c>
    </row>
    <row r="1864" spans="1:3" ht="12.75" x14ac:dyDescent="0.2">
      <c r="A1864" s="1" t="str">
        <f ca="1">IFERROR(__xludf.DUMMYFUNCTION("GOOGLETRANSLATE(C1813, ""en"", ""es"")"),"olvidar")</f>
        <v>olvidar</v>
      </c>
      <c r="B1864" s="1">
        <v>-1</v>
      </c>
      <c r="C1864" s="1" t="s">
        <v>1811</v>
      </c>
    </row>
    <row r="1865" spans="1:3" ht="12.75" x14ac:dyDescent="0.2">
      <c r="A1865" s="1" t="str">
        <f ca="1">IFERROR(__xludf.DUMMYFUNCTION("GOOGLETRANSLATE(C1814, ""en"", ""es"")"),"ominoso")</f>
        <v>ominoso</v>
      </c>
      <c r="B1865" s="1">
        <v>3</v>
      </c>
      <c r="C1865" s="1" t="s">
        <v>1812</v>
      </c>
    </row>
    <row r="1866" spans="1:3" ht="12.75" x14ac:dyDescent="0.2">
      <c r="A1866" s="1" t="str">
        <f ca="1">IFERROR(__xludf.DUMMYFUNCTION("GOOGLETRANSLATE(C1877, ""en"", ""es"")"),"omitido")</f>
        <v>omitido</v>
      </c>
      <c r="B1866" s="1">
        <v>-2</v>
      </c>
      <c r="C1866" s="1" t="s">
        <v>1875</v>
      </c>
    </row>
    <row r="1867" spans="1:3" ht="12.75" x14ac:dyDescent="0.2">
      <c r="A1867" s="1" t="str">
        <f ca="1">IFERROR(__xludf.DUMMYFUNCTION("GOOGLETRANSLATE(C1815, ""en"", ""es"")"),"oportunidad")</f>
        <v>oportunidad</v>
      </c>
      <c r="B1867" s="1">
        <v>2</v>
      </c>
      <c r="C1867" s="1" t="s">
        <v>1813</v>
      </c>
    </row>
    <row r="1868" spans="1:3" ht="12.75" x14ac:dyDescent="0.2">
      <c r="A1868" s="1" t="str">
        <f ca="1">IFERROR(__xludf.DUMMYFUNCTION("GOOGLETRANSLATE(C1816, ""en"", ""es"")"),"oportunidad")</f>
        <v>oportunidad</v>
      </c>
      <c r="B1868" s="1">
        <v>2</v>
      </c>
      <c r="C1868" s="1" t="s">
        <v>1814</v>
      </c>
    </row>
    <row r="1869" spans="1:3" ht="12.75" x14ac:dyDescent="0.2">
      <c r="A1869" s="1" t="str">
        <f ca="1">IFERROR(__xludf.DUMMYFUNCTION("GOOGLETRANSLATE(C1817, ""en"", ""es"")"),"oportunidades")</f>
        <v>oportunidades</v>
      </c>
      <c r="B1869" s="1">
        <v>2</v>
      </c>
      <c r="C1869" s="1" t="s">
        <v>1815</v>
      </c>
    </row>
    <row r="1870" spans="1:3" ht="12.75" x14ac:dyDescent="0.2">
      <c r="A1870" s="1" t="str">
        <f ca="1">IFERROR(__xludf.DUMMYFUNCTION("GOOGLETRANSLATE(C1818, ""en"", ""es"")"),"opresivo")</f>
        <v>opresivo</v>
      </c>
      <c r="B1870" s="1">
        <v>-2</v>
      </c>
      <c r="C1870" s="1" t="s">
        <v>1816</v>
      </c>
    </row>
    <row r="1871" spans="1:3" ht="12.75" x14ac:dyDescent="0.2">
      <c r="A1871" s="1" t="str">
        <f ca="1">IFERROR(__xludf.DUMMYFUNCTION("GOOGLETRANSLATE(C1819, ""en"", ""es"")"),"oprimido")</f>
        <v>oprimido</v>
      </c>
      <c r="B1871" s="1">
        <v>-2</v>
      </c>
      <c r="C1871" s="1" t="s">
        <v>1817</v>
      </c>
    </row>
    <row r="1872" spans="1:3" ht="12.75" x14ac:dyDescent="0.2">
      <c r="A1872" s="1" t="str">
        <f ca="1">IFERROR(__xludf.DUMMYFUNCTION("GOOGLETRANSLATE(C1820, ""en"", ""es"")"),"optimismo")</f>
        <v>optimismo</v>
      </c>
      <c r="B1872" s="1">
        <v>2</v>
      </c>
      <c r="C1872" s="1" t="s">
        <v>1818</v>
      </c>
    </row>
    <row r="1873" spans="1:3" ht="12.75" x14ac:dyDescent="0.2">
      <c r="A1873" s="1" t="str">
        <f ca="1">IFERROR(__xludf.DUMMYFUNCTION("GOOGLETRANSLATE(C1821, ""en"", ""es"")"),"optimista")</f>
        <v>optimista</v>
      </c>
      <c r="B1873" s="1">
        <v>2</v>
      </c>
      <c r="C1873" s="1" t="s">
        <v>1819</v>
      </c>
    </row>
    <row r="1874" spans="1:3" ht="12.75" x14ac:dyDescent="0.2">
      <c r="A1874" s="1" t="str">
        <f ca="1">IFERROR(__xludf.DUMMYFUNCTION("GOOGLETRANSLATE(C1189, ""en"", ""es"")"),"oraciones")</f>
        <v>oraciones</v>
      </c>
      <c r="B1874" s="1">
        <v>-2</v>
      </c>
      <c r="C1874" s="1" t="s">
        <v>1191</v>
      </c>
    </row>
    <row r="1875" spans="1:3" ht="12.75" x14ac:dyDescent="0.2">
      <c r="A1875" s="1" t="str">
        <f ca="1">IFERROR(__xludf.DUMMYFUNCTION("GOOGLETRANSLATE(C2110, ""en"", ""es"")"),"Orando")</f>
        <v>Orando</v>
      </c>
      <c r="B1875" s="1">
        <v>1</v>
      </c>
      <c r="C1875" s="1" t="s">
        <v>2108</v>
      </c>
    </row>
    <row r="1876" spans="1:3" ht="12.75" x14ac:dyDescent="0.2">
      <c r="A1876" s="1" t="str">
        <f ca="1">IFERROR(__xludf.DUMMYFUNCTION("GOOGLETRANSLATE(C1824, ""en"", ""es"")"),"orar")</f>
        <v>orar</v>
      </c>
      <c r="B1876" s="1">
        <v>1</v>
      </c>
      <c r="C1876" s="1" t="s">
        <v>1822</v>
      </c>
    </row>
    <row r="1877" spans="1:3" ht="12.75" x14ac:dyDescent="0.2">
      <c r="A1877" s="1" t="str">
        <f ca="1">IFERROR(__xludf.DUMMYFUNCTION("GOOGLETRANSLATE(C1826, ""en"", ""es"")"),"orgulloso")</f>
        <v>orgulloso</v>
      </c>
      <c r="B1877" s="1">
        <v>2</v>
      </c>
      <c r="C1877" s="1" t="s">
        <v>1824</v>
      </c>
    </row>
    <row r="1878" spans="1:3" ht="12.75" x14ac:dyDescent="0.2">
      <c r="A1878" s="1" t="str">
        <f ca="1">IFERROR(__xludf.DUMMYFUNCTION("GOOGLETRANSLATE(C1666, ""en"", ""es"")"),"orina")</f>
        <v>orina</v>
      </c>
      <c r="B1878" s="1">
        <v>-3</v>
      </c>
      <c r="C1878" s="1" t="s">
        <v>1665</v>
      </c>
    </row>
    <row r="1879" spans="1:3" ht="12.75" x14ac:dyDescent="0.2">
      <c r="A1879" s="1" t="str">
        <f ca="1">IFERROR(__xludf.DUMMYFUNCTION("GOOGLETRANSLATE(C1667, ""en"", ""es"")"),"orinar")</f>
        <v>orinar</v>
      </c>
      <c r="B1879" s="1">
        <v>-4</v>
      </c>
      <c r="C1879" s="1" t="s">
        <v>1666</v>
      </c>
    </row>
    <row r="1880" spans="1:3" ht="12.75" x14ac:dyDescent="0.2">
      <c r="A1880" s="1" t="str">
        <f ca="1">IFERROR(__xludf.DUMMYFUNCTION("GOOGLETRANSLATE(C1827, ""en"", ""es"")"),"oscuridad")</f>
        <v>oscuridad</v>
      </c>
      <c r="B1880" s="1">
        <v>-1</v>
      </c>
      <c r="C1880" s="1" t="s">
        <v>1825</v>
      </c>
    </row>
    <row r="1881" spans="1:3" ht="12.75" x14ac:dyDescent="0.2">
      <c r="A1881" s="1" t="str">
        <f ca="1">IFERROR(__xludf.DUMMYFUNCTION("GOOGLETRANSLATE(C1828, ""en"", ""es"")"),"oscuridad")</f>
        <v>oscuridad</v>
      </c>
      <c r="B1881" s="1">
        <v>-1</v>
      </c>
      <c r="C1881" s="1" t="s">
        <v>1826</v>
      </c>
    </row>
    <row r="1882" spans="1:3" ht="12.75" x14ac:dyDescent="0.2">
      <c r="A1882" s="1" t="str">
        <f ca="1">IFERROR(__xludf.DUMMYFUNCTION("GOOGLETRANSLATE(C530, ""en"", ""es"")"),"otorgado")</f>
        <v>otorgado</v>
      </c>
      <c r="B1882" s="1">
        <v>1</v>
      </c>
      <c r="C1882" s="1" t="s">
        <v>529</v>
      </c>
    </row>
    <row r="1883" spans="1:3" ht="12.75" x14ac:dyDescent="0.2">
      <c r="A1883" s="1" t="str">
        <f ca="1">IFERROR(__xludf.DUMMYFUNCTION("GOOGLETRANSLATE(C529, ""en"", ""es"")"),"otorgar")</f>
        <v>otorgar</v>
      </c>
      <c r="B1883" s="1">
        <v>1</v>
      </c>
      <c r="C1883" s="1" t="s">
        <v>528</v>
      </c>
    </row>
    <row r="1884" spans="1:3" ht="12.75" x14ac:dyDescent="0.2">
      <c r="A1884" s="1" t="str">
        <f ca="1">IFERROR(__xludf.DUMMYFUNCTION("GOOGLETRANSLATE(C1944, ""en"", ""es"")"),"otorgar")</f>
        <v>otorgar</v>
      </c>
      <c r="B1884" s="1">
        <v>3</v>
      </c>
      <c r="C1884" s="1" t="s">
        <v>1942</v>
      </c>
    </row>
    <row r="1885" spans="1:3" ht="12.75" x14ac:dyDescent="0.2">
      <c r="A1885" s="1" t="str">
        <f ca="1">IFERROR(__xludf.DUMMYFUNCTION("GOOGLETRANSLATE(C1833, ""en"", ""es"")"),"oxímoron")</f>
        <v>oxímoron</v>
      </c>
      <c r="B1885" s="1">
        <v>-1</v>
      </c>
      <c r="C1885" s="1" t="s">
        <v>1831</v>
      </c>
    </row>
    <row r="1886" spans="1:3" ht="12.75" x14ac:dyDescent="0.2">
      <c r="A1886" s="1" t="str">
        <f ca="1">IFERROR(__xludf.DUMMYFUNCTION("GOOGLETRANSLATE(C528, ""en"", ""es"")"),"pacíficamente")</f>
        <v>pacíficamente</v>
      </c>
      <c r="B1886" s="1">
        <v>2</v>
      </c>
      <c r="C1886" s="1" t="s">
        <v>527</v>
      </c>
    </row>
    <row r="1887" spans="1:3" ht="12.75" x14ac:dyDescent="0.2">
      <c r="A1887" s="1" t="str">
        <f ca="1">IFERROR(__xludf.DUMMYFUNCTION("GOOGLETRANSLATE(C1836, ""en"", ""es"")"),"pagado")</f>
        <v>pagado</v>
      </c>
      <c r="B1887" s="1">
        <v>2</v>
      </c>
      <c r="C1887" s="1" t="s">
        <v>1834</v>
      </c>
    </row>
    <row r="1888" spans="1:3" ht="12.75" x14ac:dyDescent="0.2">
      <c r="A1888" s="1" t="str">
        <f ca="1">IFERROR(__xludf.DUMMYFUNCTION("GOOGLETRANSLATE(C1835, ""en"", ""es"")"),"pagar")</f>
        <v>pagar</v>
      </c>
      <c r="B1888" s="1">
        <v>-1</v>
      </c>
      <c r="C1888" s="1" t="s">
        <v>1833</v>
      </c>
    </row>
    <row r="1889" spans="1:3" ht="12.75" x14ac:dyDescent="0.2">
      <c r="A1889" s="1" t="str">
        <f ca="1">IFERROR(__xludf.DUMMYFUNCTION("GOOGLETRANSLATE(C1837, ""en"", ""es"")"),"paja")</f>
        <v>paja</v>
      </c>
      <c r="B1889" s="1">
        <v>-2</v>
      </c>
      <c r="C1889" s="1" t="s">
        <v>1835</v>
      </c>
    </row>
    <row r="1890" spans="1:3" ht="12.75" x14ac:dyDescent="0.2">
      <c r="A1890" s="1" t="str">
        <f ca="1">IFERROR(__xludf.DUMMYFUNCTION("GOOGLETRANSLATE(C1839, ""en"", ""es"")"),"pánico")</f>
        <v>pánico</v>
      </c>
      <c r="B1890" s="1">
        <v>-3</v>
      </c>
      <c r="C1890" s="1" t="s">
        <v>1837</v>
      </c>
    </row>
    <row r="1891" spans="1:3" ht="12.75" x14ac:dyDescent="0.2">
      <c r="A1891" s="1" t="str">
        <f ca="1">IFERROR(__xludf.DUMMYFUNCTION("GOOGLETRANSLATE(C1840, ""en"", ""es"")"),"pánico")</f>
        <v>pánico</v>
      </c>
      <c r="B1891" s="1">
        <v>-3</v>
      </c>
      <c r="C1891" s="1" t="s">
        <v>1838</v>
      </c>
    </row>
    <row r="1892" spans="1:3" ht="12.75" x14ac:dyDescent="0.2">
      <c r="A1892" s="1" t="str">
        <f ca="1">IFERROR(__xludf.DUMMYFUNCTION("GOOGLETRANSLATE(C1841, ""en"", ""es"")"),"pánico")</f>
        <v>pánico</v>
      </c>
      <c r="B1892" s="1">
        <v>-3</v>
      </c>
      <c r="C1892" s="1" t="s">
        <v>1839</v>
      </c>
    </row>
    <row r="1893" spans="1:3" ht="12.75" x14ac:dyDescent="0.2">
      <c r="A1893" s="1" t="s">
        <v>2507</v>
      </c>
      <c r="B1893" s="1">
        <v>-5</v>
      </c>
      <c r="C1893" s="1" t="s">
        <v>2507</v>
      </c>
    </row>
    <row r="1894" spans="1:3" ht="12.75" x14ac:dyDescent="0.2">
      <c r="A1894" s="1" t="str">
        <f ca="1">IFERROR(__xludf.DUMMYFUNCTION("GOOGLETRANSLATE(C1030, ""en"", ""es"")"),"parada")</f>
        <v>parada</v>
      </c>
      <c r="B1894" s="1">
        <v>-2</v>
      </c>
      <c r="C1894" s="1" t="s">
        <v>1032</v>
      </c>
    </row>
    <row r="1895" spans="1:3" ht="12.75" x14ac:dyDescent="0.2">
      <c r="A1895" s="1" t="str">
        <f ca="1">IFERROR(__xludf.DUMMYFUNCTION("GOOGLETRANSLATE(C1842, ""en"", ""es"")"),"parada")</f>
        <v>parada</v>
      </c>
      <c r="B1895" s="1">
        <v>-1</v>
      </c>
      <c r="C1895" s="1" t="s">
        <v>1840</v>
      </c>
    </row>
    <row r="1896" spans="1:3" ht="12.75" x14ac:dyDescent="0.2">
      <c r="A1896" s="1" t="str">
        <f ca="1">IFERROR(__xludf.DUMMYFUNCTION("GOOGLETRANSLATE(C1843, ""en"", ""es"")"),"parada")</f>
        <v>parada</v>
      </c>
      <c r="B1896" s="1">
        <v>-1</v>
      </c>
      <c r="C1896" s="1" t="s">
        <v>1841</v>
      </c>
    </row>
    <row r="1897" spans="1:3" ht="12.75" x14ac:dyDescent="0.2">
      <c r="A1897" s="1" t="str">
        <f ca="1">IFERROR(__xludf.DUMMYFUNCTION("GOOGLETRANSLATE(C1029, ""en"", ""es"")"),"parado")</f>
        <v>parado</v>
      </c>
      <c r="B1897" s="1">
        <v>-2</v>
      </c>
      <c r="C1897" s="1" t="s">
        <v>1031</v>
      </c>
    </row>
    <row r="1898" spans="1:3" ht="12.75" x14ac:dyDescent="0.2">
      <c r="A1898" s="1" t="str">
        <f ca="1">IFERROR(__xludf.DUMMYFUNCTION("GOOGLETRANSLATE(C1844, ""en"", ""es"")"),"paradoja")</f>
        <v>paradoja</v>
      </c>
      <c r="B1898" s="1">
        <v>-1</v>
      </c>
      <c r="C1898" s="1" t="s">
        <v>1842</v>
      </c>
    </row>
    <row r="1899" spans="1:3" ht="12.75" x14ac:dyDescent="0.2">
      <c r="A1899" s="1" t="str">
        <f ca="1">IFERROR(__xludf.DUMMYFUNCTION("GOOGLETRANSLATE(C1845, ""en"", ""es"")"),"paraíso")</f>
        <v>paraíso</v>
      </c>
      <c r="B1899" s="1">
        <v>3</v>
      </c>
      <c r="C1899" s="1" t="s">
        <v>1843</v>
      </c>
    </row>
    <row r="1900" spans="1:3" ht="12.75" x14ac:dyDescent="0.2">
      <c r="A1900" s="1" t="str">
        <f ca="1">IFERROR(__xludf.DUMMYFUNCTION("GOOGLETRANSLATE(C2224, ""en"", ""es"")"),"paralizado")</f>
        <v>paralizado</v>
      </c>
      <c r="B1900" s="1">
        <v>-2</v>
      </c>
      <c r="C1900" s="1" t="s">
        <v>2220</v>
      </c>
    </row>
    <row r="1901" spans="1:3" ht="12.75" x14ac:dyDescent="0.2">
      <c r="A1901" s="1" t="str">
        <f ca="1">IFERROR(__xludf.DUMMYFUNCTION("GOOGLETRANSLATE(C1994, ""en"", ""es"")"),"parar")</f>
        <v>parar</v>
      </c>
      <c r="B1901" s="1">
        <v>-2</v>
      </c>
      <c r="C1901" s="1" t="s">
        <v>1992</v>
      </c>
    </row>
    <row r="1902" spans="1:3" ht="12.75" x14ac:dyDescent="0.2">
      <c r="A1902" s="1" t="str">
        <f ca="1">IFERROR(__xludf.DUMMYFUNCTION("GOOGLETRANSLATE(C1849, ""en"", ""es"")"),"parlamentar")</f>
        <v>parlamentar</v>
      </c>
      <c r="B1902" s="1">
        <v>-1</v>
      </c>
      <c r="C1902" s="1" t="s">
        <v>1847</v>
      </c>
    </row>
    <row r="1903" spans="1:3" ht="12.75" x14ac:dyDescent="0.2">
      <c r="A1903" s="1" t="str">
        <f ca="1">IFERROR(__xludf.DUMMYFUNCTION("GOOGLETRANSLATE(C1850, ""en"", ""es"")"),"parodia")</f>
        <v>parodia</v>
      </c>
      <c r="B1903" s="1">
        <v>-2</v>
      </c>
      <c r="C1903" s="1" t="s">
        <v>1848</v>
      </c>
    </row>
    <row r="1904" spans="1:3" ht="12.75" x14ac:dyDescent="0.2">
      <c r="A1904" s="1" t="str">
        <f ca="1">IFERROR(__xludf.DUMMYFUNCTION("GOOGLETRANSLATE(C1852, ""en"", ""es"")"),"parte superior")</f>
        <v>parte superior</v>
      </c>
      <c r="B1904" s="1">
        <v>2</v>
      </c>
      <c r="C1904" s="1" t="s">
        <v>1850</v>
      </c>
    </row>
    <row r="1905" spans="1:3" ht="12.75" x14ac:dyDescent="0.2">
      <c r="A1905" s="1" t="str">
        <f ca="1">IFERROR(__xludf.DUMMYFUNCTION("GOOGLETRANSLATE(C1855, ""en"", ""es"")"),"pasado por alto")</f>
        <v>pasado por alto</v>
      </c>
      <c r="B1905" s="1">
        <v>-1</v>
      </c>
      <c r="C1905" s="1" t="s">
        <v>1853</v>
      </c>
    </row>
    <row r="1906" spans="1:3" ht="12.75" x14ac:dyDescent="0.2">
      <c r="A1906" s="1" t="str">
        <f ca="1">IFERROR(__xludf.DUMMYFUNCTION("GOOGLETRANSLATE(C1856, ""en"", ""es"")"),"pasivamente")</f>
        <v>pasivamente</v>
      </c>
      <c r="B1906" s="1">
        <v>-1</v>
      </c>
      <c r="C1906" s="1" t="s">
        <v>1854</v>
      </c>
    </row>
    <row r="1907" spans="1:3" ht="12.75" x14ac:dyDescent="0.2">
      <c r="A1907" s="1" t="str">
        <f ca="1">IFERROR(__xludf.DUMMYFUNCTION("GOOGLETRANSLATE(C1857, ""en"", ""es"")"),"pasivo")</f>
        <v>pasivo</v>
      </c>
      <c r="B1907" s="1">
        <v>-1</v>
      </c>
      <c r="C1907" s="1" t="s">
        <v>1855</v>
      </c>
    </row>
    <row r="1908" spans="1:3" ht="12.75" x14ac:dyDescent="0.2">
      <c r="A1908" s="1" t="str">
        <f ca="1">IFERROR(__xludf.DUMMYFUNCTION("GOOGLETRANSLATE(C1858, ""en"", ""es"")"),"pasmosamente")</f>
        <v>pasmosamente</v>
      </c>
      <c r="B1908" s="1">
        <v>3</v>
      </c>
      <c r="C1908" s="1" t="s">
        <v>1856</v>
      </c>
    </row>
    <row r="1909" spans="1:3" ht="12.75" x14ac:dyDescent="0.2">
      <c r="A1909" s="1" t="str">
        <f ca="1">IFERROR(__xludf.DUMMYFUNCTION("GOOGLETRANSLATE(C2481, ""en"", ""es"")"),"pasquín")</f>
        <v>pasquín</v>
      </c>
      <c r="B1909" s="1">
        <v>-5</v>
      </c>
      <c r="C1909" s="1" t="s">
        <v>2468</v>
      </c>
    </row>
    <row r="1910" spans="1:3" ht="12.75" x14ac:dyDescent="0.2">
      <c r="A1910" s="1" t="str">
        <f ca="1">IFERROR(__xludf.DUMMYFUNCTION("GOOGLETRANSLATE(C1859, ""en"", ""es"")"),"patético")</f>
        <v>patético</v>
      </c>
      <c r="B1910" s="1">
        <v>-2</v>
      </c>
      <c r="C1910" s="1" t="s">
        <v>1857</v>
      </c>
    </row>
    <row r="1911" spans="1:3" ht="12.75" x14ac:dyDescent="0.2">
      <c r="A1911" s="1" t="str">
        <f ca="1">IFERROR(__xludf.DUMMYFUNCTION("GOOGLETRANSLATE(C1861, ""en"", ""es"")"),"paz")</f>
        <v>paz</v>
      </c>
      <c r="B1911" s="1">
        <v>2</v>
      </c>
      <c r="C1911" s="1" t="s">
        <v>1859</v>
      </c>
    </row>
    <row r="1912" spans="1:3" ht="12.75" x14ac:dyDescent="0.2">
      <c r="A1912" s="1" t="str">
        <f ca="1">IFERROR(__xludf.DUMMYFUNCTION("GOOGLETRANSLATE(C1862, ""en"", ""es"")"),"pecaminoso")</f>
        <v>pecaminoso</v>
      </c>
      <c r="B1912" s="1">
        <v>-3</v>
      </c>
      <c r="C1912" s="1" t="s">
        <v>1860</v>
      </c>
    </row>
    <row r="1913" spans="1:3" ht="12.75" x14ac:dyDescent="0.2">
      <c r="A1913" s="1" t="str">
        <f ca="1">IFERROR(__xludf.DUMMYFUNCTION("GOOGLETRANSLATE(C680, ""en"", ""es"")"),"pedir")</f>
        <v>pedir</v>
      </c>
      <c r="B1913" s="1">
        <v>-1</v>
      </c>
      <c r="C1913" s="1" t="s">
        <v>680</v>
      </c>
    </row>
    <row r="1914" spans="1:3" ht="12.75" x14ac:dyDescent="0.2">
      <c r="A1914" s="1" t="str">
        <f ca="1">IFERROR(__xludf.DUMMYFUNCTION("GOOGLETRANSLATE(C1863, ""en"", ""es"")"),"pedir disculpas")</f>
        <v>pedir disculpas</v>
      </c>
      <c r="B1914" s="1">
        <v>-1</v>
      </c>
      <c r="C1914" s="1" t="s">
        <v>1861</v>
      </c>
    </row>
    <row r="1915" spans="1:3" ht="12.75" x14ac:dyDescent="0.2">
      <c r="A1915" s="1" t="str">
        <f ca="1">IFERROR(__xludf.DUMMYFUNCTION("GOOGLETRANSLATE(C1864, ""en"", ""es"")"),"pedir disculpas")</f>
        <v>pedir disculpas</v>
      </c>
      <c r="B1915" s="1">
        <v>-1</v>
      </c>
      <c r="C1915" s="1" t="s">
        <v>1862</v>
      </c>
    </row>
    <row r="1916" spans="1:3" ht="12.75" x14ac:dyDescent="0.2">
      <c r="A1916" s="1" t="str">
        <f ca="1">IFERROR(__xludf.DUMMYFUNCTION("GOOGLETRANSLATE(C1601, ""en"", ""es"")"),"pelear")</f>
        <v>pelear</v>
      </c>
      <c r="B1916" s="1">
        <v>-1</v>
      </c>
      <c r="C1916" s="1" t="s">
        <v>1599</v>
      </c>
    </row>
    <row r="1917" spans="1:3" ht="12.75" x14ac:dyDescent="0.2">
      <c r="A1917" s="1" t="str">
        <f ca="1">IFERROR(__xludf.DUMMYFUNCTION("GOOGLETRANSLATE(C1865, ""en"", ""es"")"),"peligro")</f>
        <v>peligro</v>
      </c>
      <c r="B1917" s="1">
        <v>-2</v>
      </c>
      <c r="C1917" s="1" t="s">
        <v>1863</v>
      </c>
    </row>
    <row r="1918" spans="1:3" ht="12.75" x14ac:dyDescent="0.2">
      <c r="A1918" s="1" t="str">
        <f ca="1">IFERROR(__xludf.DUMMYFUNCTION("GOOGLETRANSLATE(C1866, ""en"", ""es"")"),"peligro")</f>
        <v>peligro</v>
      </c>
      <c r="B1918" s="1">
        <v>-2</v>
      </c>
      <c r="C1918" s="1" t="s">
        <v>1864</v>
      </c>
    </row>
    <row r="1919" spans="1:3" ht="12.75" x14ac:dyDescent="0.2">
      <c r="A1919" s="1" t="str">
        <f ca="1">IFERROR(__xludf.DUMMYFUNCTION("GOOGLETRANSLATE(C1867, ""en"", ""es"")"),"peligro")</f>
        <v>peligro</v>
      </c>
      <c r="B1919" s="1">
        <v>-2</v>
      </c>
      <c r="C1919" s="1" t="s">
        <v>1865</v>
      </c>
    </row>
    <row r="1920" spans="1:3" ht="12.75" x14ac:dyDescent="0.2">
      <c r="A1920" s="1" t="str">
        <f ca="1">IFERROR(__xludf.DUMMYFUNCTION("GOOGLETRANSLATE(C859, ""en"", ""es"")"),"pena")</f>
        <v>pena</v>
      </c>
      <c r="B1920" s="1">
        <v>-2</v>
      </c>
      <c r="C1920" s="1" t="s">
        <v>861</v>
      </c>
    </row>
    <row r="1921" spans="1:3" ht="12.75" x14ac:dyDescent="0.2">
      <c r="A1921" s="1" t="s">
        <v>2510</v>
      </c>
      <c r="B1921" s="1">
        <v>-3</v>
      </c>
      <c r="C1921" s="1" t="s">
        <v>2510</v>
      </c>
    </row>
    <row r="1922" spans="1:3" ht="12.75" x14ac:dyDescent="0.2">
      <c r="A1922" s="1" t="s">
        <v>2509</v>
      </c>
      <c r="B1922" s="1">
        <v>-3</v>
      </c>
      <c r="C1922" s="1" t="s">
        <v>2509</v>
      </c>
    </row>
    <row r="1923" spans="1:3" ht="12.75" x14ac:dyDescent="0.2">
      <c r="A1923" s="1" t="s">
        <v>2508</v>
      </c>
      <c r="B1923" s="1">
        <v>-3</v>
      </c>
      <c r="C1923" s="1" t="s">
        <v>2508</v>
      </c>
    </row>
    <row r="1924" spans="1:3" ht="12.75" x14ac:dyDescent="0.2">
      <c r="A1924" s="1" t="str">
        <f ca="1">IFERROR(__xludf.DUMMYFUNCTION("GOOGLETRANSLATE(C1074, ""en"", ""es"")"),"pendiente")</f>
        <v>pendiente</v>
      </c>
      <c r="B1924" s="1">
        <v>5</v>
      </c>
      <c r="C1924" s="1" t="s">
        <v>1076</v>
      </c>
    </row>
    <row r="1925" spans="1:3" ht="12.75" x14ac:dyDescent="0.2">
      <c r="A1925" s="1" t="str">
        <f ca="1">IFERROR(__xludf.DUMMYFUNCTION("GOOGLETRANSLATE(C1870, ""en"", ""es"")"),"pensativo")</f>
        <v>pensativo</v>
      </c>
      <c r="B1925" s="1">
        <v>-1</v>
      </c>
      <c r="C1925" s="1" t="s">
        <v>1868</v>
      </c>
    </row>
    <row r="1926" spans="1:3" ht="12.75" x14ac:dyDescent="0.2">
      <c r="A1926" s="1" t="str">
        <f ca="1">IFERROR(__xludf.DUMMYFUNCTION("GOOGLETRANSLATE(C1872, ""en"", ""es"")"),"peor")</f>
        <v>peor</v>
      </c>
      <c r="B1926" s="1">
        <v>-3</v>
      </c>
      <c r="C1926" s="1" t="s">
        <v>1870</v>
      </c>
    </row>
    <row r="1927" spans="1:3" ht="12.75" x14ac:dyDescent="0.2">
      <c r="A1927" s="1" t="str">
        <f ca="1">IFERROR(__xludf.DUMMYFUNCTION("GOOGLETRANSLATE(C1874, ""en"", ""es"")"),"perdedor")</f>
        <v>perdedor</v>
      </c>
      <c r="B1927" s="1">
        <v>-3</v>
      </c>
      <c r="C1927" s="1" t="s">
        <v>1872</v>
      </c>
    </row>
    <row r="1928" spans="1:3" ht="12.75" x14ac:dyDescent="0.2">
      <c r="A1928" s="1" t="str">
        <f ca="1">IFERROR(__xludf.DUMMYFUNCTION("GOOGLETRANSLATE(C2276, ""en"", ""es"")"),"perder")</f>
        <v>perder</v>
      </c>
      <c r="B1928" s="1">
        <v>-3</v>
      </c>
      <c r="C1928" s="1" t="s">
        <v>2272</v>
      </c>
    </row>
    <row r="1929" spans="1:3" ht="12.75" x14ac:dyDescent="0.2">
      <c r="A1929" s="1" t="str">
        <f ca="1">IFERROR(__xludf.DUMMYFUNCTION("GOOGLETRANSLATE(C1876, ""en"", ""es"")"),"pérdida")</f>
        <v>pérdida</v>
      </c>
      <c r="B1929" s="1">
        <v>-3</v>
      </c>
      <c r="C1929" s="1" t="s">
        <v>1874</v>
      </c>
    </row>
    <row r="1930" spans="1:3" ht="12.75" x14ac:dyDescent="0.2">
      <c r="A1930" s="1" t="str">
        <f ca="1">IFERROR(__xludf.DUMMYFUNCTION("GOOGLETRANSLATE(C1878, ""en"", ""es"")"),"perdiendo")</f>
        <v>perdiendo</v>
      </c>
      <c r="B1930" s="1">
        <v>-3</v>
      </c>
      <c r="C1930" s="1" t="s">
        <v>1876</v>
      </c>
    </row>
    <row r="1931" spans="1:3" ht="12.75" x14ac:dyDescent="0.2">
      <c r="A1931" s="1" t="str">
        <f ca="1">IFERROR(__xludf.DUMMYFUNCTION("GOOGLETRANSLATE(C1879, ""en"", ""es"")"),"perdió")</f>
        <v>perdió</v>
      </c>
      <c r="B1931" s="1">
        <v>-3</v>
      </c>
      <c r="C1931" s="1" t="s">
        <v>1877</v>
      </c>
    </row>
    <row r="1932" spans="1:3" ht="12.75" x14ac:dyDescent="0.2">
      <c r="A1932" s="1" t="str">
        <f ca="1">IFERROR(__xludf.DUMMYFUNCTION("GOOGLETRANSLATE(C1590, ""en"", ""es"")"),"perdón")</f>
        <v>perdón</v>
      </c>
      <c r="B1932" s="1">
        <v>-1</v>
      </c>
      <c r="C1932" s="1" t="s">
        <v>1589</v>
      </c>
    </row>
    <row r="1933" spans="1:3" ht="12.75" x14ac:dyDescent="0.2">
      <c r="A1933" s="1" t="str">
        <f ca="1">IFERROR(__xludf.DUMMYFUNCTION("GOOGLETRANSLATE(C1881, ""en"", ""es"")"),"perdonado")</f>
        <v>perdonado</v>
      </c>
      <c r="B1933" s="1">
        <v>2</v>
      </c>
      <c r="C1933" s="1" t="s">
        <v>1879</v>
      </c>
    </row>
    <row r="1934" spans="1:3" ht="12.75" x14ac:dyDescent="0.2">
      <c r="A1934" s="1" t="str">
        <f ca="1">IFERROR(__xludf.DUMMYFUNCTION("GOOGLETRANSLATE(C1848, ""en"", ""es"")"),"perdonante")</f>
        <v>perdonante</v>
      </c>
      <c r="B1934" s="1">
        <v>2</v>
      </c>
      <c r="C1934" s="1" t="s">
        <v>1846</v>
      </c>
    </row>
    <row r="1935" spans="1:3" ht="12.75" x14ac:dyDescent="0.2">
      <c r="A1935" s="1" t="str">
        <f ca="1">IFERROR(__xludf.DUMMYFUNCTION("GOOGLETRANSLATE(C1882, ""en"", ""es"")"),"perdonar")</f>
        <v>perdonar</v>
      </c>
      <c r="B1935" s="1">
        <v>1</v>
      </c>
      <c r="C1935" s="1" t="s">
        <v>1880</v>
      </c>
    </row>
    <row r="1936" spans="1:3" ht="12.75" x14ac:dyDescent="0.2">
      <c r="A1936" s="1" t="str">
        <f ca="1">IFERROR(__xludf.DUMMYFUNCTION("GOOGLETRANSLATE(C1883, ""en"", ""es"")"),"perezoso")</f>
        <v>perezoso</v>
      </c>
      <c r="B1936" s="1">
        <v>-1</v>
      </c>
      <c r="C1936" s="1" t="s">
        <v>1881</v>
      </c>
    </row>
    <row r="1937" spans="1:3" ht="12.75" x14ac:dyDescent="0.2">
      <c r="A1937" s="1" t="str">
        <f ca="1">IFERROR(__xludf.DUMMYFUNCTION("GOOGLETRANSLATE(C1885, ""en"", ""es"")"),"perfeccionado")</f>
        <v>perfeccionado</v>
      </c>
      <c r="B1937" s="1">
        <v>2</v>
      </c>
      <c r="C1937" s="1" t="s">
        <v>1883</v>
      </c>
    </row>
    <row r="1938" spans="1:3" ht="12.75" x14ac:dyDescent="0.2">
      <c r="A1938" s="1" t="str">
        <f ca="1">IFERROR(__xludf.DUMMYFUNCTION("GOOGLETRANSLATE(C1886, ""en"", ""es"")"),"perfectamente")</f>
        <v>perfectamente</v>
      </c>
      <c r="B1938" s="1">
        <v>3</v>
      </c>
      <c r="C1938" s="1" t="s">
        <v>1884</v>
      </c>
    </row>
    <row r="1939" spans="1:3" ht="12.75" x14ac:dyDescent="0.2">
      <c r="A1939" s="1" t="str">
        <f ca="1">IFERROR(__xludf.DUMMYFUNCTION("GOOGLETRANSLATE(C1887, ""en"", ""es"")"),"Perfecto")</f>
        <v>Perfecto</v>
      </c>
      <c r="B1939" s="1">
        <v>3</v>
      </c>
      <c r="C1939" s="1" t="s">
        <v>1885</v>
      </c>
    </row>
    <row r="1940" spans="1:3" ht="12.75" x14ac:dyDescent="0.2">
      <c r="A1940" s="1" t="str">
        <f ca="1">IFERROR(__xludf.DUMMYFUNCTION("GOOGLETRANSLATE(C1884, ""en"", ""es"")"),"perfectos")</f>
        <v>perfectos</v>
      </c>
      <c r="B1940" s="1">
        <v>2</v>
      </c>
      <c r="C1940" s="1" t="s">
        <v>1882</v>
      </c>
    </row>
    <row r="1941" spans="1:3" ht="12.75" x14ac:dyDescent="0.2">
      <c r="A1941" s="1" t="s">
        <v>2487</v>
      </c>
      <c r="B1941" s="1">
        <v>-5</v>
      </c>
      <c r="C1941" s="1" t="s">
        <v>2488</v>
      </c>
    </row>
    <row r="1942" spans="1:3" ht="12.75" x14ac:dyDescent="0.2">
      <c r="A1942" s="1" t="str">
        <f ca="1">IFERROR(__xludf.DUMMYFUNCTION("GOOGLETRANSLATE(C1888, ""en"", ""es"")"),"perjudicado")</f>
        <v>perjudicado</v>
      </c>
      <c r="B1942" s="1">
        <v>-2</v>
      </c>
      <c r="C1942" s="1" t="s">
        <v>1886</v>
      </c>
    </row>
    <row r="1943" spans="1:3" ht="12.75" x14ac:dyDescent="0.2">
      <c r="A1943" s="1" t="str">
        <f ca="1">IFERROR(__xludf.DUMMYFUNCTION("GOOGLETRANSLATE(C1891, ""en"", ""es"")"),"perjurio")</f>
        <v>perjurio</v>
      </c>
      <c r="B1943" s="1">
        <v>-3</v>
      </c>
      <c r="C1943" s="1" t="s">
        <v>1889</v>
      </c>
    </row>
    <row r="1944" spans="1:3" ht="12.75" x14ac:dyDescent="0.2">
      <c r="A1944" s="1" t="str">
        <f ca="1">IFERROR(__xludf.DUMMYFUNCTION("GOOGLETRANSLATE(C1892, ""en"", ""es"")"),"permitir")</f>
        <v>permitir</v>
      </c>
      <c r="B1944" s="1">
        <v>1</v>
      </c>
      <c r="C1944" s="1" t="s">
        <v>1890</v>
      </c>
    </row>
    <row r="1945" spans="1:3" ht="12.75" x14ac:dyDescent="0.2">
      <c r="A1945" s="1" t="str">
        <f ca="1">IFERROR(__xludf.DUMMYFUNCTION("GOOGLETRANSLATE(C330, ""en"", ""es"")"),"perpetradores")</f>
        <v>perpetradores</v>
      </c>
      <c r="B1945" s="1">
        <v>-2</v>
      </c>
      <c r="C1945" s="1" t="s">
        <v>330</v>
      </c>
    </row>
    <row r="1946" spans="1:3" ht="12.75" x14ac:dyDescent="0.2">
      <c r="A1946" s="1" t="str">
        <f ca="1">IFERROR(__xludf.DUMMYFUNCTION("GOOGLETRANSLATE(C1893, ""en"", ""es"")"),"perplejo")</f>
        <v>perplejo</v>
      </c>
      <c r="B1946" s="1">
        <v>-2</v>
      </c>
      <c r="C1946" s="1" t="s">
        <v>1891</v>
      </c>
    </row>
    <row r="1947" spans="1:3" ht="12.75" x14ac:dyDescent="0.2">
      <c r="A1947" s="1" t="str">
        <f ca="1">IFERROR(__xludf.DUMMYFUNCTION("GOOGLETRANSLATE(C1894, ""en"", ""es"")"),"perplejo")</f>
        <v>perplejo</v>
      </c>
      <c r="B1947" s="1">
        <v>-2</v>
      </c>
      <c r="C1947" s="1" t="s">
        <v>1892</v>
      </c>
    </row>
    <row r="1948" spans="1:3" ht="12.75" x14ac:dyDescent="0.2">
      <c r="A1948" s="1" t="str">
        <f ca="1">IFERROR(__xludf.DUMMYFUNCTION("GOOGLETRANSLATE(C1895, ""en"", ""es"")"),"perra")</f>
        <v>perra</v>
      </c>
      <c r="B1948" s="1">
        <v>-5</v>
      </c>
      <c r="C1948" s="1" t="s">
        <v>1893</v>
      </c>
    </row>
    <row r="1949" spans="1:3" ht="12.75" x14ac:dyDescent="0.2">
      <c r="A1949" s="1" t="str">
        <f ca="1">IFERROR(__xludf.DUMMYFUNCTION("GOOGLETRANSLATE(C1896, ""en"", ""es"")"),"perras")</f>
        <v>perras</v>
      </c>
      <c r="B1949" s="1">
        <v>-5</v>
      </c>
      <c r="C1949" s="1" t="s">
        <v>1894</v>
      </c>
    </row>
    <row r="1950" spans="1:3" ht="12.75" x14ac:dyDescent="0.2">
      <c r="A1950" s="1" t="str">
        <f ca="1">IFERROR(__xludf.DUMMYFUNCTION("GOOGLETRANSLATE(C2018, ""en"", ""es"")"),"perrituio")</f>
        <v>perrituio</v>
      </c>
      <c r="B1950" s="1">
        <v>-3</v>
      </c>
      <c r="C1950" s="1" t="s">
        <v>2016</v>
      </c>
    </row>
    <row r="1951" spans="1:3" ht="12.75" x14ac:dyDescent="0.2">
      <c r="A1951" s="1" t="str">
        <f ca="1">IFERROR(__xludf.DUMMYFUNCTION("GOOGLETRANSLATE(C1897, ""en"", ""es"")"),"perseguido")</f>
        <v>perseguido</v>
      </c>
      <c r="B1951" s="1">
        <v>-2</v>
      </c>
      <c r="C1951" s="1" t="s">
        <v>1895</v>
      </c>
    </row>
    <row r="1952" spans="1:3" ht="12.75" x14ac:dyDescent="0.2">
      <c r="A1952" s="1" t="str">
        <f ca="1">IFERROR(__xludf.DUMMYFUNCTION("GOOGLETRANSLATE(C1899, ""en"", ""es"")"),"perseguido")</f>
        <v>perseguido</v>
      </c>
      <c r="B1952" s="1">
        <v>-2</v>
      </c>
      <c r="C1952" s="1" t="s">
        <v>1897</v>
      </c>
    </row>
    <row r="1953" spans="1:3" ht="12.75" x14ac:dyDescent="0.2">
      <c r="A1953" s="1" t="str">
        <f ca="1">IFERROR(__xludf.DUMMYFUNCTION("GOOGLETRANSLATE(C1900, ""en"", ""es"")"),"perseguidos")</f>
        <v>perseguidos</v>
      </c>
      <c r="B1953" s="1">
        <v>-2</v>
      </c>
      <c r="C1953" s="1" t="s">
        <v>1898</v>
      </c>
    </row>
    <row r="1954" spans="1:3" ht="12.75" x14ac:dyDescent="0.2">
      <c r="A1954" s="1" t="str">
        <f ca="1">IFERROR(__xludf.DUMMYFUNCTION("GOOGLETRANSLATE(C1898, ""en"", ""es"")"),"perseguir")</f>
        <v>perseguir</v>
      </c>
      <c r="B1954" s="1">
        <v>-2</v>
      </c>
      <c r="C1954" s="1" t="s">
        <v>1896</v>
      </c>
    </row>
    <row r="1955" spans="1:3" ht="12.75" x14ac:dyDescent="0.2">
      <c r="A1955" s="1" t="str">
        <f ca="1">IFERROR(__xludf.DUMMYFUNCTION("GOOGLETRANSLATE(C224, ""en"", ""es"")"),"Persona especial")</f>
        <v>Persona especial</v>
      </c>
      <c r="B1955" s="1">
        <v>-1</v>
      </c>
      <c r="C1955" s="1" t="s">
        <v>224</v>
      </c>
    </row>
    <row r="1956" spans="1:3" ht="12.75" x14ac:dyDescent="0.2">
      <c r="A1956" s="1" t="str">
        <f ca="1">IFERROR(__xludf.DUMMYFUNCTION("GOOGLETRANSLATE(C1901, ""en"", ""es"")"),"perspectiva")</f>
        <v>perspectiva</v>
      </c>
      <c r="B1956" s="1">
        <v>1</v>
      </c>
      <c r="C1956" s="1" t="s">
        <v>1899</v>
      </c>
    </row>
    <row r="1957" spans="1:3" ht="12.75" x14ac:dyDescent="0.2">
      <c r="A1957" s="1" t="str">
        <f ca="1">IFERROR(__xludf.DUMMYFUNCTION("GOOGLETRANSLATE(C1710, ""en"", ""es"")"),"perturbado")</f>
        <v>perturbado</v>
      </c>
      <c r="B1957" s="1">
        <v>-2</v>
      </c>
      <c r="C1957" s="1" t="s">
        <v>1709</v>
      </c>
    </row>
    <row r="1958" spans="1:3" ht="12.75" x14ac:dyDescent="0.2">
      <c r="A1958" s="1" t="str">
        <f ca="1">IFERROR(__xludf.DUMMYFUNCTION("GOOGLETRANSLATE(C1904, ""en"", ""es"")"),"perturbado")</f>
        <v>perturbado</v>
      </c>
      <c r="B1958" s="1">
        <v>-2</v>
      </c>
      <c r="C1958" s="1" t="s">
        <v>1902</v>
      </c>
    </row>
    <row r="1959" spans="1:3" ht="12.75" x14ac:dyDescent="0.2">
      <c r="A1959" s="1" t="str">
        <f ca="1">IFERROR(__xludf.DUMMYFUNCTION("GOOGLETRANSLATE(C1905, ""en"", ""es"")"),"perturbado")</f>
        <v>perturbado</v>
      </c>
      <c r="B1959" s="1">
        <v>-2</v>
      </c>
      <c r="C1959" s="1" t="s">
        <v>1903</v>
      </c>
    </row>
    <row r="1960" spans="1:3" ht="12.75" x14ac:dyDescent="0.2">
      <c r="A1960" s="1" t="str">
        <f ca="1">IFERROR(__xludf.DUMMYFUNCTION("GOOGLETRANSLATE(C1903, ""en"", ""es"")"),"perturbador")</f>
        <v>perturbador</v>
      </c>
      <c r="B1960" s="1">
        <v>-2</v>
      </c>
      <c r="C1960" s="1" t="s">
        <v>1901</v>
      </c>
    </row>
    <row r="1961" spans="1:3" ht="12.75" x14ac:dyDescent="0.2">
      <c r="A1961" s="1" t="str">
        <f ca="1">IFERROR(__xludf.DUMMYFUNCTION("GOOGLETRANSLATE(C1906, ""en"", ""es"")"),"perturbador")</f>
        <v>perturbador</v>
      </c>
      <c r="B1961" s="1">
        <v>-2</v>
      </c>
      <c r="C1961" s="1" t="s">
        <v>1904</v>
      </c>
    </row>
    <row r="1962" spans="1:3" ht="12.75" x14ac:dyDescent="0.2">
      <c r="A1962" s="1" t="str">
        <f ca="1">IFERROR(__xludf.DUMMYFUNCTION("GOOGLETRANSLATE(C2367, ""en"", ""es"")"),"perturbador")</f>
        <v>perturbador</v>
      </c>
      <c r="B1962" s="1">
        <v>-2</v>
      </c>
      <c r="C1962" s="1" t="s">
        <v>2363</v>
      </c>
    </row>
    <row r="1963" spans="1:3" ht="12.75" x14ac:dyDescent="0.2">
      <c r="A1963" s="1" t="str">
        <f ca="1">IFERROR(__xludf.DUMMYFUNCTION("GOOGLETRANSLATE(C1907, ""en"", ""es"")"),"pesimismo")</f>
        <v>pesimismo</v>
      </c>
      <c r="B1963" s="1">
        <v>-2</v>
      </c>
      <c r="C1963" s="1" t="s">
        <v>1905</v>
      </c>
    </row>
    <row r="1964" spans="1:3" ht="12.75" x14ac:dyDescent="0.2">
      <c r="A1964" s="1" t="str">
        <f ca="1">IFERROR(__xludf.DUMMYFUNCTION("GOOGLETRANSLATE(C1908, ""en"", ""es"")"),"pesimista")</f>
        <v>pesimista</v>
      </c>
      <c r="B1964" s="1">
        <v>-2</v>
      </c>
      <c r="C1964" s="1" t="s">
        <v>1906</v>
      </c>
    </row>
    <row r="1965" spans="1:3" ht="12.75" x14ac:dyDescent="0.2">
      <c r="A1965" s="1" t="str">
        <f ca="1">IFERROR(__xludf.DUMMYFUNCTION("GOOGLETRANSLATE(C1909, ""en"", ""es"")"),"pésimo")</f>
        <v>pésimo</v>
      </c>
      <c r="B1965" s="1">
        <v>-2</v>
      </c>
      <c r="C1965" s="1" t="s">
        <v>1907</v>
      </c>
    </row>
    <row r="1966" spans="1:3" ht="12.75" x14ac:dyDescent="0.2">
      <c r="A1966" s="1" t="str">
        <f ca="1">IFERROR(__xludf.DUMMYFUNCTION("GOOGLETRANSLATE(C1910, ""en"", ""es"")"),"petrificado")</f>
        <v>petrificado</v>
      </c>
      <c r="B1966" s="1">
        <v>-2</v>
      </c>
      <c r="C1966" s="1" t="s">
        <v>1908</v>
      </c>
    </row>
    <row r="1967" spans="1:3" ht="12.75" x14ac:dyDescent="0.2">
      <c r="A1967" s="1" t="str">
        <f ca="1">IFERROR(__xludf.DUMMYFUNCTION("GOOGLETRANSLATE(C517, ""en"", ""es"")"),"picado")</f>
        <v>picado</v>
      </c>
      <c r="B1967" s="1">
        <v>-1</v>
      </c>
      <c r="C1967" s="1" t="s">
        <v>516</v>
      </c>
    </row>
    <row r="1968" spans="1:3" ht="12.75" x14ac:dyDescent="0.2">
      <c r="A1968" s="1" t="str">
        <f ca="1">IFERROR(__xludf.DUMMYFUNCTION("GOOGLETRANSLATE(C1911, ""en"", ""es"")"),"picante")</f>
        <v>picante</v>
      </c>
      <c r="B1968" s="1">
        <v>-2</v>
      </c>
      <c r="C1968" s="1" t="s">
        <v>1909</v>
      </c>
    </row>
    <row r="1969" spans="1:3" ht="12.75" x14ac:dyDescent="0.2">
      <c r="A1969" s="1" t="str">
        <f ca="1">IFERROR(__xludf.DUMMYFUNCTION("GOOGLETRANSLATE(C1875, ""en"", ""es"")"),"pierda")</f>
        <v>pierda</v>
      </c>
      <c r="B1969" s="1">
        <v>-2</v>
      </c>
      <c r="C1969" s="1" t="s">
        <v>1873</v>
      </c>
    </row>
    <row r="1970" spans="1:3" ht="12.75" x14ac:dyDescent="0.2">
      <c r="A1970" s="1" t="str">
        <f ca="1">IFERROR(__xludf.DUMMYFUNCTION("GOOGLETRANSLATE(C2017, ""en"", ""es"")"),"pilotas")</f>
        <v>pilotas</v>
      </c>
      <c r="B1970" s="1">
        <v>-3</v>
      </c>
      <c r="C1970" s="1" t="s">
        <v>2015</v>
      </c>
    </row>
    <row r="1971" spans="1:3" ht="12.75" x14ac:dyDescent="0.2">
      <c r="A1971" s="1" t="str">
        <f ca="1">IFERROR(__xludf.DUMMYFUNCTION("GOOGLETRANSLATE(C1914, ""en"", ""es"")"),"pinchazo")</f>
        <v>pinchazo</v>
      </c>
      <c r="B1971" s="1">
        <v>-5</v>
      </c>
      <c r="C1971" s="1" t="s">
        <v>1912</v>
      </c>
    </row>
    <row r="1972" spans="1:3" ht="12.75" x14ac:dyDescent="0.2">
      <c r="A1972" s="1" t="str">
        <f ca="1">IFERROR(__xludf.DUMMYFUNCTION("GOOGLETRANSLATE(C1915, ""en"", ""es"")"),"pintoresco")</f>
        <v>pintoresco</v>
      </c>
      <c r="B1972" s="1">
        <v>2</v>
      </c>
      <c r="C1972" s="1" t="s">
        <v>1913</v>
      </c>
    </row>
    <row r="1973" spans="1:3" ht="12.75" x14ac:dyDescent="0.2">
      <c r="A1973" s="1" t="str">
        <f ca="1">IFERROR(__xludf.DUMMYFUNCTION("GOOGLETRANSLATE(C1916, ""en"", ""es"")"),"piqué")</f>
        <v>piqué</v>
      </c>
      <c r="B1973" s="1">
        <v>-2</v>
      </c>
      <c r="C1973" s="1" t="s">
        <v>1914</v>
      </c>
    </row>
    <row r="1974" spans="1:3" ht="12.75" x14ac:dyDescent="0.2">
      <c r="A1974" s="1" t="str">
        <f ca="1">IFERROR(__xludf.DUMMYFUNCTION("GOOGLETRANSLATE(C1287, ""en"", ""es"")"),"pirateado")</f>
        <v>pirateado</v>
      </c>
      <c r="B1974" s="1">
        <v>-1</v>
      </c>
      <c r="C1974" s="1" t="s">
        <v>1289</v>
      </c>
    </row>
    <row r="1975" spans="1:3" ht="12.75" x14ac:dyDescent="0.2">
      <c r="A1975" s="1" t="str">
        <f ca="1">IFERROR(__xludf.DUMMYFUNCTION("GOOGLETRANSLATE(C1917, ""en"", ""es"")"),"pistola")</f>
        <v>pistola</v>
      </c>
      <c r="B1975" s="1">
        <v>-1</v>
      </c>
      <c r="C1975" s="1" t="s">
        <v>1915</v>
      </c>
    </row>
    <row r="1976" spans="1:3" ht="12.75" x14ac:dyDescent="0.2">
      <c r="A1976" s="1" t="str">
        <f ca="1">IFERROR(__xludf.DUMMYFUNCTION("GOOGLETRANSLATE(C1918, ""en"", ""es"")"),"Placer")</f>
        <v>Placer</v>
      </c>
      <c r="B1976" s="1">
        <v>3</v>
      </c>
      <c r="C1976" s="1" t="s">
        <v>1916</v>
      </c>
    </row>
    <row r="1977" spans="1:3" ht="12.75" x14ac:dyDescent="0.2">
      <c r="A1977" s="1" t="str">
        <f ca="1">IFERROR(__xludf.DUMMYFUNCTION("GOOGLETRANSLATE(C214, ""en"", ""es"")"),"plataforma")</f>
        <v>plataforma</v>
      </c>
      <c r="B1977" s="1">
        <v>-1</v>
      </c>
      <c r="C1977" s="1" t="s">
        <v>214</v>
      </c>
    </row>
    <row r="1978" spans="1:3" ht="12.75" x14ac:dyDescent="0.2">
      <c r="A1978" s="1" t="str">
        <f ca="1">IFERROR(__xludf.DUMMYFUNCTION("GOOGLETRANSLATE(C1919, ""en"", ""es"")"),"pobre")</f>
        <v>pobre</v>
      </c>
      <c r="B1978" s="1">
        <v>-2</v>
      </c>
      <c r="C1978" s="1" t="s">
        <v>1917</v>
      </c>
    </row>
    <row r="1979" spans="1:3" ht="12.75" x14ac:dyDescent="0.2">
      <c r="A1979" s="1" t="str">
        <f ca="1">IFERROR(__xludf.DUMMYFUNCTION("GOOGLETRANSLATE(C341, ""en"", ""es"")"),"Pobre de mí")</f>
        <v>Pobre de mí</v>
      </c>
      <c r="B1979" s="1">
        <v>-1</v>
      </c>
      <c r="C1979" s="1" t="s">
        <v>341</v>
      </c>
    </row>
    <row r="1980" spans="1:3" ht="12.75" x14ac:dyDescent="0.2">
      <c r="A1980" s="1" t="str">
        <f ca="1">IFERROR(__xludf.DUMMYFUNCTION("GOOGLETRANSLATE(C1920, ""en"", ""es"")"),"pobreza")</f>
        <v>pobreza</v>
      </c>
      <c r="B1980" s="1">
        <v>-1</v>
      </c>
      <c r="C1980" s="1" t="s">
        <v>1918</v>
      </c>
    </row>
    <row r="1981" spans="1:3" ht="12.75" x14ac:dyDescent="0.2">
      <c r="A1981" s="1" t="str">
        <f ca="1">IFERROR(__xludf.DUMMYFUNCTION("GOOGLETRANSLATE(C1921, ""en"", ""es"")"),"poco claro")</f>
        <v>poco claro</v>
      </c>
      <c r="B1981" s="1">
        <v>-1</v>
      </c>
      <c r="C1981" s="1" t="s">
        <v>1919</v>
      </c>
    </row>
    <row r="1982" spans="1:3" ht="12.75" x14ac:dyDescent="0.2">
      <c r="A1982" s="1" t="str">
        <f ca="1">IFERROR(__xludf.DUMMYFUNCTION("GOOGLETRANSLATE(C1922, ""en"", ""es"")"),"poco ético")</f>
        <v>poco ético</v>
      </c>
      <c r="B1982" s="1">
        <v>-2</v>
      </c>
      <c r="C1982" s="1" t="s">
        <v>1920</v>
      </c>
    </row>
    <row r="1983" spans="1:3" ht="12.75" x14ac:dyDescent="0.2">
      <c r="A1983" s="1" t="str">
        <f ca="1">IFERROR(__xludf.DUMMYFUNCTION("GOOGLETRANSLATE(C1923, ""en"", ""es"")"),"poderoso")</f>
        <v>poderoso</v>
      </c>
      <c r="B1983" s="1">
        <v>2</v>
      </c>
      <c r="C1983" s="1" t="s">
        <v>1921</v>
      </c>
    </row>
    <row r="1984" spans="1:3" ht="12.75" x14ac:dyDescent="0.2">
      <c r="A1984" s="1" t="str">
        <f ca="1">IFERROR(__xludf.DUMMYFUNCTION("GOOGLETRANSLATE(C1926, ""en"", ""es"")"),"polla")</f>
        <v>polla</v>
      </c>
      <c r="B1984" s="1">
        <v>-5</v>
      </c>
      <c r="C1984" s="1" t="s">
        <v>1924</v>
      </c>
    </row>
    <row r="1985" spans="1:3" ht="12.75" x14ac:dyDescent="0.2">
      <c r="A1985" s="1" t="str">
        <f ca="1">IFERROR(__xludf.DUMMYFUNCTION("GOOGLETRANSLATE(C1927, ""en"", ""es"")"),"polla")</f>
        <v>polla</v>
      </c>
      <c r="B1985" s="1">
        <v>-4</v>
      </c>
      <c r="C1985" s="1" t="s">
        <v>1925</v>
      </c>
    </row>
    <row r="1986" spans="1:3" ht="12.75" x14ac:dyDescent="0.2">
      <c r="A1986" s="1" t="str">
        <f ca="1">IFERROR(__xludf.DUMMYFUNCTION("GOOGLETRANSLATE(C1709, ""en"", ""es"")"),"pomar")</f>
        <v>pomar</v>
      </c>
      <c r="B1986" s="1">
        <v>-2</v>
      </c>
      <c r="C1986" s="1" t="s">
        <v>1708</v>
      </c>
    </row>
    <row r="1987" spans="1:3" ht="12.75" x14ac:dyDescent="0.2">
      <c r="A1987" s="1" t="str">
        <f ca="1">IFERROR(__xludf.DUMMYFUNCTION("GOOGLETRANSLATE(C1928, ""en"", ""es"")"),"popular")</f>
        <v>popular</v>
      </c>
      <c r="B1987" s="1">
        <v>3</v>
      </c>
      <c r="C1987" s="1" t="s">
        <v>1926</v>
      </c>
    </row>
    <row r="1988" spans="1:3" ht="12.75" x14ac:dyDescent="0.2">
      <c r="A1988" s="1" t="str">
        <f ca="1">IFERROR(__xludf.DUMMYFUNCTION("GOOGLETRANSLATE(C1929, ""en"", ""es"")"),"por favor")</f>
        <v>por favor</v>
      </c>
      <c r="B1988" s="1">
        <v>1</v>
      </c>
      <c r="C1988" s="1" t="s">
        <v>1927</v>
      </c>
    </row>
    <row r="1989" spans="1:3" ht="12.75" x14ac:dyDescent="0.2">
      <c r="A1989" s="1" t="s">
        <v>2485</v>
      </c>
      <c r="B1989" s="1">
        <v>-4</v>
      </c>
      <c r="C1989" s="1" t="s">
        <v>2486</v>
      </c>
    </row>
    <row r="1990" spans="1:3" ht="12.75" x14ac:dyDescent="0.2">
      <c r="A1990" s="1" t="str">
        <f ca="1">IFERROR(__xludf.DUMMYFUNCTION("GOOGLETRANSLATE(C1933, ""en"", ""es"")"),"portarse mal")</f>
        <v>portarse mal</v>
      </c>
      <c r="B1990" s="1">
        <v>-2</v>
      </c>
      <c r="C1990" s="1" t="s">
        <v>1931</v>
      </c>
    </row>
    <row r="1991" spans="1:3" ht="12.75" x14ac:dyDescent="0.2">
      <c r="A1991" s="1" t="str">
        <f ca="1">IFERROR(__xludf.DUMMYFUNCTION("GOOGLETRANSLATE(C1934, ""en"", ""es"")"),"posesivo")</f>
        <v>posesivo</v>
      </c>
      <c r="B1991" s="1">
        <v>-2</v>
      </c>
      <c r="C1991" s="1" t="s">
        <v>1932</v>
      </c>
    </row>
    <row r="1992" spans="1:3" ht="12.75" x14ac:dyDescent="0.2">
      <c r="A1992" s="1" t="str">
        <f ca="1">IFERROR(__xludf.DUMMYFUNCTION("GOOGLETRANSLATE(C1935, ""en"", ""es"")"),"posibilidades")</f>
        <v>posibilidades</v>
      </c>
      <c r="B1992" s="1">
        <v>2</v>
      </c>
      <c r="C1992" s="1" t="s">
        <v>1933</v>
      </c>
    </row>
    <row r="1993" spans="1:3" ht="12.75" x14ac:dyDescent="0.2">
      <c r="A1993" s="1" t="str">
        <f ca="1">IFERROR(__xludf.DUMMYFUNCTION("GOOGLETRANSLATE(C1936, ""en"", ""es"")"),"positivo")</f>
        <v>positivo</v>
      </c>
      <c r="B1993" s="1">
        <v>2</v>
      </c>
      <c r="C1993" s="1" t="s">
        <v>1934</v>
      </c>
    </row>
    <row r="1994" spans="1:3" ht="12.75" x14ac:dyDescent="0.2">
      <c r="A1994" s="1" t="str">
        <f ca="1">IFERROR(__xludf.DUMMYFUNCTION("GOOGLETRANSLATE(C1938, ""en"", ""es"")"),"posponer")</f>
        <v>posponer</v>
      </c>
      <c r="B1994" s="1">
        <v>-1</v>
      </c>
      <c r="C1994" s="1" t="s">
        <v>1936</v>
      </c>
    </row>
    <row r="1995" spans="1:3" ht="12.75" x14ac:dyDescent="0.2">
      <c r="A1995" s="1" t="str">
        <f ca="1">IFERROR(__xludf.DUMMYFUNCTION("GOOGLETRANSLATE(C1937, ""en"", ""es"")"),"pospones")</f>
        <v>pospones</v>
      </c>
      <c r="B1995" s="1">
        <v>-1</v>
      </c>
      <c r="C1995" s="1" t="s">
        <v>1935</v>
      </c>
    </row>
    <row r="1996" spans="1:3" ht="12.75" x14ac:dyDescent="0.2">
      <c r="A1996" s="1" t="str">
        <f ca="1">IFERROR(__xludf.DUMMYFUNCTION("GOOGLETRANSLATE(C1939, ""en"", ""es"")"),"pospuesta")</f>
        <v>pospuesta</v>
      </c>
      <c r="B1996" s="1">
        <v>-1</v>
      </c>
      <c r="C1996" s="1" t="s">
        <v>1937</v>
      </c>
    </row>
    <row r="1997" spans="1:3" ht="12.75" x14ac:dyDescent="0.2">
      <c r="A1997" s="1" t="str">
        <f ca="1">IFERROR(__xludf.DUMMYFUNCTION("GOOGLETRANSLATE(C1940, ""en"", ""es"")"),"pospuesto")</f>
        <v>pospuesto</v>
      </c>
      <c r="B1997" s="1">
        <v>-1</v>
      </c>
      <c r="C1997" s="1" t="s">
        <v>1938</v>
      </c>
    </row>
    <row r="1998" spans="1:3" ht="12.75" x14ac:dyDescent="0.2">
      <c r="A1998" s="1" t="str">
        <f ca="1">IFERROR(__xludf.DUMMYFUNCTION("GOOGLETRANSLATE(C1941, ""en"", ""es"")"),"pRBLM")</f>
        <v>pRBLM</v>
      </c>
      <c r="B1998" s="1">
        <v>-2</v>
      </c>
      <c r="C1998" s="1" t="s">
        <v>1939</v>
      </c>
    </row>
    <row r="1999" spans="1:3" ht="12.75" x14ac:dyDescent="0.2">
      <c r="A1999" s="1" t="str">
        <f ca="1">IFERROR(__xludf.DUMMYFUNCTION("GOOGLETRANSLATE(C1942, ""en"", ""es"")"),"PRBLMS")</f>
        <v>PRBLMS</v>
      </c>
      <c r="B1999" s="1">
        <v>-2</v>
      </c>
      <c r="C1999" s="1" t="s">
        <v>1940</v>
      </c>
    </row>
    <row r="2000" spans="1:3" ht="12.75" x14ac:dyDescent="0.2">
      <c r="A2000" s="1" t="str">
        <f ca="1">IFERROR(__xludf.DUMMYFUNCTION("GOOGLETRANSLATE(C450, ""en"", ""es"")"),"precavido")</f>
        <v>precavido</v>
      </c>
      <c r="B2000" s="1">
        <v>-1</v>
      </c>
      <c r="C2000" s="1" t="s">
        <v>450</v>
      </c>
    </row>
    <row r="2001" spans="1:3" ht="12.75" x14ac:dyDescent="0.2">
      <c r="A2001" s="1" t="str">
        <f ca="1">IFERROR(__xludf.DUMMYFUNCTION("GOOGLETRANSLATE(C1847, ""en"", ""es"")"),"prejuicio")</f>
        <v>prejuicio</v>
      </c>
      <c r="B2001" s="1">
        <v>-1</v>
      </c>
      <c r="C2001" s="1" t="s">
        <v>1845</v>
      </c>
    </row>
    <row r="2002" spans="1:3" ht="12.75" x14ac:dyDescent="0.2">
      <c r="A2002" s="1" t="str">
        <f ca="1">IFERROR(__xludf.DUMMYFUNCTION("GOOGLETRANSLATE(C1945, ""en"", ""es"")"),"premio")</f>
        <v>premio</v>
      </c>
      <c r="B2002" s="1">
        <v>3</v>
      </c>
      <c r="C2002" s="1" t="s">
        <v>1943</v>
      </c>
    </row>
    <row r="2003" spans="1:3" ht="12.75" x14ac:dyDescent="0.2">
      <c r="A2003" s="1" t="str">
        <f ca="1">IFERROR(__xludf.DUMMYFUNCTION("GOOGLETRANSLATE(C2041, ""en"", ""es"")"),"premio")</f>
        <v>premio</v>
      </c>
      <c r="B2003" s="1">
        <v>2</v>
      </c>
      <c r="C2003" s="1" t="s">
        <v>2039</v>
      </c>
    </row>
    <row r="2004" spans="1:3" ht="12.75" x14ac:dyDescent="0.2">
      <c r="A2004" s="1" t="str">
        <f ca="1">IFERROR(__xludf.DUMMYFUNCTION("GOOGLETRANSLATE(C1947, ""en"", ""es"")"),"preocupado")</f>
        <v>preocupado</v>
      </c>
      <c r="B2004" s="1">
        <v>-2</v>
      </c>
      <c r="C2004" s="1" t="s">
        <v>1945</v>
      </c>
    </row>
    <row r="2005" spans="1:3" ht="12.75" x14ac:dyDescent="0.2">
      <c r="A2005" s="1" t="str">
        <f ca="1">IFERROR(__xludf.DUMMYFUNCTION("GOOGLETRANSLATE(C1948, ""en"", ""es"")"),"preocupado")</f>
        <v>preocupado</v>
      </c>
      <c r="B2005" s="1">
        <v>-3</v>
      </c>
      <c r="C2005" s="1" t="s">
        <v>1946</v>
      </c>
    </row>
    <row r="2006" spans="1:3" ht="12.75" x14ac:dyDescent="0.2">
      <c r="A2006" s="1" t="str">
        <f ca="1">IFERROR(__xludf.DUMMYFUNCTION("GOOGLETRANSLATE(C1949, ""en"", ""es"")"),"preocupante")</f>
        <v>preocupante</v>
      </c>
      <c r="B2006" s="1">
        <v>-3</v>
      </c>
      <c r="C2006" s="1" t="s">
        <v>1947</v>
      </c>
    </row>
    <row r="2007" spans="1:3" ht="12.75" x14ac:dyDescent="0.2">
      <c r="A2007" s="1" t="str">
        <f ca="1">IFERROR(__xludf.DUMMYFUNCTION("GOOGLETRANSLATE(C1946, ""en"", ""es"")"),"preocuparse")</f>
        <v>preocuparse</v>
      </c>
      <c r="B2007" s="1">
        <v>-3</v>
      </c>
      <c r="C2007" s="1" t="s">
        <v>1944</v>
      </c>
    </row>
    <row r="2008" spans="1:3" ht="12.75" x14ac:dyDescent="0.2">
      <c r="A2008" s="1" t="str">
        <f ca="1">IFERROR(__xludf.DUMMYFUNCTION("GOOGLETRANSLATE(C1950, ""en"", ""es"")"),"preparado")</f>
        <v>preparado</v>
      </c>
      <c r="B2008" s="1">
        <v>1</v>
      </c>
      <c r="C2008" s="1" t="s">
        <v>1948</v>
      </c>
    </row>
    <row r="2009" spans="1:3" ht="12.75" x14ac:dyDescent="0.2">
      <c r="A2009" s="1" t="str">
        <f ca="1">IFERROR(__xludf.DUMMYFUNCTION("GOOGLETRANSLATE(C1951, ""en"", ""es"")"),"presar")</f>
        <v>presar</v>
      </c>
      <c r="B2009" s="1">
        <v>-2</v>
      </c>
      <c r="C2009" s="1" t="s">
        <v>1949</v>
      </c>
    </row>
    <row r="2010" spans="1:3" ht="12.75" x14ac:dyDescent="0.2">
      <c r="A2010" s="1" t="str">
        <f ca="1">IFERROR(__xludf.DUMMYFUNCTION("GOOGLETRANSLATE(C1952, ""en"", ""es"")"),"presión")</f>
        <v>presión</v>
      </c>
      <c r="B2010" s="1">
        <v>-1</v>
      </c>
      <c r="C2010" s="1" t="s">
        <v>1950</v>
      </c>
    </row>
    <row r="2011" spans="1:3" ht="12.75" x14ac:dyDescent="0.2">
      <c r="A2011" s="1" t="str">
        <f ca="1">IFERROR(__xludf.DUMMYFUNCTION("GOOGLETRANSLATE(C1953, ""en"", ""es"")"),"presionado")</f>
        <v>presionado</v>
      </c>
      <c r="B2011" s="1">
        <v>-2</v>
      </c>
      <c r="C2011" s="1" t="s">
        <v>1951</v>
      </c>
    </row>
    <row r="2012" spans="1:3" ht="12.75" x14ac:dyDescent="0.2">
      <c r="A2012" s="1" t="str">
        <f ca="1">IFERROR(__xludf.DUMMYFUNCTION("GOOGLETRANSLATE(C1954, ""en"", ""es"")"),"prestigio")</f>
        <v>prestigio</v>
      </c>
      <c r="B2012" s="1">
        <v>3</v>
      </c>
      <c r="C2012" s="1" t="s">
        <v>1952</v>
      </c>
    </row>
    <row r="2013" spans="1:3" ht="12.75" x14ac:dyDescent="0.2">
      <c r="A2013" s="1" t="str">
        <f ca="1">IFERROR(__xludf.DUMMYFUNCTION("GOOGLETRANSLATE(C1956, ""en"", ""es"")"),"prevenido")</f>
        <v>prevenido</v>
      </c>
      <c r="B2013" s="1">
        <v>-2</v>
      </c>
      <c r="C2013" s="1" t="s">
        <v>1954</v>
      </c>
    </row>
    <row r="2014" spans="1:3" ht="12.75" x14ac:dyDescent="0.2">
      <c r="A2014" s="1" t="str">
        <f ca="1">IFERROR(__xludf.DUMMYFUNCTION("GOOGLETRANSLATE(C1061, ""en"", ""es"")"),"prevenir")</f>
        <v>prevenir</v>
      </c>
      <c r="B2014" s="1">
        <v>-1</v>
      </c>
      <c r="C2014" s="1" t="s">
        <v>1063</v>
      </c>
    </row>
    <row r="2015" spans="1:3" ht="12.75" x14ac:dyDescent="0.2">
      <c r="A2015" s="1" t="str">
        <f ca="1">IFERROR(__xludf.DUMMYFUNCTION("GOOGLETRANSLATE(C1531, ""en"", ""es"")"),"preventiva")</f>
        <v>preventiva</v>
      </c>
      <c r="B2015" s="1">
        <v>-1</v>
      </c>
      <c r="C2015" s="1" t="s">
        <v>1530</v>
      </c>
    </row>
    <row r="2016" spans="1:3" ht="12.75" x14ac:dyDescent="0.2">
      <c r="A2016" s="1" t="str">
        <f ca="1">IFERROR(__xludf.DUMMYFUNCTION("GOOGLETRANSLATE(C1958, ""en"", ""es"")"),"prisión")</f>
        <v>prisión</v>
      </c>
      <c r="B2016" s="1">
        <v>-2</v>
      </c>
      <c r="C2016" s="1" t="s">
        <v>1956</v>
      </c>
    </row>
    <row r="2017" spans="1:3" ht="12.75" x14ac:dyDescent="0.2">
      <c r="A2017" s="1" t="str">
        <f ca="1">IFERROR(__xludf.DUMMYFUNCTION("GOOGLETRANSLATE(C1959, ""en"", ""es"")"),"prisionero")</f>
        <v>prisionero</v>
      </c>
      <c r="B2017" s="1">
        <v>-2</v>
      </c>
      <c r="C2017" s="1" t="s">
        <v>1957</v>
      </c>
    </row>
    <row r="2018" spans="1:3" ht="12.75" x14ac:dyDescent="0.2">
      <c r="A2018" s="1" t="str">
        <f ca="1">IFERROR(__xludf.DUMMYFUNCTION("GOOGLETRANSLATE(C1960, ""en"", ""es"")"),"prisioneros")</f>
        <v>prisioneros</v>
      </c>
      <c r="B2018" s="1">
        <v>-2</v>
      </c>
      <c r="C2018" s="1" t="s">
        <v>1958</v>
      </c>
    </row>
    <row r="2019" spans="1:3" ht="12.75" x14ac:dyDescent="0.2">
      <c r="A2019" s="1" t="str">
        <f ca="1">IFERROR(__xludf.DUMMYFUNCTION("GOOGLETRANSLATE(C1961, ""en"", ""es"")"),"privación")</f>
        <v>privación</v>
      </c>
      <c r="B2019" s="1">
        <v>-2</v>
      </c>
      <c r="C2019" s="1" t="s">
        <v>1959</v>
      </c>
    </row>
    <row r="2020" spans="1:3" ht="12.75" x14ac:dyDescent="0.2">
      <c r="A2020" s="1" t="str">
        <f ca="1">IFERROR(__xludf.DUMMYFUNCTION("GOOGLETRANSLATE(C1962, ""en"", ""es"")"),"privar")</f>
        <v>privar</v>
      </c>
      <c r="B2020" s="1">
        <v>-2</v>
      </c>
      <c r="C2020" s="1" t="s">
        <v>1960</v>
      </c>
    </row>
    <row r="2021" spans="1:3" ht="12.75" x14ac:dyDescent="0.2">
      <c r="A2021" s="1" t="str">
        <f ca="1">IFERROR(__xludf.DUMMYFUNCTION("GOOGLETRANSLATE(C1963, ""en"", ""es"")"),"privilegiado")</f>
        <v>privilegiado</v>
      </c>
      <c r="B2021" s="1">
        <v>2</v>
      </c>
      <c r="C2021" s="1" t="s">
        <v>1961</v>
      </c>
    </row>
    <row r="2022" spans="1:3" ht="12.75" x14ac:dyDescent="0.2">
      <c r="A2022" s="1" t="str">
        <f ca="1">IFERROR(__xludf.DUMMYFUNCTION("GOOGLETRANSLATE(C1964, ""en"", ""es"")"),"proactivo")</f>
        <v>proactivo</v>
      </c>
      <c r="B2022" s="1">
        <v>2</v>
      </c>
      <c r="C2022" s="1" t="s">
        <v>1962</v>
      </c>
    </row>
    <row r="2023" spans="1:3" ht="12.75" x14ac:dyDescent="0.2">
      <c r="A2023" s="1" t="str">
        <f ca="1">IFERROR(__xludf.DUMMYFUNCTION("GOOGLETRANSLATE(C1965, ""en"", ""es"")"),"problema")</f>
        <v>problema</v>
      </c>
      <c r="B2023" s="1">
        <v>-2</v>
      </c>
      <c r="C2023" s="1" t="s">
        <v>1963</v>
      </c>
    </row>
    <row r="2024" spans="1:3" ht="12.75" x14ac:dyDescent="0.2">
      <c r="A2024" s="1" t="str">
        <f ca="1">IFERROR(__xludf.DUMMYFUNCTION("GOOGLETRANSLATE(C1966, ""en"", ""es"")"),"problema")</f>
        <v>problema</v>
      </c>
      <c r="B2024" s="1">
        <v>-2</v>
      </c>
      <c r="C2024" s="1" t="s">
        <v>1964</v>
      </c>
    </row>
    <row r="2025" spans="1:3" ht="12.75" x14ac:dyDescent="0.2">
      <c r="A2025" s="1" t="str">
        <f ca="1">IFERROR(__xludf.DUMMYFUNCTION("GOOGLETRANSLATE(C1967, ""en"", ""es"")"),"problemas")</f>
        <v>problemas</v>
      </c>
      <c r="B2025" s="1">
        <v>-2</v>
      </c>
      <c r="C2025" s="1" t="s">
        <v>1965</v>
      </c>
    </row>
    <row r="2026" spans="1:3" ht="12.75" x14ac:dyDescent="0.2">
      <c r="A2026" s="1" t="str">
        <f ca="1">IFERROR(__xludf.DUMMYFUNCTION("GOOGLETRANSLATE(C1968, ""en"", ""es"")"),"procesado")</f>
        <v>procesado</v>
      </c>
      <c r="B2026" s="1">
        <v>-2</v>
      </c>
      <c r="C2026" s="1" t="s">
        <v>1966</v>
      </c>
    </row>
    <row r="2027" spans="1:3" ht="12.75" x14ac:dyDescent="0.2">
      <c r="A2027" s="1" t="str">
        <f ca="1">IFERROR(__xludf.DUMMYFUNCTION("GOOGLETRANSLATE(C1969, ""en"", ""es"")"),"Progreso")</f>
        <v>Progreso</v>
      </c>
      <c r="B2027" s="1">
        <v>2</v>
      </c>
      <c r="C2027" s="1" t="s">
        <v>1967</v>
      </c>
    </row>
    <row r="2028" spans="1:3" ht="12.75" x14ac:dyDescent="0.2">
      <c r="A2028" s="1" t="str">
        <f ca="1">IFERROR(__xludf.DUMMYFUNCTION("GOOGLETRANSLATE(C1970, ""en"", ""es"")"),"prohibición")</f>
        <v>prohibición</v>
      </c>
      <c r="B2028" s="1">
        <v>-2</v>
      </c>
      <c r="C2028" s="1" t="s">
        <v>1968</v>
      </c>
    </row>
    <row r="2029" spans="1:3" ht="12.75" x14ac:dyDescent="0.2">
      <c r="A2029" s="1" t="str">
        <f ca="1">IFERROR(__xludf.DUMMYFUNCTION("GOOGLETRANSLATE(C1971, ""en"", ""es"")"),"prohibido")</f>
        <v>prohibido</v>
      </c>
      <c r="B2029" s="1">
        <v>-2</v>
      </c>
      <c r="C2029" s="1" t="s">
        <v>1969</v>
      </c>
    </row>
    <row r="2030" spans="1:3" ht="12.75" x14ac:dyDescent="0.2">
      <c r="A2030" s="1" t="str">
        <f ca="1">IFERROR(__xludf.DUMMYFUNCTION("GOOGLETRANSLATE(C1972, ""en"", ""es"")"),"promesa")</f>
        <v>promesa</v>
      </c>
      <c r="B2030" s="1">
        <v>1</v>
      </c>
      <c r="C2030" s="1" t="s">
        <v>1970</v>
      </c>
    </row>
    <row r="2031" spans="1:3" ht="12.75" x14ac:dyDescent="0.2">
      <c r="A2031" s="1" t="str">
        <f ca="1">IFERROR(__xludf.DUMMYFUNCTION("GOOGLETRANSLATE(C1973, ""en"", ""es"")"),"promesas")</f>
        <v>promesas</v>
      </c>
      <c r="B2031" s="1">
        <v>1</v>
      </c>
      <c r="C2031" s="1" t="s">
        <v>1971</v>
      </c>
    </row>
    <row r="2032" spans="1:3" ht="12.75" x14ac:dyDescent="0.2">
      <c r="A2032" s="1" t="str">
        <f ca="1">IFERROR(__xludf.DUMMYFUNCTION("GOOGLETRANSLATE(C1974, ""en"", ""es"")"),"prometido")</f>
        <v>prometido</v>
      </c>
      <c r="B2032" s="1">
        <v>1</v>
      </c>
      <c r="C2032" s="1" t="s">
        <v>1972</v>
      </c>
    </row>
    <row r="2033" spans="1:3" ht="12.75" x14ac:dyDescent="0.2">
      <c r="A2033" s="1" t="str">
        <f ca="1">IFERROR(__xludf.DUMMYFUNCTION("GOOGLETRANSLATE(C1975, ""en"", ""es"")"),"prominente")</f>
        <v>prominente</v>
      </c>
      <c r="B2033" s="1">
        <v>2</v>
      </c>
      <c r="C2033" s="1" t="s">
        <v>1973</v>
      </c>
    </row>
    <row r="2034" spans="1:3" ht="12.75" x14ac:dyDescent="0.2">
      <c r="A2034" s="1" t="str">
        <f ca="1">IFERROR(__xludf.DUMMYFUNCTION("GOOGLETRANSLATE(C1943, ""en"", ""es"")"),"promoción")</f>
        <v>promoción</v>
      </c>
      <c r="B2034" s="1">
        <v>-2</v>
      </c>
      <c r="C2034" s="1" t="s">
        <v>1941</v>
      </c>
    </row>
    <row r="2035" spans="1:3" ht="12.75" x14ac:dyDescent="0.2">
      <c r="A2035" s="1" t="str">
        <f ca="1">IFERROR(__xludf.DUMMYFUNCTION("GOOGLETRANSLATE(C1980, ""en"", ""es"")"),"promociona")</f>
        <v>promociona</v>
      </c>
      <c r="B2035" s="1">
        <v>1</v>
      </c>
      <c r="C2035" s="1" t="s">
        <v>1978</v>
      </c>
    </row>
    <row r="2036" spans="1:3" ht="12.75" x14ac:dyDescent="0.2">
      <c r="A2036" s="1" t="str">
        <f ca="1">IFERROR(__xludf.DUMMYFUNCTION("GOOGLETRANSLATE(C1976, ""en"", ""es"")"),"promocionado")</f>
        <v>promocionado</v>
      </c>
      <c r="B2036" s="1">
        <v>-2</v>
      </c>
      <c r="C2036" s="1" t="s">
        <v>1974</v>
      </c>
    </row>
    <row r="2037" spans="1:3" ht="12.75" x14ac:dyDescent="0.2">
      <c r="A2037" s="1" t="str">
        <f ca="1">IFERROR(__xludf.DUMMYFUNCTION("GOOGLETRANSLATE(C1977, ""en"", ""es"")"),"promover")</f>
        <v>promover</v>
      </c>
      <c r="B2037" s="1">
        <v>1</v>
      </c>
      <c r="C2037" s="1" t="s">
        <v>1975</v>
      </c>
    </row>
    <row r="2038" spans="1:3" ht="12.75" x14ac:dyDescent="0.2">
      <c r="A2038" s="1" t="str">
        <f ca="1">IFERROR(__xludf.DUMMYFUNCTION("GOOGLETRANSLATE(C1978, ""en"", ""es"")"),"promovido")</f>
        <v>promovido</v>
      </c>
      <c r="B2038" s="1">
        <v>1</v>
      </c>
      <c r="C2038" s="1" t="s">
        <v>1976</v>
      </c>
    </row>
    <row r="2039" spans="1:3" ht="12.75" x14ac:dyDescent="0.2">
      <c r="A2039" s="1" t="str">
        <f ca="1">IFERROR(__xludf.DUMMYFUNCTION("GOOGLETRANSLATE(C1979, ""en"", ""es"")"),"promoviendo")</f>
        <v>promoviendo</v>
      </c>
      <c r="B2039" s="1">
        <v>1</v>
      </c>
      <c r="C2039" s="1" t="s">
        <v>1977</v>
      </c>
    </row>
    <row r="2040" spans="1:3" ht="12.75" x14ac:dyDescent="0.2">
      <c r="A2040" s="1" t="str">
        <f ca="1">IFERROR(__xludf.DUMMYFUNCTION("GOOGLETRANSLATE(C1981, ""en"", ""es"")"),"propaganda")</f>
        <v>propaganda</v>
      </c>
      <c r="B2040" s="1">
        <v>-2</v>
      </c>
      <c r="C2040" s="1" t="s">
        <v>1979</v>
      </c>
    </row>
    <row r="2041" spans="1:3" ht="12.75" x14ac:dyDescent="0.2">
      <c r="A2041" s="1" t="str">
        <f ca="1">IFERROR(__xludf.DUMMYFUNCTION("GOOGLETRANSLATE(C1902, ""en"", ""es"")"),"prospectos")</f>
        <v>prospectos</v>
      </c>
      <c r="B2041" s="1">
        <v>1</v>
      </c>
      <c r="C2041" s="1" t="s">
        <v>1900</v>
      </c>
    </row>
    <row r="2042" spans="1:3" ht="12.75" x14ac:dyDescent="0.2">
      <c r="A2042" s="1" t="str">
        <f ca="1">IFERROR(__xludf.DUMMYFUNCTION("GOOGLETRANSLATE(C1982, ""en"", ""es"")"),"próspero")</f>
        <v>próspero</v>
      </c>
      <c r="B2042" s="1">
        <v>3</v>
      </c>
      <c r="C2042" s="1" t="s">
        <v>1980</v>
      </c>
    </row>
    <row r="2043" spans="1:3" ht="12.75" x14ac:dyDescent="0.2">
      <c r="A2043" s="1" t="str">
        <f ca="1">IFERROR(__xludf.DUMMYFUNCTION("GOOGLETRANSLATE(C1983, ""en"", ""es"")"),"protege")</f>
        <v>protege</v>
      </c>
      <c r="B2043" s="1">
        <v>1</v>
      </c>
      <c r="C2043" s="1" t="s">
        <v>1981</v>
      </c>
    </row>
    <row r="2044" spans="1:3" ht="12.75" x14ac:dyDescent="0.2">
      <c r="A2044" s="1" t="str">
        <f ca="1">IFERROR(__xludf.DUMMYFUNCTION("GOOGLETRANSLATE(C1984, ""en"", ""es"")"),"proteger")</f>
        <v>proteger</v>
      </c>
      <c r="B2044" s="1">
        <v>1</v>
      </c>
      <c r="C2044" s="1" t="s">
        <v>1982</v>
      </c>
    </row>
    <row r="2045" spans="1:3" ht="12.75" x14ac:dyDescent="0.2">
      <c r="A2045" s="1" t="str">
        <f ca="1">IFERROR(__xludf.DUMMYFUNCTION("GOOGLETRANSLATE(C1985, ""en"", ""es"")"),"protegido")</f>
        <v>protegido</v>
      </c>
      <c r="B2045" s="1">
        <v>1</v>
      </c>
      <c r="C2045" s="1" t="s">
        <v>1983</v>
      </c>
    </row>
    <row r="2046" spans="1:3" ht="12.75" x14ac:dyDescent="0.2">
      <c r="A2046" s="1" t="str">
        <f ca="1">IFERROR(__xludf.DUMMYFUNCTION("GOOGLETRANSLATE(C1986, ""en"", ""es"")"),"protesta")</f>
        <v>protesta</v>
      </c>
      <c r="B2046" s="1">
        <v>-2</v>
      </c>
      <c r="C2046" s="1" t="s">
        <v>1984</v>
      </c>
    </row>
    <row r="2047" spans="1:3" ht="12.75" x14ac:dyDescent="0.2">
      <c r="A2047" s="1" t="str">
        <f ca="1">IFERROR(__xludf.DUMMYFUNCTION("GOOGLETRANSLATE(C1987, ""en"", ""es"")"),"protestante")</f>
        <v>protestante</v>
      </c>
      <c r="B2047" s="1">
        <v>-2</v>
      </c>
      <c r="C2047" s="1" t="s">
        <v>1985</v>
      </c>
    </row>
    <row r="2048" spans="1:3" ht="12.75" x14ac:dyDescent="0.2">
      <c r="A2048" s="1" t="str">
        <f ca="1">IFERROR(__xludf.DUMMYFUNCTION("GOOGLETRANSLATE(C1988, ""en"", ""es"")"),"protestas")</f>
        <v>protestas</v>
      </c>
      <c r="B2048" s="1">
        <v>-2</v>
      </c>
      <c r="C2048" s="1" t="s">
        <v>1986</v>
      </c>
    </row>
    <row r="2049" spans="1:3" ht="12.75" x14ac:dyDescent="0.2">
      <c r="A2049" s="1" t="str">
        <f ca="1">IFERROR(__xludf.DUMMYFUNCTION("GOOGLETRANSLATE(C1989, ""en"", ""es"")"),"provoca")</f>
        <v>provoca</v>
      </c>
      <c r="B2049" s="1">
        <v>-1</v>
      </c>
      <c r="C2049" s="1" t="s">
        <v>1987</v>
      </c>
    </row>
    <row r="2050" spans="1:3" ht="12.75" x14ac:dyDescent="0.2">
      <c r="A2050" s="1" t="str">
        <f ca="1">IFERROR(__xludf.DUMMYFUNCTION("GOOGLETRANSLATE(C1990, ""en"", ""es"")"),"provocado")</f>
        <v>provocado</v>
      </c>
      <c r="B2050" s="1">
        <v>-1</v>
      </c>
      <c r="C2050" s="1" t="s">
        <v>1988</v>
      </c>
    </row>
    <row r="2051" spans="1:3" ht="12.75" x14ac:dyDescent="0.2">
      <c r="A2051" s="1" t="str">
        <f ca="1">IFERROR(__xludf.DUMMYFUNCTION("GOOGLETRANSLATE(C1991, ""en"", ""es"")"),"provocador")</f>
        <v>provocador</v>
      </c>
      <c r="B2051" s="1">
        <v>-1</v>
      </c>
      <c r="C2051" s="1" t="s">
        <v>1989</v>
      </c>
    </row>
    <row r="2052" spans="1:3" ht="12.75" x14ac:dyDescent="0.2">
      <c r="A2052" s="1" t="str">
        <f ca="1">IFERROR(__xludf.DUMMYFUNCTION("GOOGLETRANSLATE(C1992, ""en"", ""es"")"),"provocar")</f>
        <v>provocar</v>
      </c>
      <c r="B2052" s="1">
        <v>-1</v>
      </c>
      <c r="C2052" s="1" t="s">
        <v>1990</v>
      </c>
    </row>
    <row r="2053" spans="1:3" ht="12.75" x14ac:dyDescent="0.2">
      <c r="A2053" s="1" t="str">
        <f ca="1">IFERROR(__xludf.DUMMYFUNCTION("GOOGLETRANSLATE(C1993, ""en"", ""es"")"),"pseudociencia")</f>
        <v>pseudociencia</v>
      </c>
      <c r="B2053" s="1">
        <v>-3</v>
      </c>
      <c r="C2053" s="1" t="s">
        <v>1991</v>
      </c>
    </row>
    <row r="2054" spans="1:3" ht="12.75" x14ac:dyDescent="0.2">
      <c r="A2054" s="1" t="str">
        <f ca="1">IFERROR(__xludf.DUMMYFUNCTION("GOOGLETRANSLATE(C1998, ""en"", ""es"")"),"puñalada")</f>
        <v>puñalada</v>
      </c>
      <c r="B2054" s="1">
        <v>-2</v>
      </c>
      <c r="C2054" s="1" t="s">
        <v>1996</v>
      </c>
    </row>
    <row r="2055" spans="1:3" ht="12.75" x14ac:dyDescent="0.2">
      <c r="A2055" s="1" t="str">
        <f ca="1">IFERROR(__xludf.DUMMYFUNCTION("GOOGLETRANSLATE(C1995, ""en"", ""es"")"),"punitivo")</f>
        <v>punitivo</v>
      </c>
      <c r="B2055" s="1">
        <v>-2</v>
      </c>
      <c r="C2055" s="1" t="s">
        <v>1993</v>
      </c>
    </row>
    <row r="2056" spans="1:3" ht="12.75" x14ac:dyDescent="0.2">
      <c r="A2056" s="1" t="str">
        <f ca="1">IFERROR(__xludf.DUMMYFUNCTION("GOOGLETRANSLATE(C1996, ""en"", ""es"")"),"punto de referencia")</f>
        <v>punto de referencia</v>
      </c>
      <c r="B2056" s="1">
        <v>2</v>
      </c>
      <c r="C2056" s="1" t="s">
        <v>1994</v>
      </c>
    </row>
    <row r="2057" spans="1:3" ht="12.75" x14ac:dyDescent="0.2">
      <c r="A2057" s="1" t="str">
        <f ca="1">IFERROR(__xludf.DUMMYFUNCTION("GOOGLETRANSLATE(C1997, ""en"", ""es"")"),"punto muerto")</f>
        <v>punto muerto</v>
      </c>
      <c r="B2057" s="1">
        <v>-2</v>
      </c>
      <c r="C2057" s="1" t="s">
        <v>1995</v>
      </c>
    </row>
    <row r="2058" spans="1:3" ht="12.75" x14ac:dyDescent="0.2">
      <c r="A2058" s="1" t="str">
        <f ca="1">IFERROR(__xludf.DUMMYFUNCTION("GOOGLETRANSLATE(C2001, ""en"", ""es"")"),"puta")</f>
        <v>puta</v>
      </c>
      <c r="B2058" s="1">
        <v>-5</v>
      </c>
      <c r="C2058" s="1" t="s">
        <v>1999</v>
      </c>
    </row>
    <row r="2059" spans="1:3" ht="12.75" x14ac:dyDescent="0.2">
      <c r="A2059" s="1" t="str">
        <f ca="1">IFERROR(__xludf.DUMMYFUNCTION("GOOGLETRANSLATE(C2002, ""en"", ""es"")"),"puta")</f>
        <v>puta</v>
      </c>
      <c r="B2059" s="1">
        <v>-4</v>
      </c>
      <c r="C2059" s="1" t="s">
        <v>2000</v>
      </c>
    </row>
    <row r="2060" spans="1:3" ht="12.75" x14ac:dyDescent="0.2">
      <c r="A2060" s="1" t="str">
        <f ca="1">IFERROR(__xludf.DUMMYFUNCTION("GOOGLETRANSLATE(C921, ""en"", ""es"")"),"que odia")</f>
        <v>que odia</v>
      </c>
      <c r="B2060" s="1">
        <v>-3</v>
      </c>
      <c r="C2060" s="1" t="s">
        <v>923</v>
      </c>
    </row>
    <row r="2061" spans="1:3" ht="12.75" x14ac:dyDescent="0.2">
      <c r="A2061" s="1" t="str">
        <f ca="1">IFERROR(__xludf.DUMMYFUNCTION("GOOGLETRANSLATE(C1912, ""en"", ""es"")"),"que produce picor")</f>
        <v>que produce picor</v>
      </c>
      <c r="B2061" s="1">
        <v>-2</v>
      </c>
      <c r="C2061" s="1" t="s">
        <v>1910</v>
      </c>
    </row>
    <row r="2062" spans="1:3" ht="12.75" x14ac:dyDescent="0.2">
      <c r="A2062" s="1" t="str">
        <f ca="1">IFERROR(__xludf.DUMMYFUNCTION("GOOGLETRANSLATE(C2172, ""en"", ""es"")"),"queja")</f>
        <v>queja</v>
      </c>
      <c r="B2062" s="1">
        <v>-2</v>
      </c>
      <c r="C2062" s="1" t="s">
        <v>2170</v>
      </c>
    </row>
    <row r="2063" spans="1:3" ht="12.75" x14ac:dyDescent="0.2">
      <c r="A2063" s="1" t="str">
        <f ca="1">IFERROR(__xludf.DUMMYFUNCTION("GOOGLETRANSLATE(C2005, ""en"", ""es"")"),"quejado")</f>
        <v>quejado</v>
      </c>
      <c r="B2063" s="1">
        <v>-2</v>
      </c>
      <c r="C2063" s="1" t="s">
        <v>2003</v>
      </c>
    </row>
    <row r="2064" spans="1:3" ht="12.75" x14ac:dyDescent="0.2">
      <c r="A2064" s="1" t="str">
        <f ca="1">IFERROR(__xludf.DUMMYFUNCTION("GOOGLETRANSLATE(C2006, ""en"", ""es"")"),"quejarse")</f>
        <v>quejarse</v>
      </c>
      <c r="B2064" s="1">
        <v>-2</v>
      </c>
      <c r="C2064" s="1" t="s">
        <v>2004</v>
      </c>
    </row>
    <row r="2065" spans="1:3" ht="12.75" x14ac:dyDescent="0.2">
      <c r="A2065" s="1" t="str">
        <f ca="1">IFERROR(__xludf.DUMMYFUNCTION("GOOGLETRANSLATE(C2008, ""en"", ""es"")"),"querido")</f>
        <v>querido</v>
      </c>
      <c r="B2065" s="1">
        <v>2</v>
      </c>
      <c r="C2065" s="1" t="s">
        <v>2006</v>
      </c>
    </row>
    <row r="2066" spans="1:3" ht="12.75" x14ac:dyDescent="0.2">
      <c r="A2066" s="1" t="str">
        <f ca="1">IFERROR(__xludf.DUMMYFUNCTION("GOOGLETRANSLATE(C2013, ""en"", ""es"")"),"racismo")</f>
        <v>racismo</v>
      </c>
      <c r="B2066" s="1">
        <v>-3</v>
      </c>
      <c r="C2066" s="1" t="s">
        <v>2011</v>
      </c>
    </row>
    <row r="2067" spans="1:3" ht="12.75" x14ac:dyDescent="0.2">
      <c r="A2067" s="1" t="str">
        <f ca="1">IFERROR(__xludf.DUMMYFUNCTION("GOOGLETRANSLATE(C2014, ""en"", ""es"")"),"racista")</f>
        <v>racista</v>
      </c>
      <c r="B2067" s="1">
        <v>-3</v>
      </c>
      <c r="C2067" s="1" t="s">
        <v>2012</v>
      </c>
    </row>
    <row r="2068" spans="1:3" ht="12.75" x14ac:dyDescent="0.2">
      <c r="A2068" s="1" t="str">
        <f ca="1">IFERROR(__xludf.DUMMYFUNCTION("GOOGLETRANSLATE(C2015, ""en"", ""es"")"),"racistas")</f>
        <v>racistas</v>
      </c>
      <c r="B2068" s="1">
        <v>-3</v>
      </c>
      <c r="C2068" s="1" t="s">
        <v>2013</v>
      </c>
    </row>
    <row r="2069" spans="1:3" ht="12.75" x14ac:dyDescent="0.2">
      <c r="A2069" s="1" t="str">
        <f ca="1">IFERROR(__xludf.DUMMYFUNCTION("GOOGLETRANSLATE(C2019, ""en"", ""es"")"),"rápidamente")</f>
        <v>rápidamente</v>
      </c>
      <c r="B2069" s="1">
        <v>2</v>
      </c>
      <c r="C2069" s="1" t="s">
        <v>2017</v>
      </c>
    </row>
    <row r="2070" spans="1:3" ht="12.75" x14ac:dyDescent="0.2">
      <c r="A2070" s="1" t="str">
        <f ca="1">IFERROR(__xludf.DUMMYFUNCTION("GOOGLETRANSLATE(C2020, ""en"", ""es"")"),"rápido")</f>
        <v>rápido</v>
      </c>
      <c r="B2070" s="1">
        <v>2</v>
      </c>
      <c r="C2070" s="1" t="s">
        <v>2018</v>
      </c>
    </row>
    <row r="2071" spans="1:3" ht="12.75" x14ac:dyDescent="0.2">
      <c r="A2071" s="1" t="str">
        <f ca="1">IFERROR(__xludf.DUMMYFUNCTION("GOOGLETRANSLATE(C2022, ""en"", ""es"")"),"rapto")</f>
        <v>rapto</v>
      </c>
      <c r="B2071" s="1">
        <v>2</v>
      </c>
      <c r="C2071" s="1" t="s">
        <v>2020</v>
      </c>
    </row>
    <row r="2072" spans="1:3" ht="12.75" x14ac:dyDescent="0.2">
      <c r="A2072" s="1" t="str">
        <f ca="1">IFERROR(__xludf.DUMMYFUNCTION("GOOGLETRANSLATE(C2023, ""en"", ""es"")"),"rasgado")</f>
        <v>rasgado</v>
      </c>
      <c r="B2072" s="1">
        <v>-2</v>
      </c>
      <c r="C2072" s="1" t="s">
        <v>2021</v>
      </c>
    </row>
    <row r="2073" spans="1:3" ht="12.75" x14ac:dyDescent="0.2">
      <c r="A2073" s="1" t="str">
        <f ca="1">IFERROR(__xludf.DUMMYFUNCTION("GOOGLETRANSLATE(C2024, ""en"", ""es"")"),"ratificado")</f>
        <v>ratificado</v>
      </c>
      <c r="B2073" s="1">
        <v>2</v>
      </c>
      <c r="C2073" s="1" t="s">
        <v>2022</v>
      </c>
    </row>
    <row r="2074" spans="1:3" ht="12.75" x14ac:dyDescent="0.2">
      <c r="A2074" s="1" t="str">
        <f ca="1">IFERROR(__xludf.DUMMYFUNCTION("GOOGLETRANSLATE(C2233, ""en"", ""es"")"),"reacción exagerada")</f>
        <v>reacción exagerada</v>
      </c>
      <c r="B2074" s="1">
        <v>-2</v>
      </c>
      <c r="C2074" s="1" t="s">
        <v>2229</v>
      </c>
    </row>
    <row r="2075" spans="1:3" ht="12.75" x14ac:dyDescent="0.2">
      <c r="A2075" s="1" t="str">
        <f ca="1">IFERROR(__xludf.DUMMYFUNCTION("GOOGLETRANSLATE(C1830, ""en"", ""es"")"),"reaccionado exagerado")</f>
        <v>reaccionado exagerado</v>
      </c>
      <c r="B2075" s="1">
        <v>-2</v>
      </c>
      <c r="C2075" s="1" t="s">
        <v>1828</v>
      </c>
    </row>
    <row r="2076" spans="1:3" ht="12.75" x14ac:dyDescent="0.2">
      <c r="A2076" s="1" t="str">
        <f ca="1">IFERROR(__xludf.DUMMYFUNCTION("GOOGLETRANSLATE(C2231, ""en"", ""es"")"),"reaccionan exagerados")</f>
        <v>reaccionan exagerados</v>
      </c>
      <c r="B2076" s="1">
        <v>-2</v>
      </c>
      <c r="C2076" s="1" t="s">
        <v>2227</v>
      </c>
    </row>
    <row r="2077" spans="1:3" ht="12.75" x14ac:dyDescent="0.2">
      <c r="A2077" s="1" t="str">
        <f ca="1">IFERROR(__xludf.DUMMYFUNCTION("GOOGLETRANSLATE(C2026, ""en"", ""es"")"),"realizable")</f>
        <v>realizable</v>
      </c>
      <c r="B2077" s="1">
        <v>1</v>
      </c>
      <c r="C2077" s="1" t="s">
        <v>2024</v>
      </c>
    </row>
    <row r="2078" spans="1:3" ht="12.75" x14ac:dyDescent="0.2">
      <c r="A2078" s="1" t="str">
        <f ca="1">IFERROR(__xludf.DUMMYFUNCTION("GOOGLETRANSLATE(C631, ""en"", ""es"")"),"realizar")</f>
        <v>realizar</v>
      </c>
      <c r="B2078" s="1">
        <v>2</v>
      </c>
      <c r="C2078" s="1" t="s">
        <v>631</v>
      </c>
    </row>
    <row r="2079" spans="1:3" ht="12.75" x14ac:dyDescent="0.2">
      <c r="A2079" s="1" t="str">
        <f ca="1">IFERROR(__xludf.DUMMYFUNCTION("GOOGLETRANSLATE(C2027, ""en"", ""es"")"),"realizar")</f>
        <v>realizar</v>
      </c>
      <c r="B2079" s="1">
        <v>2</v>
      </c>
      <c r="C2079" s="1" t="s">
        <v>2025</v>
      </c>
    </row>
    <row r="2080" spans="1:3" ht="12.75" x14ac:dyDescent="0.2">
      <c r="A2080" s="1" t="str">
        <f ca="1">IFERROR(__xludf.DUMMYFUNCTION("GOOGLETRANSLATE(C2028, ""en"", ""es"")"),"reanimar")</f>
        <v>reanimar</v>
      </c>
      <c r="B2080" s="1">
        <v>2</v>
      </c>
      <c r="C2080" s="1" t="s">
        <v>2026</v>
      </c>
    </row>
    <row r="2081" spans="1:3" ht="12.75" x14ac:dyDescent="0.2">
      <c r="A2081" s="1" t="s">
        <v>2496</v>
      </c>
      <c r="B2081" s="1">
        <v>1</v>
      </c>
      <c r="C2081" s="1" t="s">
        <v>238</v>
      </c>
    </row>
    <row r="2082" spans="1:3" ht="12.75" x14ac:dyDescent="0.2">
      <c r="A2082" s="1" t="str">
        <f ca="1">IFERROR(__xludf.DUMMYFUNCTION("GOOGLETRANSLATE(C2029, ""en"", ""es"")"),"rebelión")</f>
        <v>rebelión</v>
      </c>
      <c r="B2082" s="1">
        <v>-2</v>
      </c>
      <c r="C2082" s="1" t="s">
        <v>2027</v>
      </c>
    </row>
    <row r="2083" spans="1:3" ht="12.75" x14ac:dyDescent="0.2">
      <c r="A2083" s="1" t="str">
        <f ca="1">IFERROR(__xludf.DUMMYFUNCTION("GOOGLETRANSLATE(C2030, ""en"", ""es"")"),"recelo")</f>
        <v>recelo</v>
      </c>
      <c r="B2083" s="1">
        <v>-2</v>
      </c>
      <c r="C2083" s="1" t="s">
        <v>2028</v>
      </c>
    </row>
    <row r="2084" spans="1:3" ht="12.75" x14ac:dyDescent="0.2">
      <c r="A2084" s="1" t="str">
        <f ca="1">IFERROR(__xludf.DUMMYFUNCTION("GOOGLETRANSLATE(C2031, ""en"", ""es"")"),"recesión")</f>
        <v>recesión</v>
      </c>
      <c r="B2084" s="1">
        <v>-2</v>
      </c>
      <c r="C2084" s="1" t="s">
        <v>2029</v>
      </c>
    </row>
    <row r="2085" spans="1:3" ht="12.75" x14ac:dyDescent="0.2">
      <c r="A2085" s="1" t="str">
        <f ca="1">IFERROR(__xludf.DUMMYFUNCTION("GOOGLETRANSLATE(C1743, ""en"", ""es"")"),"rechazado")</f>
        <v>rechazado</v>
      </c>
      <c r="B2085" s="1">
        <v>-2</v>
      </c>
      <c r="C2085" s="1" t="s">
        <v>1742</v>
      </c>
    </row>
    <row r="2086" spans="1:3" ht="12.75" x14ac:dyDescent="0.2">
      <c r="A2086" s="1" t="str">
        <f ca="1">IFERROR(__xludf.DUMMYFUNCTION("GOOGLETRANSLATE(C2032, ""en"", ""es"")"),"rechazado")</f>
        <v>rechazado</v>
      </c>
      <c r="B2086" s="1">
        <v>-1</v>
      </c>
      <c r="C2086" s="1" t="s">
        <v>2030</v>
      </c>
    </row>
    <row r="2087" spans="1:3" ht="12.75" x14ac:dyDescent="0.2">
      <c r="A2087" s="1" t="str">
        <f ca="1">IFERROR(__xludf.DUMMYFUNCTION("GOOGLETRANSLATE(C2033, ""en"", ""es"")"),"rechazado")</f>
        <v>rechazado</v>
      </c>
      <c r="B2087" s="1">
        <v>-2</v>
      </c>
      <c r="C2087" s="1" t="s">
        <v>2031</v>
      </c>
    </row>
    <row r="2088" spans="1:3" ht="12.75" x14ac:dyDescent="0.2">
      <c r="A2088" s="1" t="str">
        <f ca="1">IFERROR(__xludf.DUMMYFUNCTION("GOOGLETRANSLATE(C2034, ""en"", ""es"")"),"rechazado")</f>
        <v>rechazado</v>
      </c>
      <c r="B2088" s="1">
        <v>-1</v>
      </c>
      <c r="C2088" s="1" t="s">
        <v>2032</v>
      </c>
    </row>
    <row r="2089" spans="1:3" ht="12.75" x14ac:dyDescent="0.2">
      <c r="A2089" s="1" t="str">
        <f ca="1">IFERROR(__xludf.DUMMYFUNCTION("GOOGLETRANSLATE(C2063, ""en"", ""es"")"),"rechazado")</f>
        <v>rechazado</v>
      </c>
      <c r="B2089" s="1">
        <v>-2</v>
      </c>
      <c r="C2089" s="1" t="s">
        <v>2061</v>
      </c>
    </row>
    <row r="2090" spans="1:3" ht="12.75" x14ac:dyDescent="0.2">
      <c r="A2090" s="1" t="str">
        <f ca="1">IFERROR(__xludf.DUMMYFUNCTION("GOOGLETRANSLATE(C2036, ""en"", ""es"")"),"rechazar")</f>
        <v>rechazar</v>
      </c>
      <c r="B2090" s="1">
        <v>-1</v>
      </c>
      <c r="C2090" s="1" t="s">
        <v>2034</v>
      </c>
    </row>
    <row r="2091" spans="1:3" ht="12.75" x14ac:dyDescent="0.2">
      <c r="A2091" s="1" t="str">
        <f ca="1">IFERROR(__xludf.DUMMYFUNCTION("GOOGLETRANSLATE(C2037, ""en"", ""es"")"),"rechazar")</f>
        <v>rechazar</v>
      </c>
      <c r="B2091" s="1">
        <v>-1</v>
      </c>
      <c r="C2091" s="1" t="s">
        <v>2035</v>
      </c>
    </row>
    <row r="2092" spans="1:3" ht="12.75" x14ac:dyDescent="0.2">
      <c r="A2092" s="1" t="str">
        <f ca="1">IFERROR(__xludf.DUMMYFUNCTION("GOOGLETRANSLATE(C2035, ""en"", ""es"")"),"rechazo")</f>
        <v>rechazo</v>
      </c>
      <c r="B2092" s="1">
        <v>-1</v>
      </c>
      <c r="C2092" s="1" t="s">
        <v>2033</v>
      </c>
    </row>
    <row r="2093" spans="1:3" ht="12.75" x14ac:dyDescent="0.2">
      <c r="A2093" s="1" t="str">
        <f ca="1">IFERROR(__xludf.DUMMYFUNCTION("GOOGLETRANSLATE(C2038, ""en"", ""es"")"),"recomendado")</f>
        <v>recomendado</v>
      </c>
      <c r="B2093" s="1">
        <v>2</v>
      </c>
      <c r="C2093" s="1" t="s">
        <v>2036</v>
      </c>
    </row>
    <row r="2094" spans="1:3" ht="12.75" x14ac:dyDescent="0.2">
      <c r="A2094" s="1" t="str">
        <f ca="1">IFERROR(__xludf.DUMMYFUNCTION("GOOGLETRANSLATE(C2040, ""en"", ""es"")"),"recomendado")</f>
        <v>recomendado</v>
      </c>
      <c r="B2094" s="1">
        <v>2</v>
      </c>
      <c r="C2094" s="1" t="s">
        <v>2038</v>
      </c>
    </row>
    <row r="2095" spans="1:3" ht="12.75" x14ac:dyDescent="0.2">
      <c r="A2095" s="1" t="str">
        <f ca="1">IFERROR(__xludf.DUMMYFUNCTION("GOOGLETRANSLATE(C2039, ""en"", ""es"")"),"recomendar")</f>
        <v>recomendar</v>
      </c>
      <c r="B2095" s="1">
        <v>2</v>
      </c>
      <c r="C2095" s="1" t="s">
        <v>2037</v>
      </c>
    </row>
    <row r="2096" spans="1:3" ht="12.75" x14ac:dyDescent="0.2">
      <c r="A2096" s="1" t="str">
        <f ca="1">IFERROR(__xludf.DUMMYFUNCTION("GOOGLETRANSLATE(C2042, ""en"", ""es"")"),"recompensado")</f>
        <v>recompensado</v>
      </c>
      <c r="B2096" s="1">
        <v>2</v>
      </c>
      <c r="C2096" s="1" t="s">
        <v>2040</v>
      </c>
    </row>
    <row r="2097" spans="1:3" ht="12.75" x14ac:dyDescent="0.2">
      <c r="A2097" s="1" t="str">
        <f ca="1">IFERROR(__xludf.DUMMYFUNCTION("GOOGLETRANSLATE(C2043, ""en"", ""es"")"),"recompensas")</f>
        <v>recompensas</v>
      </c>
      <c r="B2097" s="1">
        <v>2</v>
      </c>
      <c r="C2097" s="1" t="s">
        <v>2041</v>
      </c>
    </row>
    <row r="2098" spans="1:3" ht="12.75" x14ac:dyDescent="0.2">
      <c r="A2098" s="1" t="str">
        <f ca="1">IFERROR(__xludf.DUMMYFUNCTION("GOOGLETRANSLATE(C2046, ""en"", ""es"")"),"redimido")</f>
        <v>redimido</v>
      </c>
      <c r="B2098" s="1">
        <v>2</v>
      </c>
      <c r="C2098" s="1" t="s">
        <v>2044</v>
      </c>
    </row>
    <row r="2099" spans="1:3" ht="12.75" x14ac:dyDescent="0.2">
      <c r="A2099" s="1" t="str">
        <f ca="1">IFERROR(__xludf.DUMMYFUNCTION("GOOGLETRANSLATE(C1871, ""en"", ""es"")"),"reflexivo")</f>
        <v>reflexivo</v>
      </c>
      <c r="B2099" s="1">
        <v>2</v>
      </c>
      <c r="C2099" s="1" t="s">
        <v>1869</v>
      </c>
    </row>
    <row r="2100" spans="1:3" ht="12.75" x14ac:dyDescent="0.2">
      <c r="A2100" s="1" t="str">
        <f ca="1">IFERROR(__xludf.DUMMYFUNCTION("GOOGLETRANSLATE(C2048, ""en"", ""es"")"),"regalo")</f>
        <v>regalo</v>
      </c>
      <c r="B2100" s="1">
        <v>2</v>
      </c>
      <c r="C2100" s="1" t="s">
        <v>2046</v>
      </c>
    </row>
    <row r="2101" spans="1:3" ht="12.75" x14ac:dyDescent="0.2">
      <c r="A2101" s="1" t="str">
        <f ca="1">IFERROR(__xludf.DUMMYFUNCTION("GOOGLETRANSLATE(C2049, ""en"", ""es"")"),"regañar")</f>
        <v>regañar</v>
      </c>
      <c r="B2101" s="1">
        <v>-2</v>
      </c>
      <c r="C2101" s="1" t="s">
        <v>2047</v>
      </c>
    </row>
    <row r="2102" spans="1:3" ht="12.75" x14ac:dyDescent="0.2">
      <c r="A2102" s="1" t="str">
        <f ca="1">IFERROR(__xludf.DUMMYFUNCTION("GOOGLETRANSLATE(C2050, ""en"", ""es"")"),"regate")</f>
        <v>regate</v>
      </c>
      <c r="B2102" s="1">
        <v>-2</v>
      </c>
      <c r="C2102" s="1" t="s">
        <v>2048</v>
      </c>
    </row>
    <row r="2103" spans="1:3" ht="12.75" x14ac:dyDescent="0.2">
      <c r="A2103" s="1" t="str">
        <f ca="1">IFERROR(__xludf.DUMMYFUNCTION("GOOGLETRANSLATE(C2053, ""en"", ""es"")"),"regocijado")</f>
        <v>regocijado</v>
      </c>
      <c r="B2103" s="1">
        <v>3</v>
      </c>
      <c r="C2103" s="1" t="s">
        <v>2051</v>
      </c>
    </row>
    <row r="2104" spans="1:3" ht="12.75" x14ac:dyDescent="0.2">
      <c r="A2104" s="1" t="str">
        <f ca="1">IFERROR(__xludf.DUMMYFUNCTION("GOOGLETRANSLATE(C2054, ""en"", ""es"")"),"regocijado")</f>
        <v>regocijado</v>
      </c>
      <c r="B2104" s="1">
        <v>4</v>
      </c>
      <c r="C2104" s="1" t="s">
        <v>2052</v>
      </c>
    </row>
    <row r="2105" spans="1:3" ht="12.75" x14ac:dyDescent="0.2">
      <c r="A2105" s="1" t="str">
        <f ca="1">IFERROR(__xludf.DUMMYFUNCTION("GOOGLETRANSLATE(C2052, ""en"", ""es"")"),"regocijo")</f>
        <v>regocijo</v>
      </c>
      <c r="B2105" s="1">
        <v>4</v>
      </c>
      <c r="C2105" s="1" t="s">
        <v>2050</v>
      </c>
    </row>
    <row r="2106" spans="1:3" ht="12.75" x14ac:dyDescent="0.2">
      <c r="A2106" s="1" t="str">
        <f ca="1">IFERROR(__xludf.DUMMYFUNCTION("GOOGLETRANSLATE(C1547, ""en"", ""es"")"),"reír")</f>
        <v>reír</v>
      </c>
      <c r="B2106" s="1">
        <v>1</v>
      </c>
      <c r="C2106" s="1" t="s">
        <v>1546</v>
      </c>
    </row>
    <row r="2107" spans="1:3" ht="12.75" x14ac:dyDescent="0.2">
      <c r="A2107" s="1" t="str">
        <f ca="1">IFERROR(__xludf.DUMMYFUNCTION("GOOGLETRANSLATE(C2122, ""en"", ""es"")"),"reír")</f>
        <v>reír</v>
      </c>
      <c r="B2107" s="1">
        <v>1</v>
      </c>
      <c r="C2107" s="1" t="s">
        <v>2120</v>
      </c>
    </row>
    <row r="2108" spans="1:3" ht="12.75" x14ac:dyDescent="0.2">
      <c r="A2108" s="1" t="str">
        <f ca="1">IFERROR(__xludf.DUMMYFUNCTION("GOOGLETRANSLATE(C2056, ""en"", ""es"")"),"reivindicación")</f>
        <v>reivindicación</v>
      </c>
      <c r="B2108" s="1">
        <v>2</v>
      </c>
      <c r="C2108" s="1" t="s">
        <v>2054</v>
      </c>
    </row>
    <row r="2109" spans="1:3" ht="12.75" x14ac:dyDescent="0.2">
      <c r="A2109" s="1" t="str">
        <f ca="1">IFERROR(__xludf.DUMMYFUNCTION("GOOGLETRANSLATE(C2442, ""en"", ""es"")"),"reivindicado")</f>
        <v>reivindicado</v>
      </c>
      <c r="B2109" s="1">
        <v>2</v>
      </c>
      <c r="C2109" s="1" t="s">
        <v>2438</v>
      </c>
    </row>
    <row r="2110" spans="1:3" ht="12.75" x14ac:dyDescent="0.2">
      <c r="A2110" s="1" t="str">
        <f ca="1">IFERROR(__xludf.DUMMYFUNCTION("GOOGLETRANSLATE(C983, ""en"", ""es"")"),"Relajado")</f>
        <v>Relajado</v>
      </c>
      <c r="B2110" s="1">
        <v>-1</v>
      </c>
      <c r="C2110" s="1" t="s">
        <v>985</v>
      </c>
    </row>
    <row r="2111" spans="1:3" ht="12.75" x14ac:dyDescent="0.2">
      <c r="A2111" s="1" t="str">
        <f ca="1">IFERROR(__xludf.DUMMYFUNCTION("GOOGLETRANSLATE(C2057, ""en"", ""es"")"),"relajado")</f>
        <v>relajado</v>
      </c>
      <c r="B2111" s="1">
        <v>2</v>
      </c>
      <c r="C2111" s="1" t="s">
        <v>2055</v>
      </c>
    </row>
    <row r="2112" spans="1:3" ht="12.75" x14ac:dyDescent="0.2">
      <c r="A2112" s="1" t="str">
        <f ca="1">IFERROR(__xludf.DUMMYFUNCTION("GOOGLETRANSLATE(C2059, ""en"", ""es"")"),"remordimiento")</f>
        <v>remordimiento</v>
      </c>
      <c r="B2112" s="1">
        <v>-2</v>
      </c>
      <c r="C2112" s="1" t="s">
        <v>2057</v>
      </c>
    </row>
    <row r="2113" spans="1:3" ht="12.75" x14ac:dyDescent="0.2">
      <c r="A2113" s="1" t="str">
        <f ca="1">IFERROR(__xludf.DUMMYFUNCTION("GOOGLETRANSLATE(C2060, ""en"", ""es"")"),"renuncia")</f>
        <v>renuncia</v>
      </c>
      <c r="B2113" s="1">
        <v>-1</v>
      </c>
      <c r="C2113" s="1" t="s">
        <v>2058</v>
      </c>
    </row>
    <row r="2114" spans="1:3" ht="12.75" x14ac:dyDescent="0.2">
      <c r="A2114" s="1" t="str">
        <f ca="1">IFERROR(__xludf.DUMMYFUNCTION("GOOGLETRANSLATE(C2062, ""en"", ""es"")"),"renuncia")</f>
        <v>renuncia</v>
      </c>
      <c r="B2114" s="1">
        <v>-1</v>
      </c>
      <c r="C2114" s="1" t="s">
        <v>2060</v>
      </c>
    </row>
    <row r="2115" spans="1:3" ht="12.75" x14ac:dyDescent="0.2">
      <c r="A2115" s="1" t="str">
        <f ca="1">IFERROR(__xludf.DUMMYFUNCTION("GOOGLETRANSLATE(C2061, ""en"", ""es"")"),"Renunciar")</f>
        <v>Renunciar</v>
      </c>
      <c r="B2115" s="1">
        <v>-1</v>
      </c>
      <c r="C2115" s="1" t="s">
        <v>2059</v>
      </c>
    </row>
    <row r="2116" spans="1:3" ht="12.75" x14ac:dyDescent="0.2">
      <c r="A2116" s="1" t="str">
        <f ca="1">IFERROR(__xludf.DUMMYFUNCTION("GOOGLETRANSLATE(C2070, ""en"", ""es"")"),"renunciar")</f>
        <v>renunciar</v>
      </c>
      <c r="B2116" s="1">
        <v>-1</v>
      </c>
      <c r="C2116" s="1" t="s">
        <v>2068</v>
      </c>
    </row>
    <row r="2117" spans="1:3" ht="12.75" x14ac:dyDescent="0.2">
      <c r="A2117" s="1" t="str">
        <f ca="1">IFERROR(__xludf.DUMMYFUNCTION("GOOGLETRANSLATE(C1631, ""en"", ""es"")"),"resbaloso")</f>
        <v>resbaloso</v>
      </c>
      <c r="B2117" s="1">
        <v>2</v>
      </c>
      <c r="C2117" s="1" t="s">
        <v>1629</v>
      </c>
    </row>
    <row r="2118" spans="1:3" ht="12.75" x14ac:dyDescent="0.2">
      <c r="A2118" s="1" t="str">
        <f ca="1">IFERROR(__xludf.DUMMYFUNCTION("GOOGLETRANSLATE(C2064, ""en"", ""es"")"),"rescatado")</f>
        <v>rescatado</v>
      </c>
      <c r="B2118" s="1">
        <v>2</v>
      </c>
      <c r="C2118" s="1" t="s">
        <v>2062</v>
      </c>
    </row>
    <row r="2119" spans="1:3" ht="12.75" x14ac:dyDescent="0.2">
      <c r="A2119" s="1" t="str">
        <f ca="1">IFERROR(__xludf.DUMMYFUNCTION("GOOGLETRANSLATE(C2065, ""en"", ""es"")"),"rescate")</f>
        <v>rescate</v>
      </c>
      <c r="B2119" s="1">
        <v>-2</v>
      </c>
      <c r="C2119" s="1" t="s">
        <v>2063</v>
      </c>
    </row>
    <row r="2120" spans="1:3" ht="12.75" x14ac:dyDescent="0.2">
      <c r="A2120" s="1" t="str">
        <f ca="1">IFERROR(__xludf.DUMMYFUNCTION("GOOGLETRANSLATE(C2066, ""en"", ""es"")"),"rescate")</f>
        <v>rescate</v>
      </c>
      <c r="B2120" s="1">
        <v>2</v>
      </c>
      <c r="C2120" s="1" t="s">
        <v>2064</v>
      </c>
    </row>
    <row r="2121" spans="1:3" ht="12.75" x14ac:dyDescent="0.2">
      <c r="A2121" s="1" t="str">
        <f ca="1">IFERROR(__xludf.DUMMYFUNCTION("GOOGLETRANSLATE(C2067, ""en"", ""es"")"),"rescates")</f>
        <v>rescates</v>
      </c>
      <c r="B2121" s="1">
        <v>2</v>
      </c>
      <c r="C2121" s="1" t="s">
        <v>2065</v>
      </c>
    </row>
    <row r="2122" spans="1:3" ht="12.75" x14ac:dyDescent="0.2">
      <c r="A2122" s="1" t="str">
        <f ca="1">IFERROR(__xludf.DUMMYFUNCTION("GOOGLETRANSLATE(C2068, ""en"", ""es"")"),"resentido")</f>
        <v>resentido</v>
      </c>
      <c r="B2122" s="1">
        <v>-2</v>
      </c>
      <c r="C2122" s="1" t="s">
        <v>2066</v>
      </c>
    </row>
    <row r="2123" spans="1:3" ht="12.75" x14ac:dyDescent="0.2">
      <c r="A2123" s="1" t="str">
        <f ca="1">IFERROR(__xludf.DUMMYFUNCTION("GOOGLETRANSLATE(C2071, ""en"", ""es"")"),"resistente")</f>
        <v>resistente</v>
      </c>
      <c r="B2123" s="1">
        <v>2</v>
      </c>
      <c r="C2123" s="1" t="s">
        <v>2069</v>
      </c>
    </row>
    <row r="2124" spans="1:3" ht="12.75" x14ac:dyDescent="0.2">
      <c r="A2124" s="1" t="str">
        <f ca="1">IFERROR(__xludf.DUMMYFUNCTION("GOOGLETRANSLATE(C1532, ""en"", ""es"")"),"resolución")</f>
        <v>resolución</v>
      </c>
      <c r="B2124" s="1">
        <v>1</v>
      </c>
      <c r="C2124" s="1" t="s">
        <v>1531</v>
      </c>
    </row>
    <row r="2125" spans="1:3" ht="12.75" x14ac:dyDescent="0.2">
      <c r="A2125" s="1" t="str">
        <f ca="1">IFERROR(__xludf.DUMMYFUNCTION("GOOGLETRANSLATE(C2073, ""en"", ""es"")"),"resolución")</f>
        <v>resolución</v>
      </c>
      <c r="B2125" s="1">
        <v>2</v>
      </c>
      <c r="C2125" s="1" t="s">
        <v>2071</v>
      </c>
    </row>
    <row r="2126" spans="1:3" ht="12.75" x14ac:dyDescent="0.2">
      <c r="A2126" s="1" t="str">
        <f ca="1">IFERROR(__xludf.DUMMYFUNCTION("GOOGLETRANSLATE(C2092, ""en"", ""es"")"),"resolución")</f>
        <v>resolución</v>
      </c>
      <c r="B2126" s="1">
        <v>2</v>
      </c>
      <c r="C2126" s="1" t="s">
        <v>2090</v>
      </c>
    </row>
    <row r="2127" spans="1:3" ht="12.75" x14ac:dyDescent="0.2">
      <c r="A2127" s="1" t="str">
        <f ca="1">IFERROR(__xludf.DUMMYFUNCTION("GOOGLETRANSLATE(C2093, ""en"", ""es"")"),"resolución")</f>
        <v>resolución</v>
      </c>
      <c r="B2127" s="1">
        <v>1</v>
      </c>
      <c r="C2127" s="1" t="s">
        <v>2091</v>
      </c>
    </row>
    <row r="2128" spans="1:3" ht="12.75" x14ac:dyDescent="0.2">
      <c r="A2128" s="1" t="str">
        <f ca="1">IFERROR(__xludf.DUMMYFUNCTION("GOOGLETRANSLATE(C2072, ""en"", ""es"")"),"resolver")</f>
        <v>resolver</v>
      </c>
      <c r="B2128" s="1">
        <v>2</v>
      </c>
      <c r="C2128" s="1" t="s">
        <v>2070</v>
      </c>
    </row>
    <row r="2129" spans="1:3" ht="12.75" x14ac:dyDescent="0.2">
      <c r="A2129" s="1" t="str">
        <f ca="1">IFERROR(__xludf.DUMMYFUNCTION("GOOGLETRANSLATE(C2074, ""en"", ""es"")"),"resolver")</f>
        <v>resolver</v>
      </c>
      <c r="B2129" s="1">
        <v>1</v>
      </c>
      <c r="C2129" s="1" t="s">
        <v>2072</v>
      </c>
    </row>
    <row r="2130" spans="1:3" ht="12.75" x14ac:dyDescent="0.2">
      <c r="A2130" s="1" t="str">
        <f ca="1">IFERROR(__xludf.DUMMYFUNCTION("GOOGLETRANSLATE(C917, ""en"", ""es"")"),"respaldado")</f>
        <v>respaldado</v>
      </c>
      <c r="B2130" s="1">
        <v>2</v>
      </c>
      <c r="C2130" s="1" t="s">
        <v>919</v>
      </c>
    </row>
    <row r="2131" spans="1:3" ht="12.75" x14ac:dyDescent="0.2">
      <c r="A2131" s="1" t="str">
        <f ca="1">IFERROR(__xludf.DUMMYFUNCTION("GOOGLETRANSLATE(C2076, ""en"", ""es"")"),"Respaldados")</f>
        <v>Respaldados</v>
      </c>
      <c r="B2131" s="1">
        <v>1</v>
      </c>
      <c r="C2131" s="1" t="s">
        <v>2074</v>
      </c>
    </row>
    <row r="2132" spans="1:3" ht="12.75" x14ac:dyDescent="0.2">
      <c r="A2132" s="1" t="str">
        <f ca="1">IFERROR(__xludf.DUMMYFUNCTION("GOOGLETRANSLATE(C2075, ""en"", ""es"")"),"respaldo")</f>
        <v>respaldo</v>
      </c>
      <c r="B2132" s="1">
        <v>2</v>
      </c>
      <c r="C2132" s="1" t="s">
        <v>2073</v>
      </c>
    </row>
    <row r="2133" spans="1:3" ht="12.75" x14ac:dyDescent="0.2">
      <c r="A2133" s="1" t="str">
        <f ca="1">IFERROR(__xludf.DUMMYFUNCTION("GOOGLETRANSLATE(C2077, ""en"", ""es"")"),"respetado")</f>
        <v>respetado</v>
      </c>
      <c r="B2133" s="1">
        <v>2</v>
      </c>
      <c r="C2133" s="1" t="s">
        <v>2075</v>
      </c>
    </row>
    <row r="2134" spans="1:3" ht="12.75" x14ac:dyDescent="0.2">
      <c r="A2134" s="1" t="str">
        <f ca="1">IFERROR(__xludf.DUMMYFUNCTION("GOOGLETRANSLATE(C2078, ""en"", ""es"")"),"responsable")</f>
        <v>responsable</v>
      </c>
      <c r="B2134" s="1">
        <v>2</v>
      </c>
      <c r="C2134" s="1" t="s">
        <v>2076</v>
      </c>
    </row>
    <row r="2135" spans="1:3" ht="12.75" x14ac:dyDescent="0.2">
      <c r="A2135" s="1" t="str">
        <f ca="1">IFERROR(__xludf.DUMMYFUNCTION("GOOGLETRANSLATE(C2079, ""en"", ""es"")"),"restauración")</f>
        <v>restauración</v>
      </c>
      <c r="B2135" s="1">
        <v>1</v>
      </c>
      <c r="C2135" s="1" t="s">
        <v>2077</v>
      </c>
    </row>
    <row r="2136" spans="1:3" ht="12.75" x14ac:dyDescent="0.2">
      <c r="A2136" s="1" t="str">
        <f ca="1">IFERROR(__xludf.DUMMYFUNCTION("GOOGLETRANSLATE(C2081, ""en"", ""es"")"),"restaurado")</f>
        <v>restaurado</v>
      </c>
      <c r="B2136" s="1">
        <v>1</v>
      </c>
      <c r="C2136" s="1" t="s">
        <v>2079</v>
      </c>
    </row>
    <row r="2137" spans="1:3" ht="12.75" x14ac:dyDescent="0.2">
      <c r="A2137" s="1" t="str">
        <f ca="1">IFERROR(__xludf.DUMMYFUNCTION("GOOGLETRANSLATE(C2080, ""en"", ""es"")"),"restaurantes")</f>
        <v>restaurantes</v>
      </c>
      <c r="B2137" s="1">
        <v>1</v>
      </c>
      <c r="C2137" s="1" t="s">
        <v>2078</v>
      </c>
    </row>
    <row r="2138" spans="1:3" ht="12.75" x14ac:dyDescent="0.2">
      <c r="A2138" s="1" t="str">
        <f ca="1">IFERROR(__xludf.DUMMYFUNCTION("GOOGLETRANSLATE(C2082, ""en"", ""es"")"),"restaurar")</f>
        <v>restaurar</v>
      </c>
      <c r="B2138" s="1">
        <v>1</v>
      </c>
      <c r="C2138" s="1" t="s">
        <v>2080</v>
      </c>
    </row>
    <row r="2139" spans="1:3" ht="12.75" x14ac:dyDescent="0.2">
      <c r="A2139" s="1" t="str">
        <f ca="1">IFERROR(__xludf.DUMMYFUNCTION("GOOGLETRANSLATE(C2083, ""en"", ""es"")"),"restos")</f>
        <v>restos</v>
      </c>
      <c r="B2139" s="1">
        <v>-2</v>
      </c>
      <c r="C2139" s="1" t="s">
        <v>2081</v>
      </c>
    </row>
    <row r="2140" spans="1:3" ht="12.75" x14ac:dyDescent="0.2">
      <c r="A2140" s="1" t="str">
        <f ca="1">IFERROR(__xludf.DUMMYFUNCTION("GOOGLETRANSLATE(C2084, ""en"", ""es"")"),"restricción")</f>
        <v>restricción</v>
      </c>
      <c r="B2140" s="1">
        <v>-2</v>
      </c>
      <c r="C2140" s="1" t="s">
        <v>2082</v>
      </c>
    </row>
    <row r="2141" spans="1:3" ht="12.75" x14ac:dyDescent="0.2">
      <c r="A2141" s="1" t="str">
        <f ca="1">IFERROR(__xludf.DUMMYFUNCTION("GOOGLETRANSLATE(C2085, ""en"", ""es"")"),"restringe")</f>
        <v>restringe</v>
      </c>
      <c r="B2141" s="1">
        <v>-2</v>
      </c>
      <c r="C2141" s="1" t="s">
        <v>2083</v>
      </c>
    </row>
    <row r="2142" spans="1:3" ht="12.75" x14ac:dyDescent="0.2">
      <c r="A2142" s="1" t="str">
        <f ca="1">IFERROR(__xludf.DUMMYFUNCTION("GOOGLETRANSLATE(C2086, ""en"", ""es"")"),"restringido")</f>
        <v>restringido</v>
      </c>
      <c r="B2142" s="1">
        <v>-2</v>
      </c>
      <c r="C2142" s="1" t="s">
        <v>2084</v>
      </c>
    </row>
    <row r="2143" spans="1:3" ht="12.75" x14ac:dyDescent="0.2">
      <c r="A2143" s="1" t="str">
        <f ca="1">IFERROR(__xludf.DUMMYFUNCTION("GOOGLETRANSLATE(C2087, ""en"", ""es"")"),"restringido")</f>
        <v>restringido</v>
      </c>
      <c r="B2143" s="1">
        <v>-2</v>
      </c>
      <c r="C2143" s="1" t="s">
        <v>2085</v>
      </c>
    </row>
    <row r="2144" spans="1:3" ht="12.75" x14ac:dyDescent="0.2">
      <c r="A2144" s="1" t="str">
        <f ca="1">IFERROR(__xludf.DUMMYFUNCTION("GOOGLETRANSLATE(C2088, ""en"", ""es"")"),"restringir")</f>
        <v>restringir</v>
      </c>
      <c r="B2144" s="1">
        <v>-2</v>
      </c>
      <c r="C2144" s="1" t="s">
        <v>2086</v>
      </c>
    </row>
    <row r="2145" spans="1:3" ht="12.75" x14ac:dyDescent="0.2">
      <c r="A2145" s="1" t="str">
        <f ca="1">IFERROR(__xludf.DUMMYFUNCTION("GOOGLETRANSLATE(C2089, ""en"", ""es"")"),"resuelto")</f>
        <v>resuelto</v>
      </c>
      <c r="B2145" s="1">
        <v>2</v>
      </c>
      <c r="C2145" s="1" t="s">
        <v>2087</v>
      </c>
    </row>
    <row r="2146" spans="1:3" ht="12.75" x14ac:dyDescent="0.2">
      <c r="A2146" s="1" t="str">
        <f ca="1">IFERROR(__xludf.DUMMYFUNCTION("GOOGLETRANSLATE(C2090, ""en"", ""es"")"),"resuelto")</f>
        <v>resuelto</v>
      </c>
      <c r="B2146" s="1">
        <v>2</v>
      </c>
      <c r="C2146" s="1" t="s">
        <v>2088</v>
      </c>
    </row>
    <row r="2147" spans="1:3" ht="12.75" x14ac:dyDescent="0.2">
      <c r="A2147" s="1" t="str">
        <f ca="1">IFERROR(__xludf.DUMMYFUNCTION("GOOGLETRANSLATE(C2091, ""en"", ""es"")"),"resuelto")</f>
        <v>resuelto</v>
      </c>
      <c r="B2147" s="1">
        <v>1</v>
      </c>
      <c r="C2147" s="1" t="s">
        <v>2089</v>
      </c>
    </row>
    <row r="2148" spans="1:3" ht="12.75" x14ac:dyDescent="0.2">
      <c r="A2148" s="1" t="str">
        <f ca="1">IFERROR(__xludf.DUMMYFUNCTION("GOOGLETRANSLATE(C2094, ""en"", ""es"")"),"retardar")</f>
        <v>retardar</v>
      </c>
      <c r="B2148" s="1">
        <v>-2</v>
      </c>
      <c r="C2148" s="1" t="s">
        <v>2092</v>
      </c>
    </row>
    <row r="2149" spans="1:3" ht="12.75" x14ac:dyDescent="0.2">
      <c r="A2149" s="1" t="str">
        <f ca="1">IFERROR(__xludf.DUMMYFUNCTION("GOOGLETRANSLATE(C2095, ""en"", ""es"")"),"retenido")</f>
        <v>retenido</v>
      </c>
      <c r="B2149" s="1">
        <v>-1</v>
      </c>
      <c r="C2149" s="1" t="s">
        <v>2093</v>
      </c>
    </row>
    <row r="2150" spans="1:3" ht="12.75" x14ac:dyDescent="0.2">
      <c r="A2150" s="1" t="str">
        <f ca="1">IFERROR(__xludf.DUMMYFUNCTION("GOOGLETRANSLATE(C2096, ""en"", ""es"")"),"retirada")</f>
        <v>retirada</v>
      </c>
      <c r="B2150" s="1">
        <v>-1</v>
      </c>
      <c r="C2150" s="1" t="s">
        <v>2094</v>
      </c>
    </row>
    <row r="2151" spans="1:3" ht="12.75" x14ac:dyDescent="0.2">
      <c r="A2151" s="1" t="str">
        <f ca="1">IFERROR(__xludf.DUMMYFUNCTION("GOOGLETRANSLATE(C2098, ""en"", ""es"")"),"retiro")</f>
        <v>retiro</v>
      </c>
      <c r="B2151" s="1">
        <v>-3</v>
      </c>
      <c r="C2151" s="1" t="s">
        <v>2096</v>
      </c>
    </row>
    <row r="2152" spans="1:3" ht="12.75" x14ac:dyDescent="0.2">
      <c r="A2152" s="1" t="str">
        <f ca="1">IFERROR(__xludf.DUMMYFUNCTION("GOOGLETRANSLATE(C2100, ""en"", ""es"")"),"retozón")</f>
        <v>retozón</v>
      </c>
      <c r="B2152" s="1">
        <v>2</v>
      </c>
      <c r="C2152" s="1" t="s">
        <v>2098</v>
      </c>
    </row>
    <row r="2153" spans="1:3" ht="12.75" x14ac:dyDescent="0.2">
      <c r="A2153" s="1" t="str">
        <f ca="1">IFERROR(__xludf.DUMMYFUNCTION("GOOGLETRANSLATE(C1535, ""en"", ""es"")"),"retrasado")</f>
        <v>retrasado</v>
      </c>
      <c r="B2153" s="1">
        <v>-2</v>
      </c>
      <c r="C2153" s="1" t="s">
        <v>1534</v>
      </c>
    </row>
    <row r="2154" spans="1:3" ht="12.75" x14ac:dyDescent="0.2">
      <c r="A2154" s="1" t="str">
        <f ca="1">IFERROR(__xludf.DUMMYFUNCTION("GOOGLETRANSLATE(C2101, ""en"", ""es"")"),"retrasado")</f>
        <v>retrasado</v>
      </c>
      <c r="B2154" s="1">
        <v>-1</v>
      </c>
      <c r="C2154" s="1" t="s">
        <v>2099</v>
      </c>
    </row>
    <row r="2155" spans="1:3" ht="12.75" x14ac:dyDescent="0.2">
      <c r="A2155" s="1" t="str">
        <f ca="1">IFERROR(__xludf.DUMMYFUNCTION("GOOGLETRANSLATE(C2102, ""en"", ""es"")"),"retrasado")</f>
        <v>retrasado</v>
      </c>
      <c r="B2155" s="1">
        <v>-2</v>
      </c>
      <c r="C2155" s="1" t="s">
        <v>2100</v>
      </c>
    </row>
    <row r="2156" spans="1:3" ht="12.75" x14ac:dyDescent="0.2">
      <c r="A2156" s="1" t="str">
        <f ca="1">IFERROR(__xludf.DUMMYFUNCTION("GOOGLETRANSLATE(C755, ""en"", ""es"")"),"retraso")</f>
        <v>retraso</v>
      </c>
      <c r="B2156" s="1">
        <v>-2</v>
      </c>
      <c r="C2156" s="1" t="s">
        <v>755</v>
      </c>
    </row>
    <row r="2157" spans="1:3" ht="12.75" x14ac:dyDescent="0.2">
      <c r="A2157" s="1" t="str">
        <f ca="1">IFERROR(__xludf.DUMMYFUNCTION("GOOGLETRANSLATE(C2104, ""en"", ""es"")"),"retraso")</f>
        <v>retraso</v>
      </c>
      <c r="B2157" s="1">
        <v>-1</v>
      </c>
      <c r="C2157" s="1" t="s">
        <v>2102</v>
      </c>
    </row>
    <row r="2158" spans="1:3" ht="12.75" x14ac:dyDescent="0.2">
      <c r="A2158" s="1" t="s">
        <v>2492</v>
      </c>
      <c r="B2158" s="1">
        <v>1</v>
      </c>
      <c r="C2158" s="1" t="s">
        <v>2494</v>
      </c>
    </row>
    <row r="2159" spans="1:3" ht="12.75" x14ac:dyDescent="0.2">
      <c r="A2159" s="1" t="str">
        <f ca="1">IFERROR(__xludf.DUMMYFUNCTION("GOOGLETRANSLATE(C2105, ""en"", ""es"")"),"revendedor")</f>
        <v>revendedor</v>
      </c>
      <c r="B2159" s="1">
        <v>-2</v>
      </c>
      <c r="C2159" s="1" t="s">
        <v>2103</v>
      </c>
    </row>
    <row r="2160" spans="1:3" ht="12.75" x14ac:dyDescent="0.2">
      <c r="A2160" s="1" t="str">
        <f ca="1">IFERROR(__xludf.DUMMYFUNCTION("GOOGLETRANSLATE(C2108, ""en"", ""es"")"),"revivir")</f>
        <v>revivir</v>
      </c>
      <c r="B2160" s="1">
        <v>2</v>
      </c>
      <c r="C2160" s="1" t="s">
        <v>2106</v>
      </c>
    </row>
    <row r="2161" spans="1:3" ht="12.75" x14ac:dyDescent="0.2">
      <c r="A2161" s="1" t="str">
        <f ca="1">IFERROR(__xludf.DUMMYFUNCTION("GOOGLETRANSLATE(C1823, ""en"", ""es"")"),"reza")</f>
        <v>reza</v>
      </c>
      <c r="B2161" s="1">
        <v>1</v>
      </c>
      <c r="C2161" s="1" t="s">
        <v>1821</v>
      </c>
    </row>
    <row r="2162" spans="1:3" ht="12.75" x14ac:dyDescent="0.2">
      <c r="A2162" s="1" t="str">
        <f ca="1">IFERROR(__xludf.DUMMYFUNCTION("GOOGLETRANSLATE(C2109, ""en"", ""es"")"),"rezagado")</f>
        <v>rezagado</v>
      </c>
      <c r="B2162" s="1">
        <v>-2</v>
      </c>
      <c r="C2162" s="1" t="s">
        <v>2107</v>
      </c>
    </row>
    <row r="2163" spans="1:3" ht="12.75" x14ac:dyDescent="0.2">
      <c r="A2163" s="1" t="str">
        <f ca="1">IFERROR(__xludf.DUMMYFUNCTION("GOOGLETRANSLATE(C2111, ""en"", ""es"")"),"rico")</f>
        <v>rico</v>
      </c>
      <c r="B2163" s="1">
        <v>2</v>
      </c>
      <c r="C2163" s="1" t="s">
        <v>2109</v>
      </c>
    </row>
    <row r="2164" spans="1:3" ht="12.75" x14ac:dyDescent="0.2">
      <c r="A2164" s="1" t="str">
        <f ca="1">IFERROR(__xludf.DUMMYFUNCTION("GOOGLETRANSLATE(C2114, ""en"", ""es"")"),"ridiculizado")</f>
        <v>ridiculizado</v>
      </c>
      <c r="B2164" s="1">
        <v>-2</v>
      </c>
      <c r="C2164" s="1" t="s">
        <v>2112</v>
      </c>
    </row>
    <row r="2165" spans="1:3" ht="12.75" x14ac:dyDescent="0.2">
      <c r="A2165" s="1" t="str">
        <f ca="1">IFERROR(__xludf.DUMMYFUNCTION("GOOGLETRANSLATE(C2115, ""en"", ""es"")"),"ridiculizar")</f>
        <v>ridiculizar</v>
      </c>
      <c r="B2165" s="1">
        <v>-2</v>
      </c>
      <c r="C2165" s="1" t="s">
        <v>2113</v>
      </c>
    </row>
    <row r="2166" spans="1:3" ht="12.75" x14ac:dyDescent="0.2">
      <c r="A2166" s="1" t="str">
        <f ca="1">IFERROR(__xludf.DUMMYFUNCTION("GOOGLETRANSLATE(C2116, ""en"", ""es"")"),"ridículo")</f>
        <v>ridículo</v>
      </c>
      <c r="B2166" s="1">
        <v>-3</v>
      </c>
      <c r="C2166" s="1" t="s">
        <v>2114</v>
      </c>
    </row>
    <row r="2167" spans="1:3" ht="12.75" x14ac:dyDescent="0.2">
      <c r="A2167" s="1" t="str">
        <f ca="1">IFERROR(__xludf.DUMMYFUNCTION("GOOGLETRANSLATE(C2117, ""en"", ""es"")"),"riesgo")</f>
        <v>riesgo</v>
      </c>
      <c r="B2167" s="1">
        <v>-2</v>
      </c>
      <c r="C2167" s="1" t="s">
        <v>2115</v>
      </c>
    </row>
    <row r="2168" spans="1:3" ht="12.75" x14ac:dyDescent="0.2">
      <c r="A2168" s="1" t="str">
        <f ca="1">IFERROR(__xludf.DUMMYFUNCTION("GOOGLETRANSLATE(C2118, ""en"", ""es"")"),"riesgos")</f>
        <v>riesgos</v>
      </c>
      <c r="B2168" s="1">
        <v>-2</v>
      </c>
      <c r="C2168" s="1" t="s">
        <v>2116</v>
      </c>
    </row>
    <row r="2169" spans="1:3" ht="12.75" x14ac:dyDescent="0.2">
      <c r="A2169" s="1" t="str">
        <f ca="1">IFERROR(__xludf.DUMMYFUNCTION("GOOGLETRANSLATE(C2119, ""en"", ""es"")"),"rigurosamente")</f>
        <v>rigurosamente</v>
      </c>
      <c r="B2169" s="1">
        <v>3</v>
      </c>
      <c r="C2169" s="1" t="s">
        <v>2117</v>
      </c>
    </row>
    <row r="2170" spans="1:3" ht="12.75" x14ac:dyDescent="0.2">
      <c r="A2170" s="1" t="str">
        <f ca="1">IFERROR(__xludf.DUMMYFUNCTION("GOOGLETRANSLATE(C2120, ""en"", ""es"")"),"riguroso")</f>
        <v>riguroso</v>
      </c>
      <c r="B2170" s="1">
        <v>3</v>
      </c>
      <c r="C2170" s="1" t="s">
        <v>2118</v>
      </c>
    </row>
    <row r="2171" spans="1:3" ht="12.75" x14ac:dyDescent="0.2">
      <c r="A2171" s="1" t="str">
        <f ca="1">IFERROR(__xludf.DUMMYFUNCTION("GOOGLETRANSLATE(C2121, ""en"", ""es"")"),"riqueza")</f>
        <v>riqueza</v>
      </c>
      <c r="B2171" s="1">
        <v>3</v>
      </c>
      <c r="C2171" s="1" t="s">
        <v>2119</v>
      </c>
    </row>
    <row r="2172" spans="1:3" ht="12.75" x14ac:dyDescent="0.2">
      <c r="A2172" s="1" t="str">
        <f ca="1">IFERROR(__xludf.DUMMYFUNCTION("GOOGLETRANSLATE(C2123, ""en"", ""es"")"),"risa")</f>
        <v>risa</v>
      </c>
      <c r="B2172" s="1">
        <v>1</v>
      </c>
      <c r="C2172" s="1" t="s">
        <v>2121</v>
      </c>
    </row>
    <row r="2173" spans="1:3" ht="12.75" x14ac:dyDescent="0.2">
      <c r="A2173" s="1" t="str">
        <f ca="1">IFERROR(__xludf.DUMMYFUNCTION("GOOGLETRANSLATE(C2124, ""en"", ""es"")"),"risas")</f>
        <v>risas</v>
      </c>
      <c r="B2173" s="1">
        <v>1</v>
      </c>
      <c r="C2173" s="1" t="s">
        <v>2122</v>
      </c>
    </row>
    <row r="2174" spans="1:3" ht="12.75" x14ac:dyDescent="0.2">
      <c r="A2174" s="1" t="str">
        <f ca="1">IFERROR(__xludf.DUMMYFUNCTION("GOOGLETRANSLATE(C2125, ""en"", ""es"")"),"robado")</f>
        <v>robado</v>
      </c>
      <c r="B2174" s="1">
        <v>-2</v>
      </c>
      <c r="C2174" s="1" t="s">
        <v>2123</v>
      </c>
    </row>
    <row r="2175" spans="1:3" ht="12.75" x14ac:dyDescent="0.2">
      <c r="A2175" s="1" t="str">
        <f ca="1">IFERROR(__xludf.DUMMYFUNCTION("GOOGLETRANSLATE(C2126, ""en"", ""es"")"),"robar")</f>
        <v>robar</v>
      </c>
      <c r="B2175" s="1">
        <v>-2</v>
      </c>
      <c r="C2175" s="1" t="s">
        <v>2124</v>
      </c>
    </row>
    <row r="2176" spans="1:3" ht="12.75" x14ac:dyDescent="0.2">
      <c r="A2176" s="1" t="str">
        <f ca="1">IFERROR(__xludf.DUMMYFUNCTION("GOOGLETRANSLATE(C2127, ""en"", ""es"")"),"robar")</f>
        <v>robar</v>
      </c>
      <c r="B2176" s="1">
        <v>-2</v>
      </c>
      <c r="C2176" s="1" t="s">
        <v>2125</v>
      </c>
    </row>
    <row r="2177" spans="1:3" ht="12.75" x14ac:dyDescent="0.2">
      <c r="A2177" s="1" t="str">
        <f ca="1">IFERROR(__xludf.DUMMYFUNCTION("GOOGLETRANSLATE(C2129, ""en"", ""es"")"),"robo")</f>
        <v>robo</v>
      </c>
      <c r="B2177" s="1">
        <v>-2</v>
      </c>
      <c r="C2177" s="1" t="s">
        <v>2127</v>
      </c>
    </row>
    <row r="2178" spans="1:3" ht="12.75" x14ac:dyDescent="0.2">
      <c r="A2178" s="1" t="str">
        <f ca="1">IFERROR(__xludf.DUMMYFUNCTION("GOOGLETRANSLATE(C2130, ""en"", ""es"")"),"robo")</f>
        <v>robo</v>
      </c>
      <c r="B2178" s="1">
        <v>-2</v>
      </c>
      <c r="C2178" s="1" t="s">
        <v>2128</v>
      </c>
    </row>
    <row r="2179" spans="1:3" ht="12.75" x14ac:dyDescent="0.2">
      <c r="A2179" s="1" t="str">
        <f ca="1">IFERROR(__xludf.DUMMYFUNCTION("GOOGLETRANSLATE(C2131, ""en"", ""es"")"),"robusto")</f>
        <v>robusto</v>
      </c>
      <c r="B2179" s="1">
        <v>2</v>
      </c>
      <c r="C2179" s="1" t="s">
        <v>2129</v>
      </c>
    </row>
    <row r="2180" spans="1:3" ht="12.75" x14ac:dyDescent="0.2">
      <c r="A2180" s="1" t="str">
        <f ca="1">IFERROR(__xludf.DUMMYFUNCTION("GOOGLETRANSLATE(C2132, ""en"", ""es"")"),"rofl")</f>
        <v>rofl</v>
      </c>
      <c r="B2180" s="1">
        <v>4</v>
      </c>
      <c r="C2180" s="1" t="s">
        <v>2130</v>
      </c>
    </row>
    <row r="2181" spans="1:3" ht="12.75" x14ac:dyDescent="0.2">
      <c r="A2181" s="1" t="str">
        <f ca="1">IFERROR(__xludf.DUMMYFUNCTION("GOOGLETRANSLATE(C2133, ""en"", ""es"")"),"roflcopter")</f>
        <v>roflcopter</v>
      </c>
      <c r="B2181" s="1">
        <v>4</v>
      </c>
      <c r="C2181" s="1" t="s">
        <v>2131</v>
      </c>
    </row>
    <row r="2182" spans="1:3" ht="12.75" x14ac:dyDescent="0.2">
      <c r="A2182" s="1" t="str">
        <f ca="1">IFERROR(__xludf.DUMMYFUNCTION("GOOGLETRANSLATE(C2134, ""en"", ""es"")"),"roflmao")</f>
        <v>roflmao</v>
      </c>
      <c r="B2182" s="1">
        <v>4</v>
      </c>
      <c r="C2182" s="1" t="s">
        <v>2132</v>
      </c>
    </row>
    <row r="2183" spans="1:3" ht="12.75" x14ac:dyDescent="0.2">
      <c r="A2183" s="1" t="str">
        <f ca="1">IFERROR(__xludf.DUMMYFUNCTION("GOOGLETRANSLATE(C2135, ""en"", ""es"")"),"romance")</f>
        <v>romance</v>
      </c>
      <c r="B2183" s="1">
        <v>2</v>
      </c>
      <c r="C2183" s="1" t="s">
        <v>2133</v>
      </c>
    </row>
    <row r="2184" spans="1:3" ht="12.75" x14ac:dyDescent="0.2">
      <c r="A2184" s="1" t="str">
        <f ca="1">IFERROR(__xludf.DUMMYFUNCTION("GOOGLETRANSLATE(C2137, ""en"", ""es"")"),"rotación")</f>
        <v>rotación</v>
      </c>
      <c r="B2184" s="1">
        <v>4</v>
      </c>
      <c r="C2184" s="1" t="s">
        <v>2135</v>
      </c>
    </row>
    <row r="2185" spans="1:3" ht="12.75" x14ac:dyDescent="0.2">
      <c r="A2185" s="1" t="str">
        <f ca="1">IFERROR(__xludf.DUMMYFUNCTION("GOOGLETRANSLATE(C2138, ""en"", ""es"")"),"rotflmfao")</f>
        <v>rotflmfao</v>
      </c>
      <c r="B2185" s="1">
        <v>4</v>
      </c>
      <c r="C2185" s="1" t="s">
        <v>2136</v>
      </c>
    </row>
    <row r="2186" spans="1:3" ht="12.75" x14ac:dyDescent="0.2">
      <c r="A2186" s="1" t="str">
        <f ca="1">IFERROR(__xludf.DUMMYFUNCTION("GOOGLETRANSLATE(C2139, ""en"", ""es"")"),"rotflol")</f>
        <v>rotflol</v>
      </c>
      <c r="B2186" s="1">
        <v>4</v>
      </c>
      <c r="C2186" s="1" t="s">
        <v>2137</v>
      </c>
    </row>
    <row r="2187" spans="1:3" ht="12.75" x14ac:dyDescent="0.2">
      <c r="A2187" s="1" t="str">
        <f ca="1">IFERROR(__xludf.DUMMYFUNCTION("GOOGLETRANSLATE(C2140, ""en"", ""es"")"),"roto")</f>
        <v>roto</v>
      </c>
      <c r="B2187" s="1">
        <v>-1</v>
      </c>
      <c r="C2187" s="1" t="s">
        <v>2138</v>
      </c>
    </row>
    <row r="2188" spans="1:3" ht="12.75" x14ac:dyDescent="0.2">
      <c r="A2188" s="1" t="str">
        <f ca="1">IFERROR(__xludf.DUMMYFUNCTION("GOOGLETRANSLATE(C2142, ""en"", ""es"")"),"ruidoso")</f>
        <v>ruidoso</v>
      </c>
      <c r="B2188" s="1">
        <v>-1</v>
      </c>
      <c r="C2188" s="1" t="s">
        <v>2140</v>
      </c>
    </row>
    <row r="2189" spans="1:3" ht="12.75" x14ac:dyDescent="0.2">
      <c r="A2189" s="1" t="str">
        <f ca="1">IFERROR(__xludf.DUMMYFUNCTION("GOOGLETRANSLATE(C262, ""en"", ""es"")"),"ruina")</f>
        <v>ruina</v>
      </c>
      <c r="B2189" s="1">
        <v>-2</v>
      </c>
      <c r="C2189" s="1" t="s">
        <v>262</v>
      </c>
    </row>
    <row r="2190" spans="1:3" ht="12.75" x14ac:dyDescent="0.2">
      <c r="A2190" s="1" t="str">
        <f ca="1">IFERROR(__xludf.DUMMYFUNCTION("GOOGLETRANSLATE(C2143, ""en"", ""es"")"),"ruina")</f>
        <v>ruina</v>
      </c>
      <c r="B2190" s="1">
        <v>-2</v>
      </c>
      <c r="C2190" s="1" t="s">
        <v>2141</v>
      </c>
    </row>
    <row r="2191" spans="1:3" ht="12.75" x14ac:dyDescent="0.2">
      <c r="A2191" s="1" t="str">
        <f ca="1">IFERROR(__xludf.DUMMYFUNCTION("GOOGLETRANSLATE(C2145, ""en"", ""es"")"),"ruptura")</f>
        <v>ruptura</v>
      </c>
      <c r="B2191" s="1">
        <v>-2</v>
      </c>
      <c r="C2191" s="1" t="s">
        <v>2143</v>
      </c>
    </row>
    <row r="2192" spans="1:3" ht="12.75" x14ac:dyDescent="0.2">
      <c r="A2192" s="1" t="str">
        <f ca="1">IFERROR(__xludf.DUMMYFUNCTION("GOOGLETRANSLATE(C2146, ""en"", ""es"")"),"sabor")</f>
        <v>sabor</v>
      </c>
      <c r="B2192" s="1">
        <v>2</v>
      </c>
      <c r="C2192" s="1" t="s">
        <v>2144</v>
      </c>
    </row>
    <row r="2193" spans="1:3" ht="12.75" x14ac:dyDescent="0.2">
      <c r="A2193" s="1" t="str">
        <f ca="1">IFERROR(__xludf.DUMMYFUNCTION("GOOGLETRANSLATE(C2147, ""en"", ""es"")"),"sabotaje")</f>
        <v>sabotaje</v>
      </c>
      <c r="B2193" s="1">
        <v>-2</v>
      </c>
      <c r="C2193" s="1" t="s">
        <v>2145</v>
      </c>
    </row>
    <row r="2194" spans="1:3" ht="12.75" x14ac:dyDescent="0.2">
      <c r="A2194" s="1" t="str">
        <f ca="1">IFERROR(__xludf.DUMMYFUNCTION("GOOGLETRANSLATE(C2149, ""en"", ""es"")"),"saliente")</f>
        <v>saliente</v>
      </c>
      <c r="B2194" s="1">
        <v>1</v>
      </c>
      <c r="C2194" s="1" t="s">
        <v>2147</v>
      </c>
    </row>
    <row r="2195" spans="1:3" ht="12.75" x14ac:dyDescent="0.2">
      <c r="A2195" s="1" t="str">
        <f ca="1">IFERROR(__xludf.DUMMYFUNCTION("GOOGLETRANSLATE(C669, ""en"", ""es"")"),"salir")</f>
        <v>salir</v>
      </c>
      <c r="B2195" s="1">
        <v>-1</v>
      </c>
      <c r="C2195" s="1" t="s">
        <v>669</v>
      </c>
    </row>
    <row r="2196" spans="1:3" ht="12.75" x14ac:dyDescent="0.2">
      <c r="A2196" s="1" t="str">
        <f ca="1">IFERROR(__xludf.DUMMYFUNCTION("GOOGLETRANSLATE(C2097, ""en"", ""es"")"),"salir")</f>
        <v>salir</v>
      </c>
      <c r="B2196" s="1">
        <v>-2</v>
      </c>
      <c r="C2196" s="1" t="s">
        <v>2095</v>
      </c>
    </row>
    <row r="2197" spans="1:3" ht="12.75" x14ac:dyDescent="0.2">
      <c r="A2197" s="1" t="str">
        <f ca="1">IFERROR(__xludf.DUMMYFUNCTION("GOOGLETRANSLATE(C44, ""en"", ""es"")"),"salud")</f>
        <v>salud</v>
      </c>
      <c r="B2197" s="1">
        <v>2</v>
      </c>
      <c r="C2197" s="1" t="s">
        <v>44</v>
      </c>
    </row>
    <row r="2198" spans="1:3" ht="12.75" x14ac:dyDescent="0.2">
      <c r="A2198" s="1" t="str">
        <f ca="1">IFERROR(__xludf.DUMMYFUNCTION("GOOGLETRANSLATE(C2112, ""en"", ""es"")"),"saludable")</f>
        <v>saludable</v>
      </c>
      <c r="B2198" s="1">
        <v>2</v>
      </c>
      <c r="C2198" s="1" t="s">
        <v>2110</v>
      </c>
    </row>
    <row r="2199" spans="1:3" ht="12.75" x14ac:dyDescent="0.2">
      <c r="A2199" s="1" t="str">
        <f ca="1">IFERROR(__xludf.DUMMYFUNCTION("GOOGLETRANSLATE(C2152, ""en"", ""es"")"),"saludado")</f>
        <v>saludado</v>
      </c>
      <c r="B2199" s="1">
        <v>1</v>
      </c>
      <c r="C2199" s="1" t="s">
        <v>2150</v>
      </c>
    </row>
    <row r="2200" spans="1:3" ht="12.75" x14ac:dyDescent="0.2">
      <c r="A2200" s="1" t="str">
        <f ca="1">IFERROR(__xludf.DUMMYFUNCTION("GOOGLETRANSLATE(C2153, ""en"", ""es"")"),"saludar")</f>
        <v>saludar</v>
      </c>
      <c r="B2200" s="1">
        <v>1</v>
      </c>
      <c r="C2200" s="1" t="s">
        <v>2151</v>
      </c>
    </row>
    <row r="2201" spans="1:3" ht="12.75" x14ac:dyDescent="0.2">
      <c r="A2201" s="1" t="str">
        <f ca="1">IFERROR(__xludf.DUMMYFUNCTION("GOOGLETRANSLATE(C2150, ""en"", ""es"")"),"saludo")</f>
        <v>saludo</v>
      </c>
      <c r="B2201" s="1">
        <v>1</v>
      </c>
      <c r="C2201" s="1" t="s">
        <v>2148</v>
      </c>
    </row>
    <row r="2202" spans="1:3" ht="12.75" x14ac:dyDescent="0.2">
      <c r="A2202" s="1" t="str">
        <f ca="1">IFERROR(__xludf.DUMMYFUNCTION("GOOGLETRANSLATE(C2154, ""en"", ""es"")"),"saludo")</f>
        <v>saludo</v>
      </c>
      <c r="B2202" s="1">
        <v>1</v>
      </c>
      <c r="C2202" s="1" t="s">
        <v>2152</v>
      </c>
    </row>
    <row r="2203" spans="1:3" ht="12.75" x14ac:dyDescent="0.2">
      <c r="A2203" s="1" t="str">
        <f ca="1">IFERROR(__xludf.DUMMYFUNCTION("GOOGLETRANSLATE(C2155, ""en"", ""es"")"),"saludos")</f>
        <v>saludos</v>
      </c>
      <c r="B2203" s="1">
        <v>2</v>
      </c>
      <c r="C2203" s="1" t="s">
        <v>2153</v>
      </c>
    </row>
    <row r="2204" spans="1:3" ht="12.75" x14ac:dyDescent="0.2">
      <c r="A2204" s="1" t="str">
        <f ca="1">IFERROR(__xludf.DUMMYFUNCTION("GOOGLETRANSLATE(C2156, ""en"", ""es"")"),"salvado")</f>
        <v>salvado</v>
      </c>
      <c r="B2204" s="1">
        <v>2</v>
      </c>
      <c r="C2204" s="1" t="s">
        <v>2154</v>
      </c>
    </row>
    <row r="2205" spans="1:3" ht="12.75" x14ac:dyDescent="0.2">
      <c r="A2205" s="1" t="str">
        <f ca="1">IFERROR(__xludf.DUMMYFUNCTION("GOOGLETRANSLATE(C2157, ""en"", ""es"")"),"salvador de la vida")</f>
        <v>salvador de la vida</v>
      </c>
      <c r="B2205" s="1">
        <v>4</v>
      </c>
      <c r="C2205" s="1" t="s">
        <v>2155</v>
      </c>
    </row>
    <row r="2206" spans="1:3" ht="12.75" x14ac:dyDescent="0.2">
      <c r="A2206" s="1" t="str">
        <f ca="1">IFERROR(__xludf.DUMMYFUNCTION("GOOGLETRANSLATE(C2159, ""en"", ""es"")"),"sangriento")</f>
        <v>sangriento</v>
      </c>
      <c r="B2206" s="1">
        <v>-3</v>
      </c>
      <c r="C2206" s="1" t="s">
        <v>2157</v>
      </c>
    </row>
    <row r="2207" spans="1:3" ht="12.75" x14ac:dyDescent="0.2">
      <c r="A2207" s="1" t="str">
        <f ca="1">IFERROR(__xludf.DUMMYFUNCTION("GOOGLETRANSLATE(C2151, ""en"", ""es"")"),"sano")</f>
        <v>sano</v>
      </c>
      <c r="B2207" s="1">
        <v>2</v>
      </c>
      <c r="C2207" s="1" t="s">
        <v>2149</v>
      </c>
    </row>
    <row r="2208" spans="1:3" ht="12.75" x14ac:dyDescent="0.2">
      <c r="A2208" s="1" t="str">
        <f ca="1">IFERROR(__xludf.DUMMYFUNCTION("GOOGLETRANSLATE(C2160, ""en"", ""es"")"),"sarcástico")</f>
        <v>sarcástico</v>
      </c>
      <c r="B2208" s="1">
        <v>-2</v>
      </c>
      <c r="C2208" s="1" t="s">
        <v>2158</v>
      </c>
    </row>
    <row r="2209" spans="1:3" ht="12.75" x14ac:dyDescent="0.2">
      <c r="A2209" s="1" t="str">
        <f ca="1">IFERROR(__xludf.DUMMYFUNCTION("GOOGLETRANSLATE(C2161, ""en"", ""es"")"),"satisfecho")</f>
        <v>satisfecho</v>
      </c>
      <c r="B2209" s="1">
        <v>3</v>
      </c>
      <c r="C2209" s="1" t="s">
        <v>2159</v>
      </c>
    </row>
    <row r="2210" spans="1:3" ht="12.75" x14ac:dyDescent="0.2">
      <c r="A2210" s="1" t="str">
        <f ca="1">IFERROR(__xludf.DUMMYFUNCTION("GOOGLETRANSLATE(C2162, ""en"", ""es"")"),"satisfecho")</f>
        <v>satisfecho</v>
      </c>
      <c r="B2210" s="1">
        <v>2</v>
      </c>
      <c r="C2210" s="1" t="s">
        <v>2160</v>
      </c>
    </row>
    <row r="2211" spans="1:3" ht="12.75" x14ac:dyDescent="0.2">
      <c r="A2211" s="1" t="str">
        <f ca="1">IFERROR(__xludf.DUMMYFUNCTION("GOOGLETRANSLATE(C2169, ""en"", ""es"")"),"se esconde")</f>
        <v>se esconde</v>
      </c>
      <c r="B2211" s="1">
        <v>-1</v>
      </c>
      <c r="C2211" s="1" t="s">
        <v>2167</v>
      </c>
    </row>
    <row r="2212" spans="1:3" ht="12.75" x14ac:dyDescent="0.2">
      <c r="A2212" s="1" t="str">
        <f ca="1">IFERROR(__xludf.DUMMYFUNCTION("GOOGLETRANSLATE(C1093, ""en"", ""es"")"),"se expande")</f>
        <v>se expande</v>
      </c>
      <c r="B2212" s="1">
        <v>1</v>
      </c>
      <c r="C2212" s="1" t="s">
        <v>1095</v>
      </c>
    </row>
    <row r="2213" spans="1:3" ht="12.75" x14ac:dyDescent="0.2">
      <c r="A2213" s="1" t="str">
        <f ca="1">IFERROR(__xludf.DUMMYFUNCTION("GOOGLETRANSLATE(C2173, ""en"", ""es"")"),"Se rió")</f>
        <v>Se rió</v>
      </c>
      <c r="B2213" s="1">
        <v>1</v>
      </c>
      <c r="C2213" s="1" t="s">
        <v>2171</v>
      </c>
    </row>
    <row r="2214" spans="1:3" ht="12.75" x14ac:dyDescent="0.2">
      <c r="A2214" s="1" t="str">
        <f ca="1">IFERROR(__xludf.DUMMYFUNCTION("GOOGLETRANSLATE(C2174, ""en"", ""es"")"),"secuestrado")</f>
        <v>secuestrado</v>
      </c>
      <c r="B2214" s="1">
        <v>-2</v>
      </c>
      <c r="C2214" s="1" t="s">
        <v>2172</v>
      </c>
    </row>
    <row r="2215" spans="1:3" ht="12.75" x14ac:dyDescent="0.2">
      <c r="A2215" s="1" t="str">
        <f ca="1">IFERROR(__xludf.DUMMYFUNCTION("GOOGLETRANSLATE(C2175, ""en"", ""es"")"),"secuestro")</f>
        <v>secuestro</v>
      </c>
      <c r="B2215" s="1">
        <v>-2</v>
      </c>
      <c r="C2215" s="1" t="s">
        <v>2173</v>
      </c>
    </row>
    <row r="2216" spans="1:3" ht="12.75" x14ac:dyDescent="0.2">
      <c r="A2216" s="1" t="str">
        <f ca="1">IFERROR(__xludf.DUMMYFUNCTION("GOOGLETRANSLATE(C2176, ""en"", ""es"")"),"secuestros")</f>
        <v>secuestros</v>
      </c>
      <c r="B2216" s="1">
        <v>-2</v>
      </c>
      <c r="C2216" s="1" t="s">
        <v>2174</v>
      </c>
    </row>
    <row r="2217" spans="1:3" ht="12.75" x14ac:dyDescent="0.2">
      <c r="A2217" s="1" t="str">
        <f ca="1">IFERROR(__xludf.DUMMYFUNCTION("GOOGLETRANSLATE(C2177, ""en"", ""es"")"),"secundario")</f>
        <v>secundario</v>
      </c>
      <c r="B2217" s="1">
        <v>1</v>
      </c>
      <c r="C2217" s="1" t="s">
        <v>2175</v>
      </c>
    </row>
    <row r="2218" spans="1:3" ht="12.75" x14ac:dyDescent="0.2">
      <c r="A2218" s="1" t="str">
        <f ca="1">IFERROR(__xludf.DUMMYFUNCTION("GOOGLETRANSLATE(C2178, ""en"", ""es"")"),"sedición")</f>
        <v>sedición</v>
      </c>
      <c r="B2218" s="1">
        <v>-2</v>
      </c>
      <c r="C2218" s="1" t="s">
        <v>2176</v>
      </c>
    </row>
    <row r="2219" spans="1:3" ht="12.75" x14ac:dyDescent="0.2">
      <c r="A2219" s="1" t="str">
        <f ca="1">IFERROR(__xludf.DUMMYFUNCTION("GOOGLETRANSLATE(C2179, ""en"", ""es"")"),"sedicioso")</f>
        <v>sedicioso</v>
      </c>
      <c r="B2219" s="1">
        <v>-2</v>
      </c>
      <c r="C2219" s="1" t="s">
        <v>2177</v>
      </c>
    </row>
    <row r="2220" spans="1:3" ht="12.75" x14ac:dyDescent="0.2">
      <c r="A2220" s="1" t="str">
        <f ca="1">IFERROR(__xludf.DUMMYFUNCTION("GOOGLETRANSLATE(C2180, ""en"", ""es"")"),"seducido")</f>
        <v>seducido</v>
      </c>
      <c r="B2220" s="1">
        <v>-1</v>
      </c>
      <c r="C2220" s="1" t="s">
        <v>2178</v>
      </c>
    </row>
    <row r="2221" spans="1:3" ht="12.75" x14ac:dyDescent="0.2">
      <c r="A2221" s="1" t="str">
        <f ca="1">IFERROR(__xludf.DUMMYFUNCTION("GOOGLETRANSLATE(C2181, ""en"", ""es"")"),"seguidor")</f>
        <v>seguidor</v>
      </c>
      <c r="B2221" s="1">
        <v>1</v>
      </c>
      <c r="C2221" s="1" t="s">
        <v>2179</v>
      </c>
    </row>
    <row r="2222" spans="1:3" ht="12.75" x14ac:dyDescent="0.2">
      <c r="A2222" s="1" t="str">
        <f ca="1">IFERROR(__xludf.DUMMYFUNCTION("GOOGLETRANSLATE(C1853, ""en"", ""es"")"),"seguidores")</f>
        <v>seguidores</v>
      </c>
      <c r="B2222" s="1">
        <v>1</v>
      </c>
      <c r="C2222" s="1" t="s">
        <v>1851</v>
      </c>
    </row>
    <row r="2223" spans="1:3" ht="12.75" x14ac:dyDescent="0.2">
      <c r="A2223" s="1" t="str">
        <f ca="1">IFERROR(__xludf.DUMMYFUNCTION("GOOGLETRANSLATE(C1533, ""en"", ""es"")"),"seguridad")</f>
        <v>seguridad</v>
      </c>
      <c r="B2223" s="1">
        <v>1</v>
      </c>
      <c r="C2223" s="1" t="s">
        <v>1532</v>
      </c>
    </row>
    <row r="2224" spans="1:3" ht="12.75" x14ac:dyDescent="0.2">
      <c r="A2224" s="1" t="str">
        <f ca="1">IFERROR(__xludf.DUMMYFUNCTION("GOOGLETRANSLATE(C547, ""en"", ""es"")"),"seguro")</f>
        <v>seguro</v>
      </c>
      <c r="B2224" s="1">
        <v>2</v>
      </c>
      <c r="C2224" s="1" t="s">
        <v>546</v>
      </c>
    </row>
    <row r="2225" spans="1:3" ht="12.75" x14ac:dyDescent="0.2">
      <c r="A2225" s="1" t="str">
        <f ca="1">IFERROR(__xludf.DUMMYFUNCTION("GOOGLETRANSLATE(C2182, ""en"", ""es"")"),"seguro")</f>
        <v>seguro</v>
      </c>
      <c r="B2225" s="1">
        <v>1</v>
      </c>
      <c r="C2225" s="1" t="s">
        <v>2180</v>
      </c>
    </row>
    <row r="2226" spans="1:3" ht="12.75" x14ac:dyDescent="0.2">
      <c r="A2226" s="1" t="str">
        <f ca="1">IFERROR(__xludf.DUMMYFUNCTION("GOOGLETRANSLATE(C2183, ""en"", ""es"")"),"seguro")</f>
        <v>seguro</v>
      </c>
      <c r="B2226" s="1">
        <v>2</v>
      </c>
      <c r="C2226" s="1" t="s">
        <v>2181</v>
      </c>
    </row>
    <row r="2227" spans="1:3" ht="12.75" x14ac:dyDescent="0.2">
      <c r="A2227" s="1" t="str">
        <f ca="1">IFERROR(__xludf.DUMMYFUNCTION("GOOGLETRANSLATE(C2184, ""en"", ""es"")"),"seguro de sí mismo")</f>
        <v>seguro de sí mismo</v>
      </c>
      <c r="B2227" s="1">
        <v>2</v>
      </c>
      <c r="C2227" s="1" t="s">
        <v>2182</v>
      </c>
    </row>
    <row r="2228" spans="1:3" ht="12.75" x14ac:dyDescent="0.2">
      <c r="A2228" s="1" t="str">
        <f ca="1">IFERROR(__xludf.DUMMYFUNCTION("GOOGLETRANSLATE(C2186, ""en"", ""es"")"),"sensible")</f>
        <v>sensible</v>
      </c>
      <c r="B2228" s="1">
        <v>2</v>
      </c>
      <c r="C2228" s="1" t="s">
        <v>2184</v>
      </c>
    </row>
    <row r="2229" spans="1:3" ht="12.75" x14ac:dyDescent="0.2">
      <c r="A2229" s="1" t="str">
        <f ca="1">IFERROR(__xludf.DUMMYFUNCTION("GOOGLETRANSLATE(C2187, ""en"", ""es"")"),"sentencia")</f>
        <v>sentencia</v>
      </c>
      <c r="B2229" s="1">
        <v>-2</v>
      </c>
      <c r="C2229" s="1" t="s">
        <v>2185</v>
      </c>
    </row>
    <row r="2230" spans="1:3" ht="12.75" x14ac:dyDescent="0.2">
      <c r="A2230" s="1" t="str">
        <f ca="1">IFERROR(__xludf.DUMMYFUNCTION("GOOGLETRANSLATE(C540, ""en"", ""es"")"),"sentenciado")</f>
        <v>sentenciado</v>
      </c>
      <c r="B2230" s="1">
        <v>-2</v>
      </c>
      <c r="C2230" s="1" t="s">
        <v>539</v>
      </c>
    </row>
    <row r="2231" spans="1:3" ht="12.75" x14ac:dyDescent="0.2">
      <c r="A2231" s="1" t="str">
        <f ca="1">IFERROR(__xludf.DUMMYFUNCTION("GOOGLETRANSLATE(C2188, ""en"", ""es"")"),"sentido")</f>
        <v>sentido</v>
      </c>
      <c r="B2231" s="1">
        <v>3</v>
      </c>
      <c r="C2231" s="1" t="s">
        <v>2186</v>
      </c>
    </row>
    <row r="2232" spans="1:3" ht="12.75" x14ac:dyDescent="0.2">
      <c r="A2232" s="1" t="str">
        <f ca="1">IFERROR(__xludf.DUMMYFUNCTION("GOOGLETRANSLATE(C2185, ""en"", ""es"")"),"sentimiento")</f>
        <v>sentimiento</v>
      </c>
      <c r="B2232" s="1">
        <v>1</v>
      </c>
      <c r="C2232" s="1" t="s">
        <v>2183</v>
      </c>
    </row>
    <row r="2233" spans="1:3" ht="12.75" x14ac:dyDescent="0.2">
      <c r="A2233" s="1" t="str">
        <f ca="1">IFERROR(__xludf.DUMMYFUNCTION("GOOGLETRANSLATE(C2189, ""en"", ""es"")"),"separado")</f>
        <v>separado</v>
      </c>
      <c r="B2233" s="1">
        <v>-1</v>
      </c>
      <c r="C2233" s="1" t="s">
        <v>2187</v>
      </c>
    </row>
    <row r="2234" spans="1:3" ht="12.75" x14ac:dyDescent="0.2">
      <c r="A2234" s="1" t="str">
        <f ca="1">IFERROR(__xludf.DUMMYFUNCTION("GOOGLETRANSLATE(C2190, ""en"", ""es"")"),"sereno")</f>
        <v>sereno</v>
      </c>
      <c r="B2234" s="1">
        <v>2</v>
      </c>
      <c r="C2234" s="1" t="s">
        <v>2188</v>
      </c>
    </row>
    <row r="2235" spans="1:3" ht="12.75" x14ac:dyDescent="0.2">
      <c r="A2235" s="1" t="str">
        <f ca="1">IFERROR(__xludf.DUMMYFUNCTION("GOOGLETRANSLATE(C2191, ""en"", ""es"")"),"serio")</f>
        <v>serio</v>
      </c>
      <c r="B2235" s="1">
        <v>2</v>
      </c>
      <c r="C2235" s="1" t="s">
        <v>2189</v>
      </c>
    </row>
    <row r="2236" spans="1:3" ht="12.75" x14ac:dyDescent="0.2">
      <c r="A2236" s="1" t="str">
        <f ca="1">IFERROR(__xludf.DUMMYFUNCTION("GOOGLETRANSLATE(C2192, ""en"", ""es"")"),"servicial")</f>
        <v>servicial</v>
      </c>
      <c r="B2236" s="1">
        <v>2</v>
      </c>
      <c r="C2236" s="1" t="s">
        <v>2190</v>
      </c>
    </row>
    <row r="2237" spans="1:3" ht="12.75" x14ac:dyDescent="0.2">
      <c r="A2237" s="1" t="str">
        <f ca="1">IFERROR(__xludf.DUMMYFUNCTION("GOOGLETRANSLATE(C1846, ""en"", ""es"")"),"sesgado")</f>
        <v>sesgado</v>
      </c>
      <c r="B2237" s="1">
        <v>-2</v>
      </c>
      <c r="C2237" s="1" t="s">
        <v>1844</v>
      </c>
    </row>
    <row r="2238" spans="1:3" ht="12.75" x14ac:dyDescent="0.2">
      <c r="A2238" s="1" t="str">
        <f ca="1">IFERROR(__xludf.DUMMYFUNCTION("GOOGLETRANSLATE(C1264, ""en"", ""es"")"),"severo")</f>
        <v>severo</v>
      </c>
      <c r="B2238" s="1">
        <v>-2</v>
      </c>
      <c r="C2238" s="1" t="s">
        <v>1266</v>
      </c>
    </row>
    <row r="2239" spans="1:3" ht="12.75" x14ac:dyDescent="0.2">
      <c r="A2239" s="1" t="str">
        <f ca="1">IFERROR(__xludf.DUMMYFUNCTION("GOOGLETRANSLATE(C2193, ""en"", ""es"")"),"sexy")</f>
        <v>sexy</v>
      </c>
      <c r="B2239" s="1">
        <v>3</v>
      </c>
      <c r="C2239" s="1" t="s">
        <v>2191</v>
      </c>
    </row>
    <row r="2240" spans="1:3" ht="12.75" x14ac:dyDescent="0.2">
      <c r="A2240" s="1" t="str">
        <f ca="1">IFERROR(__xludf.DUMMYFUNCTION("GOOGLETRANSLATE(C2197, ""en"", ""es"")"),"significado")</f>
        <v>significado</v>
      </c>
      <c r="B2240" s="1">
        <v>1</v>
      </c>
      <c r="C2240" s="1" t="s">
        <v>2193</v>
      </c>
    </row>
    <row r="2241" spans="1:3" ht="12.75" x14ac:dyDescent="0.2">
      <c r="A2241" s="1" t="str">
        <f ca="1">IFERROR(__xludf.DUMMYFUNCTION("GOOGLETRANSLATE(C2198, ""en"", ""es"")"),"significativo")</f>
        <v>significativo</v>
      </c>
      <c r="B2241" s="1">
        <v>2</v>
      </c>
      <c r="C2241" s="1" t="s">
        <v>2194</v>
      </c>
    </row>
    <row r="2242" spans="1:3" ht="12.75" x14ac:dyDescent="0.2">
      <c r="A2242" s="1" t="str">
        <f ca="1">IFERROR(__xludf.DUMMYFUNCTION("GOOGLETRANSLATE(C2200, ""en"", ""es"")"),"silenciamiento")</f>
        <v>silenciamiento</v>
      </c>
      <c r="B2242" s="1">
        <v>-1</v>
      </c>
      <c r="C2242" s="1" t="s">
        <v>2196</v>
      </c>
    </row>
    <row r="2243" spans="1:3" ht="12.75" x14ac:dyDescent="0.2">
      <c r="A2243" s="1" t="str">
        <f ca="1">IFERROR(__xludf.DUMMYFUNCTION("GOOGLETRANSLATE(C2202, ""en"", ""es"")"),"simpático")</f>
        <v>simpático</v>
      </c>
      <c r="B2243" s="1">
        <v>2</v>
      </c>
      <c r="C2243" s="1" t="s">
        <v>2198</v>
      </c>
    </row>
    <row r="2244" spans="1:3" ht="12.75" x14ac:dyDescent="0.2">
      <c r="A2244" s="1" t="str">
        <f ca="1">IFERROR(__xludf.DUMMYFUNCTION("GOOGLETRANSLATE(C2234, ""en"", ""es"")"),"simplifica demasiado")</f>
        <v>simplifica demasiado</v>
      </c>
      <c r="B2244" s="1">
        <v>-2</v>
      </c>
      <c r="C2244" s="1" t="s">
        <v>2230</v>
      </c>
    </row>
    <row r="2245" spans="1:3" ht="12.75" x14ac:dyDescent="0.2">
      <c r="A2245" s="1" t="str">
        <f ca="1">IFERROR(__xludf.DUMMYFUNCTION("GOOGLETRANSLATE(C2235, ""en"", ""es"")"),"simplificación excesiva")</f>
        <v>simplificación excesiva</v>
      </c>
      <c r="B2245" s="1">
        <v>-2</v>
      </c>
      <c r="C2245" s="1" t="s">
        <v>2231</v>
      </c>
    </row>
    <row r="2246" spans="1:3" ht="12.75" x14ac:dyDescent="0.2">
      <c r="A2246" s="1" t="str">
        <f ca="1">IFERROR(__xludf.DUMMYFUNCTION("GOOGLETRANSLATE(C2203, ""en"", ""es"")"),"simplificado")</f>
        <v>simplificado</v>
      </c>
      <c r="B2246" s="1">
        <v>-2</v>
      </c>
      <c r="C2246" s="1" t="s">
        <v>2199</v>
      </c>
    </row>
    <row r="2247" spans="1:3" ht="12.75" x14ac:dyDescent="0.2">
      <c r="A2247" s="1" t="str">
        <f ca="1">IFERROR(__xludf.DUMMYFUNCTION("GOOGLETRANSLATE(C2204, ""en"", ""es"")"),"simplificar demasiado")</f>
        <v>simplificar demasiado</v>
      </c>
      <c r="B2247" s="1">
        <v>-2</v>
      </c>
      <c r="C2247" s="1" t="s">
        <v>2200</v>
      </c>
    </row>
    <row r="2248" spans="1:3" ht="12.75" x14ac:dyDescent="0.2">
      <c r="A2248" s="1" t="str">
        <f ca="1">IFERROR(__xludf.DUMMYFUNCTION("GOOGLETRANSLATE(C395, ""en"", ""es"")"),"simulacros")</f>
        <v>simulacros</v>
      </c>
      <c r="B2248" s="1">
        <v>-2</v>
      </c>
      <c r="C2248" s="1" t="s">
        <v>395</v>
      </c>
    </row>
    <row r="2249" spans="1:3" ht="12.75" x14ac:dyDescent="0.2">
      <c r="A2249" s="1" t="str">
        <f ca="1">IFERROR(__xludf.DUMMYFUNCTION("GOOGLETRANSLATE(C2207, ""en"", ""es"")"),"sin ánimo")</f>
        <v>sin ánimo</v>
      </c>
      <c r="B2249" s="1">
        <v>-2</v>
      </c>
      <c r="C2249" s="1" t="s">
        <v>2203</v>
      </c>
    </row>
    <row r="2250" spans="1:3" ht="12.75" x14ac:dyDescent="0.2">
      <c r="A2250" s="1" t="str">
        <f ca="1">IFERROR(__xludf.DUMMYFUNCTION("GOOGLETRANSLATE(C2208, ""en"", ""es"")"),"sin apoyo")</f>
        <v>sin apoyo</v>
      </c>
      <c r="B2250" s="1">
        <v>-2</v>
      </c>
      <c r="C2250" s="1" t="s">
        <v>2204</v>
      </c>
    </row>
    <row r="2251" spans="1:3" ht="12.75" x14ac:dyDescent="0.2">
      <c r="A2251" s="1" t="str">
        <f ca="1">IFERROR(__xludf.DUMMYFUNCTION("GOOGLETRANSLATE(C2209, ""en"", ""es"")"),"sin dientes")</f>
        <v>sin dientes</v>
      </c>
      <c r="B2251" s="1">
        <v>-2</v>
      </c>
      <c r="C2251" s="1" t="s">
        <v>2205</v>
      </c>
    </row>
    <row r="2252" spans="1:3" ht="12.75" x14ac:dyDescent="0.2">
      <c r="A2252" s="1" t="str">
        <f ca="1">IFERROR(__xludf.DUMMYFUNCTION("GOOGLETRANSLATE(C2210, ""en"", ""es"")"),"sin encanto")</f>
        <v>sin encanto</v>
      </c>
      <c r="B2252" s="1">
        <v>-3</v>
      </c>
      <c r="C2252" s="1" t="s">
        <v>2206</v>
      </c>
    </row>
    <row r="2253" spans="1:3" ht="12.75" x14ac:dyDescent="0.2">
      <c r="A2253" s="1" t="str">
        <f ca="1">IFERROR(__xludf.DUMMYFUNCTION("GOOGLETRANSLATE(C1822, ""en"", ""es"")"),"sin opción")</f>
        <v>sin opción</v>
      </c>
      <c r="B2253" s="1">
        <v>-2</v>
      </c>
      <c r="C2253" s="1" t="s">
        <v>1820</v>
      </c>
    </row>
    <row r="2254" spans="1:3" ht="12.75" x14ac:dyDescent="0.2">
      <c r="A2254" s="1" t="str">
        <f ca="1">IFERROR(__xludf.DUMMYFUNCTION("GOOGLETRANSLATE(C2215, ""en"", ""es"")"),"sin par")</f>
        <v>sin par</v>
      </c>
      <c r="B2254" s="1">
        <v>1</v>
      </c>
      <c r="C2254" s="1" t="s">
        <v>2211</v>
      </c>
    </row>
    <row r="2255" spans="1:3" ht="12.75" x14ac:dyDescent="0.2">
      <c r="A2255" s="1" t="str">
        <f ca="1">IFERROR(__xludf.DUMMYFUNCTION("GOOGLETRANSLATE(C2216, ""en"", ""es"")"),"sin peligro")</f>
        <v>sin peligro</v>
      </c>
      <c r="B2255" s="1">
        <v>1</v>
      </c>
      <c r="C2255" s="1" t="s">
        <v>2212</v>
      </c>
    </row>
    <row r="2256" spans="1:3" ht="12.75" x14ac:dyDescent="0.2">
      <c r="A2256" s="1" t="str">
        <f ca="1">IFERROR(__xludf.DUMMYFUNCTION("GOOGLETRANSLATE(C2217, ""en"", ""es"")"),"sin sentido")</f>
        <v>sin sentido</v>
      </c>
      <c r="B2256" s="1">
        <v>-2</v>
      </c>
      <c r="C2256" s="1" t="s">
        <v>2213</v>
      </c>
    </row>
    <row r="2257" spans="1:3" ht="12.75" x14ac:dyDescent="0.2">
      <c r="A2257" s="1" t="str">
        <f ca="1">IFERROR(__xludf.DUMMYFUNCTION("GOOGLETRANSLATE(C440, ""en"", ""es"")"),"sin tener en cuenta")</f>
        <v>sin tener en cuenta</v>
      </c>
      <c r="B2257" s="1">
        <v>-2</v>
      </c>
      <c r="C2257" s="1" t="s">
        <v>440</v>
      </c>
    </row>
    <row r="2258" spans="1:3" ht="12.75" x14ac:dyDescent="0.2">
      <c r="A2258" s="1" t="str">
        <f ca="1">IFERROR(__xludf.DUMMYFUNCTION("GOOGLETRANSLATE(C2219, ""en"", ""es"")"),"sin valor")</f>
        <v>sin valor</v>
      </c>
      <c r="B2258" s="1">
        <v>-2</v>
      </c>
      <c r="C2258" s="1" t="s">
        <v>2215</v>
      </c>
    </row>
    <row r="2259" spans="1:3" ht="12.75" x14ac:dyDescent="0.2">
      <c r="A2259" s="1" t="str">
        <f ca="1">IFERROR(__xludf.DUMMYFUNCTION("GOOGLETRANSLATE(C2222, ""en"", ""es"")"),"sinceridad")</f>
        <v>sinceridad</v>
      </c>
      <c r="B2259" s="1">
        <v>2</v>
      </c>
      <c r="C2259" s="1" t="s">
        <v>2218</v>
      </c>
    </row>
    <row r="2260" spans="1:3" ht="12.75" x14ac:dyDescent="0.2">
      <c r="A2260" s="1" t="str">
        <f ca="1">IFERROR(__xludf.DUMMYFUNCTION("GOOGLETRANSLATE(C2220, ""en"", ""es"")"),"sincero")</f>
        <v>sincero</v>
      </c>
      <c r="B2260" s="1">
        <v>2</v>
      </c>
      <c r="C2260" s="1" t="s">
        <v>2216</v>
      </c>
    </row>
    <row r="2261" spans="1:3" ht="12.75" x14ac:dyDescent="0.2">
      <c r="A2261" s="1" t="str">
        <f ca="1">IFERROR(__xludf.DUMMYFUNCTION("GOOGLETRANSLATE(C2223, ""en"", ""es"")"),"sincero")</f>
        <v>sincero</v>
      </c>
      <c r="B2261" s="1">
        <v>2</v>
      </c>
      <c r="C2261" s="1" t="s">
        <v>2219</v>
      </c>
    </row>
    <row r="2262" spans="1:3" ht="12.75" x14ac:dyDescent="0.2">
      <c r="A2262" s="1" t="str">
        <f ca="1">IFERROR(__xludf.DUMMYFUNCTION("GOOGLETRANSLATE(C2228, ""en"", ""es"")"),"soborno")</f>
        <v>soborno</v>
      </c>
      <c r="B2262" s="1">
        <v>-3</v>
      </c>
      <c r="C2262" s="1" t="s">
        <v>2224</v>
      </c>
    </row>
    <row r="2263" spans="1:3" ht="12.75" x14ac:dyDescent="0.2">
      <c r="A2263" s="1" t="str">
        <f ca="1">IFERROR(__xludf.DUMMYFUNCTION("GOOGLETRANSLATE(C2229, ""en"", ""es"")"),"sobrecarga")</f>
        <v>sobrecarga</v>
      </c>
      <c r="B2263" s="1">
        <v>-1</v>
      </c>
      <c r="C2263" s="1" t="s">
        <v>2225</v>
      </c>
    </row>
    <row r="2264" spans="1:3" ht="12.75" x14ac:dyDescent="0.2">
      <c r="A2264" s="1" t="str">
        <f ca="1">IFERROR(__xludf.DUMMYFUNCTION("GOOGLETRANSLATE(C2232, ""en"", ""es"")"),"sobrereaccionar")</f>
        <v>sobrereaccionar</v>
      </c>
      <c r="B2264" s="1">
        <v>-2</v>
      </c>
      <c r="C2264" s="1" t="s">
        <v>2228</v>
      </c>
    </row>
    <row r="2265" spans="1:3" ht="12.75" x14ac:dyDescent="0.2">
      <c r="A2265" s="1" t="str">
        <f ca="1">IFERROR(__xludf.DUMMYFUNCTION("GOOGLETRANSLATE(C2236, ""en"", ""es"")"),"sobreviviente")</f>
        <v>sobreviviente</v>
      </c>
      <c r="B2265" s="1">
        <v>2</v>
      </c>
      <c r="C2265" s="1" t="s">
        <v>2232</v>
      </c>
    </row>
    <row r="2266" spans="1:3" ht="12.75" x14ac:dyDescent="0.2">
      <c r="A2266" s="1" t="str">
        <f ca="1">IFERROR(__xludf.DUMMYFUNCTION("GOOGLETRANSLATE(C2237, ""en"", ""es"")"),"sobreviviente")</f>
        <v>sobreviviente</v>
      </c>
      <c r="B2266" s="1">
        <v>2</v>
      </c>
      <c r="C2266" s="1" t="s">
        <v>2233</v>
      </c>
    </row>
    <row r="2267" spans="1:3" ht="12.75" x14ac:dyDescent="0.2">
      <c r="A2267" s="1" t="str">
        <f ca="1">IFERROR(__xludf.DUMMYFUNCTION("GOOGLETRANSLATE(C2238, ""en"", ""es"")"),"sobrevivió")</f>
        <v>sobrevivió</v>
      </c>
      <c r="B2267" s="1">
        <v>2</v>
      </c>
      <c r="C2267" s="1" t="s">
        <v>2234</v>
      </c>
    </row>
    <row r="2268" spans="1:3" ht="12.75" x14ac:dyDescent="0.2">
      <c r="A2268" s="1" t="str">
        <f ca="1">IFERROR(__xludf.DUMMYFUNCTION("GOOGLETRANSLATE(C2239, ""en"", ""es"")"),"socava")</f>
        <v>socava</v>
      </c>
      <c r="B2268" s="1">
        <v>-2</v>
      </c>
      <c r="C2268" s="1" t="s">
        <v>2235</v>
      </c>
    </row>
    <row r="2269" spans="1:3" ht="12.75" x14ac:dyDescent="0.2">
      <c r="A2269" s="1" t="str">
        <f ca="1">IFERROR(__xludf.DUMMYFUNCTION("GOOGLETRANSLATE(C1696, ""en"", ""es"")"),"socavado")</f>
        <v>socavado</v>
      </c>
      <c r="B2269" s="1">
        <v>-2</v>
      </c>
      <c r="C2269" s="1" t="s">
        <v>1695</v>
      </c>
    </row>
    <row r="2270" spans="1:3" ht="12.75" x14ac:dyDescent="0.2">
      <c r="A2270" s="1" t="str">
        <f ca="1">IFERROR(__xludf.DUMMYFUNCTION("GOOGLETRANSLATE(C1697, ""en"", ""es"")"),"socavado")</f>
        <v>socavado</v>
      </c>
      <c r="B2270" s="1">
        <v>-2</v>
      </c>
      <c r="C2270" s="1" t="s">
        <v>1696</v>
      </c>
    </row>
    <row r="2271" spans="1:3" ht="12.75" x14ac:dyDescent="0.2">
      <c r="A2271" s="1" t="str">
        <f ca="1">IFERROR(__xludf.DUMMYFUNCTION("GOOGLETRANSLATE(C2240, ""en"", ""es"")"),"socavar")</f>
        <v>socavar</v>
      </c>
      <c r="B2271" s="1">
        <v>-2</v>
      </c>
      <c r="C2271" s="1" t="s">
        <v>2236</v>
      </c>
    </row>
    <row r="2272" spans="1:3" ht="12.75" x14ac:dyDescent="0.2">
      <c r="A2272" s="1" t="str">
        <f ca="1">IFERROR(__xludf.DUMMYFUNCTION("GOOGLETRANSLATE(C2241, ""en"", ""es"")"),"sofisticado")</f>
        <v>sofisticado</v>
      </c>
      <c r="B2272" s="1">
        <v>2</v>
      </c>
      <c r="C2272" s="1" t="s">
        <v>2237</v>
      </c>
    </row>
    <row r="2273" spans="1:3" ht="12.75" x14ac:dyDescent="0.2">
      <c r="A2273" s="1" t="str">
        <f ca="1">IFERROR(__xludf.DUMMYFUNCTION("GOOGLETRANSLATE(C2242, ""en"", ""es"")"),"sofocado")</f>
        <v>sofocado</v>
      </c>
      <c r="B2273" s="1">
        <v>-1</v>
      </c>
      <c r="C2273" s="1" t="s">
        <v>2238</v>
      </c>
    </row>
    <row r="2274" spans="1:3" ht="12.75" x14ac:dyDescent="0.2">
      <c r="A2274" s="1" t="str">
        <f ca="1">IFERROR(__xludf.DUMMYFUNCTION("GOOGLETRANSLATE(C2244, ""en"", ""es"")"),"solemne")</f>
        <v>solemne</v>
      </c>
      <c r="B2274" s="1">
        <v>-1</v>
      </c>
      <c r="C2274" s="1" t="s">
        <v>2240</v>
      </c>
    </row>
    <row r="2275" spans="1:3" ht="12.75" x14ac:dyDescent="0.2">
      <c r="A2275" s="1" t="str">
        <f ca="1">IFERROR(__xludf.DUMMYFUNCTION("GOOGLETRANSLATE(C2245, ""en"", ""es"")"),"solidaridad")</f>
        <v>solidaridad</v>
      </c>
      <c r="B2275" s="1">
        <v>2</v>
      </c>
      <c r="C2275" s="1" t="s">
        <v>2241</v>
      </c>
    </row>
    <row r="2276" spans="1:3" ht="12.75" x14ac:dyDescent="0.2">
      <c r="A2276" s="1" t="str">
        <f ca="1">IFERROR(__xludf.DUMMYFUNCTION("GOOGLETRANSLATE(C2246, ""en"", ""es"")"),"sólido")</f>
        <v>sólido</v>
      </c>
      <c r="B2276" s="1">
        <v>2</v>
      </c>
      <c r="C2276" s="1" t="s">
        <v>2242</v>
      </c>
    </row>
    <row r="2277" spans="1:3" ht="12.75" x14ac:dyDescent="0.2">
      <c r="A2277" s="1" t="str">
        <f ca="1">IFERROR(__xludf.DUMMYFUNCTION("GOOGLETRANSLATE(C2247, ""en"", ""es"")"),"solitaria")</f>
        <v>solitaria</v>
      </c>
      <c r="B2277" s="1">
        <v>-2</v>
      </c>
      <c r="C2277" s="1" t="s">
        <v>2243</v>
      </c>
    </row>
    <row r="2278" spans="1:3" ht="12.75" x14ac:dyDescent="0.2">
      <c r="A2278" s="1" t="str">
        <f ca="1">IFERROR(__xludf.DUMMYFUNCTION("GOOGLETRANSLATE(C2248, ""en"", ""es"")"),"solitario")</f>
        <v>solitario</v>
      </c>
      <c r="B2278" s="1">
        <v>-2</v>
      </c>
      <c r="C2278" s="1" t="s">
        <v>2244</v>
      </c>
    </row>
    <row r="2279" spans="1:3" ht="12.75" x14ac:dyDescent="0.2">
      <c r="A2279" s="1" t="str">
        <f ca="1">IFERROR(__xludf.DUMMYFUNCTION("GOOGLETRANSLATE(C2249, ""en"", ""es"")"),"solo")</f>
        <v>solo</v>
      </c>
      <c r="B2279" s="1">
        <v>-2</v>
      </c>
      <c r="C2279" s="1" t="s">
        <v>2245</v>
      </c>
    </row>
    <row r="2280" spans="1:3" ht="12.75" x14ac:dyDescent="0.2">
      <c r="A2280" s="1" t="str">
        <f ca="1">IFERROR(__xludf.DUMMYFUNCTION("GOOGLETRANSLATE(C2250, ""en"", ""es"")"),"soltar")</f>
        <v>soltar</v>
      </c>
      <c r="B2280" s="1">
        <v>-1</v>
      </c>
      <c r="C2280" s="1" t="s">
        <v>2246</v>
      </c>
    </row>
    <row r="2281" spans="1:3" ht="12.75" x14ac:dyDescent="0.2">
      <c r="A2281" s="1" t="str">
        <f ca="1">IFERROR(__xludf.DUMMYFUNCTION("GOOGLETRANSLATE(C2251, ""en"", ""es"")"),"solución")</f>
        <v>solución</v>
      </c>
      <c r="B2281" s="1">
        <v>1</v>
      </c>
      <c r="C2281" s="1" t="s">
        <v>2247</v>
      </c>
    </row>
    <row r="2282" spans="1:3" ht="12.75" x14ac:dyDescent="0.2">
      <c r="A2282" s="1" t="str">
        <f ca="1">IFERROR(__xludf.DUMMYFUNCTION("GOOGLETRANSLATE(C2252, ""en"", ""es"")"),"soluciones")</f>
        <v>soluciones</v>
      </c>
      <c r="B2282" s="1">
        <v>1</v>
      </c>
      <c r="C2282" s="1" t="s">
        <v>2248</v>
      </c>
    </row>
    <row r="2283" spans="1:3" ht="12.75" x14ac:dyDescent="0.2">
      <c r="A2283" s="1" t="str">
        <f ca="1">IFERROR(__xludf.DUMMYFUNCTION("GOOGLETRANSLATE(C1679, ""en"", ""es"")"),"sombrío")</f>
        <v>sombrío</v>
      </c>
      <c r="B2283" s="1">
        <v>-2</v>
      </c>
      <c r="C2283" s="1" t="s">
        <v>1678</v>
      </c>
    </row>
    <row r="2284" spans="1:3" ht="12.75" x14ac:dyDescent="0.2">
      <c r="A2284" s="1" t="str">
        <f ca="1">IFERROR(__xludf.DUMMYFUNCTION("GOOGLETRANSLATE(C2253, ""en"", ""es"")"),"sombrío")</f>
        <v>sombrío</v>
      </c>
      <c r="B2284" s="1">
        <v>-2</v>
      </c>
      <c r="C2284" s="1" t="s">
        <v>2249</v>
      </c>
    </row>
    <row r="2285" spans="1:3" ht="12.75" x14ac:dyDescent="0.2">
      <c r="A2285" s="1" t="str">
        <f ca="1">IFERROR(__xludf.DUMMYFUNCTION("GOOGLETRANSLATE(C2254, ""en"", ""es"")"),"sombrío")</f>
        <v>sombrío</v>
      </c>
      <c r="B2285" s="1">
        <v>-2</v>
      </c>
      <c r="C2285" s="1" t="s">
        <v>2250</v>
      </c>
    </row>
    <row r="2286" spans="1:3" ht="12.75" x14ac:dyDescent="0.2">
      <c r="A2286" s="1" t="str">
        <f ca="1">IFERROR(__xludf.DUMMYFUNCTION("GOOGLETRANSLATE(C2226, ""en"", ""es"")"),"sonreír")</f>
        <v>sonreír</v>
      </c>
      <c r="B2286" s="1">
        <v>2</v>
      </c>
      <c r="C2286" s="1" t="s">
        <v>2222</v>
      </c>
    </row>
    <row r="2287" spans="1:3" ht="12.75" x14ac:dyDescent="0.2">
      <c r="A2287" s="1" t="str">
        <f ca="1">IFERROR(__xludf.DUMMYFUNCTION("GOOGLETRANSLATE(C2255, ""en"", ""es"")"),"sonreír")</f>
        <v>sonreír</v>
      </c>
      <c r="B2287" s="1">
        <v>2</v>
      </c>
      <c r="C2287" s="1" t="s">
        <v>2251</v>
      </c>
    </row>
    <row r="2288" spans="1:3" ht="12.75" x14ac:dyDescent="0.2">
      <c r="A2288" s="1" t="str">
        <f ca="1">IFERROR(__xludf.DUMMYFUNCTION("GOOGLETRANSLATE(C2257, ""en"", ""es"")"),"sonreír")</f>
        <v>sonreír</v>
      </c>
      <c r="B2288" s="1">
        <v>2</v>
      </c>
      <c r="C2288" s="1" t="s">
        <v>2253</v>
      </c>
    </row>
    <row r="2289" spans="1:3" ht="12.75" x14ac:dyDescent="0.2">
      <c r="A2289" s="1" t="str">
        <f ca="1">IFERROR(__xludf.DUMMYFUNCTION("GOOGLETRANSLATE(C2256, ""en"", ""es"")"),"sonriente")</f>
        <v>sonriente</v>
      </c>
      <c r="B2289" s="1">
        <v>2</v>
      </c>
      <c r="C2289" s="1" t="s">
        <v>2252</v>
      </c>
    </row>
    <row r="2290" spans="1:3" ht="12.75" x14ac:dyDescent="0.2">
      <c r="A2290" s="1" t="str">
        <f ca="1">IFERROR(__xludf.DUMMYFUNCTION("GOOGLETRANSLATE(C2258, ""en"", ""es"")"),"soportado")</f>
        <v>soportado</v>
      </c>
      <c r="B2290" s="1">
        <v>2</v>
      </c>
      <c r="C2290" s="1" t="s">
        <v>2254</v>
      </c>
    </row>
    <row r="2291" spans="1:3" ht="12.75" x14ac:dyDescent="0.2">
      <c r="A2291" s="1" t="str">
        <f ca="1">IFERROR(__xludf.DUMMYFUNCTION("GOOGLETRANSLATE(C234, ""en"", ""es"")"),"soporte")</f>
        <v>soporte</v>
      </c>
      <c r="B2291" s="1">
        <v>2</v>
      </c>
      <c r="C2291" s="1" t="s">
        <v>234</v>
      </c>
    </row>
    <row r="2292" spans="1:3" ht="12.75" x14ac:dyDescent="0.2">
      <c r="A2292" s="1" t="str">
        <f ca="1">IFERROR(__xludf.DUMMYFUNCTION("GOOGLETRANSLATE(C2259, ""en"", ""es"")"),"soporte")</f>
        <v>soporte</v>
      </c>
      <c r="B2292" s="1">
        <v>2</v>
      </c>
      <c r="C2292" s="1" t="s">
        <v>2255</v>
      </c>
    </row>
    <row r="2293" spans="1:3" ht="12.75" x14ac:dyDescent="0.2">
      <c r="A2293" s="1" t="str">
        <f ca="1">IFERROR(__xludf.DUMMYFUNCTION("GOOGLETRANSLATE(C2261, ""en"", ""es"")"),"sorprendido")</f>
        <v>sorprendido</v>
      </c>
      <c r="B2293" s="1">
        <v>-2</v>
      </c>
      <c r="C2293" s="1" t="s">
        <v>2257</v>
      </c>
    </row>
    <row r="2294" spans="1:3" ht="12.75" x14ac:dyDescent="0.2">
      <c r="A2294" s="1" t="str">
        <f ca="1">IFERROR(__xludf.DUMMYFUNCTION("GOOGLETRANSLATE(C2262, ""en"", ""es"")"),"sosegado")</f>
        <v>sosegado</v>
      </c>
      <c r="B2294" s="1">
        <v>2</v>
      </c>
      <c r="C2294" s="1" t="s">
        <v>2258</v>
      </c>
    </row>
    <row r="2295" spans="1:3" ht="12.75" x14ac:dyDescent="0.2">
      <c r="A2295" s="1" t="str">
        <f ca="1">IFERROR(__xludf.DUMMYFUNCTION("GOOGLETRANSLATE(C2264, ""en"", ""es"")"),"sospecha")</f>
        <v>sospecha</v>
      </c>
      <c r="B2295" s="1">
        <v>-1</v>
      </c>
      <c r="C2295" s="1" t="s">
        <v>2260</v>
      </c>
    </row>
    <row r="2296" spans="1:3" ht="12.75" x14ac:dyDescent="0.2">
      <c r="A2296" s="1" t="str">
        <f ca="1">IFERROR(__xludf.DUMMYFUNCTION("GOOGLETRANSLATE(C2265, ""en"", ""es"")"),"sospechar")</f>
        <v>sospechar</v>
      </c>
      <c r="B2296" s="1">
        <v>-1</v>
      </c>
      <c r="C2296" s="1" t="s">
        <v>2261</v>
      </c>
    </row>
    <row r="2297" spans="1:3" ht="12.75" x14ac:dyDescent="0.2">
      <c r="A2297" s="1" t="str">
        <f ca="1">IFERROR(__xludf.DUMMYFUNCTION("GOOGLETRANSLATE(C2263, ""en"", ""es"")"),"sospechoso")</f>
        <v>sospechoso</v>
      </c>
      <c r="B2297" s="1">
        <v>-1</v>
      </c>
      <c r="C2297" s="1" t="s">
        <v>2259</v>
      </c>
    </row>
    <row r="2298" spans="1:3" ht="12.75" x14ac:dyDescent="0.2">
      <c r="A2298" s="1" t="str">
        <f ca="1">IFERROR(__xludf.DUMMYFUNCTION("GOOGLETRANSLATE(C2292, ""en"", ""es"")"),"sospechoso")</f>
        <v>sospechoso</v>
      </c>
      <c r="B2298" s="1">
        <v>-2</v>
      </c>
      <c r="C2298" s="1" t="s">
        <v>2288</v>
      </c>
    </row>
    <row r="2299" spans="1:3" ht="12.75" x14ac:dyDescent="0.2">
      <c r="A2299" s="1" t="str">
        <f ca="1">IFERROR(__xludf.DUMMYFUNCTION("GOOGLETRANSLATE(C2266, ""en"", ""es"")"),"sospechosos")</f>
        <v>sospechosos</v>
      </c>
      <c r="B2299" s="1">
        <v>-1</v>
      </c>
      <c r="C2299" s="1" t="s">
        <v>2262</v>
      </c>
    </row>
    <row r="2300" spans="1:3" ht="12.75" x14ac:dyDescent="0.2">
      <c r="A2300" s="1" t="str">
        <f ca="1">IFERROR(__xludf.DUMMYFUNCTION("GOOGLETRANSLATE(C974, ""en"", ""es"")"),"spam")</f>
        <v>spam</v>
      </c>
      <c r="B2300" s="1">
        <v>-2</v>
      </c>
      <c r="C2300" s="1" t="s">
        <v>976</v>
      </c>
    </row>
    <row r="2301" spans="1:3" ht="12.75" x14ac:dyDescent="0.2">
      <c r="A2301" s="1" t="str">
        <f ca="1">IFERROR(__xludf.DUMMYFUNCTION("GOOGLETRANSLATE(C2267, ""en"", ""es"")"),"spammer")</f>
        <v>spammer</v>
      </c>
      <c r="B2301" s="1">
        <v>-3</v>
      </c>
      <c r="C2301" s="1" t="s">
        <v>2263</v>
      </c>
    </row>
    <row r="2302" spans="1:3" ht="12.75" x14ac:dyDescent="0.2">
      <c r="A2302" s="1" t="str">
        <f ca="1">IFERROR(__xludf.DUMMYFUNCTION("GOOGLETRANSLATE(C1599, ""en"", ""es"")"),"spammers")</f>
        <v>spammers</v>
      </c>
      <c r="B2302" s="1">
        <v>-3</v>
      </c>
      <c r="C2302" s="1" t="s">
        <v>1597</v>
      </c>
    </row>
    <row r="2303" spans="1:3" ht="12.75" x14ac:dyDescent="0.2">
      <c r="A2303" s="1" t="str">
        <f ca="1">IFERROR(__xludf.DUMMYFUNCTION("GOOGLETRANSLATE(C2269, ""en"", ""es"")"),"subestima")</f>
        <v>subestima</v>
      </c>
      <c r="B2303" s="1">
        <v>-1</v>
      </c>
      <c r="C2303" s="1" t="s">
        <v>2265</v>
      </c>
    </row>
    <row r="2304" spans="1:3" ht="12.75" x14ac:dyDescent="0.2">
      <c r="A2304" s="1" t="str">
        <f ca="1">IFERROR(__xludf.DUMMYFUNCTION("GOOGLETRANSLATE(C2270, ""en"", ""es"")"),"subestimado")</f>
        <v>subestimado</v>
      </c>
      <c r="B2304" s="1">
        <v>-1</v>
      </c>
      <c r="C2304" s="1" t="s">
        <v>2266</v>
      </c>
    </row>
    <row r="2305" spans="1:3" ht="12.75" x14ac:dyDescent="0.2">
      <c r="A2305" s="1" t="str">
        <f ca="1">IFERROR(__xludf.DUMMYFUNCTION("GOOGLETRANSLATE(C2271, ""en"", ""es"")"),"subestimar")</f>
        <v>subestimar</v>
      </c>
      <c r="B2305" s="1">
        <v>-1</v>
      </c>
      <c r="C2305" s="1" t="s">
        <v>2267</v>
      </c>
    </row>
    <row r="2306" spans="1:3" ht="12.75" x14ac:dyDescent="0.2">
      <c r="A2306" s="1" t="str">
        <f ca="1">IFERROR(__xludf.DUMMYFUNCTION("GOOGLETRANSLATE(C2272, ""en"", ""es"")"),"subsidios")</f>
        <v>subsidios</v>
      </c>
      <c r="B2306" s="1">
        <v>1</v>
      </c>
      <c r="C2306" s="1" t="s">
        <v>2268</v>
      </c>
    </row>
    <row r="2307" spans="1:3" ht="12.75" x14ac:dyDescent="0.2">
      <c r="A2307" s="1" t="str">
        <f ca="1">IFERROR(__xludf.DUMMYFUNCTION("GOOGLETRANSLATE(C2273, ""en"", ""es"")"),"subversivo")</f>
        <v>subversivo</v>
      </c>
      <c r="B2307" s="1">
        <v>-2</v>
      </c>
      <c r="C2307" s="1" t="s">
        <v>2269</v>
      </c>
    </row>
    <row r="2308" spans="1:3" ht="12.75" x14ac:dyDescent="0.2">
      <c r="A2308" s="1" t="str">
        <f ca="1">IFERROR(__xludf.DUMMYFUNCTION("GOOGLETRANSLATE(C2275, ""en"", ""es"")"),"sucio")</f>
        <v>sucio</v>
      </c>
      <c r="B2308" s="1">
        <v>-2</v>
      </c>
      <c r="C2308" s="1" t="s">
        <v>2271</v>
      </c>
    </row>
    <row r="2309" spans="1:3" ht="12.75" x14ac:dyDescent="0.2">
      <c r="A2309" s="1" t="str">
        <f ca="1">IFERROR(__xludf.DUMMYFUNCTION("GOOGLETRANSLATE(C2277, ""en"", ""es"")"),"sueño")</f>
        <v>sueño</v>
      </c>
      <c r="B2309" s="1">
        <v>1</v>
      </c>
      <c r="C2309" s="1" t="s">
        <v>2273</v>
      </c>
    </row>
    <row r="2310" spans="1:3" ht="12.75" x14ac:dyDescent="0.2">
      <c r="A2310" s="1" t="str">
        <f ca="1">IFERROR(__xludf.DUMMYFUNCTION("GOOGLETRANSLATE(C2278, ""en"", ""es"")"),"Sueños")</f>
        <v>Sueños</v>
      </c>
      <c r="B2310" s="1">
        <v>1</v>
      </c>
      <c r="C2310" s="1" t="s">
        <v>2274</v>
      </c>
    </row>
    <row r="2311" spans="1:3" ht="12.75" x14ac:dyDescent="0.2">
      <c r="A2311" s="1" t="str">
        <f ca="1">IFERROR(__xludf.DUMMYFUNCTION("GOOGLETRANSLATE(C2279, ""en"", ""es"")"),"suerte")</f>
        <v>suerte</v>
      </c>
      <c r="B2311" s="1">
        <v>3</v>
      </c>
      <c r="C2311" s="1" t="s">
        <v>2275</v>
      </c>
    </row>
    <row r="2312" spans="1:3" ht="12.75" x14ac:dyDescent="0.2">
      <c r="A2312" s="1" t="str">
        <f ca="1">IFERROR(__xludf.DUMMYFUNCTION("GOOGLETRANSLATE(C2280, ""en"", ""es"")"),"suerte")</f>
        <v>suerte</v>
      </c>
      <c r="B2312" s="1">
        <v>3</v>
      </c>
      <c r="C2312" s="1" t="s">
        <v>2276</v>
      </c>
    </row>
    <row r="2313" spans="1:3" ht="12.75" x14ac:dyDescent="0.2">
      <c r="A2313" s="1" t="str">
        <f ca="1">IFERROR(__xludf.DUMMYFUNCTION("GOOGLETRANSLATE(C2281, ""en"", ""es"")"),"suficiente")</f>
        <v>suficiente</v>
      </c>
      <c r="B2313" s="1">
        <v>-2</v>
      </c>
      <c r="C2313" s="1" t="s">
        <v>2277</v>
      </c>
    </row>
    <row r="2314" spans="1:3" ht="12.75" x14ac:dyDescent="0.2">
      <c r="A2314" s="1" t="str">
        <f ca="1">IFERROR(__xludf.DUMMYFUNCTION("GOOGLETRANSLATE(C2282, ""en"", ""es"")"),"sufre")</f>
        <v>sufre</v>
      </c>
      <c r="B2314" s="1">
        <v>-2</v>
      </c>
      <c r="C2314" s="1" t="s">
        <v>2278</v>
      </c>
    </row>
    <row r="2315" spans="1:3" ht="12.75" x14ac:dyDescent="0.2">
      <c r="A2315" s="1" t="str">
        <f ca="1">IFERROR(__xludf.DUMMYFUNCTION("GOOGLETRANSLATE(C2283, ""en"", ""es"")"),"sufrimiento")</f>
        <v>sufrimiento</v>
      </c>
      <c r="B2315" s="1">
        <v>-2</v>
      </c>
      <c r="C2315" s="1" t="s">
        <v>2279</v>
      </c>
    </row>
    <row r="2316" spans="1:3" ht="12.75" x14ac:dyDescent="0.2">
      <c r="A2316" s="1" t="str">
        <f ca="1">IFERROR(__xludf.DUMMYFUNCTION("GOOGLETRANSLATE(C2284, ""en"", ""es"")"),"sufrir")</f>
        <v>sufrir</v>
      </c>
      <c r="B2316" s="1">
        <v>-2</v>
      </c>
      <c r="C2316" s="1" t="s">
        <v>2280</v>
      </c>
    </row>
    <row r="2317" spans="1:3" ht="12.75" x14ac:dyDescent="0.2">
      <c r="A2317" s="1" t="str">
        <f ca="1">IFERROR(__xludf.DUMMYFUNCTION("GOOGLETRANSLATE(C2285, ""en"", ""es"")"),"suicida")</f>
        <v>suicida</v>
      </c>
      <c r="B2317" s="1">
        <v>-2</v>
      </c>
      <c r="C2317" s="1" t="s">
        <v>2281</v>
      </c>
    </row>
    <row r="2318" spans="1:3" ht="12.75" x14ac:dyDescent="0.2">
      <c r="A2318" s="1" t="str">
        <f ca="1">IFERROR(__xludf.DUMMYFUNCTION("GOOGLETRANSLATE(C2286, ""en"", ""es"")"),"suicidio")</f>
        <v>suicidio</v>
      </c>
      <c r="B2318" s="1">
        <v>-2</v>
      </c>
      <c r="C2318" s="1" t="s">
        <v>2282</v>
      </c>
    </row>
    <row r="2319" spans="1:3" ht="12.75" x14ac:dyDescent="0.2">
      <c r="A2319" s="1" t="str">
        <f ca="1">IFERROR(__xludf.DUMMYFUNCTION("GOOGLETRANSLATE(C2287, ""en"", ""es"")"),"súper")</f>
        <v>súper</v>
      </c>
      <c r="B2319" s="1">
        <v>3</v>
      </c>
      <c r="C2319" s="1" t="s">
        <v>2283</v>
      </c>
    </row>
    <row r="2320" spans="1:3" ht="12.75" x14ac:dyDescent="0.2">
      <c r="A2320" s="1" t="str">
        <f ca="1">IFERROR(__xludf.DUMMYFUNCTION("GOOGLETRANSLATE(C1829, ""en"", ""es"")"),"superado")</f>
        <v>superado</v>
      </c>
      <c r="B2320" s="1">
        <v>-2</v>
      </c>
      <c r="C2320" s="1" t="s">
        <v>1827</v>
      </c>
    </row>
    <row r="2321" spans="1:3" ht="12.75" x14ac:dyDescent="0.2">
      <c r="A2321" s="1" t="str">
        <f ca="1">IFERROR(__xludf.DUMMYFUNCTION("GOOGLETRANSLATE(C2288, ""en"", ""es"")"),"superar a")</f>
        <v>superar a</v>
      </c>
      <c r="B2321" s="1">
        <v>2</v>
      </c>
      <c r="C2321" s="1" t="s">
        <v>2284</v>
      </c>
    </row>
    <row r="2322" spans="1:3" ht="12.75" x14ac:dyDescent="0.2">
      <c r="A2322" s="1" t="str">
        <f ca="1">IFERROR(__xludf.DUMMYFUNCTION("GOOGLETRANSLATE(C2289, ""en"", ""es"")"),"superior")</f>
        <v>superior</v>
      </c>
      <c r="B2322" s="1">
        <v>2</v>
      </c>
      <c r="C2322" s="1" t="s">
        <v>2285</v>
      </c>
    </row>
    <row r="2323" spans="1:3" ht="12.75" x14ac:dyDescent="0.2">
      <c r="A2323" s="1" t="str">
        <f ca="1">IFERROR(__xludf.DUMMYFUNCTION("GOOGLETRANSLATE(C2290, ""en"", ""es"")"),"suspender")</f>
        <v>suspender</v>
      </c>
      <c r="B2323" s="1">
        <v>-1</v>
      </c>
      <c r="C2323" s="1" t="s">
        <v>2286</v>
      </c>
    </row>
    <row r="2324" spans="1:3" ht="12.75" x14ac:dyDescent="0.2">
      <c r="A2324" s="1" t="str">
        <f ca="1">IFERROR(__xludf.DUMMYFUNCTION("GOOGLETRANSLATE(C2291, ""en"", ""es"")"),"suspendido")</f>
        <v>suspendido</v>
      </c>
      <c r="B2324" s="1">
        <v>-1</v>
      </c>
      <c r="C2324" s="1" t="s">
        <v>2287</v>
      </c>
    </row>
    <row r="2325" spans="1:3" ht="12.75" x14ac:dyDescent="0.2">
      <c r="A2325" s="1" t="str">
        <f ca="1">IFERROR(__xludf.DUMMYFUNCTION("GOOGLETRANSLATE(C2293, ""en"", ""es"")"),"suspiro")</f>
        <v>suspiro</v>
      </c>
      <c r="B2325" s="1">
        <v>-2</v>
      </c>
      <c r="C2325" s="1" t="s">
        <v>2289</v>
      </c>
    </row>
    <row r="2326" spans="1:3" ht="12.75" x14ac:dyDescent="0.2">
      <c r="A2326" s="1" t="str">
        <f ca="1">IFERROR(__xludf.DUMMYFUNCTION("GOOGLETRANSLATE(C2294, ""en"", ""es"")"),"sustancial")</f>
        <v>sustancial</v>
      </c>
      <c r="B2326" s="1">
        <v>1</v>
      </c>
      <c r="C2326" s="1" t="s">
        <v>2290</v>
      </c>
    </row>
    <row r="2327" spans="1:3" ht="12.75" x14ac:dyDescent="0.2">
      <c r="A2327" s="1" t="str">
        <f ca="1">IFERROR(__xludf.DUMMYFUNCTION("GOOGLETRANSLATE(C2295, ""en"", ""es"")"),"sustancialmente")</f>
        <v>sustancialmente</v>
      </c>
      <c r="B2327" s="1">
        <v>1</v>
      </c>
      <c r="C2327" s="1" t="s">
        <v>2291</v>
      </c>
    </row>
    <row r="2328" spans="1:3" ht="12.75" x14ac:dyDescent="0.2">
      <c r="A2328" s="1" t="str">
        <f ca="1">IFERROR(__xludf.DUMMYFUNCTION("GOOGLETRANSLATE(C2296, ""en"", ""es"")"),"susto")</f>
        <v>susto</v>
      </c>
      <c r="B2328" s="1">
        <v>-2</v>
      </c>
      <c r="C2328" s="1" t="s">
        <v>2292</v>
      </c>
    </row>
    <row r="2329" spans="1:3" ht="12.75" x14ac:dyDescent="0.2">
      <c r="A2329" s="1" t="str">
        <f ca="1">IFERROR(__xludf.DUMMYFUNCTION("GOOGLETRANSLATE(C2297, ""en"", ""es"")"),"susto")</f>
        <v>susto</v>
      </c>
      <c r="B2329" s="1">
        <v>-2</v>
      </c>
      <c r="C2329" s="1" t="s">
        <v>2293</v>
      </c>
    </row>
    <row r="2330" spans="1:3" ht="12.75" x14ac:dyDescent="0.2">
      <c r="A2330" s="1" t="str">
        <f ca="1">IFERROR(__xludf.DUMMYFUNCTION("GOOGLETRANSLATE(C2298, ""en"", ""es"")"),"tacaño")</f>
        <v>tacaño</v>
      </c>
      <c r="B2330" s="1">
        <v>-2</v>
      </c>
      <c r="C2330" s="1" t="s">
        <v>2294</v>
      </c>
    </row>
    <row r="2331" spans="1:3" ht="12.75" x14ac:dyDescent="0.2">
      <c r="A2331" s="1" t="str">
        <f ca="1">IFERROR(__xludf.DUMMYFUNCTION("GOOGLETRANSLATE(C2300, ""en"", ""es"")"),"tardar")</f>
        <v>tardar</v>
      </c>
      <c r="B2331" s="1">
        <v>-2</v>
      </c>
      <c r="C2331" s="1" t="s">
        <v>2296</v>
      </c>
    </row>
    <row r="2332" spans="1:3" ht="12.75" x14ac:dyDescent="0.2">
      <c r="A2332" s="1" t="str">
        <f ca="1">IFERROR(__xludf.DUMMYFUNCTION("GOOGLETRANSLATE(C2301, ""en"", ""es"")"),"tedio")</f>
        <v>tedio</v>
      </c>
      <c r="B2332" s="1">
        <v>-2</v>
      </c>
      <c r="C2332" s="1" t="s">
        <v>2297</v>
      </c>
    </row>
    <row r="2333" spans="1:3" ht="12.75" x14ac:dyDescent="0.2">
      <c r="A2333" s="1" t="str">
        <f ca="1">IFERROR(__xludf.DUMMYFUNCTION("GOOGLETRANSLATE(C27, ""en"", ""es"")"),"tedioso")</f>
        <v>tedioso</v>
      </c>
      <c r="B2333" s="1">
        <v>-2</v>
      </c>
      <c r="C2333" s="1" t="s">
        <v>27</v>
      </c>
    </row>
    <row r="2334" spans="1:3" ht="12.75" x14ac:dyDescent="0.2">
      <c r="A2334" s="1" t="str">
        <f ca="1">IFERROR(__xludf.DUMMYFUNCTION("GOOGLETRANSLATE(C2302, ""en"", ""es"")"),"telar")</f>
        <v>telar</v>
      </c>
      <c r="B2334" s="1">
        <v>-1</v>
      </c>
      <c r="C2334" s="1" t="s">
        <v>2298</v>
      </c>
    </row>
    <row r="2335" spans="1:3" ht="12.75" x14ac:dyDescent="0.2">
      <c r="A2335" s="1" t="str">
        <f ca="1">IFERROR(__xludf.DUMMYFUNCTION("GOOGLETRANSLATE(C2303, ""en"", ""es"")"),"telares")</f>
        <v>telares</v>
      </c>
      <c r="B2335" s="1">
        <v>-1</v>
      </c>
      <c r="C2335" s="1" t="s">
        <v>2299</v>
      </c>
    </row>
    <row r="2336" spans="1:3" ht="12.75" x14ac:dyDescent="0.2">
      <c r="A2336" s="1" t="str">
        <f ca="1">IFERROR(__xludf.DUMMYFUNCTION("GOOGLETRANSLATE(C2304, ""en"", ""es"")"),"temblante")</f>
        <v>temblante</v>
      </c>
      <c r="B2336" s="1">
        <v>-2</v>
      </c>
      <c r="C2336" s="1" t="s">
        <v>2300</v>
      </c>
    </row>
    <row r="2337" spans="1:3" ht="12.75" x14ac:dyDescent="0.2">
      <c r="A2337" s="1" t="str">
        <f ca="1">IFERROR(__xludf.DUMMYFUNCTION("GOOGLETRANSLATE(C2305, ""en"", ""es"")"),"temblor")</f>
        <v>temblor</v>
      </c>
      <c r="B2337" s="1">
        <v>-2</v>
      </c>
      <c r="C2337" s="1" t="s">
        <v>2301</v>
      </c>
    </row>
    <row r="2338" spans="1:3" ht="12.75" x14ac:dyDescent="0.2">
      <c r="A2338" s="1" t="str">
        <f ca="1">IFERROR(__xludf.DUMMYFUNCTION("GOOGLETRANSLATE(C2306, ""en"", ""es"")"),"tembloroso")</f>
        <v>tembloroso</v>
      </c>
      <c r="B2338" s="1">
        <v>-2</v>
      </c>
      <c r="C2338" s="1" t="s">
        <v>2302</v>
      </c>
    </row>
    <row r="2339" spans="1:3" ht="12.75" x14ac:dyDescent="0.2">
      <c r="A2339" s="1" t="str">
        <f ca="1">IFERROR(__xludf.DUMMYFUNCTION("GOOGLETRANSLATE(C2307, ""en"", ""es"")"),"temerario")</f>
        <v>temerario</v>
      </c>
      <c r="B2339" s="1">
        <v>2</v>
      </c>
      <c r="C2339" s="1" t="s">
        <v>2303</v>
      </c>
    </row>
    <row r="2340" spans="1:3" ht="12.75" x14ac:dyDescent="0.2">
      <c r="A2340" s="1" t="str">
        <f ca="1">IFERROR(__xludf.DUMMYFUNCTION("GOOGLETRANSLATE(C2309, ""en"", ""es"")"),"temeroso")</f>
        <v>temeroso</v>
      </c>
      <c r="B2340" s="1">
        <v>-2</v>
      </c>
      <c r="C2340" s="1" t="s">
        <v>2305</v>
      </c>
    </row>
    <row r="2341" spans="1:3" ht="12.75" x14ac:dyDescent="0.2">
      <c r="A2341" s="1" t="str">
        <f ca="1">IFERROR(__xludf.DUMMYFUNCTION("GOOGLETRANSLATE(C2313, ""en"", ""es"")"),"temeroso")</f>
        <v>temeroso</v>
      </c>
      <c r="B2341" s="1">
        <v>-2</v>
      </c>
      <c r="C2341" s="1" t="s">
        <v>2309</v>
      </c>
    </row>
    <row r="2342" spans="1:3" ht="12.75" x14ac:dyDescent="0.2">
      <c r="A2342" s="1" t="str">
        <f ca="1">IFERROR(__xludf.DUMMYFUNCTION("GOOGLETRANSLATE(C2310, ""en"", ""es"")"),"temible")</f>
        <v>temible</v>
      </c>
      <c r="B2342" s="1">
        <v>-2</v>
      </c>
      <c r="C2342" s="1" t="s">
        <v>2306</v>
      </c>
    </row>
    <row r="2343" spans="1:3" ht="12.75" x14ac:dyDescent="0.2">
      <c r="A2343" s="1" t="str">
        <f ca="1">IFERROR(__xludf.DUMMYFUNCTION("GOOGLETRANSLATE(C2311, ""en"", ""es"")"),"temido")</f>
        <v>temido</v>
      </c>
      <c r="B2343" s="1">
        <v>-2</v>
      </c>
      <c r="C2343" s="1" t="s">
        <v>2307</v>
      </c>
    </row>
    <row r="2344" spans="1:3" ht="12.75" x14ac:dyDescent="0.2">
      <c r="A2344" s="1" t="str">
        <f ca="1">IFERROR(__xludf.DUMMYFUNCTION("GOOGLETRANSLATE(C2312, ""en"", ""es"")"),"temor")</f>
        <v>temor</v>
      </c>
      <c r="B2344" s="1">
        <v>-2</v>
      </c>
      <c r="C2344" s="1" t="s">
        <v>2308</v>
      </c>
    </row>
    <row r="2345" spans="1:3" ht="12.75" x14ac:dyDescent="0.2">
      <c r="A2345" s="1" t="str">
        <f ca="1">IFERROR(__xludf.DUMMYFUNCTION("GOOGLETRANSLATE(C2314, ""en"", ""es"")"),"temperamental")</f>
        <v>temperamental</v>
      </c>
      <c r="B2345" s="1">
        <v>-1</v>
      </c>
      <c r="C2345" s="1" t="s">
        <v>2310</v>
      </c>
    </row>
    <row r="2346" spans="1:3" ht="12.75" x14ac:dyDescent="0.2">
      <c r="A2346" s="1" t="str">
        <f ca="1">IFERROR(__xludf.DUMMYFUNCTION("GOOGLETRANSLATE(C2315, ""en"", ""es"")"),"tensión")</f>
        <v>tensión</v>
      </c>
      <c r="B2346" s="1">
        <v>-1</v>
      </c>
      <c r="C2346" s="1" t="s">
        <v>2311</v>
      </c>
    </row>
    <row r="2347" spans="1:3" ht="12.75" x14ac:dyDescent="0.2">
      <c r="A2347" s="1" t="str">
        <f ca="1">IFERROR(__xludf.DUMMYFUNCTION("GOOGLETRANSLATE(C2316, ""en"", ""es"")"),"tenso")</f>
        <v>tenso</v>
      </c>
      <c r="B2347" s="1">
        <v>-2</v>
      </c>
      <c r="C2347" s="1" t="s">
        <v>2312</v>
      </c>
    </row>
    <row r="2348" spans="1:3" ht="12.75" x14ac:dyDescent="0.2">
      <c r="A2348" s="1" t="str">
        <f ca="1">IFERROR(__xludf.DUMMYFUNCTION("GOOGLETRANSLATE(C2317, ""en"", ""es"")"),"tergiversación")</f>
        <v>tergiversación</v>
      </c>
      <c r="B2348" s="1">
        <v>-2</v>
      </c>
      <c r="C2348" s="1" t="s">
        <v>2313</v>
      </c>
    </row>
    <row r="2349" spans="1:3" ht="12.75" x14ac:dyDescent="0.2">
      <c r="A2349" s="1" t="str">
        <f ca="1">IFERROR(__xludf.DUMMYFUNCTION("GOOGLETRANSLATE(C2318, ""en"", ""es"")"),"terrible")</f>
        <v>terrible</v>
      </c>
      <c r="B2349" s="1">
        <v>-3</v>
      </c>
      <c r="C2349" s="1" t="s">
        <v>2314</v>
      </c>
    </row>
    <row r="2350" spans="1:3" ht="12.75" x14ac:dyDescent="0.2">
      <c r="A2350" s="1" t="str">
        <f ca="1">IFERROR(__xludf.DUMMYFUNCTION("GOOGLETRANSLATE(C2319, ""en"", ""es"")"),"terrible")</f>
        <v>terrible</v>
      </c>
      <c r="B2350" s="1">
        <v>-3</v>
      </c>
      <c r="C2350" s="1" t="s">
        <v>2315</v>
      </c>
    </row>
    <row r="2351" spans="1:3" ht="12.75" x14ac:dyDescent="0.2">
      <c r="A2351" s="1" t="str">
        <f ca="1">IFERROR(__xludf.DUMMYFUNCTION("GOOGLETRANSLATE(C2320, ""en"", ""es"")"),"terrible")</f>
        <v>terrible</v>
      </c>
      <c r="B2351" s="1">
        <v>-3</v>
      </c>
      <c r="C2351" s="1" t="s">
        <v>2316</v>
      </c>
    </row>
    <row r="2352" spans="1:3" ht="12.75" x14ac:dyDescent="0.2">
      <c r="A2352" s="1" t="str">
        <f ca="1">IFERROR(__xludf.DUMMYFUNCTION("GOOGLETRANSLATE(C2321, ""en"", ""es"")"),"terriblemente")</f>
        <v>terriblemente</v>
      </c>
      <c r="B2352" s="1">
        <v>-3</v>
      </c>
      <c r="C2352" s="1" t="s">
        <v>2317</v>
      </c>
    </row>
    <row r="2353" spans="1:3" ht="12.75" x14ac:dyDescent="0.2">
      <c r="A2353" s="1" t="str">
        <f ca="1">IFERROR(__xludf.DUMMYFUNCTION("GOOGLETRANSLATE(C2322, ""en"", ""es"")"),"terror")</f>
        <v>terror</v>
      </c>
      <c r="B2353" s="1">
        <v>-3</v>
      </c>
      <c r="C2353" s="1" t="s">
        <v>2318</v>
      </c>
    </row>
    <row r="2354" spans="1:3" ht="12.75" x14ac:dyDescent="0.2">
      <c r="A2354" s="1" t="str">
        <f ca="1">IFERROR(__xludf.DUMMYFUNCTION("GOOGLETRANSLATE(C303, ""en"", ""es"")"),"terrorizar")</f>
        <v>terrorizar</v>
      </c>
      <c r="B2354" s="1">
        <v>-3</v>
      </c>
      <c r="C2354" s="1" t="s">
        <v>303</v>
      </c>
    </row>
    <row r="2355" spans="1:3" ht="12.75" x14ac:dyDescent="0.2">
      <c r="A2355" s="1" t="str">
        <f ca="1">IFERROR(__xludf.DUMMYFUNCTION("GOOGLETRANSLATE(C2323, ""en"", ""es"")"),"tesoro")</f>
        <v>tesoro</v>
      </c>
      <c r="B2355" s="1">
        <v>2</v>
      </c>
      <c r="C2355" s="1" t="s">
        <v>2319</v>
      </c>
    </row>
    <row r="2356" spans="1:3" ht="12.75" x14ac:dyDescent="0.2">
      <c r="A2356" s="1" t="str">
        <f ca="1">IFERROR(__xludf.DUMMYFUNCTION("GOOGLETRANSLATE(C2324, ""en"", ""es"")"),"tesoros")</f>
        <v>tesoros</v>
      </c>
      <c r="B2356" s="1">
        <v>2</v>
      </c>
      <c r="C2356" s="1" t="s">
        <v>2320</v>
      </c>
    </row>
    <row r="2357" spans="1:3" ht="12.75" x14ac:dyDescent="0.2">
      <c r="A2357" s="1" t="str">
        <f ca="1">IFERROR(__xludf.DUMMYFUNCTION("GOOGLETRANSLATE(C1798, ""en"", ""es"")"),"testarudo")</f>
        <v>testarudo</v>
      </c>
      <c r="B2357" s="1">
        <v>-2</v>
      </c>
      <c r="C2357" s="1" t="s">
        <v>1796</v>
      </c>
    </row>
    <row r="2358" spans="1:3" ht="12.75" x14ac:dyDescent="0.2">
      <c r="A2358" s="1" t="str">
        <f ca="1">IFERROR(__xludf.DUMMYFUNCTION("GOOGLETRANSLATE(C2325, ""en"", ""es"")"),"tetas")</f>
        <v>tetas</v>
      </c>
      <c r="B2358" s="1">
        <v>-2</v>
      </c>
      <c r="C2358" s="1" t="s">
        <v>2321</v>
      </c>
    </row>
    <row r="2359" spans="1:3" ht="12.75" x14ac:dyDescent="0.2">
      <c r="A2359" s="1" t="str">
        <f ca="1">IFERROR(__xludf.DUMMYFUNCTION("GOOGLETRANSLATE(C2326, ""en"", ""es"")"),"tiempo")</f>
        <v>tiempo</v>
      </c>
      <c r="B2359" s="1">
        <v>-2</v>
      </c>
      <c r="C2359" s="1" t="s">
        <v>2322</v>
      </c>
    </row>
    <row r="2360" spans="1:3" ht="12.75" x14ac:dyDescent="0.2">
      <c r="A2360" s="1" t="str">
        <f ca="1">IFERROR(__xludf.DUMMYFUNCTION("GOOGLETRANSLATE(C2274, ""en"", ""es"")"),"tierra")</f>
        <v>tierra</v>
      </c>
      <c r="B2360" s="1">
        <v>-2</v>
      </c>
      <c r="C2360" s="1" t="s">
        <v>2270</v>
      </c>
    </row>
    <row r="2361" spans="1:3" ht="12.75" x14ac:dyDescent="0.2">
      <c r="A2361" s="1" t="str">
        <f ca="1">IFERROR(__xludf.DUMMYFUNCTION("GOOGLETRANSLATE(C1218, ""en"", ""es"")"),"timbre")</f>
        <v>timbre</v>
      </c>
      <c r="B2361" s="1">
        <v>-2</v>
      </c>
      <c r="C2361" s="1" t="s">
        <v>1220</v>
      </c>
    </row>
    <row r="2362" spans="1:3" ht="12.75" x14ac:dyDescent="0.2">
      <c r="A2362" s="1" t="str">
        <f ca="1">IFERROR(__xludf.DUMMYFUNCTION("GOOGLETRANSLATE(C2327, ""en"", ""es"")"),"tímido")</f>
        <v>tímido</v>
      </c>
      <c r="B2362" s="1">
        <v>-2</v>
      </c>
      <c r="C2362" s="1" t="s">
        <v>2323</v>
      </c>
    </row>
    <row r="2363" spans="1:3" ht="12.75" x14ac:dyDescent="0.2">
      <c r="A2363" s="1" t="str">
        <f ca="1">IFERROR(__xludf.DUMMYFUNCTION("GOOGLETRANSLATE(C2328, ""en"", ""es"")"),"tímido")</f>
        <v>tímido</v>
      </c>
      <c r="B2363" s="1">
        <v>-1</v>
      </c>
      <c r="C2363" s="1" t="s">
        <v>2324</v>
      </c>
    </row>
    <row r="2364" spans="1:3" ht="12.75" x14ac:dyDescent="0.2">
      <c r="A2364" s="1" t="str">
        <f ca="1">IFERROR(__xludf.DUMMYFUNCTION("GOOGLETRANSLATE(C2329, ""en"", ""es"")"),"tímido")</f>
        <v>tímido</v>
      </c>
      <c r="B2364" s="1">
        <v>-2</v>
      </c>
      <c r="C2364" s="1" t="s">
        <v>2325</v>
      </c>
    </row>
    <row r="2365" spans="1:3" ht="12.75" x14ac:dyDescent="0.2">
      <c r="A2365" s="1" t="str">
        <f ca="1">IFERROR(__xludf.DUMMYFUNCTION("GOOGLETRANSLATE(C2330, ""en"", ""es"")"),"timorato")</f>
        <v>timorato</v>
      </c>
      <c r="B2365" s="1">
        <v>-2</v>
      </c>
      <c r="C2365" s="1" t="s">
        <v>2326</v>
      </c>
    </row>
    <row r="2366" spans="1:3" ht="12.75" x14ac:dyDescent="0.2">
      <c r="A2366" s="1" t="str">
        <f ca="1">IFERROR(__xludf.DUMMYFUNCTION("GOOGLETRANSLATE(C2332, ""en"", ""es"")"),"tolerante")</f>
        <v>tolerante</v>
      </c>
      <c r="B2366" s="1">
        <v>2</v>
      </c>
      <c r="C2366" s="1" t="s">
        <v>2328</v>
      </c>
    </row>
    <row r="2367" spans="1:3" ht="12.75" x14ac:dyDescent="0.2">
      <c r="A2367" s="1" t="s">
        <v>2477</v>
      </c>
      <c r="B2367" s="1">
        <v>-2</v>
      </c>
      <c r="C2367" s="1" t="s">
        <v>2478</v>
      </c>
    </row>
    <row r="2368" spans="1:3" ht="12.75" x14ac:dyDescent="0.2">
      <c r="A2368" s="1" t="str">
        <f ca="1">IFERROR(__xludf.DUMMYFUNCTION("GOOGLETRANSLATE(C2334, ""en"", ""es"")"),"tonta")</f>
        <v>tonta</v>
      </c>
      <c r="B2368" s="1">
        <v>-3</v>
      </c>
      <c r="C2368" s="1" t="s">
        <v>2330</v>
      </c>
    </row>
    <row r="2369" spans="1:3" ht="12.75" x14ac:dyDescent="0.2">
      <c r="A2369" s="1" t="str">
        <f ca="1">IFERROR(__xludf.DUMMYFUNCTION("GOOGLETRANSLATE(C1692, ""en"", ""es"")"),"tonterías")</f>
        <v>tonterías</v>
      </c>
      <c r="B2369" s="1">
        <v>-3</v>
      </c>
      <c r="C2369" s="1" t="s">
        <v>1691</v>
      </c>
    </row>
    <row r="2370" spans="1:3" ht="12.75" x14ac:dyDescent="0.2">
      <c r="A2370" s="1" t="str">
        <f ca="1">IFERROR(__xludf.DUMMYFUNCTION("GOOGLETRANSLATE(C2337, ""en"", ""es"")"),"tonto")</f>
        <v>tonto</v>
      </c>
      <c r="B2370" s="1">
        <v>-1</v>
      </c>
      <c r="C2370" s="1" t="s">
        <v>2333</v>
      </c>
    </row>
    <row r="2371" spans="1:3" ht="12.75" x14ac:dyDescent="0.2">
      <c r="A2371" s="1" t="str">
        <f ca="1">IFERROR(__xludf.DUMMYFUNCTION("GOOGLETRANSLATE(C2338, ""en"", ""es"")"),"tontos")</f>
        <v>tontos</v>
      </c>
      <c r="B2371" s="1">
        <v>-2</v>
      </c>
      <c r="C2371" s="1" t="s">
        <v>2334</v>
      </c>
    </row>
    <row r="2372" spans="1:3" ht="12.75" x14ac:dyDescent="0.2">
      <c r="A2372" s="1" t="str">
        <f ca="1">IFERROR(__xludf.DUMMYFUNCTION("GOOGLETRANSLATE(C2299, ""en"", ""es"")"),"tops")</f>
        <v>tops</v>
      </c>
      <c r="B2372" s="1">
        <v>2</v>
      </c>
      <c r="C2372" s="1" t="s">
        <v>2295</v>
      </c>
    </row>
    <row r="2373" spans="1:3" ht="12.75" x14ac:dyDescent="0.2">
      <c r="A2373" s="1" t="str">
        <f ca="1">IFERROR(__xludf.DUMMYFUNCTION("GOOGLETRANSLATE(C2340, ""en"", ""es"")"),"tortura")</f>
        <v>tortura</v>
      </c>
      <c r="B2373" s="1">
        <v>-4</v>
      </c>
      <c r="C2373" s="1" t="s">
        <v>2336</v>
      </c>
    </row>
    <row r="2374" spans="1:3" ht="12.75" x14ac:dyDescent="0.2">
      <c r="A2374" s="1" t="str">
        <f ca="1">IFERROR(__xludf.DUMMYFUNCTION("GOOGLETRANSLATE(C2341, ""en"", ""es"")"),"tortura")</f>
        <v>tortura</v>
      </c>
      <c r="B2374" s="1">
        <v>-4</v>
      </c>
      <c r="C2374" s="1" t="s">
        <v>2337</v>
      </c>
    </row>
    <row r="2375" spans="1:3" ht="12.75" x14ac:dyDescent="0.2">
      <c r="A2375" s="1" t="str">
        <f ca="1">IFERROR(__xludf.DUMMYFUNCTION("GOOGLETRANSLATE(C2343, ""en"", ""es"")"),"tortura")</f>
        <v>tortura</v>
      </c>
      <c r="B2375" s="1">
        <v>-4</v>
      </c>
      <c r="C2375" s="1" t="s">
        <v>2339</v>
      </c>
    </row>
    <row r="2376" spans="1:3" ht="12.75" x14ac:dyDescent="0.2">
      <c r="A2376" s="1" t="str">
        <f ca="1">IFERROR(__xludf.DUMMYFUNCTION("GOOGLETRANSLATE(C2342, ""en"", ""es"")"),"torturado")</f>
        <v>torturado</v>
      </c>
      <c r="B2376" s="1">
        <v>-4</v>
      </c>
      <c r="C2376" s="1" t="s">
        <v>2338</v>
      </c>
    </row>
    <row r="2377" spans="1:3" ht="12.75" x14ac:dyDescent="0.2">
      <c r="A2377" s="1" t="str">
        <f ca="1">IFERROR(__xludf.DUMMYFUNCTION("GOOGLETRANSLATE(C2344, ""en"", ""es"")"),"totalitario")</f>
        <v>totalitario</v>
      </c>
      <c r="B2377" s="1">
        <v>-2</v>
      </c>
      <c r="C2377" s="1" t="s">
        <v>2340</v>
      </c>
    </row>
    <row r="2378" spans="1:3" ht="12.75" x14ac:dyDescent="0.2">
      <c r="A2378" s="1" t="str">
        <f ca="1">IFERROR(__xludf.DUMMYFUNCTION("GOOGLETRANSLATE(C2345, ""en"", ""es"")"),"totalitarismo")</f>
        <v>totalitarismo</v>
      </c>
      <c r="B2378" s="1">
        <v>-2</v>
      </c>
      <c r="C2378" s="1" t="s">
        <v>2341</v>
      </c>
    </row>
    <row r="2379" spans="1:3" ht="12.75" x14ac:dyDescent="0.2">
      <c r="A2379" s="1" t="str">
        <f ca="1">IFERROR(__xludf.DUMMYFUNCTION("GOOGLETRANSLATE(C2106, ""en"", ""es"")"),"touts")</f>
        <v>touts</v>
      </c>
      <c r="B2379" s="1">
        <v>-2</v>
      </c>
      <c r="C2379" s="1" t="s">
        <v>2104</v>
      </c>
    </row>
    <row r="2380" spans="1:3" ht="12.75" x14ac:dyDescent="0.2">
      <c r="A2380" s="1" t="str">
        <f ca="1">IFERROR(__xludf.DUMMYFUNCTION("GOOGLETRANSLATE(C2346, ""en"", ""es"")"),"tragedia")</f>
        <v>tragedia</v>
      </c>
      <c r="B2380" s="1">
        <v>-2</v>
      </c>
      <c r="C2380" s="1" t="s">
        <v>2342</v>
      </c>
    </row>
    <row r="2381" spans="1:3" ht="12.75" x14ac:dyDescent="0.2">
      <c r="A2381" s="1" t="str">
        <f ca="1">IFERROR(__xludf.DUMMYFUNCTION("GOOGLETRANSLATE(C2347, ""en"", ""es"")"),"trágico")</f>
        <v>trágico</v>
      </c>
      <c r="B2381" s="1">
        <v>-2</v>
      </c>
      <c r="C2381" s="1" t="s">
        <v>2343</v>
      </c>
    </row>
    <row r="2382" spans="1:3" ht="12.75" x14ac:dyDescent="0.2">
      <c r="A2382" s="1" t="str">
        <f ca="1">IFERROR(__xludf.DUMMYFUNCTION("GOOGLETRANSLATE(C2349, ""en"", ""es"")"),"traición")</f>
        <v>traición</v>
      </c>
      <c r="B2382" s="1">
        <v>-3</v>
      </c>
      <c r="C2382" s="1" t="s">
        <v>2345</v>
      </c>
    </row>
    <row r="2383" spans="1:3" ht="12.75" x14ac:dyDescent="0.2">
      <c r="A2383" s="1" t="str">
        <f ca="1">IFERROR(__xludf.DUMMYFUNCTION("GOOGLETRANSLATE(C2350, ""en"", ""es"")"),"traición")</f>
        <v>traición</v>
      </c>
      <c r="B2383" s="1">
        <v>-3</v>
      </c>
      <c r="C2383" s="1" t="s">
        <v>2346</v>
      </c>
    </row>
    <row r="2384" spans="1:3" ht="12.75" x14ac:dyDescent="0.2">
      <c r="A2384" s="1" t="str">
        <f ca="1">IFERROR(__xludf.DUMMYFUNCTION("GOOGLETRANSLATE(C2352, ""en"", ""es"")"),"traicionado")</f>
        <v>traicionado</v>
      </c>
      <c r="B2384" s="1">
        <v>-3</v>
      </c>
      <c r="C2384" s="1" t="s">
        <v>2348</v>
      </c>
    </row>
    <row r="2385" spans="1:3" ht="12.75" x14ac:dyDescent="0.2">
      <c r="A2385" s="1" t="str">
        <f ca="1">IFERROR(__xludf.DUMMYFUNCTION("GOOGLETRANSLATE(C2354, ""en"", ""es"")"),"traicionamiento")</f>
        <v>traicionamiento</v>
      </c>
      <c r="B2385" s="1">
        <v>-3</v>
      </c>
      <c r="C2385" s="1" t="s">
        <v>2350</v>
      </c>
    </row>
    <row r="2386" spans="1:3" ht="12.75" x14ac:dyDescent="0.2">
      <c r="A2386" s="1" t="str">
        <f ca="1">IFERROR(__xludf.DUMMYFUNCTION("GOOGLETRANSLATE(C2353, ""en"", ""es"")"),"traicionar")</f>
        <v>traicionar</v>
      </c>
      <c r="B2386" s="1">
        <v>-3</v>
      </c>
      <c r="C2386" s="1" t="s">
        <v>2349</v>
      </c>
    </row>
    <row r="2387" spans="1:3" ht="12.75" x14ac:dyDescent="0.2">
      <c r="A2387" s="1" t="str">
        <f ca="1">IFERROR(__xludf.DUMMYFUNCTION("GOOGLETRANSLATE(C2351, ""en"", ""es"")"),"traidados")</f>
        <v>traidados</v>
      </c>
      <c r="B2387" s="1">
        <v>-3</v>
      </c>
      <c r="C2387" s="1" t="s">
        <v>2347</v>
      </c>
    </row>
    <row r="2388" spans="1:3" ht="12.75" x14ac:dyDescent="0.2">
      <c r="A2388" s="1" t="str">
        <f ca="1">IFERROR(__xludf.DUMMYFUNCTION("GOOGLETRANSLATE(C2356, ""en"", ""es"")"),"trampa")</f>
        <v>trampa</v>
      </c>
      <c r="B2388" s="1">
        <v>-1</v>
      </c>
      <c r="C2388" s="1" t="s">
        <v>2352</v>
      </c>
    </row>
    <row r="2389" spans="1:3" ht="12.75" x14ac:dyDescent="0.2">
      <c r="A2389" s="1" t="str">
        <f ca="1">IFERROR(__xludf.DUMMYFUNCTION("GOOGLETRANSLATE(C2359, ""en"", ""es"")"),"trampas")</f>
        <v>trampas</v>
      </c>
      <c r="B2389" s="1">
        <v>-3</v>
      </c>
      <c r="C2389" s="1" t="s">
        <v>2355</v>
      </c>
    </row>
    <row r="2390" spans="1:3" ht="12.75" x14ac:dyDescent="0.2">
      <c r="A2390" s="1" t="str">
        <f ca="1">IFERROR(__xludf.DUMMYFUNCTION("GOOGLETRANSLATE(C2357, ""en"", ""es"")"),"tramposo")</f>
        <v>tramposo</v>
      </c>
      <c r="B2390" s="1">
        <v>-3</v>
      </c>
      <c r="C2390" s="1" t="s">
        <v>2353</v>
      </c>
    </row>
    <row r="2391" spans="1:3" ht="12.75" x14ac:dyDescent="0.2">
      <c r="A2391" s="1" t="str">
        <f ca="1">IFERROR(__xludf.DUMMYFUNCTION("GOOGLETRANSLATE(C2358, ""en"", ""es"")"),"tramposo")</f>
        <v>tramposo</v>
      </c>
      <c r="B2391" s="1">
        <v>-3</v>
      </c>
      <c r="C2391" s="1" t="s">
        <v>2354</v>
      </c>
    </row>
    <row r="2392" spans="1:3" ht="12.75" x14ac:dyDescent="0.2">
      <c r="A2392" s="1" t="str">
        <f ca="1">IFERROR(__xludf.DUMMYFUNCTION("GOOGLETRANSLATE(C2362, ""en"", ""es"")"),"tranquilizador")</f>
        <v>tranquilizador</v>
      </c>
      <c r="B2392" s="1">
        <v>2</v>
      </c>
      <c r="C2392" s="1" t="s">
        <v>2358</v>
      </c>
    </row>
    <row r="2393" spans="1:3" ht="12.75" x14ac:dyDescent="0.2">
      <c r="A2393" s="1" t="str">
        <f ca="1">IFERROR(__xludf.DUMMYFUNCTION("GOOGLETRANSLATE(C2360, ""en"", ""es"")"),"tranquilizar")</f>
        <v>tranquilizar</v>
      </c>
      <c r="B2393" s="1">
        <v>1</v>
      </c>
      <c r="C2393" s="1" t="s">
        <v>2356</v>
      </c>
    </row>
    <row r="2394" spans="1:3" ht="12.75" x14ac:dyDescent="0.2">
      <c r="A2394" s="1" t="str">
        <f ca="1">IFERROR(__xludf.DUMMYFUNCTION("GOOGLETRANSLATE(C2363, ""en"", ""es"")"),"tranquilizar")</f>
        <v>tranquilizar</v>
      </c>
      <c r="B2394" s="1">
        <v>1</v>
      </c>
      <c r="C2394" s="1" t="s">
        <v>2359</v>
      </c>
    </row>
    <row r="2395" spans="1:3" ht="12.75" x14ac:dyDescent="0.2">
      <c r="A2395" s="1" t="str">
        <f ca="1">IFERROR(__xludf.DUMMYFUNCTION("GOOGLETRANSLATE(C1834, ""en"", ""es"")"),"tranquilo")</f>
        <v>tranquilo</v>
      </c>
      <c r="B2395" s="1">
        <v>2</v>
      </c>
      <c r="C2395" s="1" t="s">
        <v>1832</v>
      </c>
    </row>
    <row r="2396" spans="1:3" ht="12.75" x14ac:dyDescent="0.2">
      <c r="A2396" s="1" t="str">
        <f ca="1">IFERROR(__xludf.DUMMYFUNCTION("GOOGLETRANSLATE(C2361, ""en"", ""es"")"),"tranquilo")</f>
        <v>tranquilo</v>
      </c>
      <c r="B2396" s="1">
        <v>1</v>
      </c>
      <c r="C2396" s="1" t="s">
        <v>2357</v>
      </c>
    </row>
    <row r="2397" spans="1:3" ht="12.75" x14ac:dyDescent="0.2">
      <c r="A2397" s="1" t="str">
        <f ca="1">IFERROR(__xludf.DUMMYFUNCTION("GOOGLETRANSLATE(C2364, ""en"", ""es"")"),"tranquilo")</f>
        <v>tranquilo</v>
      </c>
      <c r="B2397" s="1">
        <v>2</v>
      </c>
      <c r="C2397" s="1" t="s">
        <v>2360</v>
      </c>
    </row>
    <row r="2398" spans="1:3" ht="12.75" x14ac:dyDescent="0.2">
      <c r="A2398" s="1" t="str">
        <f ca="1">IFERROR(__xludf.DUMMYFUNCTION("GOOGLETRANSLATE(C2365, ""en"", ""es"")"),"trapacero")</f>
        <v>trapacero</v>
      </c>
      <c r="B2398" s="1">
        <v>-3</v>
      </c>
      <c r="C2398" s="1" t="s">
        <v>2361</v>
      </c>
    </row>
    <row r="2399" spans="1:3" ht="12.75" x14ac:dyDescent="0.2">
      <c r="A2399" s="1" t="str">
        <f ca="1">IFERROR(__xludf.DUMMYFUNCTION("GOOGLETRANSLATE(C2368, ""en"", ""es"")"),"trastorno")</f>
        <v>trastorno</v>
      </c>
      <c r="B2399" s="1">
        <v>-2</v>
      </c>
      <c r="C2399" s="1" t="s">
        <v>2364</v>
      </c>
    </row>
    <row r="2400" spans="1:3" ht="12.75" x14ac:dyDescent="0.2">
      <c r="A2400" s="1" t="str">
        <f ca="1">IFERROR(__xludf.DUMMYFUNCTION("GOOGLETRANSLATE(C2369, ""en"", ""es"")"),"trastornos")</f>
        <v>trastornos</v>
      </c>
      <c r="B2400" s="1">
        <v>-2</v>
      </c>
      <c r="C2400" s="1" t="s">
        <v>2365</v>
      </c>
    </row>
    <row r="2401" spans="1:3" ht="12.75" x14ac:dyDescent="0.2">
      <c r="A2401" s="1" t="str">
        <f ca="1">IFERROR(__xludf.DUMMYFUNCTION("GOOGLETRANSLATE(C2370, ""en"", ""es"")"),"trauma")</f>
        <v>trauma</v>
      </c>
      <c r="B2401" s="1">
        <v>-3</v>
      </c>
      <c r="C2401" s="1" t="s">
        <v>2366</v>
      </c>
    </row>
    <row r="2402" spans="1:3" ht="12.75" x14ac:dyDescent="0.2">
      <c r="A2402" s="1" t="str">
        <f ca="1">IFERROR(__xludf.DUMMYFUNCTION("GOOGLETRANSLATE(C2371, ""en"", ""es"")"),"traumático")</f>
        <v>traumático</v>
      </c>
      <c r="B2402" s="1">
        <v>-3</v>
      </c>
      <c r="C2402" s="1" t="s">
        <v>2367</v>
      </c>
    </row>
    <row r="2403" spans="1:3" ht="12.75" x14ac:dyDescent="0.2">
      <c r="A2403" s="1" t="str">
        <f ca="1">IFERROR(__xludf.DUMMYFUNCTION("GOOGLETRANSLATE(C2372, ""en"", ""es"")"),"travesura")</f>
        <v>travesura</v>
      </c>
      <c r="B2403" s="1">
        <v>-1</v>
      </c>
      <c r="C2403" s="1" t="s">
        <v>2368</v>
      </c>
    </row>
    <row r="2404" spans="1:3" ht="12.75" x14ac:dyDescent="0.2">
      <c r="A2404" s="1" t="str">
        <f ca="1">IFERROR(__xludf.DUMMYFUNCTION("GOOGLETRANSLATE(C1624, ""en"", ""es"")"),"travesuras")</f>
        <v>travesuras</v>
      </c>
      <c r="B2404" s="1">
        <v>-1</v>
      </c>
      <c r="C2404" s="1" t="s">
        <v>1622</v>
      </c>
    </row>
    <row r="2405" spans="1:3" ht="12.75" x14ac:dyDescent="0.2">
      <c r="A2405" s="1" t="str">
        <f ca="1">IFERROR(__xludf.DUMMYFUNCTION("GOOGLETRANSLATE(C2374, ""en"", ""es"")"),"trémulo")</f>
        <v>trémulo</v>
      </c>
      <c r="B2405" s="1">
        <v>-2</v>
      </c>
      <c r="C2405" s="1" t="s">
        <v>2370</v>
      </c>
    </row>
    <row r="2406" spans="1:3" ht="12.75" x14ac:dyDescent="0.2">
      <c r="A2406" s="1" t="str">
        <f ca="1">IFERROR(__xludf.DUMMYFUNCTION("GOOGLETRANSLATE(C967, ""en"", ""es"")"),"triste")</f>
        <v>triste</v>
      </c>
      <c r="B2406" s="1">
        <v>-2</v>
      </c>
      <c r="C2406" s="1" t="s">
        <v>969</v>
      </c>
    </row>
    <row r="2407" spans="1:3" ht="12.75" x14ac:dyDescent="0.2">
      <c r="A2407" s="1" t="str">
        <f ca="1">IFERROR(__xludf.DUMMYFUNCTION("GOOGLETRANSLATE(C2375, ""en"", ""es"")"),"triste")</f>
        <v>triste</v>
      </c>
      <c r="B2407" s="1">
        <v>-2</v>
      </c>
      <c r="C2407" s="1" t="s">
        <v>2371</v>
      </c>
    </row>
    <row r="2408" spans="1:3" ht="12.75" x14ac:dyDescent="0.2">
      <c r="A2408" s="1" t="str">
        <f ca="1">IFERROR(__xludf.DUMMYFUNCTION("GOOGLETRANSLATE(C2376, ""en"", ""es"")"),"triste")</f>
        <v>triste</v>
      </c>
      <c r="B2408" s="1">
        <v>-2</v>
      </c>
      <c r="C2408" s="1" t="s">
        <v>2372</v>
      </c>
    </row>
    <row r="2409" spans="1:3" ht="12.75" x14ac:dyDescent="0.2">
      <c r="A2409" s="1" t="str">
        <f ca="1">IFERROR(__xludf.DUMMYFUNCTION("GOOGLETRANSLATE(C2377, ""en"", ""es"")"),"triste")</f>
        <v>triste</v>
      </c>
      <c r="B2409" s="1">
        <v>-2</v>
      </c>
      <c r="C2409" s="1" t="s">
        <v>2373</v>
      </c>
    </row>
    <row r="2410" spans="1:3" ht="12.75" x14ac:dyDescent="0.2">
      <c r="A2410" s="1" t="str">
        <f ca="1">IFERROR(__xludf.DUMMYFUNCTION("GOOGLETRANSLATE(C2378, ""en"", ""es"")"),"triste")</f>
        <v>triste</v>
      </c>
      <c r="B2410" s="1">
        <v>-2</v>
      </c>
      <c r="C2410" s="1" t="s">
        <v>2374</v>
      </c>
    </row>
    <row r="2411" spans="1:3" ht="12.75" x14ac:dyDescent="0.2">
      <c r="A2411" s="1" t="str">
        <f ca="1">IFERROR(__xludf.DUMMYFUNCTION("GOOGLETRANSLATE(C2379, ""en"", ""es"")"),"triste")</f>
        <v>triste</v>
      </c>
      <c r="B2411" s="1">
        <v>-2</v>
      </c>
      <c r="C2411" s="1" t="s">
        <v>2375</v>
      </c>
    </row>
    <row r="2412" spans="1:3" ht="12.75" x14ac:dyDescent="0.2">
      <c r="A2412" s="1" t="str">
        <f ca="1">IFERROR(__xludf.DUMMYFUNCTION("GOOGLETRANSLATE(C2380, ""en"", ""es"")"),"triste")</f>
        <v>triste</v>
      </c>
      <c r="B2412" s="1">
        <v>-2</v>
      </c>
      <c r="C2412" s="1" t="s">
        <v>2376</v>
      </c>
    </row>
    <row r="2413" spans="1:3" ht="12.75" x14ac:dyDescent="0.2">
      <c r="A2413" s="1" t="str">
        <f ca="1">IFERROR(__xludf.DUMMYFUNCTION("GOOGLETRANSLATE(C2381, ""en"", ""es"")"),"triste")</f>
        <v>triste</v>
      </c>
      <c r="B2413" s="1">
        <v>-2</v>
      </c>
      <c r="C2413" s="1" t="s">
        <v>2377</v>
      </c>
    </row>
    <row r="2414" spans="1:3" ht="12.75" x14ac:dyDescent="0.2">
      <c r="A2414" s="1" t="str">
        <f ca="1">IFERROR(__xludf.DUMMYFUNCTION("GOOGLETRANSLATE(C2382, ""en"", ""es"")"),"tristemente")</f>
        <v>tristemente</v>
      </c>
      <c r="B2414" s="1">
        <v>-2</v>
      </c>
      <c r="C2414" s="1" t="s">
        <v>2378</v>
      </c>
    </row>
    <row r="2415" spans="1:3" ht="12.75" x14ac:dyDescent="0.2">
      <c r="A2415" s="1" t="str">
        <f ca="1">IFERROR(__xludf.DUMMYFUNCTION("GOOGLETRANSLATE(C861, ""en"", ""es"")"),"tristeza")</f>
        <v>tristeza</v>
      </c>
      <c r="B2415" s="1">
        <v>-2</v>
      </c>
      <c r="C2415" s="1" t="s">
        <v>863</v>
      </c>
    </row>
    <row r="2416" spans="1:3" ht="12.75" x14ac:dyDescent="0.2">
      <c r="A2416" s="1" t="str">
        <f ca="1">IFERROR(__xludf.DUMMYFUNCTION("GOOGLETRANSLATE(C2383, ""en"", ""es"")"),"triunfante")</f>
        <v>triunfante</v>
      </c>
      <c r="B2416" s="1">
        <v>4</v>
      </c>
      <c r="C2416" s="1" t="s">
        <v>2379</v>
      </c>
    </row>
    <row r="2417" spans="1:3" ht="12.75" x14ac:dyDescent="0.2">
      <c r="A2417" s="1" t="str">
        <f ca="1">IFERROR(__xludf.DUMMYFUNCTION("GOOGLETRANSLATE(C2384, ""en"", ""es"")"),"triunfo")</f>
        <v>triunfo</v>
      </c>
      <c r="B2417" s="1">
        <v>4</v>
      </c>
      <c r="C2417" s="1" t="s">
        <v>2380</v>
      </c>
    </row>
    <row r="2418" spans="1:3" ht="12.75" x14ac:dyDescent="0.2">
      <c r="A2418" s="1" t="str">
        <f ca="1">IFERROR(__xludf.DUMMYFUNCTION("GOOGLETRANSLATE(C2386, ""en"", ""es"")"),"tumba")</f>
        <v>tumba</v>
      </c>
      <c r="B2418" s="1">
        <v>-2</v>
      </c>
      <c r="C2418" s="1" t="s">
        <v>2382</v>
      </c>
    </row>
    <row r="2419" spans="1:3" ht="12.75" x14ac:dyDescent="0.2">
      <c r="A2419" s="1" t="str">
        <f ca="1">IFERROR(__xludf.DUMMYFUNCTION("GOOGLETRANSLATE(C2387, ""en"", ""es"")"),"tumor")</f>
        <v>tumor</v>
      </c>
      <c r="B2419" s="1">
        <v>-2</v>
      </c>
      <c r="C2419" s="1" t="s">
        <v>2383</v>
      </c>
    </row>
    <row r="2420" spans="1:3" ht="12.75" x14ac:dyDescent="0.2">
      <c r="A2420" s="1" t="str">
        <f ca="1">IFERROR(__xludf.DUMMYFUNCTION("GOOGLETRANSLATE(C2128, ""en"", ""es"")"),"túnica")</f>
        <v>túnica</v>
      </c>
      <c r="B2420" s="1">
        <v>-2</v>
      </c>
      <c r="C2420" s="1" t="s">
        <v>2126</v>
      </c>
    </row>
    <row r="2421" spans="1:3" ht="12.75" x14ac:dyDescent="0.2">
      <c r="A2421" s="1" t="str">
        <f ca="1">IFERROR(__xludf.DUMMYFUNCTION("GOOGLETRANSLATE(C863, ""en"", ""es"")"),"úlcera")</f>
        <v>úlcera</v>
      </c>
      <c r="B2421" s="1">
        <v>-1</v>
      </c>
      <c r="C2421" s="1" t="s">
        <v>865</v>
      </c>
    </row>
    <row r="2422" spans="1:3" ht="12.75" x14ac:dyDescent="0.2">
      <c r="A2422" s="1" t="str">
        <f ca="1">IFERROR(__xludf.DUMMYFUNCTION("GOOGLETRANSLATE(C2389, ""en"", ""es"")"),"una vez en la vida")</f>
        <v>una vez en la vida</v>
      </c>
      <c r="B2422" s="1">
        <v>3</v>
      </c>
      <c r="C2422" s="1" t="s">
        <v>2385</v>
      </c>
    </row>
    <row r="2423" spans="1:3" ht="12.75" x14ac:dyDescent="0.2">
      <c r="A2423" s="1" t="str">
        <f ca="1">IFERROR(__xludf.DUMMYFUNCTION("GOOGLETRANSLATE(C2390, ""en"", ""es"")"),"unido")</f>
        <v>unido</v>
      </c>
      <c r="B2423" s="1">
        <v>1</v>
      </c>
      <c r="C2423" s="1" t="s">
        <v>2386</v>
      </c>
    </row>
    <row r="2424" spans="1:3" ht="12.75" x14ac:dyDescent="0.2">
      <c r="A2424" s="1" t="str">
        <f ca="1">IFERROR(__xludf.DUMMYFUNCTION("GOOGLETRANSLATE(C2391, ""en"", ""es"")"),"unificado")</f>
        <v>unificado</v>
      </c>
      <c r="B2424" s="1">
        <v>1</v>
      </c>
      <c r="C2424" s="1" t="s">
        <v>2387</v>
      </c>
    </row>
    <row r="2425" spans="1:3" ht="12.75" x14ac:dyDescent="0.2">
      <c r="A2425" s="1" t="str">
        <f ca="1">IFERROR(__xludf.DUMMYFUNCTION("GOOGLETRANSLATE(C2392, ""en"", ""es"")"),"unirse")</f>
        <v>unirse</v>
      </c>
      <c r="B2425" s="1">
        <v>1</v>
      </c>
      <c r="C2425" s="1" t="s">
        <v>2388</v>
      </c>
    </row>
    <row r="2426" spans="1:3" ht="12.75" x14ac:dyDescent="0.2">
      <c r="A2426" s="1" t="str">
        <f ca="1">IFERROR(__xludf.DUMMYFUNCTION("GOOGLETRANSLATE(C2394, ""en"", ""es"")"),"urgente")</f>
        <v>urgente</v>
      </c>
      <c r="B2426" s="1">
        <v>-1</v>
      </c>
      <c r="C2426" s="1" t="s">
        <v>2390</v>
      </c>
    </row>
    <row r="2427" spans="1:3" ht="12.75" x14ac:dyDescent="0.2">
      <c r="A2427" s="1" t="str">
        <f ca="1">IFERROR(__xludf.DUMMYFUNCTION("GOOGLETRANSLATE(C2395, ""en"", ""es"")"),"útil")</f>
        <v>útil</v>
      </c>
      <c r="B2427" s="1">
        <v>2</v>
      </c>
      <c r="C2427" s="1" t="s">
        <v>2391</v>
      </c>
    </row>
    <row r="2428" spans="1:3" ht="12.75" x14ac:dyDescent="0.2">
      <c r="A2428" s="1" t="str">
        <f ca="1">IFERROR(__xludf.DUMMYFUNCTION("GOOGLETRANSLATE(C2396, ""en"", ""es"")"),"utilidad")</f>
        <v>utilidad</v>
      </c>
      <c r="B2428" s="1">
        <v>2</v>
      </c>
      <c r="C2428" s="1" t="s">
        <v>2392</v>
      </c>
    </row>
    <row r="2429" spans="1:3" ht="12.75" x14ac:dyDescent="0.2">
      <c r="A2429" s="1" t="str">
        <f ca="1">IFERROR(__xludf.DUMMYFUNCTION("GOOGLETRANSLATE(C2397, ""en"", ""es"")"),"vacilante")</f>
        <v>vacilante</v>
      </c>
      <c r="B2429" s="1">
        <v>-2</v>
      </c>
      <c r="C2429" s="1" t="s">
        <v>2393</v>
      </c>
    </row>
    <row r="2430" spans="1:3" ht="12.75" x14ac:dyDescent="0.2">
      <c r="A2430" s="1" t="str">
        <f ca="1">IFERROR(__xludf.DUMMYFUNCTION("GOOGLETRANSLATE(C2398, ""en"", ""es"")"),"vacilante")</f>
        <v>vacilante</v>
      </c>
      <c r="B2430" s="1">
        <v>-1</v>
      </c>
      <c r="C2430" s="1" t="s">
        <v>2394</v>
      </c>
    </row>
    <row r="2431" spans="1:3" ht="12.75" x14ac:dyDescent="0.2">
      <c r="A2431" s="1" t="str">
        <f ca="1">IFERROR(__xludf.DUMMYFUNCTION("GOOGLETRANSLATE(C2400, ""en"", ""es"")"),"vacío")</f>
        <v>vacío</v>
      </c>
      <c r="B2431" s="1">
        <v>-1</v>
      </c>
      <c r="C2431" s="1" t="s">
        <v>2396</v>
      </c>
    </row>
    <row r="2432" spans="1:3" ht="12.75" x14ac:dyDescent="0.2">
      <c r="A2432" s="1" t="str">
        <f ca="1">IFERROR(__xludf.DUMMYFUNCTION("GOOGLETRANSLATE(C2401, ""en"", ""es"")"),"vacío")</f>
        <v>vacío</v>
      </c>
      <c r="B2432" s="1">
        <v>-1</v>
      </c>
      <c r="C2432" s="1" t="s">
        <v>2397</v>
      </c>
    </row>
    <row r="2433" spans="1:3" ht="12.75" x14ac:dyDescent="0.2">
      <c r="A2433" s="1" t="str">
        <f ca="1">IFERROR(__xludf.DUMMYFUNCTION("GOOGLETRANSLATE(C2403, ""en"", ""es"")"),"validado")</f>
        <v>validado</v>
      </c>
      <c r="B2433" s="1">
        <v>1</v>
      </c>
      <c r="C2433" s="1" t="s">
        <v>2399</v>
      </c>
    </row>
    <row r="2434" spans="1:3" ht="12.75" x14ac:dyDescent="0.2">
      <c r="A2434" s="1" t="str">
        <f ca="1">IFERROR(__xludf.DUMMYFUNCTION("GOOGLETRANSLATE(C2404, ""en"", ""es"")"),"validado")</f>
        <v>validado</v>
      </c>
      <c r="B2434" s="1">
        <v>1</v>
      </c>
      <c r="C2434" s="1" t="s">
        <v>2400</v>
      </c>
    </row>
    <row r="2435" spans="1:3" ht="12.75" x14ac:dyDescent="0.2">
      <c r="A2435" s="1" t="str">
        <f ca="1">IFERROR(__xludf.DUMMYFUNCTION("GOOGLETRANSLATE(C2406, ""en"", ""es"")"),"validante")</f>
        <v>validante</v>
      </c>
      <c r="B2435" s="1">
        <v>1</v>
      </c>
      <c r="C2435" s="1" t="s">
        <v>2402</v>
      </c>
    </row>
    <row r="2436" spans="1:3" ht="12.75" x14ac:dyDescent="0.2">
      <c r="A2436" s="1" t="str">
        <f ca="1">IFERROR(__xludf.DUMMYFUNCTION("GOOGLETRANSLATE(C2405, ""en"", ""es"")"),"validar")</f>
        <v>validar</v>
      </c>
      <c r="B2436" s="1">
        <v>1</v>
      </c>
      <c r="C2436" s="1" t="s">
        <v>2401</v>
      </c>
    </row>
    <row r="2437" spans="1:3" ht="12.75" x14ac:dyDescent="0.2">
      <c r="A2437" s="1" t="str">
        <f ca="1">IFERROR(__xludf.DUMMYFUNCTION("GOOGLETRANSLATE(C2408, ""en"", ""es"")"),"valiente")</f>
        <v>valiente</v>
      </c>
      <c r="B2437" s="1">
        <v>2</v>
      </c>
      <c r="C2437" s="1" t="s">
        <v>2404</v>
      </c>
    </row>
    <row r="2438" spans="1:3" ht="12.75" x14ac:dyDescent="0.2">
      <c r="A2438" s="1" t="str">
        <f ca="1">IFERROR(__xludf.DUMMYFUNCTION("GOOGLETRANSLATE(C2409, ""en"", ""es"")"),"valientemente")</f>
        <v>valientemente</v>
      </c>
      <c r="B2438" s="1">
        <v>2</v>
      </c>
      <c r="C2438" s="1" t="s">
        <v>2405</v>
      </c>
    </row>
    <row r="2439" spans="1:3" ht="12.75" x14ac:dyDescent="0.2">
      <c r="A2439" s="1" t="str">
        <f ca="1">IFERROR(__xludf.DUMMYFUNCTION("GOOGLETRANSLATE(C811, ""en"", ""es"")"),"valioso")</f>
        <v>valioso</v>
      </c>
      <c r="B2439" s="1">
        <v>2</v>
      </c>
      <c r="C2439" s="1" t="s">
        <v>812</v>
      </c>
    </row>
    <row r="2440" spans="1:3" ht="12.75" x14ac:dyDescent="0.2">
      <c r="A2440" s="1" t="str">
        <f ca="1">IFERROR(__xludf.DUMMYFUNCTION("GOOGLETRANSLATE(C2411, ""en"", ""es"")"),"valor")</f>
        <v>valor</v>
      </c>
      <c r="B2440" s="1">
        <v>2</v>
      </c>
      <c r="C2440" s="1" t="s">
        <v>2407</v>
      </c>
    </row>
    <row r="2441" spans="1:3" ht="12.75" x14ac:dyDescent="0.2">
      <c r="A2441" s="1" t="str">
        <f ca="1">IFERROR(__xludf.DUMMYFUNCTION("GOOGLETRANSLATE(C242, ""en"", ""es"")"),"valorar")</f>
        <v>valorar</v>
      </c>
      <c r="B2441" s="1">
        <v>2</v>
      </c>
      <c r="C2441" s="1" t="s">
        <v>242</v>
      </c>
    </row>
    <row r="2442" spans="1:3" ht="12.75" x14ac:dyDescent="0.2">
      <c r="A2442" s="1" t="str">
        <f ca="1">IFERROR(__xludf.DUMMYFUNCTION("GOOGLETRANSLATE(C2413, ""en"", ""es"")"),"vejación")</f>
        <v>vejación</v>
      </c>
      <c r="B2442" s="1">
        <v>-2</v>
      </c>
      <c r="C2442" s="1" t="s">
        <v>2409</v>
      </c>
    </row>
    <row r="2443" spans="1:3" ht="12.75" x14ac:dyDescent="0.2">
      <c r="A2443" s="1" t="str">
        <f ca="1">IFERROR(__xludf.DUMMYFUNCTION("GOOGLETRANSLATE(C2414, ""en"", ""es"")"),"vencido")</f>
        <v>vencido</v>
      </c>
      <c r="B2443" s="1">
        <v>-2</v>
      </c>
      <c r="C2443" s="1" t="s">
        <v>2410</v>
      </c>
    </row>
    <row r="2444" spans="1:3" ht="12.75" x14ac:dyDescent="0.2">
      <c r="A2444" s="1" t="str">
        <f ca="1">IFERROR(__xludf.DUMMYFUNCTION("GOOGLETRANSLATE(C2415, ""en"", ""es"")"),"veneno")</f>
        <v>veneno</v>
      </c>
      <c r="B2444" s="1">
        <v>-2</v>
      </c>
      <c r="C2444" s="1" t="s">
        <v>2411</v>
      </c>
    </row>
    <row r="2445" spans="1:3" ht="12.75" x14ac:dyDescent="0.2">
      <c r="A2445" s="1" t="str">
        <f ca="1">IFERROR(__xludf.DUMMYFUNCTION("GOOGLETRANSLATE(C2416, ""en"", ""es"")"),"venenos")</f>
        <v>venenos</v>
      </c>
      <c r="B2445" s="1">
        <v>-2</v>
      </c>
      <c r="C2445" s="1" t="s">
        <v>2412</v>
      </c>
    </row>
    <row r="2446" spans="1:3" ht="12.75" x14ac:dyDescent="0.2">
      <c r="A2446" s="1" t="str">
        <f ca="1">IFERROR(__xludf.DUMMYFUNCTION("GOOGLETRANSLATE(C2107, ""en"", ""es"")"),"venerado")</f>
        <v>venerado</v>
      </c>
      <c r="B2446" s="1">
        <v>2</v>
      </c>
      <c r="C2446" s="1" t="s">
        <v>2105</v>
      </c>
    </row>
    <row r="2447" spans="1:3" ht="12.75" x14ac:dyDescent="0.2">
      <c r="A2447" s="1" t="str">
        <f ca="1">IFERROR(__xludf.DUMMYFUNCTION("GOOGLETRANSLATE(C2417, ""en"", ""es"")"),"venganza")</f>
        <v>venganza</v>
      </c>
      <c r="B2447" s="1">
        <v>-2</v>
      </c>
      <c r="C2447" s="1" t="s">
        <v>2413</v>
      </c>
    </row>
    <row r="2448" spans="1:3" ht="12.75" x14ac:dyDescent="0.2">
      <c r="A2448" s="1" t="str">
        <f ca="1">IFERROR(__xludf.DUMMYFUNCTION("GOOGLETRANSLATE(C2418, ""en"", ""es"")"),"vengativo")</f>
        <v>vengativo</v>
      </c>
      <c r="B2448" s="1">
        <v>-2</v>
      </c>
      <c r="C2448" s="1" t="s">
        <v>2414</v>
      </c>
    </row>
    <row r="2449" spans="1:3" ht="12.75" x14ac:dyDescent="0.2">
      <c r="A2449" s="1" t="str">
        <f ca="1">IFERROR(__xludf.DUMMYFUNCTION("GOOGLETRANSLATE(C2419, ""en"", ""es"")"),"ventaja")</f>
        <v>ventaja</v>
      </c>
      <c r="B2449" s="1">
        <v>2</v>
      </c>
      <c r="C2449" s="1" t="s">
        <v>2415</v>
      </c>
    </row>
    <row r="2450" spans="1:3" ht="12.75" x14ac:dyDescent="0.2">
      <c r="A2450" s="1" t="str">
        <f ca="1">IFERROR(__xludf.DUMMYFUNCTION("GOOGLETRANSLATE(C2420, ""en"", ""es"")"),"ventajas")</f>
        <v>ventajas</v>
      </c>
      <c r="B2450" s="1">
        <v>2</v>
      </c>
      <c r="C2450" s="1" t="s">
        <v>2416</v>
      </c>
    </row>
    <row r="2451" spans="1:3" ht="12.75" x14ac:dyDescent="0.2">
      <c r="A2451" s="1" t="str">
        <f ca="1">IFERROR(__xludf.DUMMYFUNCTION("GOOGLETRANSLATE(C2422, ""en"", ""es"")"),"veredicto")</f>
        <v>veredicto</v>
      </c>
      <c r="B2451" s="1">
        <v>-1</v>
      </c>
      <c r="C2451" s="1" t="s">
        <v>2418</v>
      </c>
    </row>
    <row r="2452" spans="1:3" ht="12.75" x14ac:dyDescent="0.2">
      <c r="A2452" s="1" t="str">
        <f ca="1">IFERROR(__xludf.DUMMYFUNCTION("GOOGLETRANSLATE(C2423, ""en"", ""es"")"),"veredictos")</f>
        <v>veredictos</v>
      </c>
      <c r="B2452" s="1">
        <v>-1</v>
      </c>
      <c r="C2452" s="1" t="s">
        <v>2419</v>
      </c>
    </row>
    <row r="2453" spans="1:3" ht="12.75" x14ac:dyDescent="0.2">
      <c r="A2453" s="1" t="str">
        <f ca="1">IFERROR(__xludf.DUMMYFUNCTION("GOOGLETRANSLATE(C2424, ""en"", ""es"")"),"vergonzoso")</f>
        <v>vergonzoso</v>
      </c>
      <c r="B2453" s="1">
        <v>-2</v>
      </c>
      <c r="C2453" s="1" t="s">
        <v>2420</v>
      </c>
    </row>
    <row r="2454" spans="1:3" ht="12.75" x14ac:dyDescent="0.2">
      <c r="A2454" s="1" t="str">
        <f ca="1">IFERROR(__xludf.DUMMYFUNCTION("GOOGLETRANSLATE(C2426, ""en"", ""es"")"),"verguenza")</f>
        <v>verguenza</v>
      </c>
      <c r="B2454" s="1">
        <v>-2</v>
      </c>
      <c r="C2454" s="1" t="s">
        <v>2422</v>
      </c>
    </row>
    <row r="2455" spans="1:3" ht="12.75" x14ac:dyDescent="0.2">
      <c r="A2455" s="1" t="str">
        <f ca="1">IFERROR(__xludf.DUMMYFUNCTION("GOOGLETRANSLATE(C2425, ""en"", ""es"")"),"vergüenza")</f>
        <v>vergüenza</v>
      </c>
      <c r="B2455" s="1">
        <v>-2</v>
      </c>
      <c r="C2455" s="1" t="s">
        <v>2421</v>
      </c>
    </row>
    <row r="2456" spans="1:3" ht="12.75" x14ac:dyDescent="0.2">
      <c r="A2456" s="1" t="str">
        <f ca="1">IFERROR(__xludf.DUMMYFUNCTION("GOOGLETRANSLATE(C2385, ""en"", ""es"")"),"vertedero")</f>
        <v>vertedero</v>
      </c>
      <c r="B2456" s="1">
        <v>-1</v>
      </c>
      <c r="C2456" s="1" t="s">
        <v>2381</v>
      </c>
    </row>
    <row r="2457" spans="1:3" ht="12.75" x14ac:dyDescent="0.2">
      <c r="A2457" s="1" t="str">
        <f ca="1">IFERROR(__xludf.DUMMYFUNCTION("GOOGLETRANSLATE(C2427, ""en"", ""es"")"),"vestíbulo")</f>
        <v>vestíbulo</v>
      </c>
      <c r="B2457" s="1">
        <v>-2</v>
      </c>
      <c r="C2457" s="1" t="s">
        <v>2423</v>
      </c>
    </row>
    <row r="2458" spans="1:3" ht="12.75" x14ac:dyDescent="0.2">
      <c r="A2458" s="1" t="str">
        <f ca="1">IFERROR(__xludf.DUMMYFUNCTION("GOOGLETRANSLATE(C2428, ""en"", ""es"")"),"vibrante")</f>
        <v>vibrante</v>
      </c>
      <c r="B2458" s="1">
        <v>3</v>
      </c>
      <c r="C2458" s="1" t="s">
        <v>2424</v>
      </c>
    </row>
    <row r="2459" spans="1:3" ht="12.75" x14ac:dyDescent="0.2">
      <c r="A2459" s="1" t="str">
        <f ca="1">IFERROR(__xludf.DUMMYFUNCTION("GOOGLETRANSLATE(C2429, ""en"", ""es"")"),"vicioso")</f>
        <v>vicioso</v>
      </c>
      <c r="B2459" s="1">
        <v>-2</v>
      </c>
      <c r="C2459" s="1" t="s">
        <v>2425</v>
      </c>
    </row>
    <row r="2460" spans="1:3" ht="12.75" x14ac:dyDescent="0.2">
      <c r="A2460" s="1" t="str">
        <f ca="1">IFERROR(__xludf.DUMMYFUNCTION("GOOGLETRANSLATE(C2430, ""en"", ""es"")"),"víctima")</f>
        <v>víctima</v>
      </c>
      <c r="B2460" s="1">
        <v>-2</v>
      </c>
      <c r="C2460" s="1" t="s">
        <v>2426</v>
      </c>
    </row>
    <row r="2461" spans="1:3" ht="12.75" x14ac:dyDescent="0.2">
      <c r="A2461" s="1" t="str">
        <f ca="1">IFERROR(__xludf.DUMMYFUNCTION("GOOGLETRANSLATE(C2431, ""en"", ""es"")"),"víctima")</f>
        <v>víctima</v>
      </c>
      <c r="B2461" s="1">
        <v>-3</v>
      </c>
      <c r="C2461" s="1" t="s">
        <v>2427</v>
      </c>
    </row>
    <row r="2462" spans="1:3" ht="12.75" x14ac:dyDescent="0.2">
      <c r="A2462" s="1" t="str">
        <f ca="1">IFERROR(__xludf.DUMMYFUNCTION("GOOGLETRANSLATE(C2432, ""en"", ""es"")"),"víctima")</f>
        <v>víctima</v>
      </c>
      <c r="B2462" s="1">
        <v>-3</v>
      </c>
      <c r="C2462" s="1" t="s">
        <v>2428</v>
      </c>
    </row>
    <row r="2463" spans="1:3" ht="12.75" x14ac:dyDescent="0.2">
      <c r="A2463" s="1" t="str">
        <f ca="1">IFERROR(__xludf.DUMMYFUNCTION("GOOGLETRANSLATE(C2436, ""en"", ""es"")"),"víctima")</f>
        <v>víctima</v>
      </c>
      <c r="B2463" s="1">
        <v>-3</v>
      </c>
      <c r="C2463" s="1" t="s">
        <v>2432</v>
      </c>
    </row>
    <row r="2464" spans="1:3" ht="12.75" x14ac:dyDescent="0.2">
      <c r="A2464" s="1" t="str">
        <f ca="1">IFERROR(__xludf.DUMMYFUNCTION("GOOGLETRANSLATE(C2433, ""en"", ""es"")"),"víctimas")</f>
        <v>víctimas</v>
      </c>
      <c r="B2464" s="1">
        <v>-3</v>
      </c>
      <c r="C2464" s="1" t="s">
        <v>2429</v>
      </c>
    </row>
    <row r="2465" spans="1:3" ht="12.75" x14ac:dyDescent="0.2">
      <c r="A2465" s="1" t="str">
        <f ca="1">IFERROR(__xludf.DUMMYFUNCTION("GOOGLETRANSLATE(C2435, ""en"", ""es"")"),"víctimas")</f>
        <v>víctimas</v>
      </c>
      <c r="B2465" s="1">
        <v>-3</v>
      </c>
      <c r="C2465" s="1" t="s">
        <v>2431</v>
      </c>
    </row>
    <row r="2466" spans="1:3" ht="12.75" x14ac:dyDescent="0.2">
      <c r="A2466" s="1" t="str">
        <f ca="1">IFERROR(__xludf.DUMMYFUNCTION("GOOGLETRANSLATE(C2437, ""en"", ""es"")"),"victimizar")</f>
        <v>victimizar</v>
      </c>
      <c r="B2466" s="1">
        <v>-3</v>
      </c>
      <c r="C2466" s="1" t="s">
        <v>2433</v>
      </c>
    </row>
    <row r="2467" spans="1:3" ht="12.75" x14ac:dyDescent="0.2">
      <c r="A2467" s="1" t="str">
        <f ca="1">IFERROR(__xludf.DUMMYFUNCTION("GOOGLETRANSLATE(C1235, ""en"", ""es"")"),"victoria")</f>
        <v>victoria</v>
      </c>
      <c r="B2467" s="1">
        <v>4</v>
      </c>
      <c r="C2467" s="1" t="s">
        <v>1237</v>
      </c>
    </row>
    <row r="2468" spans="1:3" ht="12.75" x14ac:dyDescent="0.2">
      <c r="A2468" s="1" t="str">
        <f ca="1">IFERROR(__xludf.DUMMYFUNCTION("GOOGLETRANSLATE(C2438, ""en"", ""es"")"),"victorias")</f>
        <v>victorias</v>
      </c>
      <c r="B2468" s="1">
        <v>4</v>
      </c>
      <c r="C2468" s="1" t="s">
        <v>2434</v>
      </c>
    </row>
    <row r="2469" spans="1:3" ht="12.75" x14ac:dyDescent="0.2">
      <c r="A2469" s="1" t="str">
        <f ca="1">IFERROR(__xludf.DUMMYFUNCTION("GOOGLETRANSLATE(C2439, ""en"", ""es"")"),"victorioso")</f>
        <v>victorioso</v>
      </c>
      <c r="B2469" s="1">
        <v>4</v>
      </c>
      <c r="C2469" s="1" t="s">
        <v>2435</v>
      </c>
    </row>
    <row r="2470" spans="1:3" ht="12.75" x14ac:dyDescent="0.2">
      <c r="A2470" s="1" t="str">
        <f ca="1">IFERROR(__xludf.DUMMYFUNCTION("GOOGLETRANSLATE(C2440, ""en"", ""es"")"),"vigilante")</f>
        <v>vigilante</v>
      </c>
      <c r="B2470" s="1">
        <v>3</v>
      </c>
      <c r="C2470" s="1" t="s">
        <v>2436</v>
      </c>
    </row>
    <row r="2471" spans="1:3" ht="12.75" x14ac:dyDescent="0.2">
      <c r="A2471" s="1" t="str">
        <f ca="1">IFERROR(__xludf.DUMMYFUNCTION("GOOGLETRANSLATE(C2441, ""en"", ""es"")"),"vil")</f>
        <v>vil</v>
      </c>
      <c r="B2471" s="1">
        <v>-3</v>
      </c>
      <c r="C2471" s="1" t="s">
        <v>2437</v>
      </c>
    </row>
    <row r="2472" spans="1:3" ht="12.75" x14ac:dyDescent="0.2">
      <c r="A2472" s="1" t="str">
        <f ca="1">IFERROR(__xludf.DUMMYFUNCTION("GOOGLETRANSLATE(C2055, ""en"", ""es"")"),"vindicados")</f>
        <v>vindicados</v>
      </c>
      <c r="B2472" s="1">
        <v>2</v>
      </c>
      <c r="C2472" s="1" t="s">
        <v>2053</v>
      </c>
    </row>
    <row r="2473" spans="1:3" ht="12.75" x14ac:dyDescent="0.2">
      <c r="A2473" s="1" t="str">
        <f ca="1">IFERROR(__xludf.DUMMYFUNCTION("GOOGLETRANSLATE(C2443, ""en"", ""es"")"),"vindicar")</f>
        <v>vindicar</v>
      </c>
      <c r="B2473" s="1">
        <v>2</v>
      </c>
      <c r="C2473" s="1" t="s">
        <v>2439</v>
      </c>
    </row>
    <row r="2474" spans="1:3" ht="12.75" x14ac:dyDescent="0.2">
      <c r="A2474" s="1" t="str">
        <f ca="1">IFERROR(__xludf.DUMMYFUNCTION("GOOGLETRANSLATE(C2445, ""en"", ""es"")"),"violación")</f>
        <v>violación</v>
      </c>
      <c r="B2474" s="1">
        <v>-4</v>
      </c>
      <c r="C2474" s="1" t="s">
        <v>2441</v>
      </c>
    </row>
    <row r="2475" spans="1:3" ht="12.75" x14ac:dyDescent="0.2">
      <c r="A2475" s="1" t="str">
        <f ca="1">IFERROR(__xludf.DUMMYFUNCTION("GOOGLETRANSLATE(C2446, ""en"", ""es"")"),"violado")</f>
        <v>violado</v>
      </c>
      <c r="B2475" s="1">
        <v>-2</v>
      </c>
      <c r="C2475" s="1" t="s">
        <v>2442</v>
      </c>
    </row>
    <row r="2476" spans="1:3" ht="12.75" x14ac:dyDescent="0.2">
      <c r="A2476" s="1" t="str">
        <f ca="1">IFERROR(__xludf.DUMMYFUNCTION("GOOGLETRANSLATE(C2447, ""en"", ""es"")"),"violador")</f>
        <v>violador</v>
      </c>
      <c r="B2476" s="1">
        <v>-4</v>
      </c>
      <c r="C2476" s="1" t="s">
        <v>2443</v>
      </c>
    </row>
    <row r="2477" spans="1:3" ht="15.75" customHeight="1" x14ac:dyDescent="0.2">
      <c r="A2477" s="1" t="str">
        <f ca="1">IFERROR(__xludf.DUMMYFUNCTION("GOOGLETRANSLATE(C2449, ""en"", ""es"")"),"violador")</f>
        <v>violador</v>
      </c>
      <c r="B2477" s="1">
        <v>-2</v>
      </c>
      <c r="C2477" s="1" t="s">
        <v>2445</v>
      </c>
    </row>
    <row r="2478" spans="1:3" ht="15.75" customHeight="1" x14ac:dyDescent="0.2">
      <c r="A2478" t="s">
        <v>2473</v>
      </c>
      <c r="B2478" s="1">
        <v>-5</v>
      </c>
      <c r="C2478" s="1" t="s">
        <v>2443</v>
      </c>
    </row>
    <row r="2479" spans="1:3" ht="15.75" customHeight="1" x14ac:dyDescent="0.2">
      <c r="A2479" s="1" t="str">
        <f ca="1">IFERROR(__xludf.DUMMYFUNCTION("GOOGLETRANSLATE(C2444, ""en"", ""es"")"),"violar")</f>
        <v>violar</v>
      </c>
      <c r="B2479" s="1">
        <v>-2</v>
      </c>
      <c r="C2479" s="1" t="s">
        <v>2440</v>
      </c>
    </row>
    <row r="2480" spans="1:3" ht="15.75" customHeight="1" x14ac:dyDescent="0.2">
      <c r="A2480" s="1" t="str">
        <f ca="1">IFERROR(__xludf.DUMMYFUNCTION("GOOGLETRANSLATE(C2448, ""en"", ""es"")"),"violar")</f>
        <v>violar</v>
      </c>
      <c r="B2480" s="1">
        <v>-2</v>
      </c>
      <c r="C2480" s="1" t="s">
        <v>2444</v>
      </c>
    </row>
    <row r="2481" spans="1:3" ht="15.75" customHeight="1" x14ac:dyDescent="0.2">
      <c r="A2481" s="1" t="str">
        <f ca="1">IFERROR(__xludf.DUMMYFUNCTION("GOOGLETRANSLATE(C2450, ""en"", ""es"")"),"violencia")</f>
        <v>violencia</v>
      </c>
      <c r="B2481" s="1">
        <v>-3</v>
      </c>
      <c r="C2481" s="1" t="s">
        <v>2446</v>
      </c>
    </row>
    <row r="2482" spans="1:3" ht="15.75" customHeight="1" x14ac:dyDescent="0.2">
      <c r="A2482" s="1" t="str">
        <f ca="1">IFERROR(__xludf.DUMMYFUNCTION("GOOGLETRANSLATE(C2451, ""en"", ""es"")"),"violento")</f>
        <v>violento</v>
      </c>
      <c r="B2482" s="1">
        <v>-3</v>
      </c>
      <c r="C2482" s="1" t="s">
        <v>2447</v>
      </c>
    </row>
    <row r="2483" spans="1:3" ht="15.75" customHeight="1" x14ac:dyDescent="0.2">
      <c r="A2483" s="1" t="str">
        <f ca="1">IFERROR(__xludf.DUMMYFUNCTION("GOOGLETRANSLATE(C2452, ""en"", ""es"")"),"virtuoso")</f>
        <v>virtuoso</v>
      </c>
      <c r="B2483" s="1">
        <v>2</v>
      </c>
      <c r="C2483" s="1" t="s">
        <v>2448</v>
      </c>
    </row>
    <row r="2484" spans="1:3" ht="15.75" customHeight="1" x14ac:dyDescent="0.2">
      <c r="A2484" s="1" t="str">
        <f ca="1">IFERROR(__xludf.DUMMYFUNCTION("GOOGLETRANSLATE(C2453, ""en"", ""es"")"),"virulento")</f>
        <v>virulento</v>
      </c>
      <c r="B2484" s="1">
        <v>-2</v>
      </c>
      <c r="C2484" s="1" t="s">
        <v>2449</v>
      </c>
    </row>
    <row r="2485" spans="1:3" ht="15.75" customHeight="1" x14ac:dyDescent="0.2">
      <c r="A2485" s="1" t="str">
        <f ca="1">IFERROR(__xludf.DUMMYFUNCTION("GOOGLETRANSLATE(C2454, ""en"", ""es"")"),"visión")</f>
        <v>visión</v>
      </c>
      <c r="B2485" s="1">
        <v>1</v>
      </c>
      <c r="C2485" s="1" t="s">
        <v>2450</v>
      </c>
    </row>
    <row r="2486" spans="1:3" ht="15.75" customHeight="1" x14ac:dyDescent="0.2">
      <c r="A2486" s="1" t="str">
        <f ca="1">IFERROR(__xludf.DUMMYFUNCTION("GOOGLETRANSLATE(C2455, ""en"", ""es"")"),"visión")</f>
        <v>visión</v>
      </c>
      <c r="B2486" s="1">
        <v>1</v>
      </c>
      <c r="C2486" s="1" t="s">
        <v>2451</v>
      </c>
    </row>
    <row r="2487" spans="1:3" ht="15.75" customHeight="1" x14ac:dyDescent="0.2">
      <c r="A2487" s="1" t="str">
        <f ca="1">IFERROR(__xludf.DUMMYFUNCTION("GOOGLETRANSLATE(C2456, ""en"", ""es"")"),"visionario")</f>
        <v>visionario</v>
      </c>
      <c r="B2487" s="1">
        <v>3</v>
      </c>
      <c r="C2487" s="1" t="s">
        <v>2452</v>
      </c>
    </row>
    <row r="2488" spans="1:3" ht="15.75" customHeight="1" x14ac:dyDescent="0.2">
      <c r="A2488" s="1" t="str">
        <f ca="1">IFERROR(__xludf.DUMMYFUNCTION("GOOGLETRANSLATE(C2457, ""en"", ""es"")"),"visiones")</f>
        <v>visiones</v>
      </c>
      <c r="B2488" s="1">
        <v>1</v>
      </c>
      <c r="C2488" s="1" t="s">
        <v>2453</v>
      </c>
    </row>
    <row r="2489" spans="1:3" ht="15.75" customHeight="1" x14ac:dyDescent="0.2">
      <c r="A2489" s="1" t="str">
        <f ca="1">IFERROR(__xludf.DUMMYFUNCTION("GOOGLETRANSLATE(C2458, ""en"", ""es"")"),"vitalidad")</f>
        <v>vitalidad</v>
      </c>
      <c r="B2489" s="1">
        <v>3</v>
      </c>
      <c r="C2489" s="1" t="s">
        <v>2454</v>
      </c>
    </row>
    <row r="2490" spans="1:3" ht="15.75" customHeight="1" x14ac:dyDescent="0.2">
      <c r="A2490" s="1" t="str">
        <f ca="1">IFERROR(__xludf.DUMMYFUNCTION("GOOGLETRANSLATE(C2459, ""en"", ""es"")"),"vitamina")</f>
        <v>vitamina</v>
      </c>
      <c r="B2490" s="1">
        <v>1</v>
      </c>
      <c r="C2490" s="1" t="s">
        <v>2455</v>
      </c>
    </row>
    <row r="2491" spans="1:3" ht="15.75" customHeight="1" x14ac:dyDescent="0.2">
      <c r="A2491" s="1" t="str">
        <f ca="1">IFERROR(__xludf.DUMMYFUNCTION("GOOGLETRANSLATE(C2460, ""en"", ""es"")"),"vitriólico")</f>
        <v>vitriólico</v>
      </c>
      <c r="B2491" s="1">
        <v>-3</v>
      </c>
      <c r="C2491" s="1" t="s">
        <v>2456</v>
      </c>
    </row>
    <row r="2492" spans="1:3" ht="15.75" customHeight="1" x14ac:dyDescent="0.2">
      <c r="A2492" s="1" t="str">
        <f ca="1">IFERROR(__xludf.DUMMYFUNCTION("GOOGLETRANSLATE(C2461, ""en"", ""es"")"),"viudo")</f>
        <v>viudo</v>
      </c>
      <c r="B2492" s="1">
        <v>-1</v>
      </c>
      <c r="C2492" s="1" t="s">
        <v>2457</v>
      </c>
    </row>
    <row r="2493" spans="1:3" ht="15.75" customHeight="1" x14ac:dyDescent="0.2">
      <c r="A2493" s="1" t="str">
        <f ca="1">IFERROR(__xludf.DUMMYFUNCTION("GOOGLETRANSLATE(C1260, ""en"", ""es"")"),"Viva")</f>
        <v>Viva</v>
      </c>
      <c r="B2493" s="1">
        <v>2</v>
      </c>
      <c r="C2493" s="1" t="s">
        <v>1262</v>
      </c>
    </row>
    <row r="2494" spans="1:3" ht="15.75" customHeight="1" x14ac:dyDescent="0.2">
      <c r="A2494" s="1" t="str">
        <f ca="1">IFERROR(__xludf.DUMMYFUNCTION("GOOGLETRANSLATE(C2463, ""en"", ""es"")"),"vivaz")</f>
        <v>vivaz</v>
      </c>
      <c r="B2494" s="1">
        <v>3</v>
      </c>
      <c r="C2494" s="1" t="s">
        <v>2459</v>
      </c>
    </row>
    <row r="2495" spans="1:3" ht="15.75" customHeight="1" x14ac:dyDescent="0.2">
      <c r="A2495" s="1" t="str">
        <f ca="1">IFERROR(__xludf.DUMMYFUNCTION("GOOGLETRANSLATE(C2462, ""en"", ""es"")"),"vivo")</f>
        <v>vivo</v>
      </c>
      <c r="B2495" s="1">
        <v>1</v>
      </c>
      <c r="C2495" s="1" t="s">
        <v>2458</v>
      </c>
    </row>
    <row r="2496" spans="1:3" ht="15.75" customHeight="1" x14ac:dyDescent="0.2">
      <c r="A2496" s="1" t="str">
        <f ca="1">IFERROR(__xludf.DUMMYFUNCTION("GOOGLETRANSLATE(C2464, ""en"", ""es"")"),"vociferante")</f>
        <v>vociferante</v>
      </c>
      <c r="B2496" s="1">
        <v>-1</v>
      </c>
      <c r="C2496" s="1" t="s">
        <v>2460</v>
      </c>
    </row>
    <row r="2497" spans="1:3" ht="15.75" customHeight="1" x14ac:dyDescent="0.2">
      <c r="A2497" s="1" t="str">
        <f ca="1">IFERROR(__xludf.DUMMYFUNCTION("GOOGLETRANSLATE(C2465, ""en"", ""es"")"),"vulnerabilidad")</f>
        <v>vulnerabilidad</v>
      </c>
      <c r="B2497" s="1">
        <v>-2</v>
      </c>
      <c r="C2497" s="1" t="s">
        <v>2461</v>
      </c>
    </row>
    <row r="2498" spans="1:3" ht="15.75" customHeight="1" x14ac:dyDescent="0.2">
      <c r="A2498" s="1" t="str">
        <f ca="1">IFERROR(__xludf.DUMMYFUNCTION("GOOGLETRANSLATE(C2466, ""en"", ""es"")"),"vulnerable")</f>
        <v>vulnerable</v>
      </c>
      <c r="B2498" s="1">
        <v>-2</v>
      </c>
      <c r="C2498" s="1" t="s">
        <v>2462</v>
      </c>
    </row>
    <row r="2499" spans="1:3" ht="15.75" customHeight="1" x14ac:dyDescent="0.2">
      <c r="A2499" s="1" t="s">
        <v>2520</v>
      </c>
      <c r="B2499" s="1">
        <v>-1</v>
      </c>
      <c r="C2499" s="1" t="s">
        <v>2521</v>
      </c>
    </row>
    <row r="2500" spans="1:3" ht="15.75" customHeight="1" x14ac:dyDescent="0.2">
      <c r="A2500" s="1" t="s">
        <v>2522</v>
      </c>
      <c r="B2500" s="1">
        <v>-3</v>
      </c>
      <c r="C2500" s="1" t="s">
        <v>2523</v>
      </c>
    </row>
    <row r="2501" spans="1:3" ht="15.75" customHeight="1" x14ac:dyDescent="0.2">
      <c r="A2501" s="1" t="s">
        <v>2524</v>
      </c>
      <c r="B2501" s="1">
        <v>-1</v>
      </c>
      <c r="C2501" s="1" t="s">
        <v>2528</v>
      </c>
    </row>
    <row r="2502" spans="1:3" ht="15.75" customHeight="1" x14ac:dyDescent="0.2">
      <c r="A2502" s="1" t="s">
        <v>2525</v>
      </c>
      <c r="B2502" s="1">
        <v>-1</v>
      </c>
      <c r="C2502" s="1" t="s">
        <v>2529</v>
      </c>
    </row>
    <row r="2503" spans="1:3" ht="15.75" customHeight="1" x14ac:dyDescent="0.2">
      <c r="A2503" s="1" t="s">
        <v>2526</v>
      </c>
      <c r="B2503" s="1">
        <v>1</v>
      </c>
      <c r="C2503" s="1" t="s">
        <v>2530</v>
      </c>
    </row>
    <row r="2504" spans="1:3" ht="15.75" customHeight="1" x14ac:dyDescent="0.2">
      <c r="A2504" s="1" t="s">
        <v>2527</v>
      </c>
      <c r="B2504" s="1">
        <v>1</v>
      </c>
      <c r="C2504" s="1" t="s">
        <v>2531</v>
      </c>
    </row>
    <row r="2505" spans="1:3" ht="15.75" customHeight="1" x14ac:dyDescent="0.2">
      <c r="A2505" s="1"/>
      <c r="B2505" s="1"/>
      <c r="C2505" s="1"/>
    </row>
  </sheetData>
  <sortState xmlns:xlrd2="http://schemas.microsoft.com/office/spreadsheetml/2017/richdata2" ref="A2:C2505">
    <sortCondition ref="A2491:A25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Jose</cp:lastModifiedBy>
  <dcterms:modified xsi:type="dcterms:W3CDTF">2023-01-05T22:47:34Z</dcterms:modified>
</cp:coreProperties>
</file>