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egs\Downloads\"/>
    </mc:Choice>
  </mc:AlternateContent>
  <xr:revisionPtr revIDLastSave="0" documentId="8_{2C92AA65-14DB-4817-9319-87EFF7AA3821}" xr6:coauthVersionLast="47" xr6:coauthVersionMax="47" xr10:uidLastSave="{00000000-0000-0000-0000-000000000000}"/>
  <bookViews>
    <workbookView xWindow="384" yWindow="384" windowWidth="22152" windowHeight="12252" xr2:uid="{00000000-000D-0000-FFFF-FFFF00000000}"/>
  </bookViews>
  <sheets>
    <sheet name="reven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8" i="1"/>
  <c r="I48" i="1"/>
  <c r="H48" i="1"/>
  <c r="G48" i="1"/>
  <c r="F48" i="1"/>
  <c r="J44" i="1"/>
  <c r="I44" i="1"/>
  <c r="H44" i="1"/>
  <c r="G44" i="1"/>
  <c r="F44" i="1"/>
  <c r="J43" i="1"/>
  <c r="I43" i="1"/>
  <c r="H43" i="1"/>
  <c r="G43" i="1"/>
  <c r="F43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7" i="1"/>
  <c r="I37" i="1"/>
  <c r="H37" i="1"/>
  <c r="G37" i="1"/>
  <c r="F37" i="1"/>
  <c r="J34" i="1"/>
  <c r="I34" i="1"/>
  <c r="H34" i="1"/>
  <c r="G34" i="1"/>
  <c r="F34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6" i="1"/>
  <c r="I26" i="1"/>
  <c r="H26" i="1"/>
  <c r="G26" i="1"/>
  <c r="F26" i="1"/>
  <c r="J24" i="1"/>
  <c r="I24" i="1"/>
  <c r="H24" i="1"/>
  <c r="G24" i="1"/>
  <c r="F24" i="1"/>
  <c r="J23" i="1"/>
  <c r="I23" i="1"/>
  <c r="H23" i="1"/>
  <c r="G23" i="1"/>
  <c r="F23" i="1"/>
  <c r="E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0" i="1"/>
  <c r="I10" i="1"/>
  <c r="H10" i="1"/>
  <c r="G10" i="1"/>
</calcChain>
</file>

<file path=xl/sharedStrings.xml><?xml version="1.0" encoding="utf-8"?>
<sst xmlns="http://schemas.openxmlformats.org/spreadsheetml/2006/main" count="67" uniqueCount="67">
  <si>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</si>
  <si>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</si>
  <si>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</si>
  <si>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</si>
  <si>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</si>
  <si>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</si>
  <si>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</si>
  <si>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</si>
  <si>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</si>
  <si>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</si>
  <si>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</si>
  <si>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</si>
  <si>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</si>
  <si>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</si>
  <si>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</si>
  <si>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</si>
  <si>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</si>
  <si>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</si>
  <si>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</si>
  <si>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</si>
  <si>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</si>
  <si>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</si>
  <si>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</si>
  <si>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</si>
  <si>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</si>
  <si>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</si>
  <si>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</si>
  <si>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</si>
  <si>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</si>
  <si>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</si>
  <si>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</si>
  <si>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</si>
  <si>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</si>
  <si>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</si>
  <si>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</si>
  <si>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</si>
  <si>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</si>
  <si>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</si>
  <si>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</si>
  <si>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</si>
  <si>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</si>
  <si>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</si>
  <si>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</si>
  <si>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</si>
  <si>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</si>
  <si>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</si>
  <si>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</si>
  <si>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</si>
  <si>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</si>
  <si>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</si>
  <si>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2023 Total Handle(Billions)</t>
  </si>
  <si>
    <t>State</t>
  </si>
  <si>
    <t>2023 Revenue(Millions)</t>
  </si>
  <si>
    <t>Total Population</t>
  </si>
  <si>
    <t xml:space="preserve">18-24 </t>
  </si>
  <si>
    <t>25-34</t>
  </si>
  <si>
    <t>35-44</t>
  </si>
  <si>
    <t>45-54</t>
  </si>
  <si>
    <t>55-64</t>
  </si>
  <si>
    <t>65+</t>
  </si>
  <si>
    <t>% of Total Sports bettors</t>
  </si>
  <si>
    <t>Estimated # Of Bettors Aged 18-24</t>
  </si>
  <si>
    <t>Estimated # Of Bettors Aged 25-34</t>
  </si>
  <si>
    <t>Estimated # Of Bettors Aged 35-44</t>
  </si>
  <si>
    <t>Estimated # Of Bettors Aged 45-54</t>
  </si>
  <si>
    <t>Estimated # Of Bettors Aged 55-64</t>
  </si>
  <si>
    <t>Estimated # Of Bettors Aged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</si>
</sst>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3" fontId="0" fillId="0" borderId="0" xfId="42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="90" zoomScaleNormal="90" workbookViewId="0">
      <pane ySplit="1" topLeftCell="A2" activePane="bottomLeft" state="frozen"/>
      <selection pane="bottomLeft" activeCell="K1" sqref="K1:P52"/>
    </sheetView>
  </sheetViews>
  <sheetFormatPr defaultRowHeight="14.4" x14ac:dyDescent="0.3"/>
  <cols>
    <col min="2" max="2" width="13.33203125" bestFit="1" customWidth="1"/>
    <col min="3" max="3" width="12.21875" bestFit="1" customWidth="1"/>
    <col min="4" max="4" width="12.88671875" bestFit="1" customWidth="1"/>
    <col min="5" max="10" width="11.21875" bestFit="1" customWidth="1"/>
    <col min="11" max="11" width="12.21875" bestFit="1" customWidth="1"/>
    <col min="12" max="12" width="12.88671875" customWidth="1"/>
    <col min="13" max="13" width="12" customWidth="1"/>
    <col min="14" max="16" width="12.6640625" customWidth="1"/>
  </cols>
  <sheetData>
    <row r="1" spans="1:16" x14ac:dyDescent="0.3">
      <c r="A1" t="s">
        <v>51</v>
      </c>
      <c r="B1" t="s">
        <v>50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</row>
    <row r="2" spans="1:16" x14ac:dyDescent="0.3">
      <c r="A2" t="s">
        <v>60</v>
      </c>
      <c r="E2" s="2"/>
      <c r="F2" s="2"/>
      <c r="G2" s="2"/>
      <c r="H2" s="2"/>
      <c r="I2" s="2"/>
      <c r="J2" s="2"/>
      <c r="K2" s="2">
        <v>0.28000000000000003</v>
      </c>
      <c r="L2" s="2">
        <v>0.32</v>
      </c>
      <c r="M2" s="2">
        <v>0.26</v>
      </c>
      <c r="N2" s="2">
        <v>0.24</v>
      </c>
      <c r="O2" s="2">
        <v>0.18</v>
      </c>
      <c r="P2" s="2">
        <v>0.08</v>
      </c>
    </row>
    <row r="3" spans="1:16" x14ac:dyDescent="0.3">
      <c r="A3" t="s">
        <v>0</v>
      </c>
      <c r="B3" s="1"/>
      <c r="C3" s="1"/>
      <c r="D3" s="3"/>
      <c r="E3" s="3"/>
      <c r="F3" s="3"/>
      <c r="G3" s="3"/>
      <c r="H3" s="3"/>
      <c r="I3" s="3"/>
      <c r="J3" s="3"/>
    </row>
    <row r="4" spans="1:16" x14ac:dyDescent="0.3">
      <c r="A4" t="s">
        <v>1</v>
      </c>
      <c r="B4" s="1"/>
      <c r="C4" s="1"/>
      <c r="D4" s="3"/>
      <c r="E4" s="3"/>
      <c r="F4" s="3"/>
      <c r="G4" s="3"/>
      <c r="H4" s="3"/>
      <c r="I4" s="3"/>
      <c r="J4" s="3"/>
    </row>
    <row r="5" spans="1:16" x14ac:dyDescent="0.3">
      <c r="A5" t="s">
        <v>2</v>
      </c>
      <c r="B5" s="1">
        <v>6600000</v>
      </c>
      <c r="C5" s="1">
        <v>557400</v>
      </c>
      <c r="D5" s="3">
        <v>7151202</v>
      </c>
      <c r="E5" s="3">
        <v>232434</v>
      </c>
      <c r="F5" s="3">
        <v>457729</v>
      </c>
      <c r="G5" s="3">
        <v>430176</v>
      </c>
      <c r="H5" s="3">
        <v>420883</v>
      </c>
      <c r="I5" s="3">
        <v>465686</v>
      </c>
      <c r="J5" s="3">
        <v>721269</v>
      </c>
      <c r="K5" s="3">
        <f>$K$2*E5</f>
        <v>65081.520000000004</v>
      </c>
      <c r="L5" s="3">
        <f>$L$2*F5</f>
        <v>146473.28</v>
      </c>
      <c r="M5" s="3">
        <f>$M$2*G5</f>
        <v>111845.76000000001</v>
      </c>
      <c r="N5" s="3">
        <f>$N$2*H5</f>
        <v>101011.92</v>
      </c>
      <c r="O5" s="3">
        <f>$O$2*I5</f>
        <v>83823.48</v>
      </c>
      <c r="P5" s="3">
        <f>$P$2*J5</f>
        <v>57701.520000000004</v>
      </c>
    </row>
    <row r="6" spans="1:16" x14ac:dyDescent="0.3">
      <c r="A6" t="s">
        <v>3</v>
      </c>
      <c r="B6" s="1">
        <v>405000</v>
      </c>
      <c r="C6" s="1">
        <v>37200</v>
      </c>
      <c r="D6" s="3">
        <v>3011524</v>
      </c>
      <c r="E6" s="3">
        <v>198109</v>
      </c>
      <c r="F6" s="3">
        <v>379202</v>
      </c>
      <c r="G6" s="3">
        <v>371244</v>
      </c>
      <c r="H6" s="3">
        <v>359108</v>
      </c>
      <c r="I6" s="3">
        <v>391843</v>
      </c>
      <c r="J6" s="3">
        <v>528867</v>
      </c>
      <c r="K6" s="3">
        <f t="shared" ref="K6:K52" si="0">$K$2*E6</f>
        <v>55470.520000000004</v>
      </c>
      <c r="L6" s="3">
        <f t="shared" ref="L6:L52" si="1">$L$2*F6</f>
        <v>121344.64</v>
      </c>
      <c r="M6" s="3">
        <f t="shared" ref="M6:M52" si="2">$M$2*G6</f>
        <v>96523.44</v>
      </c>
      <c r="N6" s="3">
        <f t="shared" ref="N6:N52" si="3">$N$2*H6</f>
        <v>86185.919999999998</v>
      </c>
      <c r="O6" s="3">
        <f t="shared" ref="O6:O52" si="4">$O$2*I6</f>
        <v>70531.739999999991</v>
      </c>
      <c r="P6" s="3">
        <f t="shared" ref="P6:P52" si="5">$P$2*J6</f>
        <v>42309.36</v>
      </c>
    </row>
    <row r="7" spans="1:16" x14ac:dyDescent="0.3">
      <c r="A7" t="s">
        <v>4</v>
      </c>
      <c r="B7" s="1"/>
      <c r="C7" s="1"/>
      <c r="D7" s="3"/>
      <c r="E7" s="3"/>
      <c r="F7" s="3"/>
      <c r="G7" s="3"/>
      <c r="H7" s="3"/>
      <c r="I7" s="3"/>
      <c r="J7" s="3"/>
      <c r="K7" s="3">
        <f t="shared" si="0"/>
        <v>0</v>
      </c>
      <c r="L7" s="3">
        <f t="shared" si="1"/>
        <v>0</v>
      </c>
      <c r="M7" s="3">
        <f t="shared" si="2"/>
        <v>0</v>
      </c>
      <c r="N7" s="3">
        <f t="shared" si="3"/>
        <v>0</v>
      </c>
      <c r="O7" s="3">
        <f t="shared" si="4"/>
        <v>0</v>
      </c>
      <c r="P7" s="3">
        <f t="shared" si="5"/>
        <v>0</v>
      </c>
    </row>
    <row r="8" spans="1:16" x14ac:dyDescent="0.3">
      <c r="A8" t="s">
        <v>5</v>
      </c>
      <c r="B8" s="1">
        <v>5600000</v>
      </c>
      <c r="C8" s="1">
        <v>391900</v>
      </c>
      <c r="D8" s="3">
        <v>5773714</v>
      </c>
      <c r="E8" s="3">
        <v>382920</v>
      </c>
      <c r="F8" s="3">
        <v>895832</v>
      </c>
      <c r="G8" s="3">
        <v>799022</v>
      </c>
      <c r="H8" s="3">
        <v>699987</v>
      </c>
      <c r="I8" s="3">
        <v>712279</v>
      </c>
      <c r="J8" s="3">
        <v>868695</v>
      </c>
      <c r="K8" s="3">
        <f t="shared" si="0"/>
        <v>107217.60000000001</v>
      </c>
      <c r="L8" s="3">
        <f t="shared" si="1"/>
        <v>286666.23999999999</v>
      </c>
      <c r="M8" s="3">
        <f t="shared" si="2"/>
        <v>207745.72</v>
      </c>
      <c r="N8" s="3">
        <f t="shared" si="3"/>
        <v>167996.88</v>
      </c>
      <c r="O8" s="3">
        <f t="shared" si="4"/>
        <v>128210.22</v>
      </c>
      <c r="P8" s="3">
        <f t="shared" si="5"/>
        <v>69495.600000000006</v>
      </c>
    </row>
    <row r="9" spans="1:16" x14ac:dyDescent="0.3">
      <c r="A9" t="s">
        <v>6</v>
      </c>
      <c r="B9" s="1">
        <v>1800000</v>
      </c>
      <c r="C9" s="1">
        <v>174800</v>
      </c>
      <c r="D9" s="3">
        <v>3605944</v>
      </c>
      <c r="E9" s="3">
        <v>235047</v>
      </c>
      <c r="F9" s="3">
        <v>454315</v>
      </c>
      <c r="G9" s="3">
        <v>436812</v>
      </c>
      <c r="H9" s="3">
        <v>471203</v>
      </c>
      <c r="I9" s="3">
        <v>524903</v>
      </c>
      <c r="J9" s="3">
        <v>647081</v>
      </c>
      <c r="K9" s="3">
        <f t="shared" si="0"/>
        <v>65813.16</v>
      </c>
      <c r="L9" s="3">
        <f t="shared" si="1"/>
        <v>145380.80000000002</v>
      </c>
      <c r="M9" s="3">
        <f t="shared" si="2"/>
        <v>113571.12000000001</v>
      </c>
      <c r="N9" s="3">
        <f t="shared" si="3"/>
        <v>113088.72</v>
      </c>
      <c r="O9" s="3">
        <f t="shared" si="4"/>
        <v>94482.54</v>
      </c>
      <c r="P9" s="3">
        <f t="shared" si="5"/>
        <v>51766.48</v>
      </c>
    </row>
    <row r="10" spans="1:16" x14ac:dyDescent="0.3">
      <c r="A10" t="s">
        <v>7</v>
      </c>
      <c r="B10" s="1">
        <v>624900</v>
      </c>
      <c r="C10" s="1">
        <v>14400</v>
      </c>
      <c r="D10" s="3">
        <v>989948</v>
      </c>
      <c r="E10" s="3">
        <v>65475</v>
      </c>
      <c r="F10" s="3">
        <v>122665</v>
      </c>
      <c r="G10" s="3">
        <f>60683+55397</f>
        <v>116080</v>
      </c>
      <c r="H10" s="3">
        <f>55709+62198</f>
        <v>117907</v>
      </c>
      <c r="I10" s="3">
        <f>70533+70588</f>
        <v>141121</v>
      </c>
      <c r="J10" s="3">
        <f>63876+53934+35972+21363+19432</f>
        <v>194577</v>
      </c>
      <c r="K10" s="3">
        <f t="shared" si="0"/>
        <v>18333</v>
      </c>
      <c r="L10" s="3">
        <f t="shared" si="1"/>
        <v>39252.800000000003</v>
      </c>
      <c r="M10" s="3">
        <f t="shared" si="2"/>
        <v>30180.799999999999</v>
      </c>
      <c r="N10" s="3">
        <f t="shared" si="3"/>
        <v>28297.68</v>
      </c>
      <c r="O10" s="3">
        <f t="shared" si="4"/>
        <v>25401.78</v>
      </c>
      <c r="P10" s="3">
        <f t="shared" si="5"/>
        <v>15566.16</v>
      </c>
    </row>
    <row r="11" spans="1:16" x14ac:dyDescent="0.3">
      <c r="A11" t="s">
        <v>8</v>
      </c>
      <c r="B11" s="1"/>
      <c r="C11" s="1"/>
      <c r="D11" s="3"/>
      <c r="E11" s="3"/>
      <c r="F11" s="3"/>
      <c r="G11" s="3"/>
      <c r="H11" s="3"/>
      <c r="I11" s="3"/>
      <c r="J11" s="3"/>
      <c r="K11" s="3">
        <f t="shared" si="0"/>
        <v>0</v>
      </c>
      <c r="L11" s="3">
        <f t="shared" si="1"/>
        <v>0</v>
      </c>
      <c r="M11" s="3">
        <f t="shared" si="2"/>
        <v>0</v>
      </c>
      <c r="N11" s="3">
        <f t="shared" si="3"/>
        <v>0</v>
      </c>
      <c r="O11" s="3">
        <f t="shared" si="4"/>
        <v>0</v>
      </c>
      <c r="P11" s="3">
        <f t="shared" si="5"/>
        <v>0</v>
      </c>
    </row>
    <row r="12" spans="1:16" x14ac:dyDescent="0.3">
      <c r="A12" t="s">
        <v>9</v>
      </c>
      <c r="B12" s="1"/>
      <c r="C12" s="1"/>
      <c r="D12" s="3"/>
      <c r="E12" s="3"/>
      <c r="F12" s="3"/>
      <c r="G12" s="3"/>
      <c r="H12" s="3"/>
      <c r="I12" s="3"/>
      <c r="J12" s="3"/>
      <c r="K12" s="3">
        <f t="shared" si="0"/>
        <v>0</v>
      </c>
      <c r="L12" s="3">
        <f t="shared" si="1"/>
        <v>0</v>
      </c>
      <c r="M12" s="3">
        <f t="shared" si="2"/>
        <v>0</v>
      </c>
      <c r="N12" s="3">
        <f t="shared" si="3"/>
        <v>0</v>
      </c>
      <c r="O12" s="3">
        <f t="shared" si="4"/>
        <v>0</v>
      </c>
      <c r="P12" s="3">
        <f t="shared" si="5"/>
        <v>0</v>
      </c>
    </row>
    <row r="13" spans="1:16" x14ac:dyDescent="0.3">
      <c r="A13" t="s">
        <v>10</v>
      </c>
      <c r="B13" s="1"/>
      <c r="C13" s="1"/>
      <c r="D13" s="3"/>
      <c r="E13" s="3"/>
      <c r="F13" s="3"/>
      <c r="G13" s="3"/>
      <c r="H13" s="3"/>
      <c r="I13" s="3"/>
      <c r="J13" s="3"/>
      <c r="K13" s="3">
        <f t="shared" si="0"/>
        <v>0</v>
      </c>
      <c r="L13" s="3">
        <f t="shared" si="1"/>
        <v>0</v>
      </c>
      <c r="M13" s="3">
        <f t="shared" si="2"/>
        <v>0</v>
      </c>
      <c r="N13" s="3">
        <f t="shared" si="3"/>
        <v>0</v>
      </c>
      <c r="O13" s="3">
        <f t="shared" si="4"/>
        <v>0</v>
      </c>
      <c r="P13" s="3">
        <f t="shared" si="5"/>
        <v>0</v>
      </c>
    </row>
    <row r="14" spans="1:16" x14ac:dyDescent="0.3">
      <c r="A14" t="s">
        <v>11</v>
      </c>
      <c r="B14" s="1"/>
      <c r="C14" s="1"/>
      <c r="D14" s="3"/>
      <c r="E14" s="3"/>
      <c r="F14" s="3"/>
      <c r="G14" s="3"/>
      <c r="H14" s="3"/>
      <c r="I14" s="3"/>
      <c r="J14" s="3"/>
      <c r="K14" s="3">
        <f t="shared" si="0"/>
        <v>0</v>
      </c>
      <c r="L14" s="3">
        <f t="shared" si="1"/>
        <v>0</v>
      </c>
      <c r="M14" s="3">
        <f t="shared" si="2"/>
        <v>0</v>
      </c>
      <c r="N14" s="3">
        <f t="shared" si="3"/>
        <v>0</v>
      </c>
      <c r="O14" s="3">
        <f t="shared" si="4"/>
        <v>0</v>
      </c>
      <c r="P14" s="3">
        <f t="shared" si="5"/>
        <v>0</v>
      </c>
    </row>
    <row r="15" spans="1:16" x14ac:dyDescent="0.3">
      <c r="A15" t="s">
        <v>12</v>
      </c>
      <c r="B15" s="1">
        <v>11600000</v>
      </c>
      <c r="C15" s="1">
        <v>1000000</v>
      </c>
      <c r="D15" s="3">
        <v>12812508</v>
      </c>
      <c r="E15" s="3">
        <v>842565</v>
      </c>
      <c r="F15" s="3">
        <f>873016+871203</f>
        <v>1744219</v>
      </c>
      <c r="G15" s="3">
        <f>858041+810364</f>
        <v>1668405</v>
      </c>
      <c r="H15" s="3">
        <f>799253+814067</f>
        <v>1613320</v>
      </c>
      <c r="I15" s="3">
        <f>862829+830331</f>
        <v>1693160</v>
      </c>
      <c r="J15" s="3">
        <f>691272+539054+366131+243895+253630</f>
        <v>2093982</v>
      </c>
      <c r="K15" s="3">
        <f t="shared" si="0"/>
        <v>235918.2</v>
      </c>
      <c r="L15" s="3">
        <f t="shared" si="1"/>
        <v>558150.07999999996</v>
      </c>
      <c r="M15" s="3">
        <f t="shared" si="2"/>
        <v>433785.3</v>
      </c>
      <c r="N15" s="3">
        <f t="shared" si="3"/>
        <v>387196.8</v>
      </c>
      <c r="O15" s="3">
        <f t="shared" si="4"/>
        <v>304768.8</v>
      </c>
      <c r="P15" s="3">
        <f t="shared" si="5"/>
        <v>167518.56</v>
      </c>
    </row>
    <row r="16" spans="1:16" x14ac:dyDescent="0.3">
      <c r="A16" t="s">
        <v>13</v>
      </c>
      <c r="B16" s="1">
        <v>4300000</v>
      </c>
      <c r="C16" s="1">
        <v>403700</v>
      </c>
      <c r="D16" s="3">
        <v>6785528</v>
      </c>
      <c r="E16" s="3">
        <v>459058</v>
      </c>
      <c r="F16" s="3">
        <f>435338+431487</f>
        <v>866825</v>
      </c>
      <c r="G16" s="3">
        <f>429507+409857</f>
        <v>839364</v>
      </c>
      <c r="H16" s="3">
        <f>410119+412419</f>
        <v>822538</v>
      </c>
      <c r="I16" s="3">
        <f>451229+439014</f>
        <v>890243</v>
      </c>
      <c r="J16" s="3">
        <f>373783+294255+197771+127861+125210</f>
        <v>1118880</v>
      </c>
      <c r="K16" s="3">
        <f t="shared" si="0"/>
        <v>128536.24</v>
      </c>
      <c r="L16" s="3">
        <f t="shared" si="1"/>
        <v>277384</v>
      </c>
      <c r="M16" s="3">
        <f t="shared" si="2"/>
        <v>218234.64</v>
      </c>
      <c r="N16" s="3">
        <f t="shared" si="3"/>
        <v>197409.12</v>
      </c>
      <c r="O16" s="3">
        <f t="shared" si="4"/>
        <v>160243.74</v>
      </c>
      <c r="P16" s="3">
        <f t="shared" si="5"/>
        <v>89510.400000000009</v>
      </c>
    </row>
    <row r="17" spans="1:16" x14ac:dyDescent="0.3">
      <c r="A17" t="s">
        <v>14</v>
      </c>
      <c r="B17" s="1">
        <v>2400000</v>
      </c>
      <c r="C17" s="1">
        <v>198900</v>
      </c>
      <c r="D17" s="3">
        <v>3190369</v>
      </c>
      <c r="E17" s="3">
        <v>216654</v>
      </c>
      <c r="F17" s="3">
        <f>197552+200281</f>
        <v>397833</v>
      </c>
      <c r="G17" s="3">
        <f>202202+186561</f>
        <v>388763</v>
      </c>
      <c r="H17" s="3">
        <f>175390+183956</f>
        <v>359346</v>
      </c>
      <c r="I17" s="3">
        <f>209469+210735</f>
        <v>420204</v>
      </c>
      <c r="J17" s="3">
        <f>185965+144190+98170+69875+76253</f>
        <v>574453</v>
      </c>
      <c r="K17" s="3">
        <f t="shared" si="0"/>
        <v>60663.12</v>
      </c>
      <c r="L17" s="3">
        <f t="shared" si="1"/>
        <v>127306.56</v>
      </c>
      <c r="M17" s="3">
        <f t="shared" si="2"/>
        <v>101078.38</v>
      </c>
      <c r="N17" s="3">
        <f t="shared" si="3"/>
        <v>86243.04</v>
      </c>
      <c r="O17" s="3">
        <f t="shared" si="4"/>
        <v>75636.72</v>
      </c>
      <c r="P17" s="3">
        <f t="shared" si="5"/>
        <v>45956.24</v>
      </c>
    </row>
    <row r="18" spans="1:16" x14ac:dyDescent="0.3">
      <c r="A18" t="s">
        <v>15</v>
      </c>
      <c r="B18" s="1">
        <v>2100000</v>
      </c>
      <c r="C18" s="1">
        <v>182500</v>
      </c>
      <c r="D18" s="3">
        <v>2937880</v>
      </c>
      <c r="E18" s="3">
        <v>202972</v>
      </c>
      <c r="F18" s="3">
        <f>185786+189855</f>
        <v>375641</v>
      </c>
      <c r="G18" s="3">
        <f>192939+174026</f>
        <v>366965</v>
      </c>
      <c r="H18" s="3">
        <f>164106+165359</f>
        <v>329465</v>
      </c>
      <c r="I18" s="3">
        <f>189079+188203</f>
        <v>377282</v>
      </c>
      <c r="J18" s="3">
        <f>162854+126077+84529+56133+60797</f>
        <v>490390</v>
      </c>
      <c r="K18" s="3">
        <f t="shared" si="0"/>
        <v>56832.160000000003</v>
      </c>
      <c r="L18" s="3">
        <f t="shared" si="1"/>
        <v>120205.12</v>
      </c>
      <c r="M18" s="3">
        <f t="shared" si="2"/>
        <v>95410.900000000009</v>
      </c>
      <c r="N18" s="3">
        <f t="shared" si="3"/>
        <v>79071.599999999991</v>
      </c>
      <c r="O18" s="3">
        <f t="shared" si="4"/>
        <v>67910.759999999995</v>
      </c>
      <c r="P18" s="3">
        <f t="shared" si="5"/>
        <v>39231.200000000004</v>
      </c>
    </row>
    <row r="19" spans="1:16" x14ac:dyDescent="0.3">
      <c r="A19" t="s">
        <v>16</v>
      </c>
      <c r="B19" s="1">
        <v>886700</v>
      </c>
      <c r="C19" s="1">
        <v>110200</v>
      </c>
      <c r="D19" s="3">
        <v>4505836</v>
      </c>
      <c r="E19" s="3">
        <v>291637</v>
      </c>
      <c r="F19" s="3">
        <f>285179+283846</f>
        <v>569025</v>
      </c>
      <c r="G19" s="3">
        <f>282900+277441</f>
        <v>560341</v>
      </c>
      <c r="H19" s="3">
        <f>280765+285386</f>
        <v>566151</v>
      </c>
      <c r="I19" s="3">
        <f>310188+298687</f>
        <v>608875</v>
      </c>
      <c r="J19" s="3">
        <f>258744+209001+136654+85800+76960</f>
        <v>767159</v>
      </c>
      <c r="K19" s="3">
        <f t="shared" si="0"/>
        <v>81658.36</v>
      </c>
      <c r="L19" s="3">
        <f t="shared" si="1"/>
        <v>182088</v>
      </c>
      <c r="M19" s="3">
        <f t="shared" si="2"/>
        <v>145688.66</v>
      </c>
      <c r="N19" s="3">
        <f t="shared" si="3"/>
        <v>135876.24</v>
      </c>
      <c r="O19" s="3">
        <f t="shared" si="4"/>
        <v>109597.5</v>
      </c>
      <c r="P19" s="3">
        <f t="shared" si="5"/>
        <v>61372.72</v>
      </c>
    </row>
    <row r="20" spans="1:16" x14ac:dyDescent="0.3">
      <c r="A20" t="s">
        <v>17</v>
      </c>
      <c r="B20" s="1">
        <v>2900000</v>
      </c>
      <c r="C20" s="1">
        <v>366800</v>
      </c>
      <c r="D20" s="3">
        <v>4657757</v>
      </c>
      <c r="E20" s="3">
        <v>304262</v>
      </c>
      <c r="F20" s="3">
        <f>300079+312637</f>
        <v>612716</v>
      </c>
      <c r="G20" s="3">
        <f>316057+283462</f>
        <v>599519</v>
      </c>
      <c r="H20" s="3">
        <f>265605+279710</f>
        <v>545315</v>
      </c>
      <c r="I20" s="3">
        <f>310238+305873</f>
        <v>616111</v>
      </c>
      <c r="J20" s="3">
        <f>262682+203953+133351+85009+78148</f>
        <v>763143</v>
      </c>
      <c r="K20" s="3">
        <f t="shared" si="0"/>
        <v>85193.360000000015</v>
      </c>
      <c r="L20" s="3">
        <f t="shared" si="1"/>
        <v>196069.12</v>
      </c>
      <c r="M20" s="3">
        <f t="shared" si="2"/>
        <v>155874.94</v>
      </c>
      <c r="N20" s="3">
        <f t="shared" si="3"/>
        <v>130875.59999999999</v>
      </c>
      <c r="O20" s="3">
        <f t="shared" si="4"/>
        <v>110899.98</v>
      </c>
      <c r="P20" s="3">
        <f t="shared" si="5"/>
        <v>61051.44</v>
      </c>
    </row>
    <row r="21" spans="1:16" x14ac:dyDescent="0.3">
      <c r="A21" t="s">
        <v>18</v>
      </c>
      <c r="B21" s="1">
        <v>82100</v>
      </c>
      <c r="C21" s="1">
        <v>9200</v>
      </c>
      <c r="D21" s="3">
        <v>1362359</v>
      </c>
      <c r="E21" s="3">
        <v>74720</v>
      </c>
      <c r="F21" s="3">
        <f>76337+83560</f>
        <v>159897</v>
      </c>
      <c r="G21" s="3">
        <f>81855+76931</f>
        <v>158786</v>
      </c>
      <c r="H21" s="3">
        <f>81219+91120</f>
        <v>172339</v>
      </c>
      <c r="I21" s="3">
        <f>105618+108183</f>
        <v>213801</v>
      </c>
      <c r="J21" s="3">
        <f>97598+80508+52726+32908+33289</f>
        <v>297029</v>
      </c>
      <c r="K21" s="3">
        <f t="shared" si="0"/>
        <v>20921.600000000002</v>
      </c>
      <c r="L21" s="3">
        <f t="shared" si="1"/>
        <v>51167.040000000001</v>
      </c>
      <c r="M21" s="3">
        <f t="shared" si="2"/>
        <v>41284.36</v>
      </c>
      <c r="N21" s="3">
        <f t="shared" si="3"/>
        <v>41361.360000000001</v>
      </c>
      <c r="O21" s="3">
        <f t="shared" si="4"/>
        <v>38484.18</v>
      </c>
      <c r="P21" s="3">
        <f t="shared" si="5"/>
        <v>23762.32</v>
      </c>
    </row>
    <row r="22" spans="1:16" x14ac:dyDescent="0.3">
      <c r="A22" t="s">
        <v>19</v>
      </c>
      <c r="B22" s="1">
        <v>4600000</v>
      </c>
      <c r="C22" s="1">
        <v>513900</v>
      </c>
      <c r="D22" s="3">
        <v>6177224</v>
      </c>
      <c r="E22" s="3">
        <v>396606</v>
      </c>
      <c r="F22" s="3">
        <f>408268+432707</f>
        <v>840975</v>
      </c>
      <c r="G22" s="3">
        <f>422588+383279</f>
        <v>805867</v>
      </c>
      <c r="H22" s="3">
        <f>378793+408964</f>
        <v>787757</v>
      </c>
      <c r="I22" s="3">
        <f>436213+400038</f>
        <v>836251</v>
      </c>
      <c r="J22" s="3">
        <f>327319+26763+175460+110521+112252</f>
        <v>752315</v>
      </c>
      <c r="K22" s="3">
        <f t="shared" si="0"/>
        <v>111049.68000000001</v>
      </c>
      <c r="L22" s="3">
        <f t="shared" si="1"/>
        <v>269112</v>
      </c>
      <c r="M22" s="3">
        <f t="shared" si="2"/>
        <v>209525.42</v>
      </c>
      <c r="N22" s="3">
        <f t="shared" si="3"/>
        <v>189061.68</v>
      </c>
      <c r="O22" s="3">
        <f t="shared" si="4"/>
        <v>150525.18</v>
      </c>
      <c r="P22" s="3">
        <f t="shared" si="5"/>
        <v>60185.200000000004</v>
      </c>
    </row>
    <row r="23" spans="1:16" x14ac:dyDescent="0.3">
      <c r="A23" t="s">
        <v>20</v>
      </c>
      <c r="B23" s="1">
        <v>5000000</v>
      </c>
      <c r="C23" s="1">
        <v>483200</v>
      </c>
      <c r="D23" s="3">
        <v>7029917</v>
      </c>
      <c r="E23" s="3">
        <f>513628</f>
        <v>513628</v>
      </c>
      <c r="F23" s="3">
        <f>504069+495638</f>
        <v>999707</v>
      </c>
      <c r="G23" s="3">
        <f>450859+410259</f>
        <v>861118</v>
      </c>
      <c r="H23" s="3">
        <f>421151+468421</f>
        <v>889572</v>
      </c>
      <c r="I23" s="3">
        <f>500987+470577</f>
        <v>971564</v>
      </c>
      <c r="J23" s="3">
        <f>395871+322437+216262+139927+157291</f>
        <v>1231788</v>
      </c>
      <c r="K23" s="3">
        <f t="shared" si="0"/>
        <v>143815.84000000003</v>
      </c>
      <c r="L23" s="3">
        <f t="shared" si="1"/>
        <v>319906.24</v>
      </c>
      <c r="M23" s="3">
        <f t="shared" si="2"/>
        <v>223890.68000000002</v>
      </c>
      <c r="N23" s="3">
        <f t="shared" si="3"/>
        <v>213497.28</v>
      </c>
      <c r="O23" s="3">
        <f t="shared" si="4"/>
        <v>174881.52</v>
      </c>
      <c r="P23" s="3">
        <f t="shared" si="5"/>
        <v>98543.040000000008</v>
      </c>
    </row>
    <row r="24" spans="1:16" x14ac:dyDescent="0.3">
      <c r="A24" t="s">
        <v>21</v>
      </c>
      <c r="B24" s="1">
        <v>4800000</v>
      </c>
      <c r="C24" s="1">
        <v>434300</v>
      </c>
      <c r="D24" s="3">
        <v>10077331</v>
      </c>
      <c r="E24" s="3">
        <v>674096</v>
      </c>
      <c r="F24" s="3">
        <f>660555+644106</f>
        <v>1304661</v>
      </c>
      <c r="G24" s="3">
        <f>606794+576964</f>
        <v>1183758</v>
      </c>
      <c r="H24" s="3">
        <f>602111+648296</f>
        <v>1250407</v>
      </c>
      <c r="I24" s="3">
        <f>710992+708039</f>
        <v>1419031</v>
      </c>
      <c r="J24" s="3">
        <f>604404+472177+318535+203147+207517</f>
        <v>1805780</v>
      </c>
      <c r="K24" s="3">
        <f t="shared" si="0"/>
        <v>188746.88</v>
      </c>
      <c r="L24" s="3">
        <f t="shared" si="1"/>
        <v>417491.52</v>
      </c>
      <c r="M24" s="3">
        <f t="shared" si="2"/>
        <v>307777.08</v>
      </c>
      <c r="N24" s="3">
        <f t="shared" si="3"/>
        <v>300097.68</v>
      </c>
      <c r="O24" s="3">
        <f t="shared" si="4"/>
        <v>255425.58</v>
      </c>
      <c r="P24" s="3">
        <f t="shared" si="5"/>
        <v>144462.39999999999</v>
      </c>
    </row>
    <row r="25" spans="1:16" x14ac:dyDescent="0.3">
      <c r="A25" t="s">
        <v>22</v>
      </c>
      <c r="B25" s="1"/>
      <c r="C25" s="1"/>
      <c r="D25" s="3"/>
      <c r="E25" s="3"/>
      <c r="F25" s="3"/>
      <c r="G25" s="3"/>
      <c r="H25" s="3"/>
      <c r="I25" s="3"/>
      <c r="J25" s="3"/>
      <c r="K25" s="3">
        <f t="shared" si="0"/>
        <v>0</v>
      </c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</row>
    <row r="26" spans="1:16" x14ac:dyDescent="0.3">
      <c r="A26" t="s">
        <v>23</v>
      </c>
      <c r="B26" s="1">
        <v>474200</v>
      </c>
      <c r="C26" s="1">
        <v>51100</v>
      </c>
      <c r="D26" s="3">
        <v>2961279</v>
      </c>
      <c r="E26" s="3">
        <v>198404</v>
      </c>
      <c r="F26" s="3">
        <f>180640+178433</f>
        <v>359073</v>
      </c>
      <c r="G26" s="3">
        <f>184518+178494</f>
        <v>363012</v>
      </c>
      <c r="H26" s="3">
        <f>178531+181069</f>
        <v>359600</v>
      </c>
      <c r="I26" s="3">
        <f>199869+196657</f>
        <v>396526</v>
      </c>
      <c r="J26" s="3">
        <f>171064+137560+90307+58776+51854</f>
        <v>509561</v>
      </c>
      <c r="K26" s="3">
        <f t="shared" si="0"/>
        <v>55553.120000000003</v>
      </c>
      <c r="L26" s="3">
        <f t="shared" si="1"/>
        <v>114903.36</v>
      </c>
      <c r="M26" s="3">
        <f t="shared" si="2"/>
        <v>94383.12000000001</v>
      </c>
      <c r="N26" s="3">
        <f t="shared" si="3"/>
        <v>86304</v>
      </c>
      <c r="O26" s="3">
        <f t="shared" si="4"/>
        <v>71374.679999999993</v>
      </c>
      <c r="P26" s="3">
        <f t="shared" si="5"/>
        <v>40764.879999999997</v>
      </c>
    </row>
    <row r="27" spans="1:16" x14ac:dyDescent="0.3">
      <c r="A27" t="s">
        <v>24</v>
      </c>
      <c r="B27" s="1"/>
      <c r="C27" s="1"/>
      <c r="D27" s="3"/>
      <c r="E27" s="3"/>
      <c r="F27" s="3"/>
      <c r="G27" s="3"/>
      <c r="H27" s="3"/>
      <c r="I27" s="3"/>
      <c r="J27" s="3"/>
      <c r="K27" s="3">
        <f t="shared" si="0"/>
        <v>0</v>
      </c>
      <c r="L27" s="3">
        <f t="shared" si="1"/>
        <v>0</v>
      </c>
      <c r="M27" s="3">
        <f t="shared" si="2"/>
        <v>0</v>
      </c>
      <c r="N27" s="3">
        <f t="shared" si="3"/>
        <v>0</v>
      </c>
      <c r="O27" s="3">
        <f t="shared" si="4"/>
        <v>0</v>
      </c>
      <c r="P27" s="3">
        <f t="shared" si="5"/>
        <v>0</v>
      </c>
    </row>
    <row r="28" spans="1:16" x14ac:dyDescent="0.3">
      <c r="A28" t="s">
        <v>25</v>
      </c>
      <c r="B28" s="1"/>
      <c r="C28" s="1"/>
      <c r="D28" s="3"/>
      <c r="E28" s="3"/>
      <c r="F28" s="3"/>
      <c r="G28" s="3"/>
      <c r="H28" s="3"/>
      <c r="I28" s="3"/>
      <c r="J28" s="3"/>
      <c r="K28" s="3">
        <f t="shared" si="0"/>
        <v>0</v>
      </c>
      <c r="L28" s="3">
        <f t="shared" si="1"/>
        <v>0</v>
      </c>
      <c r="M28" s="3">
        <f t="shared" si="2"/>
        <v>0</v>
      </c>
      <c r="N28" s="3">
        <f t="shared" si="3"/>
        <v>0</v>
      </c>
      <c r="O28" s="3">
        <f t="shared" si="4"/>
        <v>0</v>
      </c>
      <c r="P28" s="3">
        <f t="shared" si="5"/>
        <v>0</v>
      </c>
    </row>
    <row r="29" spans="1:16" x14ac:dyDescent="0.3">
      <c r="A29" t="s">
        <v>26</v>
      </c>
      <c r="B29" s="1"/>
      <c r="C29" s="1"/>
      <c r="D29" s="3"/>
      <c r="E29" s="3"/>
      <c r="F29" s="3"/>
      <c r="G29" s="3"/>
      <c r="H29" s="3"/>
      <c r="I29" s="3"/>
      <c r="J29" s="3"/>
      <c r="K29" s="3">
        <f t="shared" si="0"/>
        <v>0</v>
      </c>
      <c r="L29" s="3">
        <f t="shared" si="1"/>
        <v>0</v>
      </c>
      <c r="M29" s="3">
        <f t="shared" si="2"/>
        <v>0</v>
      </c>
      <c r="N29" s="3">
        <f t="shared" si="3"/>
        <v>0</v>
      </c>
      <c r="O29" s="3">
        <f t="shared" si="4"/>
        <v>0</v>
      </c>
      <c r="P29" s="3">
        <f t="shared" si="5"/>
        <v>0</v>
      </c>
    </row>
    <row r="30" spans="1:16" x14ac:dyDescent="0.3">
      <c r="A30" t="s">
        <v>27</v>
      </c>
      <c r="B30" s="1">
        <v>8300000</v>
      </c>
      <c r="C30" s="1">
        <v>481500</v>
      </c>
      <c r="D30" s="3">
        <v>3104614</v>
      </c>
      <c r="E30" s="3">
        <v>193741</v>
      </c>
      <c r="F30" s="3">
        <f>215742+220392</f>
        <v>436134</v>
      </c>
      <c r="G30" s="3">
        <f>215050+198544</f>
        <v>413594</v>
      </c>
      <c r="H30" s="3">
        <f>196639+197540</f>
        <v>394179</v>
      </c>
      <c r="I30" s="3">
        <f>200856+190666</f>
        <v>391522</v>
      </c>
      <c r="J30" s="3">
        <f>170721+144856+95214+54966+42703</f>
        <v>508460</v>
      </c>
      <c r="K30" s="3">
        <f t="shared" si="0"/>
        <v>54247.48</v>
      </c>
      <c r="L30" s="3">
        <f t="shared" si="1"/>
        <v>139562.88</v>
      </c>
      <c r="M30" s="3">
        <f t="shared" si="2"/>
        <v>107534.44</v>
      </c>
      <c r="N30" s="3">
        <f t="shared" si="3"/>
        <v>94602.959999999992</v>
      </c>
      <c r="O30" s="3">
        <f t="shared" si="4"/>
        <v>70473.959999999992</v>
      </c>
      <c r="P30" s="3">
        <f t="shared" si="5"/>
        <v>40676.800000000003</v>
      </c>
    </row>
    <row r="31" spans="1:16" x14ac:dyDescent="0.3">
      <c r="A31" t="s">
        <v>28</v>
      </c>
      <c r="B31" s="1">
        <v>822100</v>
      </c>
      <c r="C31" s="1">
        <v>80000</v>
      </c>
      <c r="D31" s="3">
        <v>1377529</v>
      </c>
      <c r="E31" s="3">
        <v>86990</v>
      </c>
      <c r="F31" s="3">
        <f>82946+87210</f>
        <v>170156</v>
      </c>
      <c r="G31" s="3">
        <f>82772+76200</f>
        <v>158972</v>
      </c>
      <c r="H31" s="3">
        <f>84124+97191</f>
        <v>181315</v>
      </c>
      <c r="I31" s="3">
        <f>112232+109208</f>
        <v>221440</v>
      </c>
      <c r="J31" s="3">
        <f>90167+72126+46985+28082+28594</f>
        <v>265954</v>
      </c>
      <c r="K31" s="3">
        <f t="shared" si="0"/>
        <v>24357.200000000001</v>
      </c>
      <c r="L31" s="3">
        <f t="shared" si="1"/>
        <v>54449.919999999998</v>
      </c>
      <c r="M31" s="3">
        <f t="shared" si="2"/>
        <v>41332.720000000001</v>
      </c>
      <c r="N31" s="3">
        <f t="shared" si="3"/>
        <v>43515.6</v>
      </c>
      <c r="O31" s="3">
        <f t="shared" si="4"/>
        <v>39859.199999999997</v>
      </c>
      <c r="P31" s="3">
        <f t="shared" si="5"/>
        <v>21276.32</v>
      </c>
    </row>
    <row r="32" spans="1:16" x14ac:dyDescent="0.3">
      <c r="A32" t="s">
        <v>29</v>
      </c>
      <c r="B32" s="1">
        <v>12000000</v>
      </c>
      <c r="C32" s="1">
        <v>1000000</v>
      </c>
      <c r="D32" s="3">
        <v>9288994</v>
      </c>
      <c r="E32" s="3">
        <v>583873</v>
      </c>
      <c r="F32" s="3">
        <f>595812+624318</f>
        <v>1220130</v>
      </c>
      <c r="G32" s="3">
        <f>611624+587651</f>
        <v>1199275</v>
      </c>
      <c r="H32" s="3">
        <f>592705+635898</f>
        <v>1228603</v>
      </c>
      <c r="I32" s="3">
        <f>665006+614263</f>
        <v>1279269</v>
      </c>
      <c r="J32" s="3">
        <f>490606+393561+271036+179939+196157</f>
        <v>1531299</v>
      </c>
      <c r="K32" s="3">
        <f t="shared" si="0"/>
        <v>163484.44</v>
      </c>
      <c r="L32" s="3">
        <f t="shared" si="1"/>
        <v>390441.60000000003</v>
      </c>
      <c r="M32" s="3">
        <f t="shared" si="2"/>
        <v>311811.5</v>
      </c>
      <c r="N32" s="3">
        <f t="shared" si="3"/>
        <v>294864.71999999997</v>
      </c>
      <c r="O32" s="3">
        <f t="shared" si="4"/>
        <v>230268.41999999998</v>
      </c>
      <c r="P32" s="3">
        <f t="shared" si="5"/>
        <v>122503.92</v>
      </c>
    </row>
    <row r="33" spans="1:16" x14ac:dyDescent="0.3">
      <c r="A33" t="s">
        <v>30</v>
      </c>
      <c r="B33" s="1"/>
      <c r="C33" s="1"/>
      <c r="D33" s="3"/>
      <c r="E33" s="3"/>
      <c r="F33" s="3"/>
      <c r="G33" s="3"/>
      <c r="H33" s="3"/>
      <c r="I33" s="3"/>
      <c r="J33" s="3"/>
      <c r="K33" s="3">
        <f t="shared" si="0"/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</row>
    <row r="34" spans="1:16" x14ac:dyDescent="0.3">
      <c r="A34" t="s">
        <v>31</v>
      </c>
      <c r="B34" s="1">
        <v>19200000</v>
      </c>
      <c r="C34" s="1">
        <v>1700000</v>
      </c>
      <c r="D34" s="3">
        <v>20201249</v>
      </c>
      <c r="E34" s="3">
        <v>1391913</v>
      </c>
      <c r="F34" s="3">
        <f>1482376+1473580</f>
        <v>2955956</v>
      </c>
      <c r="G34" s="3">
        <f>1339862+1224791</f>
        <v>2564653</v>
      </c>
      <c r="H34" s="3">
        <f>1203407+1316621</f>
        <v>2520028</v>
      </c>
      <c r="I34" s="3">
        <f>1389805+1313403</f>
        <v>2703208</v>
      </c>
      <c r="J34" s="3">
        <f>1089396+879833+594264+403121+441852</f>
        <v>3408466</v>
      </c>
      <c r="K34" s="3">
        <f t="shared" si="0"/>
        <v>389735.64</v>
      </c>
      <c r="L34" s="3">
        <f t="shared" si="1"/>
        <v>945905.92</v>
      </c>
      <c r="M34" s="3">
        <f t="shared" si="2"/>
        <v>666809.78</v>
      </c>
      <c r="N34" s="3">
        <f t="shared" si="3"/>
        <v>604806.72</v>
      </c>
      <c r="O34" s="3">
        <f t="shared" si="4"/>
        <v>486577.44</v>
      </c>
      <c r="P34" s="3">
        <f t="shared" si="5"/>
        <v>272677.28000000003</v>
      </c>
    </row>
    <row r="35" spans="1:16" x14ac:dyDescent="0.3">
      <c r="A35" t="s">
        <v>32</v>
      </c>
      <c r="B35" s="1"/>
      <c r="C35" s="1"/>
      <c r="D35" s="3"/>
      <c r="E35" s="3"/>
      <c r="F35" s="3"/>
      <c r="G35" s="3"/>
      <c r="H35" s="3"/>
      <c r="I35" s="3"/>
      <c r="J35" s="3"/>
      <c r="K35" s="3">
        <f t="shared" si="0"/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</row>
    <row r="36" spans="1:16" x14ac:dyDescent="0.3">
      <c r="A36" t="s">
        <v>33</v>
      </c>
      <c r="B36" s="1"/>
      <c r="C36" s="1"/>
      <c r="D36" s="3"/>
      <c r="E36" s="3"/>
      <c r="F36" s="3"/>
      <c r="G36" s="3"/>
      <c r="H36" s="3"/>
      <c r="I36" s="3"/>
      <c r="J36" s="3"/>
      <c r="K36" s="3">
        <f t="shared" si="0"/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</row>
    <row r="37" spans="1:16" x14ac:dyDescent="0.3">
      <c r="A37" t="s">
        <v>34</v>
      </c>
      <c r="B37" s="1">
        <v>7700000</v>
      </c>
      <c r="C37" s="1">
        <v>936600</v>
      </c>
      <c r="D37" s="3">
        <v>11799448</v>
      </c>
      <c r="E37" s="3">
        <v>780712</v>
      </c>
      <c r="F37" s="3">
        <f>749521+750803</f>
        <v>1500324</v>
      </c>
      <c r="G37" s="3">
        <f>728487+685355</f>
        <v>1413842</v>
      </c>
      <c r="H37" s="3">
        <f>701381+738744</f>
        <v>1440125</v>
      </c>
      <c r="I37" s="3">
        <f>813217+818970</f>
        <v>1632187</v>
      </c>
      <c r="J37" s="3">
        <f>699634+555652+367458+246499+249494</f>
        <v>2118737</v>
      </c>
      <c r="K37" s="3">
        <f t="shared" si="0"/>
        <v>218599.36000000002</v>
      </c>
      <c r="L37" s="3">
        <f t="shared" si="1"/>
        <v>480103.67999999999</v>
      </c>
      <c r="M37" s="3">
        <f t="shared" si="2"/>
        <v>367598.92</v>
      </c>
      <c r="N37" s="3">
        <f t="shared" si="3"/>
        <v>345630</v>
      </c>
      <c r="O37" s="3">
        <f t="shared" si="4"/>
        <v>293793.65999999997</v>
      </c>
      <c r="P37" s="3">
        <f t="shared" si="5"/>
        <v>169498.96</v>
      </c>
    </row>
    <row r="38" spans="1:16" x14ac:dyDescent="0.3">
      <c r="A38" t="s">
        <v>35</v>
      </c>
      <c r="B38" s="1"/>
      <c r="C38" s="1"/>
      <c r="D38" s="3"/>
      <c r="E38" s="3"/>
      <c r="F38" s="3"/>
      <c r="G38" s="3"/>
      <c r="H38" s="3"/>
      <c r="I38" s="3"/>
      <c r="J38" s="3"/>
      <c r="K38" s="3">
        <f t="shared" si="0"/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</row>
    <row r="39" spans="1:16" x14ac:dyDescent="0.3">
      <c r="A39" t="s">
        <v>36</v>
      </c>
      <c r="B39" s="1">
        <v>675000</v>
      </c>
      <c r="C39" s="1">
        <v>75700</v>
      </c>
      <c r="D39" s="3">
        <v>4237256</v>
      </c>
      <c r="E39" s="3">
        <v>265951</v>
      </c>
      <c r="F39" s="3">
        <f>285772+300930</f>
        <v>586702</v>
      </c>
      <c r="G39" s="3">
        <f>298242+274508</f>
        <v>572750</v>
      </c>
      <c r="H39" s="3">
        <f>257473+250762</f>
        <v>508235</v>
      </c>
      <c r="I39" s="3">
        <f>263348+273850</f>
        <v>537198</v>
      </c>
      <c r="J39" s="3">
        <f>265336+218220+142476+85775+83301</f>
        <v>795108</v>
      </c>
      <c r="K39" s="3">
        <f t="shared" si="0"/>
        <v>74466.280000000013</v>
      </c>
      <c r="L39" s="3">
        <f t="shared" si="1"/>
        <v>187744.64000000001</v>
      </c>
      <c r="M39" s="3">
        <f t="shared" si="2"/>
        <v>148915</v>
      </c>
      <c r="N39" s="3">
        <f t="shared" si="3"/>
        <v>121976.4</v>
      </c>
      <c r="O39" s="3">
        <f t="shared" si="4"/>
        <v>96695.64</v>
      </c>
      <c r="P39" s="3">
        <f t="shared" si="5"/>
        <v>63608.639999999999</v>
      </c>
    </row>
    <row r="40" spans="1:16" x14ac:dyDescent="0.3">
      <c r="A40" t="s">
        <v>37</v>
      </c>
      <c r="B40" s="1">
        <v>7700000</v>
      </c>
      <c r="C40" s="1">
        <v>686800</v>
      </c>
      <c r="D40" s="3">
        <v>13002700</v>
      </c>
      <c r="E40" s="3">
        <v>856692</v>
      </c>
      <c r="F40" s="3">
        <f>824646+848522</f>
        <v>1673168</v>
      </c>
      <c r="G40" s="3">
        <f>802272+740067</f>
        <v>1542339</v>
      </c>
      <c r="H40" s="3">
        <f>760158+837778</f>
        <v>1597936</v>
      </c>
      <c r="I40" s="3">
        <f>921443+927030</f>
        <v>1848473</v>
      </c>
      <c r="J40" s="3">
        <f>799120+638315+434058+291661+319900</f>
        <v>2483054</v>
      </c>
      <c r="K40" s="3">
        <f t="shared" si="0"/>
        <v>239873.76</v>
      </c>
      <c r="L40" s="3">
        <f t="shared" si="1"/>
        <v>535413.76000000001</v>
      </c>
      <c r="M40" s="3">
        <f t="shared" si="2"/>
        <v>401008.14</v>
      </c>
      <c r="N40" s="3">
        <f t="shared" si="3"/>
        <v>383504.64000000001</v>
      </c>
      <c r="O40" s="3">
        <f t="shared" si="4"/>
        <v>332725.14</v>
      </c>
      <c r="P40" s="3">
        <f t="shared" si="5"/>
        <v>198644.32</v>
      </c>
    </row>
    <row r="41" spans="1:16" x14ac:dyDescent="0.3">
      <c r="A41" t="s">
        <v>38</v>
      </c>
      <c r="B41" s="1">
        <v>461400</v>
      </c>
      <c r="C41" s="1">
        <v>40300</v>
      </c>
      <c r="D41" s="3">
        <v>1097379</v>
      </c>
      <c r="E41" s="3">
        <v>78805</v>
      </c>
      <c r="F41" s="3">
        <f>72185+73839</f>
        <v>146024</v>
      </c>
      <c r="G41" s="3">
        <f>69188+62097</f>
        <v>131285</v>
      </c>
      <c r="H41" s="3">
        <f>63117+72822</f>
        <v>135939</v>
      </c>
      <c r="I41" s="3">
        <f>79656+77967</f>
        <v>157623</v>
      </c>
      <c r="J41" s="3">
        <f>65248+51566+34414+22450+26783</f>
        <v>200461</v>
      </c>
      <c r="K41" s="3">
        <f t="shared" si="0"/>
        <v>22065.4</v>
      </c>
      <c r="L41" s="3">
        <f t="shared" si="1"/>
        <v>46727.68</v>
      </c>
      <c r="M41" s="3">
        <f t="shared" si="2"/>
        <v>34134.1</v>
      </c>
      <c r="N41" s="3">
        <f t="shared" si="3"/>
        <v>32625.360000000001</v>
      </c>
      <c r="O41" s="3">
        <f t="shared" si="4"/>
        <v>28372.14</v>
      </c>
      <c r="P41" s="3">
        <f t="shared" si="5"/>
        <v>16036.880000000001</v>
      </c>
    </row>
    <row r="42" spans="1:16" x14ac:dyDescent="0.3">
      <c r="A42" t="s">
        <v>39</v>
      </c>
      <c r="B42" s="1"/>
      <c r="C42" s="1"/>
      <c r="D42" s="3"/>
      <c r="E42" s="3"/>
      <c r="F42" s="3"/>
      <c r="G42" s="3"/>
      <c r="H42" s="3"/>
      <c r="I42" s="3"/>
      <c r="J42" s="3"/>
      <c r="K42" s="3">
        <f t="shared" si="0"/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</row>
    <row r="43" spans="1:16" x14ac:dyDescent="0.3">
      <c r="A43" t="s">
        <v>40</v>
      </c>
      <c r="B43" s="1">
        <v>9000</v>
      </c>
      <c r="C43" s="1">
        <v>1000</v>
      </c>
      <c r="D43" s="3">
        <v>886687</v>
      </c>
      <c r="E43" s="3">
        <v>57922</v>
      </c>
      <c r="F43" s="3">
        <f>55201+57084</f>
        <v>112285</v>
      </c>
      <c r="G43" s="3">
        <f>57727+51034</f>
        <v>108761</v>
      </c>
      <c r="H43" s="3">
        <f>46146+47515</f>
        <v>93661</v>
      </c>
      <c r="I43" s="3">
        <f>57235+58656</f>
        <v>115891</v>
      </c>
      <c r="J43" s="3">
        <f>52515+39575+26223+17881+20397</f>
        <v>156591</v>
      </c>
      <c r="K43" s="3">
        <f t="shared" si="0"/>
        <v>16218.160000000002</v>
      </c>
      <c r="L43" s="3">
        <f t="shared" si="1"/>
        <v>35931.200000000004</v>
      </c>
      <c r="M43" s="3">
        <f t="shared" si="2"/>
        <v>28277.86</v>
      </c>
      <c r="N43" s="3">
        <f t="shared" si="3"/>
        <v>22478.639999999999</v>
      </c>
      <c r="O43" s="3">
        <f t="shared" si="4"/>
        <v>20860.38</v>
      </c>
      <c r="P43" s="3">
        <f t="shared" si="5"/>
        <v>12527.28</v>
      </c>
    </row>
    <row r="44" spans="1:16" x14ac:dyDescent="0.3">
      <c r="A44" t="s">
        <v>41</v>
      </c>
      <c r="B44" s="1">
        <v>4300000</v>
      </c>
      <c r="C44" s="1">
        <v>466100</v>
      </c>
      <c r="D44" s="3">
        <v>6910840</v>
      </c>
      <c r="E44" s="3">
        <v>457172</v>
      </c>
      <c r="F44" s="3">
        <f>464904+456367</f>
        <v>921271</v>
      </c>
      <c r="G44" s="3">
        <f>440957+419634</f>
        <v>860591</v>
      </c>
      <c r="H44" s="3">
        <f>431197+436295</f>
        <v>867492</v>
      </c>
      <c r="I44" s="3">
        <f>465418+446100</f>
        <v>911518</v>
      </c>
      <c r="J44" s="3">
        <f>390346+323223+215640+133444+116918</f>
        <v>1179571</v>
      </c>
      <c r="K44" s="3">
        <f t="shared" si="0"/>
        <v>128008.16000000002</v>
      </c>
      <c r="L44" s="3">
        <f t="shared" si="1"/>
        <v>294806.72000000003</v>
      </c>
      <c r="M44" s="3">
        <f t="shared" si="2"/>
        <v>223753.66</v>
      </c>
      <c r="N44" s="3">
        <f t="shared" si="3"/>
        <v>208198.08</v>
      </c>
      <c r="O44" s="3">
        <f t="shared" si="4"/>
        <v>164073.24</v>
      </c>
      <c r="P44" s="3">
        <f t="shared" si="5"/>
        <v>94365.680000000008</v>
      </c>
    </row>
    <row r="45" spans="1:16" x14ac:dyDescent="0.3">
      <c r="A45" t="s">
        <v>42</v>
      </c>
      <c r="B45" s="1"/>
      <c r="C45" s="1"/>
      <c r="D45" s="3"/>
      <c r="E45" s="3"/>
      <c r="F45" s="3"/>
      <c r="G45" s="3"/>
      <c r="H45" s="3"/>
      <c r="I45" s="3"/>
      <c r="J45" s="3"/>
      <c r="K45" s="3">
        <f t="shared" si="0"/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</row>
    <row r="46" spans="1:16" x14ac:dyDescent="0.3">
      <c r="A46" t="s">
        <v>43</v>
      </c>
      <c r="B46" s="1"/>
      <c r="C46" s="1"/>
      <c r="D46" s="3"/>
      <c r="E46" s="3"/>
      <c r="F46" s="3"/>
      <c r="G46" s="3"/>
      <c r="H46" s="3"/>
      <c r="I46" s="3"/>
      <c r="J46" s="3"/>
      <c r="K46" s="3">
        <f t="shared" si="0"/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</row>
    <row r="47" spans="1:16" x14ac:dyDescent="0.3">
      <c r="A47" t="s">
        <v>44</v>
      </c>
      <c r="B47" s="1"/>
      <c r="C47" s="1"/>
      <c r="D47" s="3"/>
      <c r="E47" s="3"/>
      <c r="F47" s="3"/>
      <c r="G47" s="3"/>
      <c r="H47" s="3"/>
      <c r="I47" s="3"/>
      <c r="J47" s="3"/>
      <c r="K47" s="3">
        <f t="shared" si="0"/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</row>
    <row r="48" spans="1:16" x14ac:dyDescent="0.3">
      <c r="A48" t="s">
        <v>45</v>
      </c>
      <c r="B48" s="1">
        <v>5600000</v>
      </c>
      <c r="C48" s="1">
        <v>560300</v>
      </c>
      <c r="D48" s="3">
        <v>8631393</v>
      </c>
      <c r="E48" s="3">
        <v>591822</v>
      </c>
      <c r="F48" s="3">
        <f>577777+585903</f>
        <v>1163680</v>
      </c>
      <c r="G48" s="3">
        <f>579298+535099</f>
        <v>1114397</v>
      </c>
      <c r="H48" s="3">
        <f>535229+555414</f>
        <v>1090643</v>
      </c>
      <c r="I48" s="3">
        <f>592146+549412</f>
        <v>1141558</v>
      </c>
      <c r="J48" s="3">
        <f>458537+375968+252917+157765+150104</f>
        <v>1395291</v>
      </c>
      <c r="K48" s="3">
        <f t="shared" si="0"/>
        <v>165710.16</v>
      </c>
      <c r="L48" s="3">
        <f t="shared" si="1"/>
        <v>372377.60000000003</v>
      </c>
      <c r="M48" s="3">
        <f t="shared" si="2"/>
        <v>289743.22000000003</v>
      </c>
      <c r="N48" s="3">
        <f t="shared" si="3"/>
        <v>261754.31999999998</v>
      </c>
      <c r="O48" s="3">
        <f t="shared" si="4"/>
        <v>205480.44</v>
      </c>
      <c r="P48" s="3">
        <f t="shared" si="5"/>
        <v>111623.28</v>
      </c>
    </row>
    <row r="49" spans="1:16" x14ac:dyDescent="0.3">
      <c r="A49" t="s">
        <v>46</v>
      </c>
      <c r="B49" s="1"/>
      <c r="C49" s="1"/>
      <c r="D49" s="3"/>
      <c r="E49" s="3"/>
      <c r="F49" s="3"/>
      <c r="G49" s="3"/>
      <c r="H49" s="3"/>
      <c r="I49" s="3"/>
      <c r="J49" s="3"/>
      <c r="K49" s="3">
        <f t="shared" si="0"/>
        <v>0</v>
      </c>
      <c r="L49" s="3">
        <f t="shared" si="1"/>
        <v>0</v>
      </c>
      <c r="M49" s="3">
        <f t="shared" si="2"/>
        <v>0</v>
      </c>
      <c r="N49" s="3">
        <f t="shared" si="3"/>
        <v>0</v>
      </c>
      <c r="O49" s="3">
        <f t="shared" si="4"/>
        <v>0</v>
      </c>
      <c r="P49" s="3">
        <f t="shared" si="5"/>
        <v>0</v>
      </c>
    </row>
    <row r="50" spans="1:16" x14ac:dyDescent="0.3">
      <c r="A50" t="s">
        <v>47</v>
      </c>
      <c r="B50" s="1">
        <v>685500</v>
      </c>
      <c r="C50" s="1">
        <v>18900</v>
      </c>
      <c r="D50" s="3">
        <v>1793716</v>
      </c>
      <c r="E50" s="3">
        <v>109191</v>
      </c>
      <c r="F50" s="3">
        <f>103791+103515</f>
        <v>207306</v>
      </c>
      <c r="G50" s="3">
        <f>105741+110031</f>
        <v>215772</v>
      </c>
      <c r="H50" s="3">
        <f>113111+115575</f>
        <v>228686</v>
      </c>
      <c r="I50" s="3">
        <f>126133+131505</f>
        <v>257638</v>
      </c>
      <c r="J50" s="3">
        <f>121318+101237+64652+41860+37948</f>
        <v>367015</v>
      </c>
      <c r="K50" s="3">
        <f t="shared" si="0"/>
        <v>30573.480000000003</v>
      </c>
      <c r="L50" s="3">
        <f t="shared" si="1"/>
        <v>66337.919999999998</v>
      </c>
      <c r="M50" s="3">
        <f t="shared" si="2"/>
        <v>56100.72</v>
      </c>
      <c r="N50" s="3">
        <f t="shared" si="3"/>
        <v>54884.639999999999</v>
      </c>
      <c r="O50" s="3">
        <f t="shared" si="4"/>
        <v>46374.84</v>
      </c>
      <c r="P50" s="3">
        <f t="shared" si="5"/>
        <v>29361.200000000001</v>
      </c>
    </row>
    <row r="51" spans="1:16" x14ac:dyDescent="0.3">
      <c r="A51" t="s">
        <v>48</v>
      </c>
      <c r="B51" s="1">
        <v>483100</v>
      </c>
      <c r="C51" s="1">
        <v>47700</v>
      </c>
      <c r="D51" s="3">
        <v>5893718</v>
      </c>
      <c r="E51" s="3">
        <v>379451</v>
      </c>
      <c r="F51" s="3">
        <f>364175+376948</f>
        <v>741123</v>
      </c>
      <c r="G51" s="3">
        <f>376978+347361</f>
        <v>724339</v>
      </c>
      <c r="H51" s="3">
        <f>338173+370848</f>
        <v>709021</v>
      </c>
      <c r="I51" s="3">
        <f>424014+413872</f>
        <v>837886</v>
      </c>
      <c r="J51" s="3">
        <f>354789+273536+182885+121994+126813</f>
        <v>1060017</v>
      </c>
      <c r="K51" s="3">
        <f t="shared" si="0"/>
        <v>106246.28000000001</v>
      </c>
      <c r="L51" s="3">
        <f t="shared" si="1"/>
        <v>237159.36000000002</v>
      </c>
      <c r="M51" s="3">
        <f t="shared" si="2"/>
        <v>188328.14</v>
      </c>
      <c r="N51" s="3">
        <f t="shared" si="3"/>
        <v>170165.04</v>
      </c>
      <c r="O51" s="3">
        <f t="shared" si="4"/>
        <v>150819.47999999998</v>
      </c>
      <c r="P51" s="3">
        <f t="shared" si="5"/>
        <v>84801.36</v>
      </c>
    </row>
    <row r="52" spans="1:16" x14ac:dyDescent="0.3">
      <c r="A52" t="s">
        <v>49</v>
      </c>
      <c r="B52" s="1">
        <v>172200</v>
      </c>
      <c r="C52" s="1">
        <v>17300</v>
      </c>
      <c r="D52" s="3">
        <v>576851</v>
      </c>
      <c r="E52" s="3">
        <v>35258</v>
      </c>
      <c r="F52" s="3">
        <f>34960+37955</f>
        <v>72915</v>
      </c>
      <c r="G52" s="3">
        <f>38946+35035</f>
        <v>73981</v>
      </c>
      <c r="H52" s="3">
        <f>32136+31302</f>
        <v>63438</v>
      </c>
      <c r="I52" s="3">
        <f>37136+41219</f>
        <v>78355</v>
      </c>
      <c r="J52" s="3">
        <f>36380+27160+17601+10935+9796</f>
        <v>101872</v>
      </c>
      <c r="K52" s="3">
        <f t="shared" si="0"/>
        <v>9872.2400000000016</v>
      </c>
      <c r="L52" s="3">
        <f t="shared" si="1"/>
        <v>23332.799999999999</v>
      </c>
      <c r="M52" s="3">
        <f t="shared" si="2"/>
        <v>19235.060000000001</v>
      </c>
      <c r="N52" s="3">
        <f t="shared" si="3"/>
        <v>15225.119999999999</v>
      </c>
      <c r="O52" s="3">
        <f t="shared" si="4"/>
        <v>14103.9</v>
      </c>
      <c r="P52" s="3">
        <f t="shared" si="5"/>
        <v>8149.76</v>
      </c>
    </row>
    <row r="53" spans="1:16" x14ac:dyDescent="0.3">
      <c r="B53" s="1"/>
      <c r="C5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a9a92a-78db-4702-9728-15f3f9f8768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6273443B8EB341A396AEFD8B8F7414" ma:contentTypeVersion="11" ma:contentTypeDescription="Create a new document." ma:contentTypeScope="" ma:versionID="bba16b9ebcb2a5ecfa67977b0a8f0301">
  <xsd:schema xmlns:xsd="http://www.w3.org/2001/XMLSchema" xmlns:xs="http://www.w3.org/2001/XMLSchema" xmlns:p="http://schemas.microsoft.com/office/2006/metadata/properties" xmlns:ns3="9fa9a92a-78db-4702-9728-15f3f9f87683" xmlns:ns4="431a49b5-f3e7-4e95-8afc-e82318045b8d" targetNamespace="http://schemas.microsoft.com/office/2006/metadata/properties" ma:root="true" ma:fieldsID="73c8fbaa5515dae415d98f4abd99b2d3" ns3:_="" ns4:_="">
    <xsd:import namespace="9fa9a92a-78db-4702-9728-15f3f9f87683"/>
    <xsd:import namespace="431a49b5-f3e7-4e95-8afc-e82318045b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9a92a-78db-4702-9728-15f3f9f87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a49b5-f3e7-4e95-8afc-e82318045b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B9C86B-4D80-4D5F-90A3-01237C5AFA8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9fa9a92a-78db-4702-9728-15f3f9f87683"/>
    <ds:schemaRef ds:uri="http://purl.org/dc/elements/1.1/"/>
    <ds:schemaRef ds:uri="431a49b5-f3e7-4e95-8afc-e82318045b8d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E4C24A2-CCF3-4F09-81BA-462954965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9a92a-78db-4702-9728-15f3f9f87683"/>
    <ds:schemaRef ds:uri="431a49b5-f3e7-4e95-8afc-e82318045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D10577-5282-40E6-9C26-927A2FD7C0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Tegler</dc:creator>
  <cp:lastModifiedBy>Jimmy Tegler</cp:lastModifiedBy>
  <dcterms:created xsi:type="dcterms:W3CDTF">2024-05-06T19:02:38Z</dcterms:created>
  <dcterms:modified xsi:type="dcterms:W3CDTF">2024-05-08T17:31:05Z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0x010100B66273443B8EB341A396AEFD8B8F7414</vt:lpwstr>
  </property>
</Properties>
</file>